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\\A-serveur\adb-consulting\DOSSIERS CLIENTS\DAF\ABECASSIS\"/>
    </mc:Choice>
  </mc:AlternateContent>
  <bookViews>
    <workbookView xWindow="-15" yWindow="6390" windowWidth="25440" windowHeight="6435" tabRatio="788" activeTab="4"/>
  </bookViews>
  <sheets>
    <sheet name="BDD 1 - CHARGES FIXES" sheetId="2" r:id="rId1"/>
    <sheet name="BDD 2- CHARGES VARIABLES" sheetId="39" r:id="rId2"/>
    <sheet name="BDD 3 - RECETTES" sheetId="37" r:id="rId3"/>
    <sheet name="TABLEAU 1 TRESO - CHARGES FIXES" sheetId="36" r:id="rId4"/>
    <sheet name="TABLEAU 2 TRESO - ACHATS" sheetId="40" r:id="rId5"/>
    <sheet name="TABLEAU TRESO 3 - RECETTES" sheetId="38" r:id="rId6"/>
    <sheet name="Synthèse" sheetId="41" r:id="rId7"/>
  </sheets>
  <externalReferences>
    <externalReference r:id="rId8"/>
    <externalReference r:id="rId9"/>
  </externalReferences>
  <definedNames>
    <definedName name="_1PLANNING_LARUSS" localSheetId="0">#REF!</definedName>
    <definedName name="_1PLANNING_LARUSS" localSheetId="1">#REF!</definedName>
    <definedName name="_1PLANNING_LARUSS" localSheetId="2">#REF!</definedName>
    <definedName name="_1PLANNING_LARUSS">#REF!</definedName>
    <definedName name="_xlnm._FilterDatabase" localSheetId="0" hidden="1">'BDD 1 - CHARGES FIXES'!$A$1:$Y$396</definedName>
    <definedName name="_xlnm._FilterDatabase" localSheetId="1" hidden="1">'BDD 2- CHARGES VARIABLES'!$A$1:$T$402</definedName>
    <definedName name="_xlnm._FilterDatabase" localSheetId="2" hidden="1">'BDD 3 - RECETTES'!$A$1:$O$116</definedName>
    <definedName name="b" localSheetId="0" hidden="1">{#N/A,#N/A,TRUE,"Simul fin";#N/A,#N/A,TRUE,"Billetterie";#N/A,#N/A,TRUE,"Synthèse";#N/A,#N/A,TRUE,"Détail charges"}</definedName>
    <definedName name="b" localSheetId="1" hidden="1">{#N/A,#N/A,TRUE,"Simul fin";#N/A,#N/A,TRUE,"Billetterie";#N/A,#N/A,TRUE,"Synthèse";#N/A,#N/A,TRUE,"Détail charges"}</definedName>
    <definedName name="b" localSheetId="2" hidden="1">{#N/A,#N/A,TRUE,"Simul fin";#N/A,#N/A,TRUE,"Billetterie";#N/A,#N/A,TRUE,"Synthèse";#N/A,#N/A,TRUE,"Détail charges"}</definedName>
    <definedName name="b" hidden="1">{#N/A,#N/A,TRUE,"Simul fin";#N/A,#N/A,TRUE,"Billetterie";#N/A,#N/A,TRUE,"Synthèse";#N/A,#N/A,TRUE,"Détail charges"}</definedName>
    <definedName name="bis" localSheetId="0" hidden="1">{#N/A,#N/A,TRUE,"Simul fin";#N/A,#N/A,TRUE,"Billetterie";#N/A,#N/A,TRUE,"Synthèse";#N/A,#N/A,TRUE,"Détail charges"}</definedName>
    <definedName name="bis" localSheetId="1" hidden="1">{#N/A,#N/A,TRUE,"Simul fin";#N/A,#N/A,TRUE,"Billetterie";#N/A,#N/A,TRUE,"Synthèse";#N/A,#N/A,TRUE,"Détail charges"}</definedName>
    <definedName name="bis" localSheetId="2" hidden="1">{#N/A,#N/A,TRUE,"Simul fin";#N/A,#N/A,TRUE,"Billetterie";#N/A,#N/A,TRUE,"Synthèse";#N/A,#N/A,TRUE,"Détail charges"}</definedName>
    <definedName name="bis" hidden="1">{#N/A,#N/A,TRUE,"Simul fin";#N/A,#N/A,TRUE,"Billetterie";#N/A,#N/A,TRUE,"Synthèse";#N/A,#N/A,TRUE,"Détail charges"}</definedName>
    <definedName name="bv" hidden="1">{#N/A,#N/A,TRUE,"Simul fin";#N/A,#N/A,TRUE,"Billetterie";#N/A,#N/A,TRUE,"Synthèse";#N/A,#N/A,TRUE,"Détail charges"}</definedName>
    <definedName name="Charges_salariales" localSheetId="0">#REF!</definedName>
    <definedName name="Charges_salariales" localSheetId="1">#REF!</definedName>
    <definedName name="Charges_salariales" localSheetId="2">#REF!</definedName>
    <definedName name="Charges_salariales">#REF!</definedName>
    <definedName name="cheval" localSheetId="0" hidden="1">{#N/A,#N/A,FALSE,"Simul fin";#N/A,#N/A,FALSE,"Billetterie";#N/A,#N/A,FALSE,"Synthèse";#N/A,#N/A,FALSE,"Détail charges"}</definedName>
    <definedName name="cheval" localSheetId="1" hidden="1">{#N/A,#N/A,FALSE,"Simul fin";#N/A,#N/A,FALSE,"Billetterie";#N/A,#N/A,FALSE,"Synthèse";#N/A,#N/A,FALSE,"Détail charges"}</definedName>
    <definedName name="cheval" localSheetId="2" hidden="1">{#N/A,#N/A,FALSE,"Simul fin";#N/A,#N/A,FALSE,"Billetterie";#N/A,#N/A,FALSE,"Synthèse";#N/A,#N/A,FALSE,"Détail charges"}</definedName>
    <definedName name="cheval" hidden="1">{#N/A,#N/A,FALSE,"Simul fin";#N/A,#N/A,FALSE,"Billetterie";#N/A,#N/A,FALSE,"Synthèse";#N/A,#N/A,FALSE,"Détail charges"}</definedName>
    <definedName name="commconpte" localSheetId="0" hidden="1">{#N/A,#N/A,FALSE,"Simul fin";#N/A,#N/A,FALSE,"Billetterie";#N/A,#N/A,FALSE,"Synthèse";#N/A,#N/A,FALSE,"Détail charges"}</definedName>
    <definedName name="commconpte" localSheetId="1" hidden="1">{#N/A,#N/A,FALSE,"Simul fin";#N/A,#N/A,FALSE,"Billetterie";#N/A,#N/A,FALSE,"Synthèse";#N/A,#N/A,FALSE,"Détail charges"}</definedName>
    <definedName name="commconpte" localSheetId="2" hidden="1">{#N/A,#N/A,FALSE,"Simul fin";#N/A,#N/A,FALSE,"Billetterie";#N/A,#N/A,FALSE,"Synthèse";#N/A,#N/A,FALSE,"Détail charges"}</definedName>
    <definedName name="commconpte" hidden="1">{#N/A,#N/A,FALSE,"Simul fin";#N/A,#N/A,FALSE,"Billetterie";#N/A,#N/A,FALSE,"Synthèse";#N/A,#N/A,FALSE,"Détail charges"}</definedName>
    <definedName name="ff" localSheetId="0">[1]Bécaud!#REF!</definedName>
    <definedName name="ff" localSheetId="1">[1]Bécaud!#REF!</definedName>
    <definedName name="ff" localSheetId="2">[1]Bécaud!#REF!</definedName>
    <definedName name="ff">[1]Bécaud!#REF!</definedName>
    <definedName name="Fonction" localSheetId="0">#REF!</definedName>
    <definedName name="Fonction" localSheetId="1">#REF!</definedName>
    <definedName name="Fonction" localSheetId="2">#REF!</definedName>
    <definedName name="Fonction">#REF!</definedName>
    <definedName name="mkiokjm" localSheetId="0" hidden="1">{#N/A,#N/A,FALSE,"Simul fin";#N/A,#N/A,FALSE,"Billetterie";#N/A,#N/A,FALSE,"Synthèse";#N/A,#N/A,FALSE,"Détail charges"}</definedName>
    <definedName name="mkiokjm" localSheetId="1" hidden="1">{#N/A,#N/A,FALSE,"Simul fin";#N/A,#N/A,FALSE,"Billetterie";#N/A,#N/A,FALSE,"Synthèse";#N/A,#N/A,FALSE,"Détail charges"}</definedName>
    <definedName name="mkiokjm" localSheetId="2" hidden="1">{#N/A,#N/A,FALSE,"Simul fin";#N/A,#N/A,FALSE,"Billetterie";#N/A,#N/A,FALSE,"Synthèse";#N/A,#N/A,FALSE,"Détail charges"}</definedName>
    <definedName name="mkiokjm" hidden="1">{#N/A,#N/A,FALSE,"Simul fin";#N/A,#N/A,FALSE,"Billetterie";#N/A,#N/A,FALSE,"Synthèse";#N/A,#N/A,FALSE,"Détail charges"}</definedName>
    <definedName name="NBS" localSheetId="0">#REF!</definedName>
    <definedName name="NBS" localSheetId="1">#REF!</definedName>
    <definedName name="NBS" localSheetId="2">#REF!</definedName>
    <definedName name="NBS">#REF!</definedName>
    <definedName name="NBSO" localSheetId="0">#REF!</definedName>
    <definedName name="NBSO" localSheetId="1">#REF!</definedName>
    <definedName name="NBSO" localSheetId="2">#REF!</definedName>
    <definedName name="NBSO">#REF!</definedName>
    <definedName name="NBST" localSheetId="0">#REF!</definedName>
    <definedName name="NBST" localSheetId="1">#REF!</definedName>
    <definedName name="NBST" localSheetId="2">#REF!</definedName>
    <definedName name="NBST">#REF!</definedName>
    <definedName name="Nom_du_salarié" localSheetId="0">#REF!</definedName>
    <definedName name="Nom_du_salarié" localSheetId="1">#REF!</definedName>
    <definedName name="Nom_du_salarié" localSheetId="2">#REF!</definedName>
    <definedName name="Nom_du_salarié">#REF!</definedName>
    <definedName name="Periode" localSheetId="0">#REF!</definedName>
    <definedName name="Periode" localSheetId="1">#REF!</definedName>
    <definedName name="Periode" localSheetId="2">#REF!</definedName>
    <definedName name="Periode">#REF!</definedName>
    <definedName name="Poste_Budgetaire" localSheetId="0">#REF!</definedName>
    <definedName name="Poste_Budgetaire" localSheetId="1">#REF!</definedName>
    <definedName name="Poste_Budgetaire" localSheetId="2">#REF!</definedName>
    <definedName name="Poste_Budgetaire">#REF!</definedName>
    <definedName name="Prénom_du_salarié" localSheetId="0">#REF!</definedName>
    <definedName name="Prénom_du_salarié" localSheetId="1">#REF!</definedName>
    <definedName name="Prénom_du_salarié" localSheetId="2">#REF!</definedName>
    <definedName name="Prénom_du_salarié">#REF!</definedName>
    <definedName name="PrintAutomne98">[2]!PrintAutomne98</definedName>
    <definedName name="PrintEté98">[2]!PrintEté98</definedName>
    <definedName name="PrintHiver99">[2]!PrintHiver99</definedName>
    <definedName name="Réf" localSheetId="0">#REF!</definedName>
    <definedName name="Réf" localSheetId="1">#REF!</definedName>
    <definedName name="Réf" localSheetId="2">#REF!</definedName>
    <definedName name="Réf">#REF!</definedName>
    <definedName name="Salaire_Brut" localSheetId="0">#REF!</definedName>
    <definedName name="Salaire_Brut" localSheetId="1">#REF!</definedName>
    <definedName name="Salaire_Brut" localSheetId="2">#REF!</definedName>
    <definedName name="Salaire_Brut">#REF!</definedName>
    <definedName name="Salaires" localSheetId="0">#REF!</definedName>
    <definedName name="Salaires" localSheetId="1">#REF!</definedName>
    <definedName name="Salaires" localSheetId="2">#REF!</definedName>
    <definedName name="Salaires">#REF!</definedName>
    <definedName name="Total" localSheetId="0">#REF!</definedName>
    <definedName name="Total" localSheetId="1">#REF!</definedName>
    <definedName name="Total" localSheetId="2">#REF!</definedName>
    <definedName name="Total">#REF!</definedName>
    <definedName name="vio" localSheetId="0" hidden="1">{#N/A,#N/A,TRUE,"Simul fin";#N/A,#N/A,TRUE,"Billetterie";#N/A,#N/A,TRUE,"Synthèse";#N/A,#N/A,TRUE,"Détail charges"}</definedName>
    <definedName name="vio" localSheetId="1" hidden="1">{#N/A,#N/A,TRUE,"Simul fin";#N/A,#N/A,TRUE,"Billetterie";#N/A,#N/A,TRUE,"Synthèse";#N/A,#N/A,TRUE,"Détail charges"}</definedName>
    <definedName name="vio" localSheetId="2" hidden="1">{#N/A,#N/A,TRUE,"Simul fin";#N/A,#N/A,TRUE,"Billetterie";#N/A,#N/A,TRUE,"Synthèse";#N/A,#N/A,TRUE,"Détail charges"}</definedName>
    <definedName name="vio" hidden="1">{#N/A,#N/A,TRUE,"Simul fin";#N/A,#N/A,TRUE,"Billetterie";#N/A,#N/A,TRUE,"Synthèse";#N/A,#N/A,TRUE,"Détail charges"}</definedName>
    <definedName name="wrn.celtes." localSheetId="0" hidden="1">{#N/A,#N/A,FALSE,"Simul fin";#N/A,#N/A,FALSE,"Billetterie";#N/A,#N/A,FALSE,"Synthèse";#N/A,#N/A,FALSE,"Détail charges"}</definedName>
    <definedName name="wrn.celtes." localSheetId="1" hidden="1">{#N/A,#N/A,FALSE,"Simul fin";#N/A,#N/A,FALSE,"Billetterie";#N/A,#N/A,FALSE,"Synthèse";#N/A,#N/A,FALSE,"Détail charges"}</definedName>
    <definedName name="wrn.celtes." localSheetId="2" hidden="1">{#N/A,#N/A,FALSE,"Simul fin";#N/A,#N/A,FALSE,"Billetterie";#N/A,#N/A,FALSE,"Synthèse";#N/A,#N/A,FALSE,"Détail charges"}</definedName>
    <definedName name="wrn.celtes." hidden="1">{#N/A,#N/A,FALSE,"Simul fin";#N/A,#N/A,FALSE,"Billetterie";#N/A,#N/A,FALSE,"Synthèse";#N/A,#N/A,FALSE,"Détail charges"}</definedName>
    <definedName name="wrn.corrida." localSheetId="0" hidden="1">{#N/A,#N/A,FALSE,"Simul fin OO";#N/A,#N/A,FALSE,"Billetterie OO";#N/A,#N/A,FALSE,"Synthèse OO";#N/A,#N/A,FALSE,"Charges OO"}</definedName>
    <definedName name="wrn.corrida." localSheetId="1" hidden="1">{#N/A,#N/A,FALSE,"Simul fin OO";#N/A,#N/A,FALSE,"Billetterie OO";#N/A,#N/A,FALSE,"Synthèse OO";#N/A,#N/A,FALSE,"Charges OO"}</definedName>
    <definedName name="wrn.corrida." localSheetId="2" hidden="1">{#N/A,#N/A,FALSE,"Simul fin OO";#N/A,#N/A,FALSE,"Billetterie OO";#N/A,#N/A,FALSE,"Synthèse OO";#N/A,#N/A,FALSE,"Charges OO"}</definedName>
    <definedName name="wrn.corrida." hidden="1">{#N/A,#N/A,FALSE,"Simul fin OO";#N/A,#N/A,FALSE,"Billetterie OO";#N/A,#N/A,FALSE,"Synthèse OO";#N/A,#N/A,FALSE,"Charges OO"}</definedName>
    <definedName name="wrn.Requiem." localSheetId="0" hidden="1">{#N/A,#N/A,TRUE,"Simul fin";#N/A,#N/A,TRUE,"Billetterie";#N/A,#N/A,TRUE,"Synthèse";#N/A,#N/A,TRUE,"Détail charges"}</definedName>
    <definedName name="wrn.Requiem." localSheetId="1" hidden="1">{#N/A,#N/A,TRUE,"Simul fin";#N/A,#N/A,TRUE,"Billetterie";#N/A,#N/A,TRUE,"Synthèse";#N/A,#N/A,TRUE,"Détail charges"}</definedName>
    <definedName name="wrn.Requiem." localSheetId="2" hidden="1">{#N/A,#N/A,TRUE,"Simul fin";#N/A,#N/A,TRUE,"Billetterie";#N/A,#N/A,TRUE,"Synthèse";#N/A,#N/A,TRUE,"Détail charges"}</definedName>
    <definedName name="wrn.Requiem." hidden="1">{#N/A,#N/A,TRUE,"Simul fin";#N/A,#N/A,TRUE,"Billetterie";#N/A,#N/A,TRUE,"Synthèse";#N/A,#N/A,TRUE,"Détail charges"}</definedName>
    <definedName name="x" localSheetId="0" hidden="1">{#N/A,#N/A,TRUE,"Simul fin";#N/A,#N/A,TRUE,"Billetterie";#N/A,#N/A,TRUE,"Synthèse";#N/A,#N/A,TRUE,"Détail charges"}</definedName>
    <definedName name="x" localSheetId="1" hidden="1">{#N/A,#N/A,TRUE,"Simul fin";#N/A,#N/A,TRUE,"Billetterie";#N/A,#N/A,TRUE,"Synthèse";#N/A,#N/A,TRUE,"Détail charges"}</definedName>
    <definedName name="x" localSheetId="2" hidden="1">{#N/A,#N/A,TRUE,"Simul fin";#N/A,#N/A,TRUE,"Billetterie";#N/A,#N/A,TRUE,"Synthèse";#N/A,#N/A,TRUE,"Détail charges"}</definedName>
    <definedName name="x" hidden="1">{#N/A,#N/A,TRUE,"Simul fin";#N/A,#N/A,TRUE,"Billetterie";#N/A,#N/A,TRUE,"Synthèse";#N/A,#N/A,TRUE,"Détail charges"}</definedName>
    <definedName name="_xlnm.Print_Area" localSheetId="0">'BDD 1 - CHARGES FIXES'!#REF!</definedName>
    <definedName name="_xlnm.Print_Area" localSheetId="1">'BDD 2- CHARGES VARIABLES'!#REF!</definedName>
    <definedName name="_xlnm.Print_Area" localSheetId="2">'BDD 3 - RECETTES'!#REF!</definedName>
  </definedNames>
  <calcPr calcId="152511"/>
  <pivotCaches>
    <pivotCache cacheId="9" r:id="rId10"/>
    <pivotCache cacheId="10" r:id="rId11"/>
    <pivotCache cacheId="11" r:id="rId12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2" l="1"/>
  <c r="A12" i="2"/>
  <c r="A11" i="2"/>
  <c r="M77" i="39" l="1"/>
  <c r="M67" i="39"/>
  <c r="P12" i="41"/>
  <c r="O12" i="41"/>
  <c r="N12" i="41"/>
  <c r="M12" i="41"/>
  <c r="L12" i="41"/>
  <c r="L26" i="41" l="1"/>
  <c r="J26" i="41"/>
  <c r="I26" i="41"/>
  <c r="H35" i="41"/>
  <c r="H26" i="41"/>
  <c r="G26" i="41"/>
  <c r="F15" i="41"/>
  <c r="F26" i="41"/>
  <c r="E35" i="41"/>
  <c r="E26" i="41"/>
  <c r="D26" i="41"/>
  <c r="L37" i="41"/>
  <c r="J37" i="41"/>
  <c r="A37" i="41"/>
  <c r="A27" i="41"/>
  <c r="L22" i="38"/>
  <c r="K22" i="38"/>
  <c r="J22" i="38"/>
  <c r="I22" i="38"/>
  <c r="H22" i="38"/>
  <c r="G22" i="38"/>
  <c r="F22" i="38"/>
  <c r="E22" i="38"/>
  <c r="D22" i="38"/>
  <c r="C22" i="38"/>
  <c r="B22" i="38"/>
  <c r="J12" i="41"/>
  <c r="F12" i="41"/>
  <c r="Y12" i="41"/>
  <c r="AO12" i="41"/>
  <c r="S12" i="41"/>
  <c r="X12" i="41"/>
  <c r="R12" i="41"/>
  <c r="AH12" i="41"/>
  <c r="AX12" i="41"/>
  <c r="AQ12" i="41"/>
  <c r="AJ12" i="41"/>
  <c r="C12" i="41"/>
  <c r="I12" i="41"/>
  <c r="E12" i="41"/>
  <c r="AC12" i="41"/>
  <c r="AS12" i="41"/>
  <c r="AE12" i="41"/>
  <c r="AF12" i="41"/>
  <c r="V12" i="41"/>
  <c r="AL12" i="41"/>
  <c r="W12" i="41"/>
  <c r="AY12" i="41"/>
  <c r="AN12" i="41"/>
  <c r="B12" i="41"/>
  <c r="H12" i="41"/>
  <c r="Q12" i="41"/>
  <c r="AG12" i="41"/>
  <c r="AW12" i="41"/>
  <c r="AM12" i="41"/>
  <c r="AR12" i="41"/>
  <c r="Z12" i="41"/>
  <c r="AP12" i="41"/>
  <c r="AA12" i="41"/>
  <c r="T12" i="41"/>
  <c r="AV12" i="41"/>
  <c r="K12" i="41"/>
  <c r="G12" i="41"/>
  <c r="U12" i="41"/>
  <c r="AK12" i="41"/>
  <c r="BA12" i="41"/>
  <c r="AU12" i="41"/>
  <c r="AZ12" i="41"/>
  <c r="AD12" i="41"/>
  <c r="AT12" i="41"/>
  <c r="AI12" i="41"/>
  <c r="AB12" i="41"/>
  <c r="D12" i="41"/>
  <c r="C13" i="41" l="1"/>
  <c r="B13" i="41"/>
  <c r="M164" i="37"/>
  <c r="I108" i="2" l="1"/>
  <c r="M106" i="2"/>
  <c r="M107" i="2"/>
  <c r="M108" i="2"/>
  <c r="M109" i="2"/>
  <c r="M110" i="2"/>
  <c r="M111" i="2"/>
  <c r="M112" i="2"/>
  <c r="M113" i="2"/>
  <c r="M114" i="2"/>
  <c r="M115" i="2"/>
  <c r="M116" i="2"/>
  <c r="M117" i="2"/>
  <c r="C32" i="41"/>
  <c r="C33" i="41" s="1"/>
  <c r="D32" i="41"/>
  <c r="E32" i="41"/>
  <c r="F32" i="41"/>
  <c r="G32" i="41"/>
  <c r="H32" i="41"/>
  <c r="I32" i="41"/>
  <c r="J32" i="41"/>
  <c r="K32" i="41"/>
  <c r="L32" i="41"/>
  <c r="M32" i="41"/>
  <c r="N32" i="41"/>
  <c r="O32" i="41"/>
  <c r="P32" i="41"/>
  <c r="Q32" i="41"/>
  <c r="R32" i="41"/>
  <c r="S32" i="41"/>
  <c r="S33" i="41" s="1"/>
  <c r="T32" i="41"/>
  <c r="U32" i="41"/>
  <c r="V32" i="41"/>
  <c r="W32" i="41"/>
  <c r="X32" i="41"/>
  <c r="Y32" i="41"/>
  <c r="Z32" i="41"/>
  <c r="AA32" i="41"/>
  <c r="AB32" i="41"/>
  <c r="AC32" i="41"/>
  <c r="AD32" i="41"/>
  <c r="AE32" i="41"/>
  <c r="AF32" i="41"/>
  <c r="AG32" i="41"/>
  <c r="AH32" i="41"/>
  <c r="AI32" i="41"/>
  <c r="AJ32" i="41"/>
  <c r="AK32" i="41"/>
  <c r="AL32" i="41"/>
  <c r="AM32" i="41"/>
  <c r="AN32" i="41"/>
  <c r="AO32" i="41"/>
  <c r="AP32" i="41"/>
  <c r="AQ32" i="41"/>
  <c r="AR32" i="41"/>
  <c r="AS32" i="41"/>
  <c r="AT32" i="41"/>
  <c r="AU32" i="41"/>
  <c r="AV32" i="41"/>
  <c r="AW32" i="41"/>
  <c r="AX32" i="41"/>
  <c r="AY32" i="41"/>
  <c r="AZ32" i="41"/>
  <c r="BA32" i="41"/>
  <c r="B32" i="41"/>
  <c r="C31" i="41"/>
  <c r="D31" i="41"/>
  <c r="D33" i="41" s="1"/>
  <c r="E31" i="41"/>
  <c r="E33" i="41" s="1"/>
  <c r="F31" i="41"/>
  <c r="F33" i="41" s="1"/>
  <c r="G31" i="41"/>
  <c r="H31" i="41"/>
  <c r="H33" i="41" s="1"/>
  <c r="I31" i="41"/>
  <c r="I33" i="41" s="1"/>
  <c r="J31" i="41"/>
  <c r="J33" i="41" s="1"/>
  <c r="K31" i="41"/>
  <c r="L31" i="41"/>
  <c r="L33" i="41" s="1"/>
  <c r="M31" i="41"/>
  <c r="M33" i="41" s="1"/>
  <c r="N31" i="41"/>
  <c r="N33" i="41" s="1"/>
  <c r="O31" i="41"/>
  <c r="P31" i="41"/>
  <c r="P33" i="41" s="1"/>
  <c r="Q31" i="41"/>
  <c r="Q33" i="41" s="1"/>
  <c r="R31" i="41"/>
  <c r="R33" i="41" s="1"/>
  <c r="S31" i="41"/>
  <c r="T31" i="41"/>
  <c r="U31" i="41"/>
  <c r="U33" i="41" s="1"/>
  <c r="V31" i="41"/>
  <c r="V33" i="41" s="1"/>
  <c r="W31" i="41"/>
  <c r="X31" i="41"/>
  <c r="X33" i="41" s="1"/>
  <c r="Y31" i="41"/>
  <c r="Y33" i="41" s="1"/>
  <c r="Z31" i="41"/>
  <c r="Z33" i="41" s="1"/>
  <c r="AA31" i="41"/>
  <c r="AB31" i="41"/>
  <c r="AC31" i="41"/>
  <c r="AC33" i="41" s="1"/>
  <c r="AD31" i="41"/>
  <c r="AD33" i="41" s="1"/>
  <c r="AE31" i="41"/>
  <c r="AF31" i="41"/>
  <c r="AF33" i="41" s="1"/>
  <c r="AG31" i="41"/>
  <c r="AG33" i="41" s="1"/>
  <c r="AH31" i="41"/>
  <c r="AH33" i="41" s="1"/>
  <c r="AI31" i="41"/>
  <c r="AJ31" i="41"/>
  <c r="AK31" i="41"/>
  <c r="AK33" i="41" s="1"/>
  <c r="AL31" i="41"/>
  <c r="AL33" i="41" s="1"/>
  <c r="AM31" i="41"/>
  <c r="AN31" i="41"/>
  <c r="AN33" i="41" s="1"/>
  <c r="AO31" i="41"/>
  <c r="AO33" i="41" s="1"/>
  <c r="AP31" i="41"/>
  <c r="AP33" i="41" s="1"/>
  <c r="AQ31" i="41"/>
  <c r="AR31" i="41"/>
  <c r="AR33" i="41" s="1"/>
  <c r="AS31" i="41"/>
  <c r="AS33" i="41" s="1"/>
  <c r="AT31" i="41"/>
  <c r="AT33" i="41" s="1"/>
  <c r="AU31" i="41"/>
  <c r="AV31" i="41"/>
  <c r="AW31" i="41"/>
  <c r="AW33" i="41" s="1"/>
  <c r="AX31" i="41"/>
  <c r="AX33" i="41" s="1"/>
  <c r="AY31" i="41"/>
  <c r="AZ31" i="41"/>
  <c r="AZ33" i="41" s="1"/>
  <c r="BA31" i="41"/>
  <c r="BA33" i="41" s="1"/>
  <c r="B31" i="41"/>
  <c r="C22" i="41"/>
  <c r="D22" i="41"/>
  <c r="D23" i="41" s="1"/>
  <c r="E22" i="41"/>
  <c r="F22" i="41"/>
  <c r="G22" i="41"/>
  <c r="H22" i="41"/>
  <c r="I22" i="41"/>
  <c r="J22" i="41"/>
  <c r="K22" i="41"/>
  <c r="L22" i="41"/>
  <c r="M22" i="41"/>
  <c r="N22" i="41"/>
  <c r="O22" i="41"/>
  <c r="O23" i="41" s="1"/>
  <c r="P22" i="41"/>
  <c r="Q22" i="41"/>
  <c r="R22" i="41"/>
  <c r="S22" i="41"/>
  <c r="T22" i="41"/>
  <c r="U22" i="41"/>
  <c r="V22" i="41"/>
  <c r="W22" i="41"/>
  <c r="X22" i="41"/>
  <c r="Y22" i="41"/>
  <c r="Z22" i="41"/>
  <c r="AA22" i="41"/>
  <c r="AB22" i="41"/>
  <c r="AC22" i="41"/>
  <c r="AD22" i="41"/>
  <c r="AE22" i="41"/>
  <c r="AF22" i="41"/>
  <c r="AG22" i="41"/>
  <c r="AH22" i="41"/>
  <c r="AI22" i="41"/>
  <c r="AJ22" i="41"/>
  <c r="AK22" i="41"/>
  <c r="AL22" i="41"/>
  <c r="AM22" i="41"/>
  <c r="AN22" i="41"/>
  <c r="AO22" i="41"/>
  <c r="AP22" i="41"/>
  <c r="AQ22" i="41"/>
  <c r="AR22" i="41"/>
  <c r="AS22" i="41"/>
  <c r="AT22" i="41"/>
  <c r="AU22" i="41"/>
  <c r="AV22" i="41"/>
  <c r="AW22" i="41"/>
  <c r="AX22" i="41"/>
  <c r="AY22" i="41"/>
  <c r="AZ22" i="41"/>
  <c r="BA22" i="41"/>
  <c r="B22" i="41"/>
  <c r="B23" i="41" s="1"/>
  <c r="B28" i="41" s="1"/>
  <c r="C21" i="41"/>
  <c r="D21" i="41"/>
  <c r="E21" i="41"/>
  <c r="F21" i="41"/>
  <c r="G21" i="41"/>
  <c r="H21" i="41"/>
  <c r="I21" i="41"/>
  <c r="J21" i="41"/>
  <c r="K21" i="41"/>
  <c r="L21" i="41"/>
  <c r="M21" i="41"/>
  <c r="N21" i="41"/>
  <c r="O21" i="41"/>
  <c r="P21" i="41"/>
  <c r="Q21" i="41"/>
  <c r="R21" i="41"/>
  <c r="S21" i="41"/>
  <c r="T21" i="41"/>
  <c r="U21" i="41"/>
  <c r="V21" i="41"/>
  <c r="W21" i="41"/>
  <c r="X21" i="41"/>
  <c r="Y21" i="41"/>
  <c r="Z21" i="41"/>
  <c r="AA21" i="41"/>
  <c r="AB21" i="41"/>
  <c r="AC21" i="41"/>
  <c r="AD21" i="41"/>
  <c r="AE21" i="41"/>
  <c r="AF21" i="41"/>
  <c r="AF23" i="41" s="1"/>
  <c r="AG21" i="41"/>
  <c r="AH21" i="41"/>
  <c r="AI21" i="41"/>
  <c r="AJ21" i="41"/>
  <c r="AJ23" i="41" s="1"/>
  <c r="AK21" i="41"/>
  <c r="AL21" i="41"/>
  <c r="AM21" i="41"/>
  <c r="AN21" i="41"/>
  <c r="AO21" i="41"/>
  <c r="AP21" i="41"/>
  <c r="AQ21" i="41"/>
  <c r="AR21" i="41"/>
  <c r="AS21" i="41"/>
  <c r="AT21" i="41"/>
  <c r="AU21" i="41"/>
  <c r="AV21" i="41"/>
  <c r="AW21" i="41"/>
  <c r="AX21" i="41"/>
  <c r="AY21" i="41"/>
  <c r="AZ21" i="41"/>
  <c r="AZ23" i="41" s="1"/>
  <c r="BA21" i="41"/>
  <c r="B21" i="41"/>
  <c r="C20" i="41"/>
  <c r="D20" i="41"/>
  <c r="E20" i="41"/>
  <c r="F20" i="41"/>
  <c r="G20" i="41"/>
  <c r="H20" i="41"/>
  <c r="I20" i="41"/>
  <c r="J20" i="41"/>
  <c r="K20" i="41"/>
  <c r="L20" i="41"/>
  <c r="M20" i="41"/>
  <c r="M23" i="41" s="1"/>
  <c r="N20" i="41"/>
  <c r="O20" i="41"/>
  <c r="P20" i="41"/>
  <c r="Q20" i="41"/>
  <c r="R20" i="41"/>
  <c r="S20" i="41"/>
  <c r="T20" i="41"/>
  <c r="U20" i="41"/>
  <c r="V20" i="41"/>
  <c r="W20" i="41"/>
  <c r="X20" i="41"/>
  <c r="X23" i="41" s="1"/>
  <c r="Y20" i="41"/>
  <c r="Z20" i="41"/>
  <c r="AA20" i="41"/>
  <c r="AB20" i="41"/>
  <c r="AC20" i="41"/>
  <c r="AD20" i="41"/>
  <c r="AE20" i="41"/>
  <c r="AF20" i="41"/>
  <c r="AG20" i="41"/>
  <c r="AH20" i="41"/>
  <c r="AI20" i="41"/>
  <c r="AJ20" i="41"/>
  <c r="AK20" i="41"/>
  <c r="AL20" i="41"/>
  <c r="AM20" i="41"/>
  <c r="AN20" i="41"/>
  <c r="AO20" i="41"/>
  <c r="AP20" i="41"/>
  <c r="AQ20" i="41"/>
  <c r="AR20" i="41"/>
  <c r="AR23" i="41" s="1"/>
  <c r="AS20" i="41"/>
  <c r="AT20" i="41"/>
  <c r="AU20" i="41"/>
  <c r="AV20" i="41"/>
  <c r="AW20" i="41"/>
  <c r="AX20" i="41"/>
  <c r="AY20" i="41"/>
  <c r="AZ20" i="41"/>
  <c r="BA20" i="41"/>
  <c r="B20" i="41"/>
  <c r="C10" i="41"/>
  <c r="D10" i="41"/>
  <c r="E10" i="41"/>
  <c r="F10" i="41"/>
  <c r="G10" i="41"/>
  <c r="H10" i="41"/>
  <c r="I10" i="41"/>
  <c r="J10" i="41"/>
  <c r="K10" i="41"/>
  <c r="L10" i="41"/>
  <c r="M10" i="41"/>
  <c r="N10" i="41"/>
  <c r="O10" i="41"/>
  <c r="P10" i="41"/>
  <c r="Q10" i="41"/>
  <c r="R10" i="41"/>
  <c r="S10" i="41"/>
  <c r="T10" i="41"/>
  <c r="U10" i="41"/>
  <c r="V10" i="41"/>
  <c r="W10" i="41"/>
  <c r="X10" i="41"/>
  <c r="Y10" i="41"/>
  <c r="Z10" i="41"/>
  <c r="AA10" i="41"/>
  <c r="AB10" i="41"/>
  <c r="AC10" i="41"/>
  <c r="AD10" i="41"/>
  <c r="AE10" i="41"/>
  <c r="AF10" i="41"/>
  <c r="AG10" i="41"/>
  <c r="AH10" i="41"/>
  <c r="AI10" i="41"/>
  <c r="AJ10" i="41"/>
  <c r="AK10" i="41"/>
  <c r="AL10" i="41"/>
  <c r="AM10" i="41"/>
  <c r="AN10" i="41"/>
  <c r="AO10" i="41"/>
  <c r="AP10" i="41"/>
  <c r="AQ10" i="41"/>
  <c r="AR10" i="41"/>
  <c r="AS10" i="41"/>
  <c r="AT10" i="41"/>
  <c r="AU10" i="41"/>
  <c r="AV10" i="41"/>
  <c r="AW10" i="41"/>
  <c r="AX10" i="41"/>
  <c r="AY10" i="41"/>
  <c r="AZ10" i="41"/>
  <c r="BA10" i="41"/>
  <c r="B10" i="41"/>
  <c r="C11" i="41"/>
  <c r="D11" i="41"/>
  <c r="E11" i="41"/>
  <c r="F11" i="41"/>
  <c r="G11" i="41"/>
  <c r="H11" i="41"/>
  <c r="I11" i="41"/>
  <c r="J11" i="41"/>
  <c r="K11" i="41"/>
  <c r="L11" i="41"/>
  <c r="M11" i="41"/>
  <c r="N11" i="41"/>
  <c r="O11" i="41"/>
  <c r="P11" i="41"/>
  <c r="Q11" i="41"/>
  <c r="R11" i="41"/>
  <c r="S11" i="41"/>
  <c r="T11" i="41"/>
  <c r="U11" i="41"/>
  <c r="V11" i="41"/>
  <c r="W11" i="41"/>
  <c r="X11" i="41"/>
  <c r="Y11" i="41"/>
  <c r="Z11" i="41"/>
  <c r="AA11" i="41"/>
  <c r="AB11" i="41"/>
  <c r="AC11" i="41"/>
  <c r="AD11" i="41"/>
  <c r="AE11" i="41"/>
  <c r="AF11" i="41"/>
  <c r="AG11" i="41"/>
  <c r="AH11" i="41"/>
  <c r="AI11" i="41"/>
  <c r="AJ11" i="41"/>
  <c r="AK11" i="41"/>
  <c r="AL11" i="41"/>
  <c r="AM11" i="41"/>
  <c r="AN11" i="41"/>
  <c r="AO11" i="41"/>
  <c r="AP11" i="41"/>
  <c r="AQ11" i="41"/>
  <c r="AR11" i="41"/>
  <c r="AS11" i="41"/>
  <c r="AT11" i="41"/>
  <c r="AU11" i="41"/>
  <c r="AV11" i="41"/>
  <c r="AW11" i="41"/>
  <c r="AX11" i="41"/>
  <c r="AY11" i="41"/>
  <c r="AZ11" i="41"/>
  <c r="BA11" i="41"/>
  <c r="B11" i="41"/>
  <c r="B18" i="41" s="1"/>
  <c r="M182" i="37"/>
  <c r="M176" i="37"/>
  <c r="M25" i="37"/>
  <c r="N24" i="37"/>
  <c r="M191" i="37"/>
  <c r="M192" i="37"/>
  <c r="M34" i="37"/>
  <c r="M35" i="37"/>
  <c r="I33" i="37"/>
  <c r="M188" i="37"/>
  <c r="M189" i="37"/>
  <c r="I187" i="37"/>
  <c r="M31" i="37"/>
  <c r="M32" i="37"/>
  <c r="I30" i="37"/>
  <c r="M28" i="37"/>
  <c r="M29" i="37"/>
  <c r="I27" i="37"/>
  <c r="M185" i="37"/>
  <c r="M186" i="37"/>
  <c r="I184" i="37"/>
  <c r="I24" i="37"/>
  <c r="I181" i="37"/>
  <c r="M179" i="37"/>
  <c r="I178" i="37"/>
  <c r="M22" i="37"/>
  <c r="I21" i="37"/>
  <c r="M19" i="37"/>
  <c r="I18" i="37"/>
  <c r="I175" i="37"/>
  <c r="M173" i="37"/>
  <c r="M174" i="37"/>
  <c r="I172" i="37"/>
  <c r="M16" i="37"/>
  <c r="I15" i="37"/>
  <c r="M170" i="37"/>
  <c r="M171" i="37"/>
  <c r="I169" i="37"/>
  <c r="M13" i="37"/>
  <c r="M14" i="37"/>
  <c r="I12" i="37"/>
  <c r="M167" i="37"/>
  <c r="I166" i="37"/>
  <c r="M10" i="37"/>
  <c r="M11" i="37"/>
  <c r="M9" i="37"/>
  <c r="I9" i="37"/>
  <c r="I6" i="37"/>
  <c r="I163" i="37"/>
  <c r="M7" i="37"/>
  <c r="M4" i="37"/>
  <c r="M5" i="37"/>
  <c r="I160" i="37"/>
  <c r="I3" i="37"/>
  <c r="AN23" i="41"/>
  <c r="AV23" i="41"/>
  <c r="AY33" i="41"/>
  <c r="AV33" i="41"/>
  <c r="AU33" i="41"/>
  <c r="AQ33" i="41"/>
  <c r="AM33" i="41"/>
  <c r="AJ33" i="41"/>
  <c r="AI33" i="41"/>
  <c r="AE33" i="41"/>
  <c r="AB33" i="41"/>
  <c r="AA33" i="41"/>
  <c r="W33" i="41"/>
  <c r="O33" i="41"/>
  <c r="K33" i="41"/>
  <c r="G33" i="41"/>
  <c r="B33" i="41"/>
  <c r="B38" i="41" s="1"/>
  <c r="AY23" i="41"/>
  <c r="AU23" i="41"/>
  <c r="AQ23" i="41"/>
  <c r="AM23" i="41"/>
  <c r="AI23" i="41"/>
  <c r="AE23" i="41"/>
  <c r="AA23" i="41"/>
  <c r="Z23" i="41"/>
  <c r="W23" i="41"/>
  <c r="S23" i="41"/>
  <c r="K23" i="41"/>
  <c r="G23" i="41"/>
  <c r="C23" i="41"/>
  <c r="N315" i="37"/>
  <c r="N314" i="37"/>
  <c r="N313" i="37"/>
  <c r="N312" i="37"/>
  <c r="N311" i="37"/>
  <c r="N310" i="37"/>
  <c r="N309" i="37"/>
  <c r="N308" i="37"/>
  <c r="N307" i="37"/>
  <c r="N306" i="37"/>
  <c r="N305" i="37"/>
  <c r="N304" i="37"/>
  <c r="N303" i="37"/>
  <c r="N302" i="37"/>
  <c r="N301" i="37"/>
  <c r="N300" i="37"/>
  <c r="N299" i="37"/>
  <c r="N298" i="37"/>
  <c r="N297" i="37"/>
  <c r="N296" i="37"/>
  <c r="N295" i="37"/>
  <c r="N294" i="37"/>
  <c r="N293" i="37"/>
  <c r="N292" i="37"/>
  <c r="N291" i="37"/>
  <c r="N290" i="37"/>
  <c r="N289" i="37"/>
  <c r="N288" i="37"/>
  <c r="N287" i="37"/>
  <c r="N286" i="37"/>
  <c r="N285" i="37"/>
  <c r="N284" i="37"/>
  <c r="N283" i="37"/>
  <c r="N282" i="37"/>
  <c r="N281" i="37"/>
  <c r="N280" i="37"/>
  <c r="N279" i="37"/>
  <c r="N278" i="37"/>
  <c r="N277" i="37"/>
  <c r="N276" i="37"/>
  <c r="N275" i="37"/>
  <c r="N274" i="37"/>
  <c r="N273" i="37"/>
  <c r="N272" i="37"/>
  <c r="N271" i="37"/>
  <c r="N270" i="37"/>
  <c r="N269" i="37"/>
  <c r="N268" i="37"/>
  <c r="N267" i="37"/>
  <c r="N266" i="37"/>
  <c r="N265" i="37"/>
  <c r="N264" i="37"/>
  <c r="N263" i="37"/>
  <c r="N262" i="37"/>
  <c r="N261" i="37"/>
  <c r="N260" i="37"/>
  <c r="N259" i="37"/>
  <c r="N258" i="37"/>
  <c r="N257" i="37"/>
  <c r="N256" i="37"/>
  <c r="N255" i="37"/>
  <c r="N254" i="37"/>
  <c r="N253" i="37"/>
  <c r="N252" i="37"/>
  <c r="N251" i="37"/>
  <c r="N250" i="37"/>
  <c r="N249" i="37"/>
  <c r="N248" i="37"/>
  <c r="N247" i="37"/>
  <c r="N246" i="37"/>
  <c r="N245" i="37"/>
  <c r="N244" i="37"/>
  <c r="N243" i="37"/>
  <c r="N242" i="37"/>
  <c r="N241" i="37"/>
  <c r="N240" i="37"/>
  <c r="N239" i="37"/>
  <c r="N238" i="37"/>
  <c r="N237" i="37"/>
  <c r="N236" i="37"/>
  <c r="N235" i="37"/>
  <c r="N234" i="37"/>
  <c r="N233" i="37"/>
  <c r="N232" i="37"/>
  <c r="N231" i="37"/>
  <c r="N230" i="37"/>
  <c r="N229" i="37"/>
  <c r="N228" i="37"/>
  <c r="N227" i="37"/>
  <c r="N226" i="37"/>
  <c r="N225" i="37"/>
  <c r="N224" i="37"/>
  <c r="N223" i="37"/>
  <c r="N222" i="37"/>
  <c r="N221" i="37"/>
  <c r="N220" i="37"/>
  <c r="N219" i="37"/>
  <c r="N218" i="37"/>
  <c r="N217" i="37"/>
  <c r="N216" i="37"/>
  <c r="N215" i="37"/>
  <c r="N214" i="37"/>
  <c r="N213" i="37"/>
  <c r="N212" i="37"/>
  <c r="N211" i="37"/>
  <c r="N210" i="37"/>
  <c r="N209" i="37"/>
  <c r="N208" i="37"/>
  <c r="N207" i="37"/>
  <c r="N206" i="37"/>
  <c r="N205" i="37"/>
  <c r="N204" i="37"/>
  <c r="N203" i="37"/>
  <c r="N202" i="37"/>
  <c r="N201" i="37"/>
  <c r="N200" i="37"/>
  <c r="N199" i="37"/>
  <c r="N198" i="37"/>
  <c r="N197" i="37"/>
  <c r="N196" i="37"/>
  <c r="N195" i="37"/>
  <c r="N194" i="37"/>
  <c r="N193" i="37"/>
  <c r="N192" i="37"/>
  <c r="N191" i="37"/>
  <c r="N190" i="37"/>
  <c r="N189" i="37"/>
  <c r="N188" i="37"/>
  <c r="N187" i="37"/>
  <c r="N186" i="37"/>
  <c r="N185" i="37"/>
  <c r="N184" i="37"/>
  <c r="N183" i="37"/>
  <c r="N182" i="37"/>
  <c r="N181" i="37"/>
  <c r="N180" i="37"/>
  <c r="N179" i="37"/>
  <c r="N178" i="37"/>
  <c r="N177" i="37"/>
  <c r="N176" i="37"/>
  <c r="N175" i="37"/>
  <c r="N174" i="37"/>
  <c r="N173" i="37"/>
  <c r="N172" i="37"/>
  <c r="N171" i="37"/>
  <c r="N170" i="37"/>
  <c r="N169" i="37"/>
  <c r="N168" i="37"/>
  <c r="N167" i="37"/>
  <c r="N166" i="37"/>
  <c r="N165" i="37"/>
  <c r="N164" i="37"/>
  <c r="N163" i="37"/>
  <c r="N162" i="37"/>
  <c r="N161" i="37"/>
  <c r="N160" i="37"/>
  <c r="N4" i="37"/>
  <c r="N5" i="37"/>
  <c r="N6" i="37"/>
  <c r="N7" i="37"/>
  <c r="N8" i="37"/>
  <c r="N9" i="37"/>
  <c r="N10" i="37"/>
  <c r="N11" i="37"/>
  <c r="N12" i="37"/>
  <c r="N13" i="37"/>
  <c r="N14" i="37"/>
  <c r="N15" i="37"/>
  <c r="N16" i="37"/>
  <c r="N17" i="37"/>
  <c r="N18" i="37"/>
  <c r="N19" i="37"/>
  <c r="N20" i="37"/>
  <c r="N21" i="37"/>
  <c r="N22" i="37"/>
  <c r="N23" i="37"/>
  <c r="N25" i="37"/>
  <c r="N26" i="37"/>
  <c r="N27" i="37"/>
  <c r="N28" i="37"/>
  <c r="N29" i="37"/>
  <c r="N30" i="37"/>
  <c r="N31" i="37"/>
  <c r="N32" i="37"/>
  <c r="N33" i="37"/>
  <c r="N34" i="37"/>
  <c r="N35" i="37"/>
  <c r="N36" i="37"/>
  <c r="N37" i="37"/>
  <c r="N38" i="37"/>
  <c r="N39" i="37"/>
  <c r="N40" i="37"/>
  <c r="N41" i="37"/>
  <c r="N42" i="37"/>
  <c r="N43" i="37"/>
  <c r="N44" i="37"/>
  <c r="N45" i="37"/>
  <c r="N46" i="37"/>
  <c r="N47" i="37"/>
  <c r="N48" i="37"/>
  <c r="N49" i="37"/>
  <c r="N50" i="37"/>
  <c r="N51" i="37"/>
  <c r="N52" i="37"/>
  <c r="N53" i="37"/>
  <c r="N54" i="37"/>
  <c r="N55" i="37"/>
  <c r="N56" i="37"/>
  <c r="N57" i="37"/>
  <c r="N58" i="37"/>
  <c r="N59" i="37"/>
  <c r="N60" i="37"/>
  <c r="N61" i="37"/>
  <c r="N62" i="37"/>
  <c r="N63" i="37"/>
  <c r="N64" i="37"/>
  <c r="N65" i="37"/>
  <c r="N66" i="37"/>
  <c r="N67" i="37"/>
  <c r="N68" i="37"/>
  <c r="N69" i="37"/>
  <c r="N70" i="37"/>
  <c r="N71" i="37"/>
  <c r="N72" i="37"/>
  <c r="N73" i="37"/>
  <c r="N74" i="37"/>
  <c r="N75" i="37"/>
  <c r="N76" i="37"/>
  <c r="N77" i="37"/>
  <c r="N78" i="37"/>
  <c r="N79" i="37"/>
  <c r="N80" i="37"/>
  <c r="N81" i="37"/>
  <c r="N82" i="37"/>
  <c r="N83" i="37"/>
  <c r="N84" i="37"/>
  <c r="N85" i="37"/>
  <c r="N86" i="37"/>
  <c r="N87" i="37"/>
  <c r="N88" i="37"/>
  <c r="N89" i="37"/>
  <c r="N90" i="37"/>
  <c r="N91" i="37"/>
  <c r="N92" i="37"/>
  <c r="N93" i="37"/>
  <c r="N94" i="37"/>
  <c r="N95" i="37"/>
  <c r="N96" i="37"/>
  <c r="N97" i="37"/>
  <c r="N98" i="37"/>
  <c r="N99" i="37"/>
  <c r="N100" i="37"/>
  <c r="N101" i="37"/>
  <c r="N102" i="37"/>
  <c r="N103" i="37"/>
  <c r="N104" i="37"/>
  <c r="N105" i="37"/>
  <c r="N106" i="37"/>
  <c r="N107" i="37"/>
  <c r="N108" i="37"/>
  <c r="N109" i="37"/>
  <c r="N110" i="37"/>
  <c r="N111" i="37"/>
  <c r="N112" i="37"/>
  <c r="N113" i="37"/>
  <c r="N114" i="37"/>
  <c r="N115" i="37"/>
  <c r="N116" i="37"/>
  <c r="N117" i="37"/>
  <c r="N118" i="37"/>
  <c r="N119" i="37"/>
  <c r="N120" i="37"/>
  <c r="N121" i="37"/>
  <c r="N122" i="37"/>
  <c r="N123" i="37"/>
  <c r="N124" i="37"/>
  <c r="N125" i="37"/>
  <c r="N126" i="37"/>
  <c r="N127" i="37"/>
  <c r="N128" i="37"/>
  <c r="N129" i="37"/>
  <c r="N130" i="37"/>
  <c r="N131" i="37"/>
  <c r="N132" i="37"/>
  <c r="N133" i="37"/>
  <c r="N134" i="37"/>
  <c r="N135" i="37"/>
  <c r="N136" i="37"/>
  <c r="N137" i="37"/>
  <c r="N138" i="37"/>
  <c r="N139" i="37"/>
  <c r="N140" i="37"/>
  <c r="N141" i="37"/>
  <c r="N142" i="37"/>
  <c r="N143" i="37"/>
  <c r="N144" i="37"/>
  <c r="N145" i="37"/>
  <c r="N146" i="37"/>
  <c r="N147" i="37"/>
  <c r="N148" i="37"/>
  <c r="N149" i="37"/>
  <c r="N150" i="37"/>
  <c r="N151" i="37"/>
  <c r="N152" i="37"/>
  <c r="N153" i="37"/>
  <c r="N154" i="37"/>
  <c r="N155" i="37"/>
  <c r="N156" i="37"/>
  <c r="N157" i="37"/>
  <c r="N158" i="37"/>
  <c r="N3" i="37"/>
  <c r="B39" i="41" l="1"/>
  <c r="P23" i="41"/>
  <c r="T33" i="41"/>
  <c r="C18" i="41"/>
  <c r="C38" i="41"/>
  <c r="D38" i="41" s="1"/>
  <c r="E38" i="41" s="1"/>
  <c r="F38" i="41" s="1"/>
  <c r="G38" i="41" s="1"/>
  <c r="H38" i="41" s="1"/>
  <c r="I38" i="41" s="1"/>
  <c r="J38" i="41" s="1"/>
  <c r="K38" i="41" s="1"/>
  <c r="L38" i="41" s="1"/>
  <c r="M38" i="41" s="1"/>
  <c r="N38" i="41" s="1"/>
  <c r="O38" i="41" s="1"/>
  <c r="P38" i="41" s="1"/>
  <c r="Q38" i="41" s="1"/>
  <c r="R38" i="41" s="1"/>
  <c r="S38" i="41" s="1"/>
  <c r="T38" i="41" s="1"/>
  <c r="U38" i="41" s="1"/>
  <c r="V38" i="41" s="1"/>
  <c r="W38" i="41" s="1"/>
  <c r="X38" i="41" s="1"/>
  <c r="Y38" i="41" s="1"/>
  <c r="Z38" i="41" s="1"/>
  <c r="AA38" i="41" s="1"/>
  <c r="AB38" i="41" s="1"/>
  <c r="AC38" i="41" s="1"/>
  <c r="AD38" i="41" s="1"/>
  <c r="AE38" i="41" s="1"/>
  <c r="AF38" i="41" s="1"/>
  <c r="AG38" i="41" s="1"/>
  <c r="AH38" i="41" s="1"/>
  <c r="AI38" i="41" s="1"/>
  <c r="AJ38" i="41" s="1"/>
  <c r="AK38" i="41" s="1"/>
  <c r="AL38" i="41" s="1"/>
  <c r="AM38" i="41" s="1"/>
  <c r="AN38" i="41" s="1"/>
  <c r="AO38" i="41" s="1"/>
  <c r="AP38" i="41" s="1"/>
  <c r="AQ38" i="41" s="1"/>
  <c r="AR38" i="41" s="1"/>
  <c r="AS38" i="41" s="1"/>
  <c r="AT38" i="41" s="1"/>
  <c r="AU38" i="41" s="1"/>
  <c r="AV38" i="41" s="1"/>
  <c r="AW38" i="41" s="1"/>
  <c r="AX38" i="41" s="1"/>
  <c r="AY38" i="41" s="1"/>
  <c r="AZ38" i="41" s="1"/>
  <c r="BA38" i="41" s="1"/>
  <c r="C28" i="41"/>
  <c r="D28" i="41" s="1"/>
  <c r="AS23" i="41"/>
  <c r="AO23" i="41"/>
  <c r="AG23" i="41"/>
  <c r="U23" i="41"/>
  <c r="I23" i="41"/>
  <c r="AB23" i="41"/>
  <c r="T23" i="41"/>
  <c r="L23" i="41"/>
  <c r="H23" i="41"/>
  <c r="AX23" i="41"/>
  <c r="AT23" i="41"/>
  <c r="AP23" i="41"/>
  <c r="AL23" i="41"/>
  <c r="AH23" i="41"/>
  <c r="AD23" i="41"/>
  <c r="V23" i="41"/>
  <c r="N23" i="41"/>
  <c r="F23" i="41"/>
  <c r="AW23" i="41"/>
  <c r="Y23" i="41"/>
  <c r="E23" i="41"/>
  <c r="BA23" i="41"/>
  <c r="AK23" i="41"/>
  <c r="AC23" i="41"/>
  <c r="Q23" i="41"/>
  <c r="R23" i="41"/>
  <c r="J23" i="41"/>
  <c r="BA13" i="41"/>
  <c r="AW13" i="41"/>
  <c r="AS13" i="41"/>
  <c r="AO13" i="41"/>
  <c r="AK13" i="41"/>
  <c r="AG13" i="41"/>
  <c r="AC13" i="41"/>
  <c r="Y13" i="41"/>
  <c r="U13" i="41"/>
  <c r="Q13" i="41"/>
  <c r="M13" i="41"/>
  <c r="I13" i="41"/>
  <c r="E13" i="41"/>
  <c r="AZ13" i="41"/>
  <c r="AV13" i="41"/>
  <c r="AR13" i="41"/>
  <c r="AN13" i="41"/>
  <c r="AJ13" i="41"/>
  <c r="AF13" i="41"/>
  <c r="AB13" i="41"/>
  <c r="X13" i="41"/>
  <c r="T13" i="41"/>
  <c r="P13" i="41"/>
  <c r="L13" i="41"/>
  <c r="H13" i="41"/>
  <c r="D13" i="41"/>
  <c r="AY13" i="41"/>
  <c r="AU13" i="41"/>
  <c r="AQ13" i="41"/>
  <c r="AM13" i="41"/>
  <c r="AI13" i="41"/>
  <c r="AE13" i="41"/>
  <c r="AA13" i="41"/>
  <c r="W13" i="41"/>
  <c r="S13" i="41"/>
  <c r="O13" i="41"/>
  <c r="K13" i="41"/>
  <c r="G13" i="41"/>
  <c r="AX13" i="41"/>
  <c r="AT13" i="41"/>
  <c r="AP13" i="41"/>
  <c r="AL13" i="41"/>
  <c r="AH13" i="41"/>
  <c r="AD13" i="41"/>
  <c r="Z13" i="41"/>
  <c r="V13" i="41"/>
  <c r="R13" i="41"/>
  <c r="N13" i="41"/>
  <c r="J13" i="41"/>
  <c r="F13" i="41"/>
  <c r="G315" i="37"/>
  <c r="I315" i="37" s="1"/>
  <c r="J315" i="37" s="1"/>
  <c r="G314" i="37"/>
  <c r="I314" i="37" s="1"/>
  <c r="J314" i="37" s="1"/>
  <c r="M313" i="37"/>
  <c r="G313" i="37"/>
  <c r="I313" i="37" s="1"/>
  <c r="J313" i="37" s="1"/>
  <c r="I312" i="37"/>
  <c r="J312" i="37" s="1"/>
  <c r="G312" i="37"/>
  <c r="G311" i="37"/>
  <c r="I311" i="37" s="1"/>
  <c r="J311" i="37" s="1"/>
  <c r="M310" i="37"/>
  <c r="G310" i="37"/>
  <c r="I310" i="37" s="1"/>
  <c r="J310" i="37" s="1"/>
  <c r="G309" i="37"/>
  <c r="I309" i="37" s="1"/>
  <c r="J309" i="37" s="1"/>
  <c r="G308" i="37"/>
  <c r="I308" i="37" s="1"/>
  <c r="J308" i="37" s="1"/>
  <c r="M307" i="37"/>
  <c r="G307" i="37"/>
  <c r="I307" i="37" s="1"/>
  <c r="J307" i="37" s="1"/>
  <c r="I306" i="37"/>
  <c r="J306" i="37" s="1"/>
  <c r="G306" i="37"/>
  <c r="G305" i="37"/>
  <c r="I305" i="37" s="1"/>
  <c r="J305" i="37" s="1"/>
  <c r="M304" i="37"/>
  <c r="G304" i="37"/>
  <c r="I304" i="37" s="1"/>
  <c r="J304" i="37" s="1"/>
  <c r="G303" i="37"/>
  <c r="I303" i="37" s="1"/>
  <c r="J303" i="37" s="1"/>
  <c r="I302" i="37"/>
  <c r="J302" i="37" s="1"/>
  <c r="G302" i="37"/>
  <c r="M301" i="37"/>
  <c r="G301" i="37"/>
  <c r="I301" i="37" s="1"/>
  <c r="J301" i="37" s="1"/>
  <c r="G300" i="37"/>
  <c r="I300" i="37" s="1"/>
  <c r="J300" i="37" s="1"/>
  <c r="G299" i="37"/>
  <c r="I299" i="37" s="1"/>
  <c r="J299" i="37" s="1"/>
  <c r="M298" i="37"/>
  <c r="G298" i="37"/>
  <c r="I298" i="37" s="1"/>
  <c r="J298" i="37" s="1"/>
  <c r="G297" i="37"/>
  <c r="I297" i="37" s="1"/>
  <c r="J297" i="37" s="1"/>
  <c r="G296" i="37"/>
  <c r="I296" i="37" s="1"/>
  <c r="J296" i="37" s="1"/>
  <c r="M295" i="37"/>
  <c r="G295" i="37"/>
  <c r="I295" i="37" s="1"/>
  <c r="J295" i="37" s="1"/>
  <c r="G294" i="37"/>
  <c r="I294" i="37" s="1"/>
  <c r="J294" i="37" s="1"/>
  <c r="G293" i="37"/>
  <c r="I293" i="37" s="1"/>
  <c r="J293" i="37" s="1"/>
  <c r="M292" i="37"/>
  <c r="G292" i="37"/>
  <c r="I292" i="37" s="1"/>
  <c r="J292" i="37" s="1"/>
  <c r="G291" i="37"/>
  <c r="I291" i="37" s="1"/>
  <c r="J291" i="37" s="1"/>
  <c r="G290" i="37"/>
  <c r="I290" i="37" s="1"/>
  <c r="J290" i="37" s="1"/>
  <c r="M289" i="37"/>
  <c r="G289" i="37"/>
  <c r="I289" i="37" s="1"/>
  <c r="J289" i="37" s="1"/>
  <c r="G288" i="37"/>
  <c r="I288" i="37" s="1"/>
  <c r="J288" i="37" s="1"/>
  <c r="G287" i="37"/>
  <c r="I287" i="37" s="1"/>
  <c r="J287" i="37" s="1"/>
  <c r="M286" i="37"/>
  <c r="G286" i="37"/>
  <c r="I286" i="37" s="1"/>
  <c r="J286" i="37" s="1"/>
  <c r="G285" i="37"/>
  <c r="I285" i="37" s="1"/>
  <c r="J285" i="37" s="1"/>
  <c r="G284" i="37"/>
  <c r="I284" i="37" s="1"/>
  <c r="J284" i="37" s="1"/>
  <c r="M283" i="37"/>
  <c r="G283" i="37"/>
  <c r="I283" i="37" s="1"/>
  <c r="J283" i="37" s="1"/>
  <c r="I282" i="37"/>
  <c r="J282" i="37" s="1"/>
  <c r="G282" i="37"/>
  <c r="G281" i="37"/>
  <c r="I281" i="37" s="1"/>
  <c r="J281" i="37" s="1"/>
  <c r="M280" i="37"/>
  <c r="G280" i="37"/>
  <c r="I280" i="37" s="1"/>
  <c r="J280" i="37" s="1"/>
  <c r="G279" i="37"/>
  <c r="I279" i="37" s="1"/>
  <c r="J279" i="37" s="1"/>
  <c r="I278" i="37"/>
  <c r="J278" i="37" s="1"/>
  <c r="G278" i="37"/>
  <c r="M277" i="37"/>
  <c r="G277" i="37"/>
  <c r="I277" i="37" s="1"/>
  <c r="J277" i="37" s="1"/>
  <c r="G276" i="37"/>
  <c r="I276" i="37" s="1"/>
  <c r="J276" i="37" s="1"/>
  <c r="G275" i="37"/>
  <c r="I275" i="37" s="1"/>
  <c r="J275" i="37" s="1"/>
  <c r="M274" i="37"/>
  <c r="G274" i="37"/>
  <c r="I274" i="37" s="1"/>
  <c r="J274" i="37" s="1"/>
  <c r="G273" i="37"/>
  <c r="I273" i="37" s="1"/>
  <c r="J273" i="37" s="1"/>
  <c r="G272" i="37"/>
  <c r="I272" i="37" s="1"/>
  <c r="J272" i="37" s="1"/>
  <c r="M271" i="37"/>
  <c r="G271" i="37"/>
  <c r="I271" i="37" s="1"/>
  <c r="J271" i="37" s="1"/>
  <c r="G270" i="37"/>
  <c r="I270" i="37" s="1"/>
  <c r="J270" i="37" s="1"/>
  <c r="G269" i="37"/>
  <c r="I269" i="37" s="1"/>
  <c r="J269" i="37" s="1"/>
  <c r="M268" i="37"/>
  <c r="G268" i="37"/>
  <c r="I268" i="37" s="1"/>
  <c r="J268" i="37" s="1"/>
  <c r="G267" i="37"/>
  <c r="I267" i="37" s="1"/>
  <c r="J267" i="37" s="1"/>
  <c r="G266" i="37"/>
  <c r="I266" i="37" s="1"/>
  <c r="J266" i="37" s="1"/>
  <c r="M265" i="37"/>
  <c r="G265" i="37"/>
  <c r="I265" i="37" s="1"/>
  <c r="J265" i="37" s="1"/>
  <c r="G264" i="37"/>
  <c r="I264" i="37" s="1"/>
  <c r="J264" i="37" s="1"/>
  <c r="G263" i="37"/>
  <c r="I263" i="37" s="1"/>
  <c r="J263" i="37" s="1"/>
  <c r="M262" i="37"/>
  <c r="G262" i="37"/>
  <c r="I262" i="37" s="1"/>
  <c r="J262" i="37" s="1"/>
  <c r="G261" i="37"/>
  <c r="I261" i="37" s="1"/>
  <c r="J261" i="37" s="1"/>
  <c r="G260" i="37"/>
  <c r="I260" i="37" s="1"/>
  <c r="J260" i="37" s="1"/>
  <c r="M259" i="37"/>
  <c r="G259" i="37"/>
  <c r="I259" i="37" s="1"/>
  <c r="J259" i="37" s="1"/>
  <c r="I258" i="37"/>
  <c r="J258" i="37" s="1"/>
  <c r="G258" i="37"/>
  <c r="G257" i="37"/>
  <c r="I257" i="37" s="1"/>
  <c r="J257" i="37" s="1"/>
  <c r="M256" i="37"/>
  <c r="G256" i="37"/>
  <c r="I256" i="37" s="1"/>
  <c r="J256" i="37" s="1"/>
  <c r="G255" i="37"/>
  <c r="I255" i="37" s="1"/>
  <c r="J255" i="37" s="1"/>
  <c r="I254" i="37"/>
  <c r="J254" i="37" s="1"/>
  <c r="G254" i="37"/>
  <c r="M253" i="37"/>
  <c r="G253" i="37"/>
  <c r="I253" i="37" s="1"/>
  <c r="J253" i="37" s="1"/>
  <c r="G252" i="37"/>
  <c r="I252" i="37" s="1"/>
  <c r="J252" i="37" s="1"/>
  <c r="G251" i="37"/>
  <c r="I251" i="37" s="1"/>
  <c r="J251" i="37" s="1"/>
  <c r="M250" i="37"/>
  <c r="G250" i="37"/>
  <c r="I250" i="37" s="1"/>
  <c r="J250" i="37" s="1"/>
  <c r="G249" i="37"/>
  <c r="I249" i="37" s="1"/>
  <c r="J249" i="37" s="1"/>
  <c r="G248" i="37"/>
  <c r="I248" i="37" s="1"/>
  <c r="J248" i="37" s="1"/>
  <c r="M247" i="37"/>
  <c r="G247" i="37"/>
  <c r="I247" i="37" s="1"/>
  <c r="J247" i="37" s="1"/>
  <c r="G246" i="37"/>
  <c r="I246" i="37" s="1"/>
  <c r="J246" i="37" s="1"/>
  <c r="G245" i="37"/>
  <c r="I245" i="37" s="1"/>
  <c r="J245" i="37" s="1"/>
  <c r="M244" i="37"/>
  <c r="G244" i="37"/>
  <c r="I244" i="37" s="1"/>
  <c r="J244" i="37" s="1"/>
  <c r="G243" i="37"/>
  <c r="I243" i="37" s="1"/>
  <c r="J243" i="37" s="1"/>
  <c r="G242" i="37"/>
  <c r="I242" i="37" s="1"/>
  <c r="J242" i="37" s="1"/>
  <c r="M241" i="37"/>
  <c r="G241" i="37"/>
  <c r="I241" i="37" s="1"/>
  <c r="J241" i="37" s="1"/>
  <c r="G240" i="37"/>
  <c r="I240" i="37" s="1"/>
  <c r="J240" i="37" s="1"/>
  <c r="G239" i="37"/>
  <c r="I239" i="37" s="1"/>
  <c r="J239" i="37" s="1"/>
  <c r="M238" i="37"/>
  <c r="G238" i="37"/>
  <c r="I238" i="37" s="1"/>
  <c r="J238" i="37" s="1"/>
  <c r="G237" i="37"/>
  <c r="I237" i="37" s="1"/>
  <c r="J237" i="37" s="1"/>
  <c r="G236" i="37"/>
  <c r="I236" i="37" s="1"/>
  <c r="J236" i="37" s="1"/>
  <c r="M235" i="37"/>
  <c r="G235" i="37"/>
  <c r="I235" i="37" s="1"/>
  <c r="J235" i="37" s="1"/>
  <c r="I234" i="37"/>
  <c r="J234" i="37" s="1"/>
  <c r="G234" i="37"/>
  <c r="G233" i="37"/>
  <c r="I233" i="37" s="1"/>
  <c r="J233" i="37" s="1"/>
  <c r="M232" i="37"/>
  <c r="G232" i="37"/>
  <c r="I232" i="37" s="1"/>
  <c r="J232" i="37" s="1"/>
  <c r="G231" i="37"/>
  <c r="I231" i="37" s="1"/>
  <c r="J231" i="37" s="1"/>
  <c r="I230" i="37"/>
  <c r="J230" i="37" s="1"/>
  <c r="G230" i="37"/>
  <c r="M229" i="37"/>
  <c r="G229" i="37"/>
  <c r="I229" i="37" s="1"/>
  <c r="J229" i="37" s="1"/>
  <c r="G228" i="37"/>
  <c r="I228" i="37" s="1"/>
  <c r="J228" i="37" s="1"/>
  <c r="G227" i="37"/>
  <c r="I227" i="37" s="1"/>
  <c r="J227" i="37" s="1"/>
  <c r="M226" i="37"/>
  <c r="G226" i="37"/>
  <c r="I226" i="37" s="1"/>
  <c r="J226" i="37" s="1"/>
  <c r="G225" i="37"/>
  <c r="I225" i="37" s="1"/>
  <c r="J225" i="37" s="1"/>
  <c r="G224" i="37"/>
  <c r="I224" i="37" s="1"/>
  <c r="J224" i="37" s="1"/>
  <c r="M223" i="37"/>
  <c r="G223" i="37"/>
  <c r="I223" i="37" s="1"/>
  <c r="J223" i="37" s="1"/>
  <c r="G222" i="37"/>
  <c r="I222" i="37" s="1"/>
  <c r="J222" i="37" s="1"/>
  <c r="G221" i="37"/>
  <c r="I221" i="37" s="1"/>
  <c r="J221" i="37" s="1"/>
  <c r="M220" i="37"/>
  <c r="G220" i="37"/>
  <c r="I220" i="37" s="1"/>
  <c r="J220" i="37" s="1"/>
  <c r="G219" i="37"/>
  <c r="I219" i="37" s="1"/>
  <c r="J219" i="37" s="1"/>
  <c r="G218" i="37"/>
  <c r="I218" i="37" s="1"/>
  <c r="J218" i="37" s="1"/>
  <c r="M217" i="37"/>
  <c r="G217" i="37"/>
  <c r="I217" i="37" s="1"/>
  <c r="J217" i="37" s="1"/>
  <c r="G216" i="37"/>
  <c r="I216" i="37" s="1"/>
  <c r="J216" i="37" s="1"/>
  <c r="G215" i="37"/>
  <c r="I215" i="37" s="1"/>
  <c r="J215" i="37" s="1"/>
  <c r="M214" i="37"/>
  <c r="G214" i="37"/>
  <c r="I214" i="37" s="1"/>
  <c r="J214" i="37" s="1"/>
  <c r="G213" i="37"/>
  <c r="I213" i="37" s="1"/>
  <c r="J213" i="37" s="1"/>
  <c r="G212" i="37"/>
  <c r="I212" i="37" s="1"/>
  <c r="J212" i="37" s="1"/>
  <c r="M211" i="37"/>
  <c r="G211" i="37"/>
  <c r="I211" i="37" s="1"/>
  <c r="J211" i="37" s="1"/>
  <c r="I210" i="37"/>
  <c r="J210" i="37" s="1"/>
  <c r="G210" i="37"/>
  <c r="G209" i="37"/>
  <c r="I209" i="37" s="1"/>
  <c r="J209" i="37" s="1"/>
  <c r="M208" i="37"/>
  <c r="G208" i="37"/>
  <c r="I208" i="37" s="1"/>
  <c r="J208" i="37" s="1"/>
  <c r="G207" i="37"/>
  <c r="I207" i="37" s="1"/>
  <c r="J207" i="37" s="1"/>
  <c r="I206" i="37"/>
  <c r="J206" i="37" s="1"/>
  <c r="G206" i="37"/>
  <c r="M205" i="37"/>
  <c r="G205" i="37"/>
  <c r="I205" i="37" s="1"/>
  <c r="J205" i="37" s="1"/>
  <c r="G204" i="37"/>
  <c r="I204" i="37" s="1"/>
  <c r="J204" i="37" s="1"/>
  <c r="G203" i="37"/>
  <c r="I203" i="37" s="1"/>
  <c r="J203" i="37" s="1"/>
  <c r="M202" i="37"/>
  <c r="G202" i="37"/>
  <c r="I202" i="37" s="1"/>
  <c r="J202" i="37" s="1"/>
  <c r="G201" i="37"/>
  <c r="I201" i="37" s="1"/>
  <c r="J201" i="37" s="1"/>
  <c r="G200" i="37"/>
  <c r="I200" i="37" s="1"/>
  <c r="J200" i="37" s="1"/>
  <c r="M199" i="37"/>
  <c r="G199" i="37"/>
  <c r="I199" i="37" s="1"/>
  <c r="J199" i="37" s="1"/>
  <c r="G198" i="37"/>
  <c r="I198" i="37" s="1"/>
  <c r="J198" i="37" s="1"/>
  <c r="G197" i="37"/>
  <c r="I197" i="37" s="1"/>
  <c r="J197" i="37" s="1"/>
  <c r="M196" i="37"/>
  <c r="G196" i="37"/>
  <c r="I196" i="37" s="1"/>
  <c r="J196" i="37" s="1"/>
  <c r="G195" i="37"/>
  <c r="I195" i="37" s="1"/>
  <c r="J195" i="37" s="1"/>
  <c r="G194" i="37"/>
  <c r="I194" i="37" s="1"/>
  <c r="J194" i="37" s="1"/>
  <c r="M193" i="37"/>
  <c r="G193" i="37"/>
  <c r="I193" i="37" s="1"/>
  <c r="J193" i="37" s="1"/>
  <c r="G192" i="37"/>
  <c r="I192" i="37" s="1"/>
  <c r="J192" i="37" s="1"/>
  <c r="G191" i="37"/>
  <c r="I191" i="37" s="1"/>
  <c r="J191" i="37" s="1"/>
  <c r="M190" i="37"/>
  <c r="G190" i="37"/>
  <c r="J190" i="37" s="1"/>
  <c r="J189" i="37"/>
  <c r="G189" i="37"/>
  <c r="J188" i="37"/>
  <c r="G188" i="37"/>
  <c r="M187" i="37"/>
  <c r="J187" i="37"/>
  <c r="G187" i="37"/>
  <c r="J186" i="37"/>
  <c r="G186" i="37"/>
  <c r="J185" i="37"/>
  <c r="G185" i="37"/>
  <c r="M184" i="37"/>
  <c r="M180" i="37" s="1"/>
  <c r="J184" i="37"/>
  <c r="G184" i="37"/>
  <c r="J183" i="37"/>
  <c r="G183" i="37"/>
  <c r="J182" i="37"/>
  <c r="G182" i="37"/>
  <c r="M181" i="37"/>
  <c r="J181" i="37"/>
  <c r="G181" i="37"/>
  <c r="J180" i="37"/>
  <c r="G180" i="37"/>
  <c r="J179" i="37"/>
  <c r="G179" i="37"/>
  <c r="M178" i="37"/>
  <c r="J178" i="37"/>
  <c r="G178" i="37"/>
  <c r="J177" i="37"/>
  <c r="G177" i="37"/>
  <c r="J176" i="37"/>
  <c r="G176" i="37"/>
  <c r="M175" i="37"/>
  <c r="J175" i="37"/>
  <c r="G175" i="37"/>
  <c r="J174" i="37"/>
  <c r="G174" i="37"/>
  <c r="J173" i="37"/>
  <c r="G173" i="37"/>
  <c r="M172" i="37"/>
  <c r="M168" i="37" s="1"/>
  <c r="J172" i="37"/>
  <c r="G172" i="37"/>
  <c r="J171" i="37"/>
  <c r="G171" i="37"/>
  <c r="J170" i="37"/>
  <c r="G170" i="37"/>
  <c r="M169" i="37"/>
  <c r="J169" i="37"/>
  <c r="G169" i="37"/>
  <c r="J168" i="37"/>
  <c r="G168" i="37"/>
  <c r="J167" i="37"/>
  <c r="G167" i="37"/>
  <c r="M166" i="37"/>
  <c r="M162" i="37" s="1"/>
  <c r="J166" i="37"/>
  <c r="G166" i="37"/>
  <c r="J165" i="37"/>
  <c r="G165" i="37"/>
  <c r="J164" i="37"/>
  <c r="G164" i="37"/>
  <c r="M163" i="37"/>
  <c r="M165" i="37" s="1"/>
  <c r="J163" i="37"/>
  <c r="G163" i="37"/>
  <c r="J162" i="37"/>
  <c r="G162" i="37"/>
  <c r="J161" i="37"/>
  <c r="G161" i="37"/>
  <c r="M160" i="37"/>
  <c r="M161" i="37" s="1"/>
  <c r="J160" i="37"/>
  <c r="G160" i="37"/>
  <c r="J3" i="37"/>
  <c r="J7" i="37"/>
  <c r="B160" i="37"/>
  <c r="B161" i="37" s="1"/>
  <c r="B162" i="37" s="1"/>
  <c r="B163" i="37" s="1"/>
  <c r="B164" i="37" s="1"/>
  <c r="B165" i="37" s="1"/>
  <c r="B166" i="37" s="1"/>
  <c r="B167" i="37" s="1"/>
  <c r="B168" i="37" s="1"/>
  <c r="B169" i="37" s="1"/>
  <c r="B170" i="37" s="1"/>
  <c r="B171" i="37" s="1"/>
  <c r="B172" i="37" s="1"/>
  <c r="B173" i="37" s="1"/>
  <c r="B174" i="37" s="1"/>
  <c r="B175" i="37" s="1"/>
  <c r="B176" i="37" s="1"/>
  <c r="B177" i="37" s="1"/>
  <c r="B178" i="37" s="1"/>
  <c r="B179" i="37" s="1"/>
  <c r="B180" i="37" s="1"/>
  <c r="B181" i="37" s="1"/>
  <c r="B182" i="37" s="1"/>
  <c r="B183" i="37" s="1"/>
  <c r="B184" i="37" s="1"/>
  <c r="B185" i="37" s="1"/>
  <c r="B186" i="37" s="1"/>
  <c r="B187" i="37" s="1"/>
  <c r="B188" i="37" s="1"/>
  <c r="B189" i="37" s="1"/>
  <c r="B190" i="37" s="1"/>
  <c r="B191" i="37" s="1"/>
  <c r="B192" i="37" s="1"/>
  <c r="B193" i="37" s="1"/>
  <c r="B194" i="37" s="1"/>
  <c r="B195" i="37" s="1"/>
  <c r="B196" i="37" s="1"/>
  <c r="B197" i="37" s="1"/>
  <c r="B198" i="37" s="1"/>
  <c r="B199" i="37" s="1"/>
  <c r="B200" i="37" s="1"/>
  <c r="B201" i="37" s="1"/>
  <c r="B202" i="37" s="1"/>
  <c r="B203" i="37" s="1"/>
  <c r="B204" i="37" s="1"/>
  <c r="B205" i="37" s="1"/>
  <c r="B206" i="37" s="1"/>
  <c r="B207" i="37" s="1"/>
  <c r="B208" i="37" s="1"/>
  <c r="B209" i="37" s="1"/>
  <c r="B210" i="37" s="1"/>
  <c r="B211" i="37" s="1"/>
  <c r="B212" i="37" s="1"/>
  <c r="B213" i="37" s="1"/>
  <c r="B214" i="37" s="1"/>
  <c r="B215" i="37" s="1"/>
  <c r="B216" i="37" s="1"/>
  <c r="B217" i="37" s="1"/>
  <c r="B218" i="37" s="1"/>
  <c r="B219" i="37" s="1"/>
  <c r="B220" i="37" s="1"/>
  <c r="B221" i="37" s="1"/>
  <c r="B222" i="37" s="1"/>
  <c r="B223" i="37" s="1"/>
  <c r="B224" i="37" s="1"/>
  <c r="B225" i="37" s="1"/>
  <c r="B226" i="37" s="1"/>
  <c r="B227" i="37" s="1"/>
  <c r="B228" i="37" s="1"/>
  <c r="B229" i="37" s="1"/>
  <c r="B230" i="37" s="1"/>
  <c r="B231" i="37" s="1"/>
  <c r="B232" i="37" s="1"/>
  <c r="B233" i="37" s="1"/>
  <c r="B234" i="37" s="1"/>
  <c r="B235" i="37" s="1"/>
  <c r="B236" i="37" s="1"/>
  <c r="B237" i="37" s="1"/>
  <c r="B238" i="37" s="1"/>
  <c r="B239" i="37" s="1"/>
  <c r="B240" i="37" s="1"/>
  <c r="B241" i="37" s="1"/>
  <c r="B242" i="37" s="1"/>
  <c r="B243" i="37" s="1"/>
  <c r="B244" i="37" s="1"/>
  <c r="B245" i="37" s="1"/>
  <c r="B246" i="37" s="1"/>
  <c r="B247" i="37" s="1"/>
  <c r="B248" i="37" s="1"/>
  <c r="B249" i="37" s="1"/>
  <c r="B250" i="37" s="1"/>
  <c r="B251" i="37" s="1"/>
  <c r="B252" i="37" s="1"/>
  <c r="B253" i="37" s="1"/>
  <c r="B254" i="37" s="1"/>
  <c r="B255" i="37" s="1"/>
  <c r="B256" i="37" s="1"/>
  <c r="B257" i="37" s="1"/>
  <c r="B258" i="37" s="1"/>
  <c r="B259" i="37" s="1"/>
  <c r="B260" i="37" s="1"/>
  <c r="B261" i="37" s="1"/>
  <c r="B262" i="37" s="1"/>
  <c r="B263" i="37" s="1"/>
  <c r="B264" i="37" s="1"/>
  <c r="B265" i="37" s="1"/>
  <c r="B266" i="37" s="1"/>
  <c r="B267" i="37" s="1"/>
  <c r="B268" i="37" s="1"/>
  <c r="B269" i="37" s="1"/>
  <c r="B270" i="37" s="1"/>
  <c r="B271" i="37" s="1"/>
  <c r="B272" i="37" s="1"/>
  <c r="B273" i="37" s="1"/>
  <c r="B274" i="37" s="1"/>
  <c r="B275" i="37" s="1"/>
  <c r="B276" i="37" s="1"/>
  <c r="B277" i="37" s="1"/>
  <c r="B278" i="37" s="1"/>
  <c r="B279" i="37" s="1"/>
  <c r="B280" i="37" s="1"/>
  <c r="B281" i="37" s="1"/>
  <c r="B282" i="37" s="1"/>
  <c r="B283" i="37" s="1"/>
  <c r="B284" i="37" s="1"/>
  <c r="B285" i="37" s="1"/>
  <c r="B286" i="37" s="1"/>
  <c r="B287" i="37" s="1"/>
  <c r="B288" i="37" s="1"/>
  <c r="B289" i="37" s="1"/>
  <c r="B290" i="37" s="1"/>
  <c r="B291" i="37" s="1"/>
  <c r="B292" i="37" s="1"/>
  <c r="B293" i="37" s="1"/>
  <c r="B294" i="37" s="1"/>
  <c r="B295" i="37" s="1"/>
  <c r="B296" i="37" s="1"/>
  <c r="B297" i="37" s="1"/>
  <c r="B298" i="37" s="1"/>
  <c r="B299" i="37" s="1"/>
  <c r="B300" i="37" s="1"/>
  <c r="B301" i="37" s="1"/>
  <c r="B302" i="37" s="1"/>
  <c r="B303" i="37" s="1"/>
  <c r="B304" i="37" s="1"/>
  <c r="B305" i="37" s="1"/>
  <c r="B306" i="37" s="1"/>
  <c r="B307" i="37" s="1"/>
  <c r="B308" i="37" s="1"/>
  <c r="B309" i="37" s="1"/>
  <c r="B310" i="37" s="1"/>
  <c r="B311" i="37" s="1"/>
  <c r="B312" i="37" s="1"/>
  <c r="B313" i="37" s="1"/>
  <c r="B314" i="37" s="1"/>
  <c r="B315" i="37" s="1"/>
  <c r="A160" i="37"/>
  <c r="A161" i="37" s="1"/>
  <c r="A162" i="37" s="1"/>
  <c r="A163" i="37" s="1"/>
  <c r="A164" i="37" s="1"/>
  <c r="A165" i="37" s="1"/>
  <c r="A166" i="37" s="1"/>
  <c r="A167" i="37" s="1"/>
  <c r="A168" i="37" s="1"/>
  <c r="A169" i="37" s="1"/>
  <c r="A170" i="37" s="1"/>
  <c r="A171" i="37" s="1"/>
  <c r="A172" i="37" s="1"/>
  <c r="A173" i="37" s="1"/>
  <c r="A174" i="37" s="1"/>
  <c r="A175" i="37" s="1"/>
  <c r="A176" i="37" s="1"/>
  <c r="A177" i="37" s="1"/>
  <c r="A178" i="37" s="1"/>
  <c r="A179" i="37" s="1"/>
  <c r="A180" i="37" s="1"/>
  <c r="A181" i="37" s="1"/>
  <c r="A182" i="37" s="1"/>
  <c r="A183" i="37" s="1"/>
  <c r="A184" i="37" s="1"/>
  <c r="A185" i="37" s="1"/>
  <c r="A186" i="37" s="1"/>
  <c r="A187" i="37" s="1"/>
  <c r="A188" i="37" s="1"/>
  <c r="A189" i="37" s="1"/>
  <c r="A190" i="37" s="1"/>
  <c r="A191" i="37" s="1"/>
  <c r="A192" i="37" s="1"/>
  <c r="A193" i="37" s="1"/>
  <c r="A194" i="37" s="1"/>
  <c r="A195" i="37" s="1"/>
  <c r="A196" i="37" s="1"/>
  <c r="A197" i="37" s="1"/>
  <c r="A198" i="37" s="1"/>
  <c r="A199" i="37" s="1"/>
  <c r="A200" i="37" s="1"/>
  <c r="A201" i="37" s="1"/>
  <c r="A202" i="37" s="1"/>
  <c r="A203" i="37" s="1"/>
  <c r="A204" i="37" s="1"/>
  <c r="A205" i="37" s="1"/>
  <c r="A206" i="37" s="1"/>
  <c r="A207" i="37" s="1"/>
  <c r="A208" i="37" s="1"/>
  <c r="A209" i="37" s="1"/>
  <c r="A210" i="37" s="1"/>
  <c r="A211" i="37" s="1"/>
  <c r="A212" i="37" s="1"/>
  <c r="A213" i="37" s="1"/>
  <c r="A214" i="37" s="1"/>
  <c r="A215" i="37" s="1"/>
  <c r="A216" i="37" s="1"/>
  <c r="A217" i="37" s="1"/>
  <c r="A218" i="37" s="1"/>
  <c r="A219" i="37" s="1"/>
  <c r="A220" i="37" s="1"/>
  <c r="A221" i="37" s="1"/>
  <c r="A222" i="37" s="1"/>
  <c r="A223" i="37" s="1"/>
  <c r="A224" i="37" s="1"/>
  <c r="A225" i="37" s="1"/>
  <c r="A226" i="37" s="1"/>
  <c r="A227" i="37" s="1"/>
  <c r="A228" i="37" s="1"/>
  <c r="A229" i="37" s="1"/>
  <c r="A230" i="37" s="1"/>
  <c r="A231" i="37" s="1"/>
  <c r="A232" i="37" s="1"/>
  <c r="A233" i="37" s="1"/>
  <c r="A234" i="37" s="1"/>
  <c r="A235" i="37" s="1"/>
  <c r="A236" i="37" s="1"/>
  <c r="A237" i="37" s="1"/>
  <c r="A238" i="37" s="1"/>
  <c r="A239" i="37" s="1"/>
  <c r="A240" i="37" s="1"/>
  <c r="A241" i="37" s="1"/>
  <c r="A242" i="37" s="1"/>
  <c r="A243" i="37" s="1"/>
  <c r="A244" i="37" s="1"/>
  <c r="A245" i="37" s="1"/>
  <c r="A246" i="37" s="1"/>
  <c r="A247" i="37" s="1"/>
  <c r="A248" i="37" s="1"/>
  <c r="A249" i="37" s="1"/>
  <c r="A250" i="37" s="1"/>
  <c r="A251" i="37" s="1"/>
  <c r="A252" i="37" s="1"/>
  <c r="A253" i="37" s="1"/>
  <c r="A254" i="37" s="1"/>
  <c r="A255" i="37" s="1"/>
  <c r="A256" i="37" s="1"/>
  <c r="A257" i="37" s="1"/>
  <c r="A258" i="37" s="1"/>
  <c r="A259" i="37" s="1"/>
  <c r="A260" i="37" s="1"/>
  <c r="A261" i="37" s="1"/>
  <c r="A262" i="37" s="1"/>
  <c r="A263" i="37" s="1"/>
  <c r="A264" i="37" s="1"/>
  <c r="A265" i="37" s="1"/>
  <c r="A266" i="37" s="1"/>
  <c r="A267" i="37" s="1"/>
  <c r="A268" i="37" s="1"/>
  <c r="A269" i="37" s="1"/>
  <c r="A270" i="37" s="1"/>
  <c r="A271" i="37" s="1"/>
  <c r="A272" i="37" s="1"/>
  <c r="A273" i="37" s="1"/>
  <c r="A274" i="37" s="1"/>
  <c r="A275" i="37" s="1"/>
  <c r="A276" i="37" s="1"/>
  <c r="A277" i="37" s="1"/>
  <c r="A278" i="37" s="1"/>
  <c r="A279" i="37" s="1"/>
  <c r="A280" i="37" s="1"/>
  <c r="A281" i="37" s="1"/>
  <c r="A282" i="37" s="1"/>
  <c r="A283" i="37" s="1"/>
  <c r="A284" i="37" s="1"/>
  <c r="A285" i="37" s="1"/>
  <c r="A286" i="37" s="1"/>
  <c r="A287" i="37" s="1"/>
  <c r="A288" i="37" s="1"/>
  <c r="A289" i="37" s="1"/>
  <c r="A290" i="37" s="1"/>
  <c r="A291" i="37" s="1"/>
  <c r="A292" i="37" s="1"/>
  <c r="A293" i="37" s="1"/>
  <c r="A294" i="37" s="1"/>
  <c r="A295" i="37" s="1"/>
  <c r="A296" i="37" s="1"/>
  <c r="A297" i="37" s="1"/>
  <c r="A298" i="37" s="1"/>
  <c r="A299" i="37" s="1"/>
  <c r="A300" i="37" s="1"/>
  <c r="A301" i="37" s="1"/>
  <c r="A302" i="37" s="1"/>
  <c r="A303" i="37" s="1"/>
  <c r="A304" i="37" s="1"/>
  <c r="A305" i="37" s="1"/>
  <c r="A306" i="37" s="1"/>
  <c r="A307" i="37" s="1"/>
  <c r="A308" i="37" s="1"/>
  <c r="A309" i="37" s="1"/>
  <c r="A310" i="37" s="1"/>
  <c r="A311" i="37" s="1"/>
  <c r="A312" i="37" s="1"/>
  <c r="A313" i="37" s="1"/>
  <c r="A314" i="37" s="1"/>
  <c r="A315" i="37" s="1"/>
  <c r="M84" i="37"/>
  <c r="M6" i="37"/>
  <c r="M12" i="37"/>
  <c r="M8" i="37" s="1"/>
  <c r="M15" i="37"/>
  <c r="M18" i="37"/>
  <c r="M21" i="37"/>
  <c r="M17" i="37" s="1"/>
  <c r="M24" i="37"/>
  <c r="M27" i="37"/>
  <c r="M23" i="37" s="1"/>
  <c r="M30" i="37"/>
  <c r="M33" i="37"/>
  <c r="M36" i="37"/>
  <c r="M39" i="37"/>
  <c r="M42" i="37"/>
  <c r="M45" i="37"/>
  <c r="M48" i="37"/>
  <c r="M51" i="37"/>
  <c r="M54" i="37"/>
  <c r="M57" i="37"/>
  <c r="M60" i="37"/>
  <c r="M63" i="37"/>
  <c r="M66" i="37"/>
  <c r="M69" i="37"/>
  <c r="M72" i="37"/>
  <c r="M75" i="37"/>
  <c r="M78" i="37"/>
  <c r="M81" i="37"/>
  <c r="M87" i="37"/>
  <c r="M90" i="37"/>
  <c r="M93" i="37"/>
  <c r="M96" i="37"/>
  <c r="M99" i="37"/>
  <c r="M102" i="37"/>
  <c r="M105" i="37"/>
  <c r="M108" i="37"/>
  <c r="M111" i="37"/>
  <c r="M114" i="37"/>
  <c r="M117" i="37"/>
  <c r="M120" i="37"/>
  <c r="M123" i="37"/>
  <c r="M126" i="37"/>
  <c r="M129" i="37"/>
  <c r="M132" i="37"/>
  <c r="M135" i="37"/>
  <c r="M138" i="37"/>
  <c r="M141" i="37"/>
  <c r="M144" i="37"/>
  <c r="M147" i="37"/>
  <c r="M150" i="37"/>
  <c r="M153" i="37"/>
  <c r="M156" i="37"/>
  <c r="J4" i="37"/>
  <c r="J5" i="37"/>
  <c r="J6" i="37"/>
  <c r="J8" i="37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J31" i="37"/>
  <c r="J32" i="37"/>
  <c r="I133" i="37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J33" i="37" s="1"/>
  <c r="G34" i="37"/>
  <c r="J34" i="37" s="1"/>
  <c r="G35" i="37"/>
  <c r="J35" i="37" s="1"/>
  <c r="G36" i="37"/>
  <c r="I36" i="37" s="1"/>
  <c r="J36" i="37" s="1"/>
  <c r="G37" i="37"/>
  <c r="I37" i="37" s="1"/>
  <c r="J37" i="37" s="1"/>
  <c r="G38" i="37"/>
  <c r="I38" i="37" s="1"/>
  <c r="J38" i="37" s="1"/>
  <c r="G39" i="37"/>
  <c r="I39" i="37" s="1"/>
  <c r="J39" i="37" s="1"/>
  <c r="G40" i="37"/>
  <c r="I40" i="37" s="1"/>
  <c r="J40" i="37" s="1"/>
  <c r="G41" i="37"/>
  <c r="I41" i="37" s="1"/>
  <c r="J41" i="37" s="1"/>
  <c r="G42" i="37"/>
  <c r="I42" i="37" s="1"/>
  <c r="J42" i="37" s="1"/>
  <c r="G43" i="37"/>
  <c r="I43" i="37" s="1"/>
  <c r="J43" i="37" s="1"/>
  <c r="G44" i="37"/>
  <c r="I44" i="37" s="1"/>
  <c r="J44" i="37" s="1"/>
  <c r="G45" i="37"/>
  <c r="I45" i="37" s="1"/>
  <c r="J45" i="37" s="1"/>
  <c r="G46" i="37"/>
  <c r="I46" i="37" s="1"/>
  <c r="J46" i="37" s="1"/>
  <c r="G47" i="37"/>
  <c r="I47" i="37" s="1"/>
  <c r="J47" i="37" s="1"/>
  <c r="G48" i="37"/>
  <c r="I48" i="37" s="1"/>
  <c r="J48" i="37" s="1"/>
  <c r="G49" i="37"/>
  <c r="I49" i="37" s="1"/>
  <c r="J49" i="37" s="1"/>
  <c r="G50" i="37"/>
  <c r="I50" i="37" s="1"/>
  <c r="J50" i="37" s="1"/>
  <c r="G51" i="37"/>
  <c r="I51" i="37" s="1"/>
  <c r="J51" i="37" s="1"/>
  <c r="G52" i="37"/>
  <c r="I52" i="37" s="1"/>
  <c r="J52" i="37" s="1"/>
  <c r="G53" i="37"/>
  <c r="I53" i="37" s="1"/>
  <c r="J53" i="37" s="1"/>
  <c r="G54" i="37"/>
  <c r="I54" i="37" s="1"/>
  <c r="J54" i="37" s="1"/>
  <c r="G55" i="37"/>
  <c r="I55" i="37" s="1"/>
  <c r="J55" i="37" s="1"/>
  <c r="G56" i="37"/>
  <c r="I56" i="37" s="1"/>
  <c r="J56" i="37" s="1"/>
  <c r="G57" i="37"/>
  <c r="I57" i="37" s="1"/>
  <c r="J57" i="37" s="1"/>
  <c r="G58" i="37"/>
  <c r="I58" i="37" s="1"/>
  <c r="J58" i="37" s="1"/>
  <c r="G59" i="37"/>
  <c r="I59" i="37" s="1"/>
  <c r="J59" i="37" s="1"/>
  <c r="G60" i="37"/>
  <c r="I60" i="37" s="1"/>
  <c r="J60" i="37" s="1"/>
  <c r="G61" i="37"/>
  <c r="I61" i="37" s="1"/>
  <c r="J61" i="37" s="1"/>
  <c r="G62" i="37"/>
  <c r="I62" i="37" s="1"/>
  <c r="J62" i="37" s="1"/>
  <c r="G63" i="37"/>
  <c r="I63" i="37" s="1"/>
  <c r="J63" i="37" s="1"/>
  <c r="G64" i="37"/>
  <c r="I64" i="37" s="1"/>
  <c r="J64" i="37" s="1"/>
  <c r="G65" i="37"/>
  <c r="I65" i="37" s="1"/>
  <c r="J65" i="37" s="1"/>
  <c r="G66" i="37"/>
  <c r="I66" i="37" s="1"/>
  <c r="J66" i="37" s="1"/>
  <c r="G67" i="37"/>
  <c r="I67" i="37" s="1"/>
  <c r="J67" i="37" s="1"/>
  <c r="G68" i="37"/>
  <c r="I68" i="37" s="1"/>
  <c r="J68" i="37" s="1"/>
  <c r="G69" i="37"/>
  <c r="I69" i="37" s="1"/>
  <c r="J69" i="37" s="1"/>
  <c r="G70" i="37"/>
  <c r="I70" i="37" s="1"/>
  <c r="J70" i="37" s="1"/>
  <c r="G71" i="37"/>
  <c r="I71" i="37" s="1"/>
  <c r="J71" i="37" s="1"/>
  <c r="G72" i="37"/>
  <c r="I72" i="37" s="1"/>
  <c r="J72" i="37" s="1"/>
  <c r="G73" i="37"/>
  <c r="I73" i="37" s="1"/>
  <c r="J73" i="37" s="1"/>
  <c r="G74" i="37"/>
  <c r="I74" i="37" s="1"/>
  <c r="J74" i="37" s="1"/>
  <c r="G75" i="37"/>
  <c r="I75" i="37" s="1"/>
  <c r="J75" i="37" s="1"/>
  <c r="G76" i="37"/>
  <c r="I76" i="37" s="1"/>
  <c r="J76" i="37" s="1"/>
  <c r="G77" i="37"/>
  <c r="I77" i="37" s="1"/>
  <c r="J77" i="37" s="1"/>
  <c r="G78" i="37"/>
  <c r="I78" i="37" s="1"/>
  <c r="J78" i="37" s="1"/>
  <c r="G79" i="37"/>
  <c r="I79" i="37" s="1"/>
  <c r="J79" i="37" s="1"/>
  <c r="G80" i="37"/>
  <c r="I80" i="37" s="1"/>
  <c r="J80" i="37" s="1"/>
  <c r="G81" i="37"/>
  <c r="I81" i="37" s="1"/>
  <c r="J81" i="37" s="1"/>
  <c r="G82" i="37"/>
  <c r="I82" i="37" s="1"/>
  <c r="J82" i="37" s="1"/>
  <c r="G83" i="37"/>
  <c r="I83" i="37" s="1"/>
  <c r="J83" i="37" s="1"/>
  <c r="G84" i="37"/>
  <c r="I84" i="37" s="1"/>
  <c r="J84" i="37" s="1"/>
  <c r="G85" i="37"/>
  <c r="I85" i="37" s="1"/>
  <c r="J85" i="37" s="1"/>
  <c r="G86" i="37"/>
  <c r="I86" i="37" s="1"/>
  <c r="J86" i="37" s="1"/>
  <c r="G87" i="37"/>
  <c r="I87" i="37" s="1"/>
  <c r="J87" i="37" s="1"/>
  <c r="G88" i="37"/>
  <c r="I88" i="37" s="1"/>
  <c r="J88" i="37" s="1"/>
  <c r="G89" i="37"/>
  <c r="I89" i="37" s="1"/>
  <c r="J89" i="37" s="1"/>
  <c r="G90" i="37"/>
  <c r="I90" i="37" s="1"/>
  <c r="J90" i="37" s="1"/>
  <c r="G91" i="37"/>
  <c r="I91" i="37" s="1"/>
  <c r="J91" i="37" s="1"/>
  <c r="G92" i="37"/>
  <c r="I92" i="37" s="1"/>
  <c r="J92" i="37" s="1"/>
  <c r="G93" i="37"/>
  <c r="I93" i="37" s="1"/>
  <c r="J93" i="37" s="1"/>
  <c r="G94" i="37"/>
  <c r="I94" i="37" s="1"/>
  <c r="J94" i="37" s="1"/>
  <c r="G95" i="37"/>
  <c r="I95" i="37" s="1"/>
  <c r="J95" i="37" s="1"/>
  <c r="G96" i="37"/>
  <c r="I96" i="37" s="1"/>
  <c r="J96" i="37" s="1"/>
  <c r="G97" i="37"/>
  <c r="I97" i="37" s="1"/>
  <c r="J97" i="37" s="1"/>
  <c r="G98" i="37"/>
  <c r="I98" i="37" s="1"/>
  <c r="J98" i="37" s="1"/>
  <c r="G99" i="37"/>
  <c r="I99" i="37" s="1"/>
  <c r="J99" i="37" s="1"/>
  <c r="G100" i="37"/>
  <c r="I100" i="37" s="1"/>
  <c r="J100" i="37" s="1"/>
  <c r="G101" i="37"/>
  <c r="I101" i="37" s="1"/>
  <c r="J101" i="37" s="1"/>
  <c r="G102" i="37"/>
  <c r="I102" i="37" s="1"/>
  <c r="J102" i="37" s="1"/>
  <c r="G103" i="37"/>
  <c r="I103" i="37" s="1"/>
  <c r="J103" i="37" s="1"/>
  <c r="G104" i="37"/>
  <c r="I104" i="37" s="1"/>
  <c r="J104" i="37" s="1"/>
  <c r="G105" i="37"/>
  <c r="I105" i="37" s="1"/>
  <c r="J105" i="37" s="1"/>
  <c r="G106" i="37"/>
  <c r="I106" i="37" s="1"/>
  <c r="G107" i="37"/>
  <c r="I107" i="37" s="1"/>
  <c r="G108" i="37"/>
  <c r="I108" i="37" s="1"/>
  <c r="G109" i="37"/>
  <c r="I109" i="37" s="1"/>
  <c r="G110" i="37"/>
  <c r="I110" i="37" s="1"/>
  <c r="G111" i="37"/>
  <c r="I111" i="37" s="1"/>
  <c r="G112" i="37"/>
  <c r="I112" i="37" s="1"/>
  <c r="G113" i="37"/>
  <c r="I113" i="37" s="1"/>
  <c r="G114" i="37"/>
  <c r="I114" i="37" s="1"/>
  <c r="G115" i="37"/>
  <c r="I115" i="37" s="1"/>
  <c r="G116" i="37"/>
  <c r="I116" i="37" s="1"/>
  <c r="G117" i="37"/>
  <c r="I117" i="37" s="1"/>
  <c r="G118" i="37"/>
  <c r="I118" i="37" s="1"/>
  <c r="G119" i="37"/>
  <c r="I119" i="37" s="1"/>
  <c r="G120" i="37"/>
  <c r="I120" i="37" s="1"/>
  <c r="G121" i="37"/>
  <c r="I121" i="37" s="1"/>
  <c r="G122" i="37"/>
  <c r="I122" i="37" s="1"/>
  <c r="G123" i="37"/>
  <c r="I123" i="37" s="1"/>
  <c r="G124" i="37"/>
  <c r="I124" i="37" s="1"/>
  <c r="G125" i="37"/>
  <c r="I125" i="37" s="1"/>
  <c r="G126" i="37"/>
  <c r="I126" i="37" s="1"/>
  <c r="G127" i="37"/>
  <c r="I127" i="37" s="1"/>
  <c r="G128" i="37"/>
  <c r="I128" i="37" s="1"/>
  <c r="G129" i="37"/>
  <c r="I129" i="37" s="1"/>
  <c r="G130" i="37"/>
  <c r="I130" i="37" s="1"/>
  <c r="G131" i="37"/>
  <c r="I131" i="37" s="1"/>
  <c r="G132" i="37"/>
  <c r="I132" i="37" s="1"/>
  <c r="G133" i="37"/>
  <c r="G134" i="37"/>
  <c r="I134" i="37" s="1"/>
  <c r="G135" i="37"/>
  <c r="I135" i="37" s="1"/>
  <c r="G136" i="37"/>
  <c r="I136" i="37" s="1"/>
  <c r="G137" i="37"/>
  <c r="I137" i="37" s="1"/>
  <c r="G138" i="37"/>
  <c r="I138" i="37" s="1"/>
  <c r="G139" i="37"/>
  <c r="I139" i="37" s="1"/>
  <c r="G140" i="37"/>
  <c r="I140" i="37" s="1"/>
  <c r="J140" i="37" s="1"/>
  <c r="G141" i="37"/>
  <c r="I141" i="37" s="1"/>
  <c r="J141" i="37" s="1"/>
  <c r="G142" i="37"/>
  <c r="I142" i="37" s="1"/>
  <c r="J142" i="37" s="1"/>
  <c r="G143" i="37"/>
  <c r="I143" i="37" s="1"/>
  <c r="J143" i="37" s="1"/>
  <c r="G144" i="37"/>
  <c r="I144" i="37" s="1"/>
  <c r="J144" i="37" s="1"/>
  <c r="G145" i="37"/>
  <c r="I145" i="37" s="1"/>
  <c r="J145" i="37" s="1"/>
  <c r="G146" i="37"/>
  <c r="I146" i="37" s="1"/>
  <c r="J146" i="37" s="1"/>
  <c r="G147" i="37"/>
  <c r="I147" i="37" s="1"/>
  <c r="J147" i="37" s="1"/>
  <c r="G148" i="37"/>
  <c r="I148" i="37" s="1"/>
  <c r="J148" i="37" s="1"/>
  <c r="G149" i="37"/>
  <c r="I149" i="37" s="1"/>
  <c r="J149" i="37" s="1"/>
  <c r="G150" i="37"/>
  <c r="I150" i="37" s="1"/>
  <c r="J150" i="37" s="1"/>
  <c r="G151" i="37"/>
  <c r="I151" i="37" s="1"/>
  <c r="J151" i="37" s="1"/>
  <c r="G152" i="37"/>
  <c r="I152" i="37" s="1"/>
  <c r="J152" i="37" s="1"/>
  <c r="G153" i="37"/>
  <c r="I153" i="37" s="1"/>
  <c r="J153" i="37" s="1"/>
  <c r="G154" i="37"/>
  <c r="I154" i="37" s="1"/>
  <c r="J154" i="37" s="1"/>
  <c r="G155" i="37"/>
  <c r="I155" i="37" s="1"/>
  <c r="J155" i="37" s="1"/>
  <c r="G156" i="37"/>
  <c r="I156" i="37" s="1"/>
  <c r="J156" i="37" s="1"/>
  <c r="G157" i="37"/>
  <c r="I157" i="37" s="1"/>
  <c r="J157" i="37" s="1"/>
  <c r="G158" i="37"/>
  <c r="I158" i="37" s="1"/>
  <c r="J158" i="37" s="1"/>
  <c r="G3" i="37"/>
  <c r="A3" i="37"/>
  <c r="A4" i="37" s="1"/>
  <c r="A5" i="37" s="1"/>
  <c r="A6" i="37" s="1"/>
  <c r="A7" i="37" s="1"/>
  <c r="A8" i="37" s="1"/>
  <c r="A9" i="37" s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A41" i="37" s="1"/>
  <c r="A42" i="37" s="1"/>
  <c r="A43" i="37" s="1"/>
  <c r="A44" i="37" s="1"/>
  <c r="A45" i="37" s="1"/>
  <c r="A46" i="37" s="1"/>
  <c r="A47" i="37" s="1"/>
  <c r="A48" i="37" s="1"/>
  <c r="A49" i="37" s="1"/>
  <c r="A50" i="37" s="1"/>
  <c r="A51" i="37" s="1"/>
  <c r="A52" i="37" s="1"/>
  <c r="A53" i="37" s="1"/>
  <c r="A54" i="37" s="1"/>
  <c r="A55" i="37" s="1"/>
  <c r="A56" i="37" s="1"/>
  <c r="A57" i="37" s="1"/>
  <c r="A58" i="37" s="1"/>
  <c r="A59" i="37" s="1"/>
  <c r="A60" i="37" s="1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71" i="37" s="1"/>
  <c r="A72" i="37" s="1"/>
  <c r="A73" i="37" s="1"/>
  <c r="A74" i="37" s="1"/>
  <c r="A75" i="37" s="1"/>
  <c r="A76" i="37" s="1"/>
  <c r="A77" i="37" s="1"/>
  <c r="A78" i="37" s="1"/>
  <c r="A79" i="37" s="1"/>
  <c r="A80" i="37" s="1"/>
  <c r="A81" i="37" s="1"/>
  <c r="A82" i="37" s="1"/>
  <c r="A83" i="37" s="1"/>
  <c r="A84" i="37" s="1"/>
  <c r="A85" i="37" s="1"/>
  <c r="A86" i="37" s="1"/>
  <c r="A87" i="37" s="1"/>
  <c r="A88" i="37" s="1"/>
  <c r="A89" i="37" s="1"/>
  <c r="A90" i="37" s="1"/>
  <c r="A91" i="37" s="1"/>
  <c r="A92" i="37" s="1"/>
  <c r="A93" i="37" s="1"/>
  <c r="A94" i="37" s="1"/>
  <c r="A95" i="37" s="1"/>
  <c r="A96" i="37" s="1"/>
  <c r="A97" i="37" s="1"/>
  <c r="A98" i="37" s="1"/>
  <c r="A99" i="37" s="1"/>
  <c r="A100" i="37" s="1"/>
  <c r="A101" i="37" s="1"/>
  <c r="A102" i="37" s="1"/>
  <c r="A103" i="37" s="1"/>
  <c r="A104" i="37" s="1"/>
  <c r="A105" i="37" s="1"/>
  <c r="A106" i="37" s="1"/>
  <c r="A107" i="37" s="1"/>
  <c r="A108" i="37" s="1"/>
  <c r="A109" i="37" s="1"/>
  <c r="A110" i="37" s="1"/>
  <c r="A111" i="37" s="1"/>
  <c r="A112" i="37" s="1"/>
  <c r="A113" i="37" s="1"/>
  <c r="A114" i="37" s="1"/>
  <c r="A115" i="37" s="1"/>
  <c r="A116" i="37" s="1"/>
  <c r="A117" i="37" s="1"/>
  <c r="A118" i="37" s="1"/>
  <c r="A119" i="37" s="1"/>
  <c r="A120" i="37" s="1"/>
  <c r="A121" i="37" s="1"/>
  <c r="A122" i="37" s="1"/>
  <c r="A123" i="37" s="1"/>
  <c r="A124" i="37" s="1"/>
  <c r="A125" i="37" s="1"/>
  <c r="A126" i="37" s="1"/>
  <c r="A127" i="37" s="1"/>
  <c r="A128" i="37" s="1"/>
  <c r="A129" i="37" s="1"/>
  <c r="A130" i="37" s="1"/>
  <c r="A131" i="37" s="1"/>
  <c r="A132" i="37" s="1"/>
  <c r="A133" i="37" s="1"/>
  <c r="A134" i="37" s="1"/>
  <c r="A135" i="37" s="1"/>
  <c r="A136" i="37" s="1"/>
  <c r="A137" i="37" s="1"/>
  <c r="A138" i="37" s="1"/>
  <c r="A139" i="37" s="1"/>
  <c r="A140" i="37" s="1"/>
  <c r="A141" i="37" s="1"/>
  <c r="A142" i="37" s="1"/>
  <c r="A143" i="37" s="1"/>
  <c r="A144" i="37" s="1"/>
  <c r="A145" i="37" s="1"/>
  <c r="A146" i="37" s="1"/>
  <c r="A147" i="37" s="1"/>
  <c r="A148" i="37" s="1"/>
  <c r="A149" i="37" s="1"/>
  <c r="A150" i="37" s="1"/>
  <c r="A151" i="37" s="1"/>
  <c r="A152" i="37" s="1"/>
  <c r="A153" i="37" s="1"/>
  <c r="A154" i="37" s="1"/>
  <c r="A155" i="37" s="1"/>
  <c r="A156" i="37" s="1"/>
  <c r="A157" i="37" s="1"/>
  <c r="B3" i="37"/>
  <c r="B4" i="37" s="1"/>
  <c r="B5" i="37" s="1"/>
  <c r="B6" i="37" s="1"/>
  <c r="B7" i="37" s="1"/>
  <c r="B8" i="37" s="1"/>
  <c r="B9" i="37" s="1"/>
  <c r="B10" i="37" s="1"/>
  <c r="B11" i="37" s="1"/>
  <c r="B12" i="37" s="1"/>
  <c r="B13" i="37" s="1"/>
  <c r="B14" i="37" s="1"/>
  <c r="B15" i="37" s="1"/>
  <c r="B16" i="37" s="1"/>
  <c r="B17" i="37" s="1"/>
  <c r="B18" i="37" s="1"/>
  <c r="B19" i="37" s="1"/>
  <c r="B20" i="37" s="1"/>
  <c r="B21" i="37" s="1"/>
  <c r="B22" i="37" s="1"/>
  <c r="B23" i="37" s="1"/>
  <c r="B24" i="37" s="1"/>
  <c r="B25" i="37" s="1"/>
  <c r="B26" i="37" s="1"/>
  <c r="B27" i="37" s="1"/>
  <c r="B28" i="37" s="1"/>
  <c r="B29" i="37" s="1"/>
  <c r="B30" i="37" s="1"/>
  <c r="B31" i="37" s="1"/>
  <c r="B32" i="37" s="1"/>
  <c r="B33" i="37" s="1"/>
  <c r="B34" i="37" s="1"/>
  <c r="B35" i="37" s="1"/>
  <c r="B36" i="37" s="1"/>
  <c r="B37" i="37" s="1"/>
  <c r="B38" i="37" s="1"/>
  <c r="B39" i="37" s="1"/>
  <c r="B40" i="37" s="1"/>
  <c r="B41" i="37" s="1"/>
  <c r="B42" i="37" s="1"/>
  <c r="B43" i="37" s="1"/>
  <c r="B44" i="37" s="1"/>
  <c r="B45" i="37" s="1"/>
  <c r="B46" i="37" s="1"/>
  <c r="B47" i="37" s="1"/>
  <c r="B48" i="37" s="1"/>
  <c r="B49" i="37" s="1"/>
  <c r="B50" i="37" s="1"/>
  <c r="B51" i="37" s="1"/>
  <c r="B52" i="37" s="1"/>
  <c r="B53" i="37" s="1"/>
  <c r="B54" i="37" s="1"/>
  <c r="B55" i="37" s="1"/>
  <c r="B56" i="37" s="1"/>
  <c r="B57" i="37" s="1"/>
  <c r="B58" i="37" s="1"/>
  <c r="B59" i="37" s="1"/>
  <c r="B60" i="37" s="1"/>
  <c r="B61" i="37" s="1"/>
  <c r="B62" i="37" s="1"/>
  <c r="B63" i="37" s="1"/>
  <c r="B64" i="37" s="1"/>
  <c r="B65" i="37" s="1"/>
  <c r="B66" i="37" s="1"/>
  <c r="B67" i="37" s="1"/>
  <c r="B68" i="37" s="1"/>
  <c r="B69" i="37" s="1"/>
  <c r="B70" i="37" s="1"/>
  <c r="B71" i="37" s="1"/>
  <c r="B72" i="37" s="1"/>
  <c r="B73" i="37" s="1"/>
  <c r="B74" i="37" s="1"/>
  <c r="B75" i="37" s="1"/>
  <c r="B76" i="37" s="1"/>
  <c r="B77" i="37" s="1"/>
  <c r="B78" i="37" s="1"/>
  <c r="B79" i="37" s="1"/>
  <c r="B80" i="37" s="1"/>
  <c r="B81" i="37" s="1"/>
  <c r="B82" i="37" s="1"/>
  <c r="B83" i="37" s="1"/>
  <c r="B84" i="37" s="1"/>
  <c r="B85" i="37" s="1"/>
  <c r="B86" i="37" s="1"/>
  <c r="B87" i="37" s="1"/>
  <c r="B88" i="37" s="1"/>
  <c r="B89" i="37" s="1"/>
  <c r="B90" i="37" s="1"/>
  <c r="B91" i="37" s="1"/>
  <c r="B92" i="37" s="1"/>
  <c r="B93" i="37" s="1"/>
  <c r="B94" i="37" s="1"/>
  <c r="B95" i="37" s="1"/>
  <c r="B96" i="37" s="1"/>
  <c r="B97" i="37" s="1"/>
  <c r="B98" i="37" s="1"/>
  <c r="B99" i="37" s="1"/>
  <c r="B100" i="37" s="1"/>
  <c r="B101" i="37" s="1"/>
  <c r="B102" i="37" s="1"/>
  <c r="B103" i="37" s="1"/>
  <c r="B104" i="37" s="1"/>
  <c r="B105" i="37" s="1"/>
  <c r="B106" i="37" s="1"/>
  <c r="B107" i="37" s="1"/>
  <c r="B108" i="37" s="1"/>
  <c r="B109" i="37" s="1"/>
  <c r="B110" i="37" s="1"/>
  <c r="B111" i="37" s="1"/>
  <c r="B112" i="37" s="1"/>
  <c r="B113" i="37" s="1"/>
  <c r="B114" i="37" s="1"/>
  <c r="B115" i="37" s="1"/>
  <c r="B116" i="37" s="1"/>
  <c r="B117" i="37" s="1"/>
  <c r="B118" i="37" s="1"/>
  <c r="B119" i="37" s="1"/>
  <c r="B120" i="37" s="1"/>
  <c r="B121" i="37" s="1"/>
  <c r="B122" i="37" s="1"/>
  <c r="B123" i="37" s="1"/>
  <c r="B124" i="37" s="1"/>
  <c r="B125" i="37" s="1"/>
  <c r="B126" i="37" s="1"/>
  <c r="B127" i="37" s="1"/>
  <c r="B128" i="37" s="1"/>
  <c r="B129" i="37" s="1"/>
  <c r="B130" i="37" s="1"/>
  <c r="B131" i="37" s="1"/>
  <c r="B132" i="37" s="1"/>
  <c r="B133" i="37" s="1"/>
  <c r="B134" i="37" s="1"/>
  <c r="B135" i="37" s="1"/>
  <c r="B136" i="37" s="1"/>
  <c r="B137" i="37" s="1"/>
  <c r="B138" i="37" s="1"/>
  <c r="B139" i="37" s="1"/>
  <c r="B140" i="37" s="1"/>
  <c r="B141" i="37" s="1"/>
  <c r="B142" i="37" s="1"/>
  <c r="B143" i="37" s="1"/>
  <c r="B144" i="37" s="1"/>
  <c r="B145" i="37" s="1"/>
  <c r="B146" i="37" s="1"/>
  <c r="B147" i="37" s="1"/>
  <c r="B148" i="37" s="1"/>
  <c r="B149" i="37" s="1"/>
  <c r="B150" i="37" s="1"/>
  <c r="B151" i="37" s="1"/>
  <c r="B152" i="37" s="1"/>
  <c r="B153" i="37" s="1"/>
  <c r="B154" i="37" s="1"/>
  <c r="B155" i="37" s="1"/>
  <c r="B156" i="37" s="1"/>
  <c r="B157" i="37" s="1"/>
  <c r="E28" i="41" l="1"/>
  <c r="F28" i="41" s="1"/>
  <c r="G28" i="41" s="1"/>
  <c r="H28" i="41" s="1"/>
  <c r="I28" i="41" s="1"/>
  <c r="J28" i="41" s="1"/>
  <c r="K28" i="41" s="1"/>
  <c r="L28" i="41" s="1"/>
  <c r="M28" i="41" s="1"/>
  <c r="N28" i="41" s="1"/>
  <c r="O28" i="41" s="1"/>
  <c r="P28" i="41" s="1"/>
  <c r="Q28" i="41" s="1"/>
  <c r="R28" i="41" s="1"/>
  <c r="S28" i="41" s="1"/>
  <c r="T28" i="41" s="1"/>
  <c r="U28" i="41" s="1"/>
  <c r="V28" i="41" s="1"/>
  <c r="W28" i="41" s="1"/>
  <c r="X28" i="41" s="1"/>
  <c r="Y28" i="41" s="1"/>
  <c r="Z28" i="41" s="1"/>
  <c r="AA28" i="41" s="1"/>
  <c r="AB28" i="41" s="1"/>
  <c r="AC28" i="41" s="1"/>
  <c r="AD28" i="41" s="1"/>
  <c r="AE28" i="41" s="1"/>
  <c r="AF28" i="41" s="1"/>
  <c r="AG28" i="41" s="1"/>
  <c r="AH28" i="41" s="1"/>
  <c r="AI28" i="41" s="1"/>
  <c r="AJ28" i="41" s="1"/>
  <c r="AK28" i="41" s="1"/>
  <c r="AL28" i="41" s="1"/>
  <c r="AM28" i="41" s="1"/>
  <c r="AN28" i="41" s="1"/>
  <c r="AO28" i="41" s="1"/>
  <c r="AP28" i="41" s="1"/>
  <c r="AQ28" i="41" s="1"/>
  <c r="AR28" i="41" s="1"/>
  <c r="AS28" i="41" s="1"/>
  <c r="AT28" i="41" s="1"/>
  <c r="AU28" i="41" s="1"/>
  <c r="AV28" i="41" s="1"/>
  <c r="AW28" i="41" s="1"/>
  <c r="AX28" i="41" s="1"/>
  <c r="AY28" i="41" s="1"/>
  <c r="AZ28" i="41" s="1"/>
  <c r="BA28" i="41" s="1"/>
  <c r="D18" i="41"/>
  <c r="E18" i="41" s="1"/>
  <c r="C39" i="41"/>
  <c r="M20" i="37"/>
  <c r="M26" i="37"/>
  <c r="M177" i="37"/>
  <c r="M183" i="37"/>
  <c r="E63" i="39"/>
  <c r="E65" i="39"/>
  <c r="E67" i="39"/>
  <c r="E68" i="39"/>
  <c r="E69" i="39"/>
  <c r="E70" i="39"/>
  <c r="E71" i="39"/>
  <c r="E73" i="39"/>
  <c r="E74" i="39"/>
  <c r="E75" i="39"/>
  <c r="E76" i="39"/>
  <c r="E77" i="39"/>
  <c r="E78" i="39"/>
  <c r="E79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6" i="39"/>
  <c r="H48" i="39"/>
  <c r="H50" i="39"/>
  <c r="H52" i="39"/>
  <c r="H54" i="39"/>
  <c r="H56" i="39"/>
  <c r="H57" i="39"/>
  <c r="H58" i="39"/>
  <c r="H59" i="39"/>
  <c r="H60" i="39"/>
  <c r="H62" i="39"/>
  <c r="H63" i="39"/>
  <c r="H65" i="39"/>
  <c r="H67" i="39"/>
  <c r="H68" i="39"/>
  <c r="H69" i="39"/>
  <c r="H70" i="39"/>
  <c r="H71" i="39"/>
  <c r="H73" i="39"/>
  <c r="H74" i="39"/>
  <c r="H75" i="39"/>
  <c r="H76" i="39"/>
  <c r="H77" i="39"/>
  <c r="H78" i="39"/>
  <c r="H79" i="39"/>
  <c r="H81" i="39"/>
  <c r="H82" i="39"/>
  <c r="H84" i="39"/>
  <c r="H86" i="39"/>
  <c r="H88" i="39"/>
  <c r="H89" i="39"/>
  <c r="H90" i="39"/>
  <c r="H91" i="39"/>
  <c r="H92" i="39"/>
  <c r="H93" i="39"/>
  <c r="H94" i="39"/>
  <c r="H95" i="39"/>
  <c r="H96" i="39"/>
  <c r="H97" i="39"/>
  <c r="H98" i="39"/>
  <c r="H99" i="39"/>
  <c r="H100" i="39"/>
  <c r="H101" i="39"/>
  <c r="H102" i="39"/>
  <c r="H103" i="39"/>
  <c r="H104" i="39"/>
  <c r="H105" i="39"/>
  <c r="H106" i="39"/>
  <c r="H107" i="39"/>
  <c r="H108" i="39"/>
  <c r="H109" i="39"/>
  <c r="H110" i="39"/>
  <c r="H111" i="39"/>
  <c r="H112" i="39"/>
  <c r="H113" i="39"/>
  <c r="H114" i="39"/>
  <c r="H115" i="39"/>
  <c r="H116" i="39"/>
  <c r="H117" i="39"/>
  <c r="H118" i="39"/>
  <c r="H119" i="39"/>
  <c r="H120" i="39"/>
  <c r="H121" i="39"/>
  <c r="H122" i="39"/>
  <c r="H123" i="39"/>
  <c r="H124" i="39"/>
  <c r="H125" i="39"/>
  <c r="H126" i="39"/>
  <c r="H127" i="39"/>
  <c r="H128" i="39"/>
  <c r="H129" i="39"/>
  <c r="H130" i="39"/>
  <c r="H131" i="39"/>
  <c r="H132" i="39"/>
  <c r="H133" i="39"/>
  <c r="H134" i="39"/>
  <c r="H135" i="39"/>
  <c r="H136" i="39"/>
  <c r="H137" i="39"/>
  <c r="H138" i="39"/>
  <c r="H139" i="39"/>
  <c r="H140" i="39"/>
  <c r="H141" i="39"/>
  <c r="H142" i="39"/>
  <c r="H143" i="39"/>
  <c r="H144" i="39"/>
  <c r="H145" i="39"/>
  <c r="H146" i="39"/>
  <c r="H147" i="39"/>
  <c r="H148" i="39"/>
  <c r="H149" i="39"/>
  <c r="H150" i="39"/>
  <c r="H151" i="39"/>
  <c r="H152" i="39"/>
  <c r="H153" i="39"/>
  <c r="H154" i="39"/>
  <c r="H155" i="39"/>
  <c r="H156" i="39"/>
  <c r="H157" i="39"/>
  <c r="H158" i="39"/>
  <c r="H159" i="39"/>
  <c r="H160" i="39"/>
  <c r="H161" i="39"/>
  <c r="H162" i="39"/>
  <c r="H163" i="39"/>
  <c r="H164" i="39"/>
  <c r="H165" i="39"/>
  <c r="H166" i="39"/>
  <c r="H167" i="39"/>
  <c r="H168" i="39"/>
  <c r="H169" i="39"/>
  <c r="H170" i="39"/>
  <c r="H171" i="39"/>
  <c r="H172" i="39"/>
  <c r="H173" i="39"/>
  <c r="H174" i="39"/>
  <c r="H175" i="39"/>
  <c r="H176" i="39"/>
  <c r="H177" i="39"/>
  <c r="H178" i="39"/>
  <c r="H179" i="39"/>
  <c r="H180" i="39"/>
  <c r="H181" i="39"/>
  <c r="H182" i="39"/>
  <c r="H183" i="39"/>
  <c r="H184" i="39"/>
  <c r="H185" i="39"/>
  <c r="H186" i="39"/>
  <c r="H187" i="39"/>
  <c r="H188" i="39"/>
  <c r="H189" i="39"/>
  <c r="H190" i="39"/>
  <c r="H191" i="39"/>
  <c r="H192" i="39"/>
  <c r="H193" i="39"/>
  <c r="H194" i="39"/>
  <c r="H195" i="39"/>
  <c r="H196" i="39"/>
  <c r="H197" i="39"/>
  <c r="H198" i="39"/>
  <c r="H199" i="39"/>
  <c r="H200" i="39"/>
  <c r="H201" i="39"/>
  <c r="H202" i="39"/>
  <c r="H203" i="39"/>
  <c r="H204" i="39"/>
  <c r="H205" i="39"/>
  <c r="H206" i="39"/>
  <c r="H207" i="39"/>
  <c r="H208" i="39"/>
  <c r="H209" i="39"/>
  <c r="H210" i="39"/>
  <c r="H211" i="39"/>
  <c r="H212" i="39"/>
  <c r="H213" i="39"/>
  <c r="H214" i="39"/>
  <c r="H215" i="39"/>
  <c r="H216" i="39"/>
  <c r="H217" i="39"/>
  <c r="H218" i="39"/>
  <c r="H219" i="39"/>
  <c r="H220" i="39"/>
  <c r="H221" i="39"/>
  <c r="H222" i="39"/>
  <c r="H223" i="39"/>
  <c r="H224" i="39"/>
  <c r="H225" i="39"/>
  <c r="H226" i="39"/>
  <c r="H227" i="39"/>
  <c r="H228" i="39"/>
  <c r="H229" i="39"/>
  <c r="H230" i="39"/>
  <c r="H231" i="39"/>
  <c r="H232" i="39"/>
  <c r="H233" i="39"/>
  <c r="H234" i="39"/>
  <c r="H235" i="39"/>
  <c r="H236" i="39"/>
  <c r="H237" i="39"/>
  <c r="H238" i="39"/>
  <c r="H239" i="39"/>
  <c r="H240" i="39"/>
  <c r="H241" i="39"/>
  <c r="H242" i="39"/>
  <c r="H243" i="39"/>
  <c r="H244" i="39"/>
  <c r="H245" i="39"/>
  <c r="H246" i="39"/>
  <c r="H247" i="39"/>
  <c r="H248" i="39"/>
  <c r="H249" i="39"/>
  <c r="H250" i="39"/>
  <c r="H251" i="39"/>
  <c r="H252" i="39"/>
  <c r="H253" i="39"/>
  <c r="H254" i="39"/>
  <c r="H255" i="39"/>
  <c r="H256" i="39"/>
  <c r="H257" i="39"/>
  <c r="H258" i="39"/>
  <c r="H259" i="39"/>
  <c r="H260" i="39"/>
  <c r="H261" i="39"/>
  <c r="H262" i="39"/>
  <c r="H263" i="39"/>
  <c r="H264" i="39"/>
  <c r="H265" i="39"/>
  <c r="H266" i="39"/>
  <c r="H267" i="39"/>
  <c r="H268" i="39"/>
  <c r="H269" i="39"/>
  <c r="H270" i="39"/>
  <c r="H271" i="39"/>
  <c r="H272" i="39"/>
  <c r="H273" i="39"/>
  <c r="H274" i="39"/>
  <c r="H275" i="39"/>
  <c r="H276" i="39"/>
  <c r="H277" i="39"/>
  <c r="H278" i="39"/>
  <c r="H279" i="39"/>
  <c r="H280" i="39"/>
  <c r="H281" i="39"/>
  <c r="H282" i="39"/>
  <c r="H283" i="39"/>
  <c r="H284" i="39"/>
  <c r="H285" i="39"/>
  <c r="H286" i="39"/>
  <c r="H287" i="39"/>
  <c r="H288" i="39"/>
  <c r="H289" i="39"/>
  <c r="H290" i="39"/>
  <c r="H291" i="39"/>
  <c r="H292" i="39"/>
  <c r="H293" i="39"/>
  <c r="H294" i="39"/>
  <c r="H295" i="39"/>
  <c r="H296" i="39"/>
  <c r="H297" i="39"/>
  <c r="H298" i="39"/>
  <c r="H299" i="39"/>
  <c r="H300" i="39"/>
  <c r="H301" i="39"/>
  <c r="H302" i="39"/>
  <c r="H303" i="39"/>
  <c r="H304" i="39"/>
  <c r="H305" i="39"/>
  <c r="H306" i="39"/>
  <c r="H307" i="39"/>
  <c r="H308" i="39"/>
  <c r="H309" i="39"/>
  <c r="H310" i="39"/>
  <c r="H311" i="39"/>
  <c r="H312" i="39"/>
  <c r="H313" i="39"/>
  <c r="H314" i="39"/>
  <c r="H315" i="39"/>
  <c r="H316" i="39"/>
  <c r="H317" i="39"/>
  <c r="H318" i="39"/>
  <c r="H319" i="39"/>
  <c r="H320" i="39"/>
  <c r="H321" i="39"/>
  <c r="H322" i="39"/>
  <c r="H323" i="39"/>
  <c r="H324" i="39"/>
  <c r="H325" i="39"/>
  <c r="H326" i="39"/>
  <c r="H327" i="39"/>
  <c r="H328" i="39"/>
  <c r="H329" i="39"/>
  <c r="H330" i="39"/>
  <c r="H331" i="39"/>
  <c r="H332" i="39"/>
  <c r="H333" i="39"/>
  <c r="H334" i="39"/>
  <c r="H335" i="39"/>
  <c r="H336" i="39"/>
  <c r="H337" i="39"/>
  <c r="H338" i="39"/>
  <c r="H339" i="39"/>
  <c r="H340" i="39"/>
  <c r="H341" i="39"/>
  <c r="H342" i="39"/>
  <c r="H343" i="39"/>
  <c r="H344" i="39"/>
  <c r="H345" i="39"/>
  <c r="H346" i="39"/>
  <c r="H347" i="39"/>
  <c r="H348" i="39"/>
  <c r="H349" i="39"/>
  <c r="H350" i="39"/>
  <c r="H351" i="39"/>
  <c r="H352" i="39"/>
  <c r="H353" i="39"/>
  <c r="H354" i="39"/>
  <c r="H355" i="39"/>
  <c r="H356" i="39"/>
  <c r="H357" i="39"/>
  <c r="H358" i="39"/>
  <c r="H359" i="39"/>
  <c r="H360" i="39"/>
  <c r="H361" i="39"/>
  <c r="H362" i="39"/>
  <c r="H363" i="39"/>
  <c r="H364" i="39"/>
  <c r="H365" i="39"/>
  <c r="H366" i="39"/>
  <c r="H367" i="39"/>
  <c r="H368" i="39"/>
  <c r="H369" i="39"/>
  <c r="H370" i="39"/>
  <c r="H371" i="39"/>
  <c r="H372" i="39"/>
  <c r="H373" i="39"/>
  <c r="H374" i="39"/>
  <c r="H375" i="39"/>
  <c r="H376" i="39"/>
  <c r="H377" i="39"/>
  <c r="H378" i="39"/>
  <c r="H379" i="39"/>
  <c r="H380" i="39"/>
  <c r="H381" i="39"/>
  <c r="H382" i="39"/>
  <c r="H383" i="39"/>
  <c r="H384" i="39"/>
  <c r="H385" i="39"/>
  <c r="H386" i="39"/>
  <c r="H387" i="39"/>
  <c r="H388" i="39"/>
  <c r="H389" i="39"/>
  <c r="H390" i="39"/>
  <c r="H391" i="39"/>
  <c r="H392" i="39"/>
  <c r="H393" i="39"/>
  <c r="H394" i="39"/>
  <c r="H395" i="39"/>
  <c r="H396" i="39"/>
  <c r="H397" i="39"/>
  <c r="H398" i="39"/>
  <c r="H399" i="39"/>
  <c r="H400" i="39"/>
  <c r="H401" i="39"/>
  <c r="M124" i="39"/>
  <c r="M4" i="39"/>
  <c r="M6" i="39"/>
  <c r="M7" i="39"/>
  <c r="M8" i="39"/>
  <c r="M9" i="39"/>
  <c r="M10" i="39"/>
  <c r="M11" i="39"/>
  <c r="M12" i="39"/>
  <c r="M13" i="39"/>
  <c r="M14" i="39"/>
  <c r="M15" i="39"/>
  <c r="M16" i="39"/>
  <c r="M17" i="39"/>
  <c r="M18" i="39"/>
  <c r="M19" i="39"/>
  <c r="M20" i="39"/>
  <c r="M21" i="39"/>
  <c r="M22" i="39"/>
  <c r="M23" i="39"/>
  <c r="M24" i="39"/>
  <c r="M25" i="39"/>
  <c r="M26" i="39"/>
  <c r="M27" i="39"/>
  <c r="M28" i="39"/>
  <c r="M29" i="39"/>
  <c r="M30" i="39"/>
  <c r="M31" i="39"/>
  <c r="M32" i="39"/>
  <c r="M33" i="39"/>
  <c r="M34" i="39"/>
  <c r="M35" i="39"/>
  <c r="M36" i="39"/>
  <c r="M37" i="39"/>
  <c r="M38" i="39"/>
  <c r="M39" i="39"/>
  <c r="M40" i="39"/>
  <c r="M41" i="39"/>
  <c r="M42" i="39"/>
  <c r="M43" i="39"/>
  <c r="M44" i="39"/>
  <c r="M46" i="39"/>
  <c r="M48" i="39"/>
  <c r="M50" i="39"/>
  <c r="M52" i="39"/>
  <c r="M54" i="39"/>
  <c r="M56" i="39"/>
  <c r="M57" i="39"/>
  <c r="M58" i="39"/>
  <c r="M59" i="39"/>
  <c r="M60" i="39"/>
  <c r="M62" i="39"/>
  <c r="M63" i="39"/>
  <c r="M65" i="39"/>
  <c r="M68" i="39"/>
  <c r="M69" i="39"/>
  <c r="M70" i="39"/>
  <c r="M71" i="39"/>
  <c r="M73" i="39"/>
  <c r="M74" i="39"/>
  <c r="M75" i="39"/>
  <c r="M76" i="39"/>
  <c r="M78" i="39"/>
  <c r="M79" i="39"/>
  <c r="M81" i="39"/>
  <c r="M82" i="39"/>
  <c r="M84" i="39"/>
  <c r="M86" i="39"/>
  <c r="M88" i="39"/>
  <c r="M89" i="39"/>
  <c r="M90" i="39"/>
  <c r="M91" i="39"/>
  <c r="M92" i="39"/>
  <c r="M93" i="39"/>
  <c r="M94" i="39"/>
  <c r="M95" i="39"/>
  <c r="M96" i="39"/>
  <c r="M97" i="39"/>
  <c r="M98" i="39"/>
  <c r="M99" i="39"/>
  <c r="M100" i="39"/>
  <c r="M101" i="39"/>
  <c r="M102" i="39"/>
  <c r="M103" i="39"/>
  <c r="M104" i="39"/>
  <c r="M105" i="39"/>
  <c r="M106" i="39"/>
  <c r="M107" i="39"/>
  <c r="M108" i="39"/>
  <c r="M109" i="39"/>
  <c r="M110" i="39"/>
  <c r="M111" i="39"/>
  <c r="M112" i="39"/>
  <c r="M113" i="39"/>
  <c r="M114" i="39"/>
  <c r="M115" i="39"/>
  <c r="M116" i="39"/>
  <c r="M117" i="39"/>
  <c r="M118" i="39"/>
  <c r="M119" i="39"/>
  <c r="M120" i="39"/>
  <c r="M121" i="39"/>
  <c r="M122" i="39"/>
  <c r="M123" i="39"/>
  <c r="M125" i="39"/>
  <c r="M126" i="39"/>
  <c r="M127" i="39"/>
  <c r="M128" i="39"/>
  <c r="M129" i="39"/>
  <c r="M130" i="39"/>
  <c r="M131" i="39"/>
  <c r="M132" i="39"/>
  <c r="M133" i="39"/>
  <c r="M134" i="39"/>
  <c r="M135" i="39"/>
  <c r="M136" i="39"/>
  <c r="M137" i="39"/>
  <c r="M138" i="39"/>
  <c r="M139" i="39"/>
  <c r="M140" i="39"/>
  <c r="M141" i="39"/>
  <c r="M142" i="39"/>
  <c r="M143" i="39"/>
  <c r="M144" i="39"/>
  <c r="M145" i="39"/>
  <c r="M146" i="39"/>
  <c r="M147" i="39"/>
  <c r="M148" i="39"/>
  <c r="M149" i="39"/>
  <c r="M150" i="39"/>
  <c r="M151" i="39"/>
  <c r="M152" i="39"/>
  <c r="M153" i="39"/>
  <c r="M154" i="39"/>
  <c r="M155" i="39"/>
  <c r="M156" i="39"/>
  <c r="M157" i="39"/>
  <c r="M158" i="39"/>
  <c r="M159" i="39"/>
  <c r="M160" i="39"/>
  <c r="M161" i="39"/>
  <c r="M162" i="39"/>
  <c r="M163" i="39"/>
  <c r="M164" i="39"/>
  <c r="M165" i="39"/>
  <c r="M166" i="39"/>
  <c r="M167" i="39"/>
  <c r="M168" i="39"/>
  <c r="M169" i="39"/>
  <c r="M170" i="39"/>
  <c r="M171" i="39"/>
  <c r="M172" i="39"/>
  <c r="M173" i="39"/>
  <c r="M174" i="39"/>
  <c r="M175" i="39"/>
  <c r="M176" i="39"/>
  <c r="M177" i="39"/>
  <c r="M178" i="39"/>
  <c r="M179" i="39"/>
  <c r="M180" i="39"/>
  <c r="M181" i="39"/>
  <c r="M182" i="39"/>
  <c r="M183" i="39"/>
  <c r="M184" i="39"/>
  <c r="M185" i="39"/>
  <c r="M186" i="39"/>
  <c r="M187" i="39"/>
  <c r="M188" i="39"/>
  <c r="M189" i="39"/>
  <c r="M190" i="39"/>
  <c r="M191" i="39"/>
  <c r="M192" i="39"/>
  <c r="M193" i="39"/>
  <c r="M194" i="39"/>
  <c r="M195" i="39"/>
  <c r="M196" i="39"/>
  <c r="M197" i="39"/>
  <c r="M198" i="39"/>
  <c r="M199" i="39"/>
  <c r="M200" i="39"/>
  <c r="M201" i="39"/>
  <c r="M202" i="39"/>
  <c r="M203" i="39"/>
  <c r="M204" i="39"/>
  <c r="M205" i="39"/>
  <c r="M206" i="39"/>
  <c r="M207" i="39"/>
  <c r="M208" i="39"/>
  <c r="M209" i="39"/>
  <c r="M210" i="39"/>
  <c r="M211" i="39"/>
  <c r="M212" i="39"/>
  <c r="M213" i="39"/>
  <c r="M214" i="39"/>
  <c r="M215" i="39"/>
  <c r="M216" i="39"/>
  <c r="M217" i="39"/>
  <c r="M218" i="39"/>
  <c r="M219" i="39"/>
  <c r="M220" i="39"/>
  <c r="M221" i="39"/>
  <c r="M222" i="39"/>
  <c r="M223" i="39"/>
  <c r="M224" i="39"/>
  <c r="M225" i="39"/>
  <c r="M226" i="39"/>
  <c r="M227" i="39"/>
  <c r="M228" i="39"/>
  <c r="M229" i="39"/>
  <c r="M230" i="39"/>
  <c r="M231" i="39"/>
  <c r="M232" i="39"/>
  <c r="M233" i="39"/>
  <c r="M234" i="39"/>
  <c r="M235" i="39"/>
  <c r="M236" i="39"/>
  <c r="M237" i="39"/>
  <c r="M238" i="39"/>
  <c r="M239" i="39"/>
  <c r="M240" i="39"/>
  <c r="M241" i="39"/>
  <c r="M242" i="39"/>
  <c r="M243" i="39"/>
  <c r="M244" i="39"/>
  <c r="M245" i="39"/>
  <c r="M246" i="39"/>
  <c r="M247" i="39"/>
  <c r="M248" i="39"/>
  <c r="M249" i="39"/>
  <c r="M250" i="39"/>
  <c r="M251" i="39"/>
  <c r="M252" i="39"/>
  <c r="M253" i="39"/>
  <c r="M254" i="39"/>
  <c r="M255" i="39"/>
  <c r="M256" i="39"/>
  <c r="M257" i="39"/>
  <c r="M258" i="39"/>
  <c r="M259" i="39"/>
  <c r="M260" i="39"/>
  <c r="M261" i="39"/>
  <c r="M262" i="39"/>
  <c r="M263" i="39"/>
  <c r="M264" i="39"/>
  <c r="M265" i="39"/>
  <c r="M266" i="39"/>
  <c r="M267" i="39"/>
  <c r="M268" i="39"/>
  <c r="M269" i="39"/>
  <c r="M270" i="39"/>
  <c r="M271" i="39"/>
  <c r="M272" i="39"/>
  <c r="M273" i="39"/>
  <c r="M274" i="39"/>
  <c r="M275" i="39"/>
  <c r="M276" i="39"/>
  <c r="M277" i="39"/>
  <c r="M278" i="39"/>
  <c r="M279" i="39"/>
  <c r="M280" i="39"/>
  <c r="M281" i="39"/>
  <c r="M282" i="39"/>
  <c r="M283" i="39"/>
  <c r="M284" i="39"/>
  <c r="M285" i="39"/>
  <c r="M286" i="39"/>
  <c r="M287" i="39"/>
  <c r="M288" i="39"/>
  <c r="M289" i="39"/>
  <c r="M290" i="39"/>
  <c r="M291" i="39"/>
  <c r="M292" i="39"/>
  <c r="M293" i="39"/>
  <c r="M294" i="39"/>
  <c r="M295" i="39"/>
  <c r="M296" i="39"/>
  <c r="M297" i="39"/>
  <c r="M298" i="39"/>
  <c r="M299" i="39"/>
  <c r="M300" i="39"/>
  <c r="M301" i="39"/>
  <c r="M302" i="39"/>
  <c r="M303" i="39"/>
  <c r="M304" i="39"/>
  <c r="M305" i="39"/>
  <c r="M306" i="39"/>
  <c r="M307" i="39"/>
  <c r="M308" i="39"/>
  <c r="M309" i="39"/>
  <c r="M310" i="39"/>
  <c r="M311" i="39"/>
  <c r="M312" i="39"/>
  <c r="M313" i="39"/>
  <c r="M314" i="39"/>
  <c r="M315" i="39"/>
  <c r="M316" i="39"/>
  <c r="M317" i="39"/>
  <c r="M318" i="39"/>
  <c r="M319" i="39"/>
  <c r="M320" i="39"/>
  <c r="M321" i="39"/>
  <c r="M322" i="39"/>
  <c r="M323" i="39"/>
  <c r="M324" i="39"/>
  <c r="M325" i="39"/>
  <c r="M326" i="39"/>
  <c r="M327" i="39"/>
  <c r="M328" i="39"/>
  <c r="M329" i="39"/>
  <c r="M330" i="39"/>
  <c r="M331" i="39"/>
  <c r="M332" i="39"/>
  <c r="M333" i="39"/>
  <c r="M334" i="39"/>
  <c r="M335" i="39"/>
  <c r="M336" i="39"/>
  <c r="M337" i="39"/>
  <c r="M338" i="39"/>
  <c r="M339" i="39"/>
  <c r="M340" i="39"/>
  <c r="M341" i="39"/>
  <c r="M342" i="39"/>
  <c r="M343" i="39"/>
  <c r="M344" i="39"/>
  <c r="M345" i="39"/>
  <c r="M346" i="39"/>
  <c r="M347" i="39"/>
  <c r="M348" i="39"/>
  <c r="M349" i="39"/>
  <c r="M350" i="39"/>
  <c r="M351" i="39"/>
  <c r="M352" i="39"/>
  <c r="M353" i="39"/>
  <c r="M354" i="39"/>
  <c r="M355" i="39"/>
  <c r="M356" i="39"/>
  <c r="M357" i="39"/>
  <c r="M358" i="39"/>
  <c r="M359" i="39"/>
  <c r="M360" i="39"/>
  <c r="M361" i="39"/>
  <c r="M362" i="39"/>
  <c r="M363" i="39"/>
  <c r="M364" i="39"/>
  <c r="M365" i="39"/>
  <c r="M366" i="39"/>
  <c r="M367" i="39"/>
  <c r="M368" i="39"/>
  <c r="M369" i="39"/>
  <c r="M370" i="39"/>
  <c r="M371" i="39"/>
  <c r="M372" i="39"/>
  <c r="M373" i="39"/>
  <c r="M374" i="39"/>
  <c r="M375" i="39"/>
  <c r="M376" i="39"/>
  <c r="M377" i="39"/>
  <c r="M378" i="39"/>
  <c r="M379" i="39"/>
  <c r="M380" i="39"/>
  <c r="M381" i="39"/>
  <c r="M382" i="39"/>
  <c r="M383" i="39"/>
  <c r="M384" i="39"/>
  <c r="M385" i="39"/>
  <c r="M386" i="39"/>
  <c r="M387" i="39"/>
  <c r="M388" i="39"/>
  <c r="M389" i="39"/>
  <c r="M390" i="39"/>
  <c r="M391" i="39"/>
  <c r="M392" i="39"/>
  <c r="M393" i="39"/>
  <c r="M394" i="39"/>
  <c r="M395" i="39"/>
  <c r="M396" i="39"/>
  <c r="M397" i="39"/>
  <c r="M398" i="39"/>
  <c r="M399" i="39"/>
  <c r="M400" i="39"/>
  <c r="M401" i="39"/>
  <c r="M3" i="39"/>
  <c r="E6" i="39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6" i="39"/>
  <c r="E48" i="39"/>
  <c r="E50" i="39"/>
  <c r="E52" i="39"/>
  <c r="E54" i="39"/>
  <c r="E56" i="39"/>
  <c r="E57" i="39"/>
  <c r="E58" i="39"/>
  <c r="E59" i="39"/>
  <c r="E60" i="39"/>
  <c r="E62" i="39"/>
  <c r="E81" i="39"/>
  <c r="E82" i="39"/>
  <c r="E84" i="39"/>
  <c r="E86" i="39"/>
  <c r="E88" i="39"/>
  <c r="E89" i="39"/>
  <c r="E90" i="39"/>
  <c r="E91" i="39"/>
  <c r="E92" i="39"/>
  <c r="E93" i="39"/>
  <c r="E94" i="39"/>
  <c r="E95" i="39"/>
  <c r="E96" i="39"/>
  <c r="E97" i="39"/>
  <c r="E98" i="39"/>
  <c r="E99" i="39"/>
  <c r="E100" i="39"/>
  <c r="E101" i="39"/>
  <c r="E102" i="39"/>
  <c r="E103" i="39"/>
  <c r="E104" i="39"/>
  <c r="E105" i="39"/>
  <c r="E106" i="39"/>
  <c r="E107" i="39"/>
  <c r="E108" i="39"/>
  <c r="E109" i="39"/>
  <c r="E110" i="39"/>
  <c r="E111" i="39"/>
  <c r="E112" i="39"/>
  <c r="E113" i="39"/>
  <c r="E114" i="39"/>
  <c r="E115" i="39"/>
  <c r="E116" i="39"/>
  <c r="E117" i="39"/>
  <c r="E118" i="39"/>
  <c r="E119" i="39"/>
  <c r="E120" i="39"/>
  <c r="E121" i="39"/>
  <c r="E122" i="39"/>
  <c r="E123" i="39"/>
  <c r="E124" i="39"/>
  <c r="E125" i="39"/>
  <c r="E126" i="39"/>
  <c r="E127" i="39"/>
  <c r="E128" i="39"/>
  <c r="E129" i="39"/>
  <c r="E130" i="39"/>
  <c r="E131" i="39"/>
  <c r="E132" i="39"/>
  <c r="E133" i="39"/>
  <c r="E134" i="39"/>
  <c r="E135" i="39"/>
  <c r="E136" i="39"/>
  <c r="E137" i="39"/>
  <c r="E138" i="39"/>
  <c r="E139" i="39"/>
  <c r="E140" i="39"/>
  <c r="E141" i="39"/>
  <c r="E142" i="39"/>
  <c r="E143" i="39"/>
  <c r="E144" i="39"/>
  <c r="E145" i="39"/>
  <c r="E146" i="39"/>
  <c r="E147" i="39"/>
  <c r="E148" i="39"/>
  <c r="E149" i="39"/>
  <c r="E150" i="39"/>
  <c r="E151" i="39"/>
  <c r="E152" i="39"/>
  <c r="E153" i="39"/>
  <c r="E154" i="39"/>
  <c r="E155" i="39"/>
  <c r="E156" i="39"/>
  <c r="E157" i="39"/>
  <c r="E158" i="39"/>
  <c r="E159" i="39"/>
  <c r="E160" i="39"/>
  <c r="E161" i="39"/>
  <c r="E162" i="39"/>
  <c r="E163" i="39"/>
  <c r="E164" i="39"/>
  <c r="E165" i="39"/>
  <c r="E166" i="39"/>
  <c r="E167" i="39"/>
  <c r="E168" i="39"/>
  <c r="E169" i="39"/>
  <c r="E170" i="39"/>
  <c r="E171" i="39"/>
  <c r="E172" i="39"/>
  <c r="E173" i="39"/>
  <c r="E174" i="39"/>
  <c r="E175" i="39"/>
  <c r="E176" i="39"/>
  <c r="E177" i="39"/>
  <c r="E178" i="39"/>
  <c r="E179" i="39"/>
  <c r="E180" i="39"/>
  <c r="E181" i="39"/>
  <c r="E182" i="39"/>
  <c r="E183" i="39"/>
  <c r="E184" i="39"/>
  <c r="E185" i="39"/>
  <c r="E186" i="39"/>
  <c r="E187" i="39"/>
  <c r="E188" i="39"/>
  <c r="E189" i="39"/>
  <c r="E190" i="39"/>
  <c r="E191" i="39"/>
  <c r="E192" i="39"/>
  <c r="E193" i="39"/>
  <c r="E194" i="39"/>
  <c r="E195" i="39"/>
  <c r="E196" i="39"/>
  <c r="E197" i="39"/>
  <c r="E198" i="39"/>
  <c r="E199" i="39"/>
  <c r="E200" i="39"/>
  <c r="E201" i="39"/>
  <c r="E202" i="39"/>
  <c r="E203" i="39"/>
  <c r="E204" i="39"/>
  <c r="E205" i="39"/>
  <c r="E206" i="39"/>
  <c r="E207" i="39"/>
  <c r="E208" i="39"/>
  <c r="E209" i="39"/>
  <c r="E210" i="39"/>
  <c r="E211" i="39"/>
  <c r="E212" i="39"/>
  <c r="E213" i="39"/>
  <c r="E214" i="39"/>
  <c r="E215" i="39"/>
  <c r="E216" i="39"/>
  <c r="E217" i="39"/>
  <c r="E218" i="39"/>
  <c r="E219" i="39"/>
  <c r="E220" i="39"/>
  <c r="E221" i="39"/>
  <c r="E222" i="39"/>
  <c r="E223" i="39"/>
  <c r="E224" i="39"/>
  <c r="E225" i="39"/>
  <c r="E226" i="39"/>
  <c r="E227" i="39"/>
  <c r="E228" i="39"/>
  <c r="E229" i="39"/>
  <c r="E230" i="39"/>
  <c r="E231" i="39"/>
  <c r="E232" i="39"/>
  <c r="E233" i="39"/>
  <c r="E234" i="39"/>
  <c r="E235" i="39"/>
  <c r="E236" i="39"/>
  <c r="E237" i="39"/>
  <c r="E238" i="39"/>
  <c r="E239" i="39"/>
  <c r="E240" i="39"/>
  <c r="E241" i="39"/>
  <c r="E242" i="39"/>
  <c r="E243" i="39"/>
  <c r="E244" i="39"/>
  <c r="E245" i="39"/>
  <c r="E246" i="39"/>
  <c r="E247" i="39"/>
  <c r="E248" i="39"/>
  <c r="E249" i="39"/>
  <c r="E250" i="39"/>
  <c r="E251" i="39"/>
  <c r="E252" i="39"/>
  <c r="E253" i="39"/>
  <c r="E254" i="39"/>
  <c r="E255" i="39"/>
  <c r="E256" i="39"/>
  <c r="E257" i="39"/>
  <c r="E258" i="39"/>
  <c r="E259" i="39"/>
  <c r="E260" i="39"/>
  <c r="E261" i="39"/>
  <c r="E262" i="39"/>
  <c r="E263" i="39"/>
  <c r="E264" i="39"/>
  <c r="E265" i="39"/>
  <c r="E266" i="39"/>
  <c r="E267" i="39"/>
  <c r="E268" i="39"/>
  <c r="E269" i="39"/>
  <c r="E270" i="39"/>
  <c r="E271" i="39"/>
  <c r="E272" i="39"/>
  <c r="E273" i="39"/>
  <c r="E274" i="39"/>
  <c r="E275" i="39"/>
  <c r="E276" i="39"/>
  <c r="E277" i="39"/>
  <c r="E278" i="39"/>
  <c r="E279" i="39"/>
  <c r="E280" i="39"/>
  <c r="E281" i="39"/>
  <c r="E282" i="39"/>
  <c r="E283" i="39"/>
  <c r="E284" i="39"/>
  <c r="E285" i="39"/>
  <c r="E286" i="39"/>
  <c r="E287" i="39"/>
  <c r="E288" i="39"/>
  <c r="E289" i="39"/>
  <c r="E290" i="39"/>
  <c r="E291" i="39"/>
  <c r="E292" i="39"/>
  <c r="E293" i="39"/>
  <c r="E294" i="39"/>
  <c r="E295" i="39"/>
  <c r="E296" i="39"/>
  <c r="E297" i="39"/>
  <c r="E298" i="39"/>
  <c r="E299" i="39"/>
  <c r="E300" i="39"/>
  <c r="E301" i="39"/>
  <c r="E302" i="39"/>
  <c r="E303" i="39"/>
  <c r="E304" i="39"/>
  <c r="E305" i="39"/>
  <c r="E306" i="39"/>
  <c r="E307" i="39"/>
  <c r="E308" i="39"/>
  <c r="E309" i="39"/>
  <c r="E310" i="39"/>
  <c r="E311" i="39"/>
  <c r="E312" i="39"/>
  <c r="E313" i="39"/>
  <c r="E314" i="39"/>
  <c r="E315" i="39"/>
  <c r="E316" i="39"/>
  <c r="E317" i="39"/>
  <c r="E318" i="39"/>
  <c r="E319" i="39"/>
  <c r="E320" i="39"/>
  <c r="E321" i="39"/>
  <c r="E322" i="39"/>
  <c r="E323" i="39"/>
  <c r="E324" i="39"/>
  <c r="E325" i="39"/>
  <c r="E326" i="39"/>
  <c r="E327" i="39"/>
  <c r="E328" i="39"/>
  <c r="E329" i="39"/>
  <c r="E330" i="39"/>
  <c r="E331" i="39"/>
  <c r="E332" i="39"/>
  <c r="E333" i="39"/>
  <c r="E334" i="39"/>
  <c r="E335" i="39"/>
  <c r="E336" i="39"/>
  <c r="E337" i="39"/>
  <c r="E338" i="39"/>
  <c r="E339" i="39"/>
  <c r="E340" i="39"/>
  <c r="E341" i="39"/>
  <c r="E342" i="39"/>
  <c r="E343" i="39"/>
  <c r="E344" i="39"/>
  <c r="E345" i="39"/>
  <c r="E346" i="39"/>
  <c r="E347" i="39"/>
  <c r="E348" i="39"/>
  <c r="E349" i="39"/>
  <c r="E350" i="39"/>
  <c r="E351" i="39"/>
  <c r="E352" i="39"/>
  <c r="E353" i="39"/>
  <c r="E354" i="39"/>
  <c r="E355" i="39"/>
  <c r="E356" i="39"/>
  <c r="E357" i="39"/>
  <c r="E358" i="39"/>
  <c r="E359" i="39"/>
  <c r="E360" i="39"/>
  <c r="E361" i="39"/>
  <c r="E362" i="39"/>
  <c r="E363" i="39"/>
  <c r="E364" i="39"/>
  <c r="E365" i="39"/>
  <c r="E366" i="39"/>
  <c r="E367" i="39"/>
  <c r="E368" i="39"/>
  <c r="E369" i="39"/>
  <c r="E370" i="39"/>
  <c r="E371" i="39"/>
  <c r="E372" i="39"/>
  <c r="E373" i="39"/>
  <c r="E374" i="39"/>
  <c r="E375" i="39"/>
  <c r="E376" i="39"/>
  <c r="E377" i="39"/>
  <c r="E378" i="39"/>
  <c r="E379" i="39"/>
  <c r="E380" i="39"/>
  <c r="E381" i="39"/>
  <c r="E382" i="39"/>
  <c r="E383" i="39"/>
  <c r="E384" i="39"/>
  <c r="E385" i="39"/>
  <c r="E386" i="39"/>
  <c r="E387" i="39"/>
  <c r="E388" i="39"/>
  <c r="E389" i="39"/>
  <c r="E390" i="39"/>
  <c r="E391" i="39"/>
  <c r="E392" i="39"/>
  <c r="E393" i="39"/>
  <c r="E394" i="39"/>
  <c r="E395" i="39"/>
  <c r="E396" i="39"/>
  <c r="E397" i="39"/>
  <c r="E398" i="39"/>
  <c r="E399" i="39"/>
  <c r="E400" i="39"/>
  <c r="E401" i="39"/>
  <c r="E3" i="39"/>
  <c r="H12" i="39"/>
  <c r="H11" i="39"/>
  <c r="H10" i="39"/>
  <c r="H9" i="39"/>
  <c r="H8" i="39"/>
  <c r="H7" i="39"/>
  <c r="H6" i="39"/>
  <c r="H4" i="39"/>
  <c r="H3" i="39"/>
  <c r="B4" i="39"/>
  <c r="E4" i="39" s="1"/>
  <c r="A3" i="39"/>
  <c r="A4" i="39" s="1"/>
  <c r="A6" i="39" s="1"/>
  <c r="A7" i="39" s="1"/>
  <c r="A8" i="39" s="1"/>
  <c r="A9" i="39" s="1"/>
  <c r="A10" i="39" s="1"/>
  <c r="A11" i="39" s="1"/>
  <c r="A12" i="39" s="1"/>
  <c r="F2" i="39"/>
  <c r="F18" i="41" l="1"/>
  <c r="G18" i="41" s="1"/>
  <c r="H18" i="41" s="1"/>
  <c r="I18" i="41" s="1"/>
  <c r="J18" i="41" s="1"/>
  <c r="K18" i="41" s="1"/>
  <c r="L18" i="41" s="1"/>
  <c r="M18" i="41" s="1"/>
  <c r="N18" i="41" s="1"/>
  <c r="O18" i="41" s="1"/>
  <c r="P18" i="41" s="1"/>
  <c r="Q18" i="41" s="1"/>
  <c r="R18" i="41" s="1"/>
  <c r="S18" i="41" s="1"/>
  <c r="T18" i="41" s="1"/>
  <c r="U18" i="41" s="1"/>
  <c r="V18" i="41" s="1"/>
  <c r="W18" i="41" s="1"/>
  <c r="X18" i="41" s="1"/>
  <c r="Y18" i="41" s="1"/>
  <c r="Z18" i="41" s="1"/>
  <c r="AA18" i="41" s="1"/>
  <c r="AB18" i="41" s="1"/>
  <c r="AC18" i="41" s="1"/>
  <c r="AD18" i="41" s="1"/>
  <c r="AE18" i="41" s="1"/>
  <c r="AF18" i="41" s="1"/>
  <c r="AG18" i="41" s="1"/>
  <c r="AH18" i="41" s="1"/>
  <c r="AI18" i="41" s="1"/>
  <c r="AJ18" i="41" s="1"/>
  <c r="AK18" i="41" s="1"/>
  <c r="AL18" i="41" s="1"/>
  <c r="AM18" i="41" s="1"/>
  <c r="AN18" i="41" s="1"/>
  <c r="AO18" i="41" s="1"/>
  <c r="AP18" i="41" s="1"/>
  <c r="AQ18" i="41" s="1"/>
  <c r="AR18" i="41" s="1"/>
  <c r="AS18" i="41" s="1"/>
  <c r="AT18" i="41" s="1"/>
  <c r="AU18" i="41" s="1"/>
  <c r="AV18" i="41" s="1"/>
  <c r="AW18" i="41" s="1"/>
  <c r="AX18" i="41" s="1"/>
  <c r="AY18" i="41" s="1"/>
  <c r="AZ18" i="41" s="1"/>
  <c r="BA18" i="41" s="1"/>
  <c r="A13" i="39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6" i="39" s="1"/>
  <c r="A48" i="39" s="1"/>
  <c r="A50" i="39" s="1"/>
  <c r="A52" i="39" s="1"/>
  <c r="A54" i="39" s="1"/>
  <c r="A56" i="39" s="1"/>
  <c r="A57" i="39" s="1"/>
  <c r="A58" i="39" s="1"/>
  <c r="A59" i="39" s="1"/>
  <c r="A60" i="39" s="1"/>
  <c r="A62" i="39" s="1"/>
  <c r="A63" i="39" s="1"/>
  <c r="A65" i="39" s="1"/>
  <c r="A67" i="39" s="1"/>
  <c r="A68" i="39" s="1"/>
  <c r="A69" i="39" s="1"/>
  <c r="A70" i="39" s="1"/>
  <c r="A71" i="39" s="1"/>
  <c r="A73" i="39" s="1"/>
  <c r="A74" i="39" s="1"/>
  <c r="A75" i="39" s="1"/>
  <c r="A76" i="39" s="1"/>
  <c r="A77" i="39" s="1"/>
  <c r="A78" i="39" s="1"/>
  <c r="A79" i="39" s="1"/>
  <c r="A81" i="39" s="1"/>
  <c r="A82" i="39" s="1"/>
  <c r="A84" i="39" s="1"/>
  <c r="A86" i="39" s="1"/>
  <c r="A88" i="39" s="1"/>
  <c r="A89" i="39" s="1"/>
  <c r="A90" i="39" s="1"/>
  <c r="A91" i="39" s="1"/>
  <c r="A92" i="39" s="1"/>
  <c r="A93" i="39" s="1"/>
  <c r="A94" i="39" s="1"/>
  <c r="A95" i="39" s="1"/>
  <c r="A96" i="39" s="1"/>
  <c r="A97" i="39" s="1"/>
  <c r="A98" i="39" s="1"/>
  <c r="A99" i="39" s="1"/>
  <c r="A100" i="39" s="1"/>
  <c r="A101" i="39" s="1"/>
  <c r="A102" i="39" s="1"/>
  <c r="A103" i="39" s="1"/>
  <c r="A104" i="39" s="1"/>
  <c r="A105" i="39" s="1"/>
  <c r="A106" i="39" s="1"/>
  <c r="A107" i="39" s="1"/>
  <c r="A108" i="39" s="1"/>
  <c r="A109" i="39" s="1"/>
  <c r="A110" i="39" s="1"/>
  <c r="A111" i="39" s="1"/>
  <c r="A112" i="39" s="1"/>
  <c r="A113" i="39" s="1"/>
  <c r="A114" i="39" s="1"/>
  <c r="A115" i="39" s="1"/>
  <c r="A116" i="39" s="1"/>
  <c r="A117" i="39" s="1"/>
  <c r="A118" i="39" s="1"/>
  <c r="A119" i="39" s="1"/>
  <c r="A120" i="39" s="1"/>
  <c r="A121" i="39" s="1"/>
  <c r="A122" i="39" s="1"/>
  <c r="A123" i="39" s="1"/>
  <c r="A124" i="39" s="1"/>
  <c r="A125" i="39" s="1"/>
  <c r="A126" i="39" s="1"/>
  <c r="A127" i="39" s="1"/>
  <c r="A128" i="39" s="1"/>
  <c r="A129" i="39" s="1"/>
  <c r="A130" i="39" s="1"/>
  <c r="A131" i="39" s="1"/>
  <c r="A132" i="39" s="1"/>
  <c r="A133" i="39" s="1"/>
  <c r="A134" i="39" s="1"/>
  <c r="A135" i="39" s="1"/>
  <c r="A136" i="39" s="1"/>
  <c r="A137" i="39" s="1"/>
  <c r="A138" i="39" s="1"/>
  <c r="A139" i="39" s="1"/>
  <c r="A140" i="39" s="1"/>
  <c r="A141" i="39" s="1"/>
  <c r="A142" i="39" s="1"/>
  <c r="A143" i="39" s="1"/>
  <c r="A144" i="39" s="1"/>
  <c r="A145" i="39" s="1"/>
  <c r="A146" i="39" s="1"/>
  <c r="A147" i="39" s="1"/>
  <c r="A148" i="39" s="1"/>
  <c r="A149" i="39" s="1"/>
  <c r="A150" i="39" s="1"/>
  <c r="A151" i="39" s="1"/>
  <c r="A152" i="39" s="1"/>
  <c r="A153" i="39" s="1"/>
  <c r="A154" i="39" s="1"/>
  <c r="A155" i="39" s="1"/>
  <c r="A156" i="39" s="1"/>
  <c r="A157" i="39" s="1"/>
  <c r="A158" i="39" s="1"/>
  <c r="A159" i="39" s="1"/>
  <c r="A160" i="39" s="1"/>
  <c r="A161" i="39" s="1"/>
  <c r="A162" i="39" s="1"/>
  <c r="A163" i="39" s="1"/>
  <c r="A164" i="39" s="1"/>
  <c r="A165" i="39" s="1"/>
  <c r="A166" i="39" s="1"/>
  <c r="A167" i="39" s="1"/>
  <c r="A168" i="39" s="1"/>
  <c r="A169" i="39" s="1"/>
  <c r="A170" i="39" s="1"/>
  <c r="A171" i="39" s="1"/>
  <c r="A172" i="39" s="1"/>
  <c r="A173" i="39" s="1"/>
  <c r="A174" i="39" s="1"/>
  <c r="A175" i="39" s="1"/>
  <c r="A176" i="39" s="1"/>
  <c r="A177" i="39" s="1"/>
  <c r="A178" i="39" s="1"/>
  <c r="A179" i="39" s="1"/>
  <c r="A180" i="39" s="1"/>
  <c r="A181" i="39" s="1"/>
  <c r="A182" i="39" s="1"/>
  <c r="A183" i="39" s="1"/>
  <c r="A184" i="39" s="1"/>
  <c r="A185" i="39" s="1"/>
  <c r="A186" i="39" s="1"/>
  <c r="A187" i="39" s="1"/>
  <c r="A188" i="39" s="1"/>
  <c r="A189" i="39" s="1"/>
  <c r="A190" i="39" s="1"/>
  <c r="A191" i="39" s="1"/>
  <c r="A192" i="39" s="1"/>
  <c r="A193" i="39" s="1"/>
  <c r="A194" i="39" s="1"/>
  <c r="A195" i="39" s="1"/>
  <c r="A196" i="39" s="1"/>
  <c r="A197" i="39" s="1"/>
  <c r="A198" i="39" s="1"/>
  <c r="A199" i="39" s="1"/>
  <c r="A200" i="39" s="1"/>
  <c r="A201" i="39" s="1"/>
  <c r="A202" i="39" s="1"/>
  <c r="A203" i="39" s="1"/>
  <c r="A204" i="39" s="1"/>
  <c r="A205" i="39" s="1"/>
  <c r="A206" i="39" s="1"/>
  <c r="A207" i="39" s="1"/>
  <c r="A208" i="39" s="1"/>
  <c r="A209" i="39" s="1"/>
  <c r="A210" i="39" s="1"/>
  <c r="A211" i="39" s="1"/>
  <c r="A212" i="39" s="1"/>
  <c r="A213" i="39" s="1"/>
  <c r="A214" i="39" s="1"/>
  <c r="A215" i="39" s="1"/>
  <c r="A216" i="39" s="1"/>
  <c r="A217" i="39" s="1"/>
  <c r="A218" i="39" s="1"/>
  <c r="A219" i="39" s="1"/>
  <c r="A220" i="39" s="1"/>
  <c r="A221" i="39" s="1"/>
  <c r="A222" i="39" s="1"/>
  <c r="A223" i="39" s="1"/>
  <c r="A224" i="39" s="1"/>
  <c r="A225" i="39" s="1"/>
  <c r="A226" i="39" s="1"/>
  <c r="A227" i="39" s="1"/>
  <c r="A228" i="39" s="1"/>
  <c r="A229" i="39" s="1"/>
  <c r="A230" i="39" s="1"/>
  <c r="A231" i="39" s="1"/>
  <c r="A232" i="39" s="1"/>
  <c r="A233" i="39" s="1"/>
  <c r="A234" i="39" s="1"/>
  <c r="A235" i="39" s="1"/>
  <c r="A236" i="39" s="1"/>
  <c r="A237" i="39" s="1"/>
  <c r="A238" i="39" s="1"/>
  <c r="A239" i="39" s="1"/>
  <c r="A240" i="39" s="1"/>
  <c r="A241" i="39" s="1"/>
  <c r="A242" i="39" s="1"/>
  <c r="A243" i="39" s="1"/>
  <c r="A244" i="39" s="1"/>
  <c r="A245" i="39" s="1"/>
  <c r="A246" i="39" s="1"/>
  <c r="A247" i="39" s="1"/>
  <c r="A248" i="39" s="1"/>
  <c r="A249" i="39" s="1"/>
  <c r="A250" i="39" s="1"/>
  <c r="A251" i="39" s="1"/>
  <c r="A252" i="39" s="1"/>
  <c r="A253" i="39" s="1"/>
  <c r="A254" i="39" s="1"/>
  <c r="A255" i="39" s="1"/>
  <c r="A256" i="39" s="1"/>
  <c r="A257" i="39" s="1"/>
  <c r="A258" i="39" s="1"/>
  <c r="A259" i="39" s="1"/>
  <c r="A260" i="39" s="1"/>
  <c r="A261" i="39" s="1"/>
  <c r="A262" i="39" s="1"/>
  <c r="A263" i="39" s="1"/>
  <c r="A264" i="39" s="1"/>
  <c r="A265" i="39" s="1"/>
  <c r="A266" i="39" s="1"/>
  <c r="A267" i="39" s="1"/>
  <c r="A268" i="39" s="1"/>
  <c r="A269" i="39" s="1"/>
  <c r="A270" i="39" s="1"/>
  <c r="A271" i="39" s="1"/>
  <c r="A272" i="39" s="1"/>
  <c r="A273" i="39" s="1"/>
  <c r="A274" i="39" s="1"/>
  <c r="A275" i="39" s="1"/>
  <c r="A276" i="39" s="1"/>
  <c r="A277" i="39" s="1"/>
  <c r="A278" i="39" s="1"/>
  <c r="A279" i="39" s="1"/>
  <c r="A280" i="39" s="1"/>
  <c r="A281" i="39" s="1"/>
  <c r="A282" i="39" s="1"/>
  <c r="A283" i="39" s="1"/>
  <c r="A284" i="39" s="1"/>
  <c r="A285" i="39" s="1"/>
  <c r="A286" i="39" s="1"/>
  <c r="A287" i="39" s="1"/>
  <c r="A288" i="39" s="1"/>
  <c r="A289" i="39" s="1"/>
  <c r="A290" i="39" s="1"/>
  <c r="A291" i="39" s="1"/>
  <c r="A292" i="39" s="1"/>
  <c r="A293" i="39" s="1"/>
  <c r="A294" i="39" s="1"/>
  <c r="A295" i="39" s="1"/>
  <c r="A296" i="39" s="1"/>
  <c r="A297" i="39" s="1"/>
  <c r="A298" i="39" s="1"/>
  <c r="A299" i="39" s="1"/>
  <c r="A300" i="39" s="1"/>
  <c r="A301" i="39" s="1"/>
  <c r="A302" i="39" s="1"/>
  <c r="A303" i="39" s="1"/>
  <c r="A304" i="39" s="1"/>
  <c r="A305" i="39" s="1"/>
  <c r="A306" i="39" s="1"/>
  <c r="A307" i="39" s="1"/>
  <c r="A308" i="39" s="1"/>
  <c r="A309" i="39" s="1"/>
  <c r="A310" i="39" s="1"/>
  <c r="A311" i="39" s="1"/>
  <c r="A312" i="39" s="1"/>
  <c r="A313" i="39" s="1"/>
  <c r="A314" i="39" s="1"/>
  <c r="A315" i="39" s="1"/>
  <c r="A316" i="39" s="1"/>
  <c r="A317" i="39" s="1"/>
  <c r="A318" i="39" s="1"/>
  <c r="A319" i="39" s="1"/>
  <c r="A320" i="39" s="1"/>
  <c r="A321" i="39" s="1"/>
  <c r="A322" i="39" s="1"/>
  <c r="A323" i="39" s="1"/>
  <c r="A324" i="39" s="1"/>
  <c r="A325" i="39" s="1"/>
  <c r="A326" i="39" s="1"/>
  <c r="A327" i="39" s="1"/>
  <c r="A328" i="39" s="1"/>
  <c r="A329" i="39" s="1"/>
  <c r="A330" i="39" s="1"/>
  <c r="A331" i="39" s="1"/>
  <c r="A332" i="39" s="1"/>
  <c r="A333" i="39" s="1"/>
  <c r="A334" i="39" s="1"/>
  <c r="A335" i="39" s="1"/>
  <c r="A336" i="39" s="1"/>
  <c r="A337" i="39" s="1"/>
  <c r="A338" i="39" s="1"/>
  <c r="A339" i="39" s="1"/>
  <c r="A340" i="39" s="1"/>
  <c r="A341" i="39" s="1"/>
  <c r="A342" i="39" s="1"/>
  <c r="A343" i="39" s="1"/>
  <c r="A344" i="39" s="1"/>
  <c r="A345" i="39" s="1"/>
  <c r="A346" i="39" s="1"/>
  <c r="A347" i="39" s="1"/>
  <c r="A348" i="39" s="1"/>
  <c r="A349" i="39" s="1"/>
  <c r="A350" i="39" s="1"/>
  <c r="A351" i="39" s="1"/>
  <c r="A352" i="39" s="1"/>
  <c r="A353" i="39" s="1"/>
  <c r="A354" i="39" s="1"/>
  <c r="A355" i="39" s="1"/>
  <c r="A356" i="39" s="1"/>
  <c r="A357" i="39" s="1"/>
  <c r="A358" i="39" s="1"/>
  <c r="A359" i="39" s="1"/>
  <c r="A360" i="39" s="1"/>
  <c r="A361" i="39" s="1"/>
  <c r="A362" i="39" s="1"/>
  <c r="A363" i="39" s="1"/>
  <c r="A364" i="39" s="1"/>
  <c r="A365" i="39" s="1"/>
  <c r="A366" i="39" s="1"/>
  <c r="A367" i="39" s="1"/>
  <c r="A368" i="39" s="1"/>
  <c r="A369" i="39" s="1"/>
  <c r="A370" i="39" s="1"/>
  <c r="A371" i="39" s="1"/>
  <c r="A372" i="39" s="1"/>
  <c r="A373" i="39" s="1"/>
  <c r="A374" i="39" s="1"/>
  <c r="A375" i="39" s="1"/>
  <c r="A376" i="39" s="1"/>
  <c r="A377" i="39" s="1"/>
  <c r="A378" i="39" s="1"/>
  <c r="A379" i="39" s="1"/>
  <c r="A380" i="39" s="1"/>
  <c r="A381" i="39" s="1"/>
  <c r="A382" i="39" s="1"/>
  <c r="A383" i="39" s="1"/>
  <c r="A384" i="39" s="1"/>
  <c r="A385" i="39" s="1"/>
  <c r="A386" i="39" s="1"/>
  <c r="A387" i="39" s="1"/>
  <c r="A388" i="39" s="1"/>
  <c r="A389" i="39" s="1"/>
  <c r="A390" i="39" s="1"/>
  <c r="A391" i="39" s="1"/>
  <c r="A392" i="39" s="1"/>
  <c r="A393" i="39" s="1"/>
  <c r="A394" i="39" s="1"/>
  <c r="A395" i="39" s="1"/>
  <c r="A396" i="39" s="1"/>
  <c r="A397" i="39" s="1"/>
  <c r="A398" i="39" s="1"/>
  <c r="A399" i="39" s="1"/>
  <c r="A400" i="39" s="1"/>
  <c r="A401" i="39" s="1"/>
  <c r="M3" i="37"/>
  <c r="J117" i="37"/>
  <c r="D39" i="41" l="1"/>
  <c r="E39" i="41"/>
  <c r="J136" i="37"/>
  <c r="J132" i="37"/>
  <c r="J128" i="37"/>
  <c r="J124" i="37"/>
  <c r="J120" i="37"/>
  <c r="J139" i="37"/>
  <c r="J135" i="37"/>
  <c r="J127" i="37"/>
  <c r="J119" i="37"/>
  <c r="J131" i="37"/>
  <c r="J123" i="37"/>
  <c r="J138" i="37"/>
  <c r="J134" i="37"/>
  <c r="J130" i="37"/>
  <c r="J126" i="37"/>
  <c r="J122" i="37"/>
  <c r="J137" i="37"/>
  <c r="J133" i="37"/>
  <c r="J129" i="37"/>
  <c r="J125" i="37"/>
  <c r="J121" i="37"/>
  <c r="J118" i="37"/>
  <c r="F39" i="41" l="1"/>
  <c r="J116" i="37"/>
  <c r="J115" i="37"/>
  <c r="J114" i="37"/>
  <c r="J113" i="37"/>
  <c r="J112" i="37"/>
  <c r="J111" i="37"/>
  <c r="J110" i="37"/>
  <c r="J109" i="37"/>
  <c r="J108" i="37"/>
  <c r="J107" i="37"/>
  <c r="J106" i="37"/>
  <c r="B158" i="37"/>
  <c r="A158" i="37"/>
  <c r="H269" i="2"/>
  <c r="H268" i="2"/>
  <c r="H266" i="2"/>
  <c r="H265" i="2"/>
  <c r="H263" i="2"/>
  <c r="H262" i="2"/>
  <c r="H259" i="2"/>
  <c r="H104" i="2"/>
  <c r="H103" i="2"/>
  <c r="H102" i="2"/>
  <c r="H101" i="2"/>
  <c r="H100" i="2"/>
  <c r="H99" i="2"/>
  <c r="H98" i="2"/>
  <c r="H97" i="2"/>
  <c r="H96" i="2"/>
  <c r="H92" i="2"/>
  <c r="H91" i="2"/>
  <c r="H90" i="2"/>
  <c r="H89" i="2"/>
  <c r="H88" i="2"/>
  <c r="H87" i="2"/>
  <c r="H86" i="2"/>
  <c r="H85" i="2"/>
  <c r="H84" i="2"/>
  <c r="H79" i="2"/>
  <c r="H78" i="2"/>
  <c r="H77" i="2"/>
  <c r="H76" i="2"/>
  <c r="H75" i="2"/>
  <c r="H74" i="2"/>
  <c r="H73" i="2"/>
  <c r="H72" i="2"/>
  <c r="H71" i="2"/>
  <c r="H66" i="2"/>
  <c r="H65" i="2"/>
  <c r="H64" i="2"/>
  <c r="H61" i="2"/>
  <c r="H60" i="2"/>
  <c r="H59" i="2"/>
  <c r="H58" i="2"/>
  <c r="H57" i="2"/>
  <c r="H56" i="2"/>
  <c r="H55" i="2"/>
  <c r="H54" i="2"/>
  <c r="H53" i="2"/>
  <c r="H49" i="2"/>
  <c r="H48" i="2"/>
  <c r="H47" i="2"/>
  <c r="H46" i="2"/>
  <c r="H45" i="2"/>
  <c r="H44" i="2"/>
  <c r="H43" i="2"/>
  <c r="H42" i="2"/>
  <c r="H41" i="2"/>
  <c r="H36" i="2"/>
  <c r="H35" i="2"/>
  <c r="H34" i="2"/>
  <c r="H33" i="2"/>
  <c r="H32" i="2"/>
  <c r="H31" i="2"/>
  <c r="H30" i="2"/>
  <c r="H29" i="2"/>
  <c r="H28" i="2"/>
  <c r="H10" i="2"/>
  <c r="H9" i="2"/>
  <c r="H8" i="2"/>
  <c r="H7" i="2"/>
  <c r="H6" i="2"/>
  <c r="G39" i="41" l="1"/>
  <c r="E388" i="2"/>
  <c r="E389" i="2" s="1"/>
  <c r="E390" i="2" s="1"/>
  <c r="E391" i="2" s="1"/>
  <c r="E392" i="2" s="1"/>
  <c r="E393" i="2" s="1"/>
  <c r="E394" i="2" s="1"/>
  <c r="E395" i="2" s="1"/>
  <c r="B387" i="2"/>
  <c r="B388" i="2" s="1"/>
  <c r="B389" i="2" s="1"/>
  <c r="B390" i="2" s="1"/>
  <c r="B391" i="2" s="1"/>
  <c r="B392" i="2" s="1"/>
  <c r="B393" i="2" s="1"/>
  <c r="B394" i="2" s="1"/>
  <c r="B395" i="2" s="1"/>
  <c r="F373" i="2"/>
  <c r="B374" i="2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H39" i="41" l="1"/>
  <c r="I389" i="2"/>
  <c r="I388" i="2"/>
  <c r="I387" i="2"/>
  <c r="G388" i="2"/>
  <c r="G389" i="2" s="1"/>
  <c r="G390" i="2" s="1"/>
  <c r="I376" i="2"/>
  <c r="I375" i="2"/>
  <c r="G375" i="2"/>
  <c r="G376" i="2" s="1"/>
  <c r="G377" i="2" s="1"/>
  <c r="I374" i="2"/>
  <c r="A374" i="2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7" i="2" s="1"/>
  <c r="A388" i="2" s="1"/>
  <c r="A389" i="2" s="1"/>
  <c r="A390" i="2" s="1"/>
  <c r="A391" i="2" s="1"/>
  <c r="A392" i="2" s="1"/>
  <c r="A393" i="2" s="1"/>
  <c r="A394" i="2" s="1"/>
  <c r="A395" i="2" s="1"/>
  <c r="I363" i="2"/>
  <c r="I362" i="2"/>
  <c r="G362" i="2"/>
  <c r="G363" i="2" s="1"/>
  <c r="G364" i="2" s="1"/>
  <c r="I361" i="2"/>
  <c r="B361" i="2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A361" i="2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F347" i="2"/>
  <c r="I350" i="2"/>
  <c r="I349" i="2"/>
  <c r="G349" i="2"/>
  <c r="G350" i="2" s="1"/>
  <c r="G351" i="2" s="1"/>
  <c r="E349" i="2"/>
  <c r="E350" i="2" s="1"/>
  <c r="E351" i="2" s="1"/>
  <c r="E352" i="2" s="1"/>
  <c r="E353" i="2" s="1"/>
  <c r="E354" i="2" s="1"/>
  <c r="E355" i="2" s="1"/>
  <c r="E356" i="2" s="1"/>
  <c r="E357" i="2" s="1"/>
  <c r="E358" i="2" s="1"/>
  <c r="E359" i="2" s="1"/>
  <c r="I348" i="2"/>
  <c r="B348" i="2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A348" i="2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F334" i="2"/>
  <c r="I336" i="2"/>
  <c r="G336" i="2"/>
  <c r="G337" i="2" s="1"/>
  <c r="E336" i="2"/>
  <c r="E337" i="2" s="1"/>
  <c r="E338" i="2" s="1"/>
  <c r="E339" i="2" s="1"/>
  <c r="E340" i="2" s="1"/>
  <c r="E341" i="2" s="1"/>
  <c r="E342" i="2" s="1"/>
  <c r="E343" i="2" s="1"/>
  <c r="E344" i="2" s="1"/>
  <c r="E345" i="2" s="1"/>
  <c r="E346" i="2" s="1"/>
  <c r="I335" i="2"/>
  <c r="I323" i="2"/>
  <c r="G323" i="2"/>
  <c r="G324" i="2" s="1"/>
  <c r="I322" i="2"/>
  <c r="F321" i="2"/>
  <c r="B322" i="2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A322" i="2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I310" i="2"/>
  <c r="I309" i="2"/>
  <c r="I297" i="2"/>
  <c r="G310" i="2"/>
  <c r="G311" i="2" s="1"/>
  <c r="I298" i="2"/>
  <c r="G298" i="2"/>
  <c r="G299" i="2" s="1"/>
  <c r="F296" i="2"/>
  <c r="I285" i="2"/>
  <c r="G285" i="2"/>
  <c r="G286" i="2" s="1"/>
  <c r="F283" i="2"/>
  <c r="M272" i="2"/>
  <c r="M273" i="2" s="1"/>
  <c r="M274" i="2" s="1"/>
  <c r="M275" i="2" s="1"/>
  <c r="M276" i="2" s="1"/>
  <c r="M277" i="2" s="1"/>
  <c r="M278" i="2" s="1"/>
  <c r="M279" i="2" s="1"/>
  <c r="M280" i="2" s="1"/>
  <c r="M281" i="2" s="1"/>
  <c r="M282" i="2" s="1"/>
  <c r="I272" i="2"/>
  <c r="G272" i="2"/>
  <c r="G273" i="2" s="1"/>
  <c r="B271" i="2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G378" i="2" l="1"/>
  <c r="H377" i="2"/>
  <c r="I377" i="2" s="1"/>
  <c r="G391" i="2"/>
  <c r="H390" i="2"/>
  <c r="I390" i="2" s="1"/>
  <c r="G300" i="2"/>
  <c r="H299" i="2"/>
  <c r="I299" i="2" s="1"/>
  <c r="G312" i="2"/>
  <c r="H311" i="2"/>
  <c r="I311" i="2" s="1"/>
  <c r="G338" i="2"/>
  <c r="H337" i="2"/>
  <c r="I337" i="2" s="1"/>
  <c r="G325" i="2"/>
  <c r="H324" i="2"/>
  <c r="I324" i="2" s="1"/>
  <c r="G287" i="2"/>
  <c r="H286" i="2"/>
  <c r="I286" i="2" s="1"/>
  <c r="G274" i="2"/>
  <c r="H273" i="2"/>
  <c r="I273" i="2" s="1"/>
  <c r="G352" i="2"/>
  <c r="H351" i="2"/>
  <c r="I351" i="2" s="1"/>
  <c r="G365" i="2"/>
  <c r="H364" i="2"/>
  <c r="I364" i="2" s="1"/>
  <c r="I39" i="41"/>
  <c r="S246" i="2"/>
  <c r="T269" i="2"/>
  <c r="T268" i="2"/>
  <c r="T266" i="2"/>
  <c r="T265" i="2"/>
  <c r="T263" i="2"/>
  <c r="T262" i="2"/>
  <c r="T259" i="2"/>
  <c r="T258" i="2"/>
  <c r="G264" i="2"/>
  <c r="G261" i="2"/>
  <c r="G258" i="2"/>
  <c r="F245" i="2"/>
  <c r="E259" i="2"/>
  <c r="E260" i="2" s="1"/>
  <c r="E261" i="2" s="1"/>
  <c r="E262" i="2" s="1"/>
  <c r="E263" i="2" s="1"/>
  <c r="E264" i="2" s="1"/>
  <c r="E265" i="2" s="1"/>
  <c r="E266" i="2" s="1"/>
  <c r="E267" i="2" s="1"/>
  <c r="E268" i="2" s="1"/>
  <c r="E269" i="2" s="1"/>
  <c r="G260" i="2"/>
  <c r="I259" i="2"/>
  <c r="I262" i="2"/>
  <c r="I263" i="2"/>
  <c r="I265" i="2"/>
  <c r="I266" i="2"/>
  <c r="I268" i="2"/>
  <c r="I269" i="2"/>
  <c r="I247" i="2"/>
  <c r="G247" i="2"/>
  <c r="G248" i="2" s="1"/>
  <c r="E247" i="2"/>
  <c r="E248" i="2" s="1"/>
  <c r="E249" i="2" s="1"/>
  <c r="E250" i="2" s="1"/>
  <c r="E251" i="2" s="1"/>
  <c r="E252" i="2" s="1"/>
  <c r="E253" i="2" s="1"/>
  <c r="E254" i="2" s="1"/>
  <c r="E255" i="2" s="1"/>
  <c r="E256" i="2" s="1"/>
  <c r="E257" i="2" s="1"/>
  <c r="G234" i="2"/>
  <c r="F232" i="2"/>
  <c r="I244" i="2"/>
  <c r="I242" i="2"/>
  <c r="I240" i="2"/>
  <c r="I238" i="2"/>
  <c r="I236" i="2"/>
  <c r="G235" i="2"/>
  <c r="I234" i="2"/>
  <c r="E234" i="2"/>
  <c r="E235" i="2" s="1"/>
  <c r="E236" i="2" s="1"/>
  <c r="E237" i="2" s="1"/>
  <c r="E238" i="2" s="1"/>
  <c r="E239" i="2" s="1"/>
  <c r="E240" i="2" s="1"/>
  <c r="E241" i="2" s="1"/>
  <c r="E242" i="2" s="1"/>
  <c r="E243" i="2" s="1"/>
  <c r="E244" i="2" s="1"/>
  <c r="B234" i="2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T221" i="2"/>
  <c r="T220" i="2"/>
  <c r="F219" i="2"/>
  <c r="I222" i="2"/>
  <c r="I221" i="2"/>
  <c r="G221" i="2"/>
  <c r="G222" i="2" s="1"/>
  <c r="I220" i="2"/>
  <c r="B220" i="2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F206" i="2"/>
  <c r="I208" i="2"/>
  <c r="G208" i="2"/>
  <c r="G209" i="2" s="1"/>
  <c r="I207" i="2"/>
  <c r="I196" i="2"/>
  <c r="H195" i="2"/>
  <c r="I195" i="2" s="1"/>
  <c r="G195" i="2"/>
  <c r="G196" i="2" s="1"/>
  <c r="G197" i="2" s="1"/>
  <c r="I194" i="2"/>
  <c r="I184" i="2"/>
  <c r="H183" i="2"/>
  <c r="I183" i="2" s="1"/>
  <c r="G183" i="2"/>
  <c r="G184" i="2" s="1"/>
  <c r="G185" i="2" s="1"/>
  <c r="I182" i="2"/>
  <c r="F181" i="2"/>
  <c r="T169" i="2"/>
  <c r="I171" i="2"/>
  <c r="H170" i="2"/>
  <c r="I170" i="2" s="1"/>
  <c r="G170" i="2"/>
  <c r="G171" i="2" s="1"/>
  <c r="G172" i="2" s="1"/>
  <c r="I169" i="2"/>
  <c r="F168" i="2"/>
  <c r="B169" i="2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M119" i="2"/>
  <c r="M120" i="2" s="1"/>
  <c r="M121" i="2" s="1"/>
  <c r="M122" i="2" s="1"/>
  <c r="M123" i="2" s="1"/>
  <c r="M124" i="2" s="1"/>
  <c r="M125" i="2" s="1"/>
  <c r="M126" i="2" s="1"/>
  <c r="M127" i="2" s="1"/>
  <c r="M128" i="2" s="1"/>
  <c r="M129" i="2" s="1"/>
  <c r="M118" i="2"/>
  <c r="I120" i="2"/>
  <c r="I119" i="2"/>
  <c r="I118" i="2"/>
  <c r="G119" i="2"/>
  <c r="G120" i="2" s="1"/>
  <c r="G121" i="2" s="1"/>
  <c r="F105" i="2"/>
  <c r="E119" i="2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B119" i="2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H157" i="2"/>
  <c r="I157" i="2" s="1"/>
  <c r="I158" i="2"/>
  <c r="G157" i="2"/>
  <c r="G158" i="2" s="1"/>
  <c r="G159" i="2" s="1"/>
  <c r="I156" i="2"/>
  <c r="I155" i="2"/>
  <c r="I154" i="2"/>
  <c r="I153" i="2"/>
  <c r="I152" i="2"/>
  <c r="I151" i="2"/>
  <c r="I150" i="2"/>
  <c r="I149" i="2"/>
  <c r="I148" i="2"/>
  <c r="I147" i="2"/>
  <c r="I146" i="2"/>
  <c r="I145" i="2"/>
  <c r="G145" i="2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I144" i="2"/>
  <c r="E157" i="2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B157" i="2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F143" i="2"/>
  <c r="B144" i="2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G186" i="2" l="1"/>
  <c r="H185" i="2"/>
  <c r="I185" i="2" s="1"/>
  <c r="T260" i="2"/>
  <c r="H260" i="2"/>
  <c r="I260" i="2" s="1"/>
  <c r="G173" i="2"/>
  <c r="H172" i="2"/>
  <c r="I172" i="2" s="1"/>
  <c r="G249" i="2"/>
  <c r="H248" i="2"/>
  <c r="I248" i="2" s="1"/>
  <c r="T264" i="2"/>
  <c r="H264" i="2"/>
  <c r="I264" i="2" s="1"/>
  <c r="G366" i="2"/>
  <c r="H365" i="2"/>
  <c r="I365" i="2" s="1"/>
  <c r="G313" i="2"/>
  <c r="H312" i="2"/>
  <c r="I312" i="2" s="1"/>
  <c r="G122" i="2"/>
  <c r="H121" i="2"/>
  <c r="I121" i="2" s="1"/>
  <c r="G210" i="2"/>
  <c r="H209" i="2"/>
  <c r="I209" i="2" s="1"/>
  <c r="T261" i="2"/>
  <c r="H261" i="2"/>
  <c r="I261" i="2" s="1"/>
  <c r="G198" i="2"/>
  <c r="H197" i="2"/>
  <c r="I197" i="2" s="1"/>
  <c r="G275" i="2"/>
  <c r="H274" i="2"/>
  <c r="I274" i="2" s="1"/>
  <c r="G326" i="2"/>
  <c r="H325" i="2"/>
  <c r="I325" i="2" s="1"/>
  <c r="G392" i="2"/>
  <c r="H391" i="2"/>
  <c r="I391" i="2" s="1"/>
  <c r="G160" i="2"/>
  <c r="H159" i="2"/>
  <c r="I159" i="2" s="1"/>
  <c r="G236" i="2"/>
  <c r="G237" i="2" s="1"/>
  <c r="H235" i="2"/>
  <c r="I235" i="2" s="1"/>
  <c r="G353" i="2"/>
  <c r="H352" i="2"/>
  <c r="I352" i="2" s="1"/>
  <c r="G288" i="2"/>
  <c r="H287" i="2"/>
  <c r="I287" i="2" s="1"/>
  <c r="G339" i="2"/>
  <c r="H338" i="2"/>
  <c r="I338" i="2" s="1"/>
  <c r="G301" i="2"/>
  <c r="H300" i="2"/>
  <c r="I300" i="2" s="1"/>
  <c r="G379" i="2"/>
  <c r="H378" i="2"/>
  <c r="I378" i="2" s="1"/>
  <c r="J39" i="41"/>
  <c r="T172" i="2"/>
  <c r="T170" i="2"/>
  <c r="S247" i="2"/>
  <c r="T171" i="2"/>
  <c r="T173" i="2"/>
  <c r="G267" i="2"/>
  <c r="S248" i="2"/>
  <c r="G223" i="2"/>
  <c r="H223" i="2" s="1"/>
  <c r="I223" i="2" s="1"/>
  <c r="T222" i="2"/>
  <c r="G132" i="2"/>
  <c r="G133" i="2" s="1"/>
  <c r="G134" i="2" s="1"/>
  <c r="I133" i="2"/>
  <c r="I132" i="2"/>
  <c r="I131" i="2"/>
  <c r="F130" i="2"/>
  <c r="B131" i="2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E132" i="2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5" i="2" s="1"/>
  <c r="E146" i="2" s="1"/>
  <c r="E147" i="2" s="1"/>
  <c r="E148" i="2" s="1"/>
  <c r="E149" i="2" s="1"/>
  <c r="E150" i="2" s="1"/>
  <c r="E151" i="2" s="1"/>
  <c r="E152" i="2" s="1"/>
  <c r="E153" i="2" s="1"/>
  <c r="E154" i="2" s="1"/>
  <c r="E155" i="2" s="1"/>
  <c r="E107" i="2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G108" i="2"/>
  <c r="G109" i="2" s="1"/>
  <c r="I107" i="2"/>
  <c r="I106" i="2"/>
  <c r="G110" i="2" l="1"/>
  <c r="H109" i="2"/>
  <c r="I109" i="2" s="1"/>
  <c r="G135" i="2"/>
  <c r="H134" i="2"/>
  <c r="I134" i="2" s="1"/>
  <c r="G302" i="2"/>
  <c r="H301" i="2"/>
  <c r="I301" i="2" s="1"/>
  <c r="G289" i="2"/>
  <c r="H288" i="2"/>
  <c r="I288" i="2" s="1"/>
  <c r="G238" i="2"/>
  <c r="G239" i="2" s="1"/>
  <c r="H237" i="2"/>
  <c r="I237" i="2" s="1"/>
  <c r="G393" i="2"/>
  <c r="H392" i="2"/>
  <c r="I392" i="2" s="1"/>
  <c r="G276" i="2"/>
  <c r="H275" i="2"/>
  <c r="I275" i="2" s="1"/>
  <c r="G123" i="2"/>
  <c r="H122" i="2"/>
  <c r="I122" i="2" s="1"/>
  <c r="G367" i="2"/>
  <c r="H366" i="2"/>
  <c r="I366" i="2" s="1"/>
  <c r="G250" i="2"/>
  <c r="H249" i="2"/>
  <c r="I249" i="2" s="1"/>
  <c r="S249" i="2"/>
  <c r="T267" i="2"/>
  <c r="H267" i="2"/>
  <c r="I267" i="2" s="1"/>
  <c r="G380" i="2"/>
  <c r="H379" i="2"/>
  <c r="I379" i="2" s="1"/>
  <c r="G340" i="2"/>
  <c r="H339" i="2"/>
  <c r="I339" i="2" s="1"/>
  <c r="G354" i="2"/>
  <c r="H353" i="2"/>
  <c r="I353" i="2" s="1"/>
  <c r="G161" i="2"/>
  <c r="H160" i="2"/>
  <c r="I160" i="2" s="1"/>
  <c r="G327" i="2"/>
  <c r="H326" i="2"/>
  <c r="I326" i="2" s="1"/>
  <c r="G199" i="2"/>
  <c r="H198" i="2"/>
  <c r="I198" i="2" s="1"/>
  <c r="G211" i="2"/>
  <c r="H210" i="2"/>
  <c r="I210" i="2" s="1"/>
  <c r="G314" i="2"/>
  <c r="H313" i="2"/>
  <c r="I313" i="2" s="1"/>
  <c r="G174" i="2"/>
  <c r="H173" i="2"/>
  <c r="I173" i="2" s="1"/>
  <c r="G187" i="2"/>
  <c r="H186" i="2"/>
  <c r="I186" i="2" s="1"/>
  <c r="K39" i="41"/>
  <c r="T223" i="2"/>
  <c r="G224" i="2"/>
  <c r="H224" i="2" s="1"/>
  <c r="I224" i="2" s="1"/>
  <c r="F80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B81" i="2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F67" i="2"/>
  <c r="I79" i="2"/>
  <c r="I78" i="2"/>
  <c r="I77" i="2"/>
  <c r="I76" i="2"/>
  <c r="I75" i="2"/>
  <c r="I74" i="2"/>
  <c r="I73" i="2"/>
  <c r="I72" i="2"/>
  <c r="I71" i="2"/>
  <c r="I70" i="2"/>
  <c r="I69" i="2"/>
  <c r="I68" i="2"/>
  <c r="B68" i="2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12" i="2"/>
  <c r="E64" i="2"/>
  <c r="E65" i="2" s="1"/>
  <c r="E66" i="2" s="1"/>
  <c r="B63" i="2"/>
  <c r="B64" i="2" s="1"/>
  <c r="B65" i="2" s="1"/>
  <c r="B66" i="2" s="1"/>
  <c r="G175" i="2" l="1"/>
  <c r="H174" i="2"/>
  <c r="I174" i="2" s="1"/>
  <c r="T174" i="2"/>
  <c r="G328" i="2"/>
  <c r="H327" i="2"/>
  <c r="I327" i="2" s="1"/>
  <c r="G381" i="2"/>
  <c r="H380" i="2"/>
  <c r="I380" i="2" s="1"/>
  <c r="G251" i="2"/>
  <c r="H250" i="2"/>
  <c r="I250" i="2" s="1"/>
  <c r="S250" i="2"/>
  <c r="G124" i="2"/>
  <c r="H123" i="2"/>
  <c r="I123" i="2" s="1"/>
  <c r="G394" i="2"/>
  <c r="H393" i="2"/>
  <c r="I393" i="2" s="1"/>
  <c r="G290" i="2"/>
  <c r="H289" i="2"/>
  <c r="I289" i="2" s="1"/>
  <c r="G136" i="2"/>
  <c r="H135" i="2"/>
  <c r="I135" i="2" s="1"/>
  <c r="G188" i="2"/>
  <c r="H187" i="2"/>
  <c r="I187" i="2" s="1"/>
  <c r="G315" i="2"/>
  <c r="H314" i="2"/>
  <c r="I314" i="2" s="1"/>
  <c r="G200" i="2"/>
  <c r="H199" i="2"/>
  <c r="I199" i="2" s="1"/>
  <c r="G162" i="2"/>
  <c r="H161" i="2"/>
  <c r="I161" i="2" s="1"/>
  <c r="G341" i="2"/>
  <c r="H340" i="2"/>
  <c r="I340" i="2" s="1"/>
  <c r="G212" i="2"/>
  <c r="H211" i="2"/>
  <c r="I211" i="2" s="1"/>
  <c r="G355" i="2"/>
  <c r="H354" i="2"/>
  <c r="I354" i="2" s="1"/>
  <c r="G368" i="2"/>
  <c r="H367" i="2"/>
  <c r="I367" i="2" s="1"/>
  <c r="G277" i="2"/>
  <c r="H276" i="2"/>
  <c r="I276" i="2" s="1"/>
  <c r="G240" i="2"/>
  <c r="G241" i="2" s="1"/>
  <c r="H239" i="2"/>
  <c r="I239" i="2" s="1"/>
  <c r="G303" i="2"/>
  <c r="H302" i="2"/>
  <c r="I302" i="2" s="1"/>
  <c r="G111" i="2"/>
  <c r="H110" i="2"/>
  <c r="I110" i="2" s="1"/>
  <c r="L39" i="41"/>
  <c r="T224" i="2"/>
  <c r="G225" i="2"/>
  <c r="H225" i="2" s="1"/>
  <c r="I225" i="2" s="1"/>
  <c r="F62" i="2"/>
  <c r="I66" i="2"/>
  <c r="I65" i="2"/>
  <c r="I64" i="2"/>
  <c r="I63" i="2"/>
  <c r="M39" i="2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I60" i="2"/>
  <c r="I59" i="2"/>
  <c r="I58" i="2"/>
  <c r="I57" i="2"/>
  <c r="I56" i="2"/>
  <c r="I55" i="2"/>
  <c r="I54" i="2"/>
  <c r="I53" i="2"/>
  <c r="I52" i="2"/>
  <c r="I51" i="2"/>
  <c r="I48" i="2"/>
  <c r="I47" i="2"/>
  <c r="I46" i="2"/>
  <c r="I45" i="2"/>
  <c r="I44" i="2"/>
  <c r="I43" i="2"/>
  <c r="I42" i="2"/>
  <c r="I41" i="2"/>
  <c r="I40" i="2"/>
  <c r="F37" i="2"/>
  <c r="I26" i="2"/>
  <c r="I36" i="2"/>
  <c r="I35" i="2"/>
  <c r="I34" i="2"/>
  <c r="I33" i="2"/>
  <c r="I32" i="2"/>
  <c r="I31" i="2"/>
  <c r="I30" i="2"/>
  <c r="I29" i="2"/>
  <c r="I28" i="2"/>
  <c r="I27" i="2"/>
  <c r="I25" i="2"/>
  <c r="F24" i="2"/>
  <c r="B25" i="2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3" i="2"/>
  <c r="B4" i="2" s="1"/>
  <c r="B5" i="2" s="1"/>
  <c r="B6" i="2" s="1"/>
  <c r="B7" i="2" s="1"/>
  <c r="B8" i="2" s="1"/>
  <c r="B9" i="2" s="1"/>
  <c r="B10" i="2" s="1"/>
  <c r="I14" i="2"/>
  <c r="I13" i="2"/>
  <c r="I12" i="2"/>
  <c r="G13" i="2"/>
  <c r="G14" i="2" s="1"/>
  <c r="G15" i="2" s="1"/>
  <c r="F11" i="2"/>
  <c r="E13" i="2"/>
  <c r="E14" i="2" s="1"/>
  <c r="E16" i="2" s="1"/>
  <c r="E17" i="2" s="1"/>
  <c r="E18" i="2" s="1"/>
  <c r="E19" i="2" s="1"/>
  <c r="E20" i="2" s="1"/>
  <c r="E21" i="2" s="1"/>
  <c r="E22" i="2" s="1"/>
  <c r="E23" i="2" s="1"/>
  <c r="B13" i="2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I6" i="2"/>
  <c r="I7" i="2"/>
  <c r="I8" i="2"/>
  <c r="I9" i="2"/>
  <c r="I10" i="2"/>
  <c r="I5" i="2"/>
  <c r="H4" i="2"/>
  <c r="I4" i="2" s="1"/>
  <c r="A3" i="2"/>
  <c r="A4" i="2" s="1"/>
  <c r="A5" i="2" s="1"/>
  <c r="A6" i="2" s="1"/>
  <c r="A7" i="2" s="1"/>
  <c r="A8" i="2" s="1"/>
  <c r="A9" i="2" s="1"/>
  <c r="A10" i="2" s="1"/>
  <c r="G252" i="2" l="1"/>
  <c r="H251" i="2"/>
  <c r="I251" i="2" s="1"/>
  <c r="S251" i="2"/>
  <c r="G329" i="2"/>
  <c r="H328" i="2"/>
  <c r="I328" i="2" s="1"/>
  <c r="G16" i="2"/>
  <c r="H15" i="2"/>
  <c r="I15" i="2" s="1"/>
  <c r="G304" i="2"/>
  <c r="H303" i="2"/>
  <c r="I303" i="2" s="1"/>
  <c r="G278" i="2"/>
  <c r="H277" i="2"/>
  <c r="I277" i="2" s="1"/>
  <c r="G356" i="2"/>
  <c r="H355" i="2"/>
  <c r="I355" i="2" s="1"/>
  <c r="G342" i="2"/>
  <c r="H341" i="2"/>
  <c r="I341" i="2" s="1"/>
  <c r="G201" i="2"/>
  <c r="H200" i="2"/>
  <c r="I200" i="2" s="1"/>
  <c r="G189" i="2"/>
  <c r="H188" i="2"/>
  <c r="I188" i="2" s="1"/>
  <c r="G291" i="2"/>
  <c r="H290" i="2"/>
  <c r="I290" i="2" s="1"/>
  <c r="G125" i="2"/>
  <c r="H124" i="2"/>
  <c r="I124" i="2" s="1"/>
  <c r="G382" i="2"/>
  <c r="H381" i="2"/>
  <c r="I381" i="2" s="1"/>
  <c r="G112" i="2"/>
  <c r="H111" i="2"/>
  <c r="I111" i="2" s="1"/>
  <c r="G242" i="2"/>
  <c r="G243" i="2" s="1"/>
  <c r="H241" i="2"/>
  <c r="I241" i="2" s="1"/>
  <c r="G369" i="2"/>
  <c r="H368" i="2"/>
  <c r="I368" i="2" s="1"/>
  <c r="G213" i="2"/>
  <c r="H212" i="2"/>
  <c r="I212" i="2" s="1"/>
  <c r="G163" i="2"/>
  <c r="H162" i="2"/>
  <c r="I162" i="2" s="1"/>
  <c r="G316" i="2"/>
  <c r="H315" i="2"/>
  <c r="I315" i="2" s="1"/>
  <c r="G137" i="2"/>
  <c r="H136" i="2"/>
  <c r="I136" i="2" s="1"/>
  <c r="G395" i="2"/>
  <c r="H395" i="2" s="1"/>
  <c r="I395" i="2" s="1"/>
  <c r="H394" i="2"/>
  <c r="I394" i="2" s="1"/>
  <c r="G176" i="2"/>
  <c r="H175" i="2"/>
  <c r="I175" i="2" s="1"/>
  <c r="T175" i="2"/>
  <c r="M39" i="41"/>
  <c r="T225" i="2"/>
  <c r="G226" i="2"/>
  <c r="H226" i="2" s="1"/>
  <c r="I226" i="2" s="1"/>
  <c r="G317" i="2" l="1"/>
  <c r="H316" i="2"/>
  <c r="I316" i="2" s="1"/>
  <c r="G214" i="2"/>
  <c r="H213" i="2"/>
  <c r="I213" i="2" s="1"/>
  <c r="G383" i="2"/>
  <c r="H382" i="2"/>
  <c r="I382" i="2" s="1"/>
  <c r="G357" i="2"/>
  <c r="H356" i="2"/>
  <c r="I356" i="2" s="1"/>
  <c r="G330" i="2"/>
  <c r="H329" i="2"/>
  <c r="I329" i="2" s="1"/>
  <c r="G244" i="2"/>
  <c r="H243" i="2"/>
  <c r="I243" i="2" s="1"/>
  <c r="G292" i="2"/>
  <c r="H291" i="2"/>
  <c r="I291" i="2" s="1"/>
  <c r="G202" i="2"/>
  <c r="H201" i="2"/>
  <c r="I201" i="2" s="1"/>
  <c r="G305" i="2"/>
  <c r="H304" i="2"/>
  <c r="I304" i="2" s="1"/>
  <c r="G177" i="2"/>
  <c r="H176" i="2"/>
  <c r="I176" i="2" s="1"/>
  <c r="T176" i="2"/>
  <c r="G138" i="2"/>
  <c r="H137" i="2"/>
  <c r="I137" i="2" s="1"/>
  <c r="G164" i="2"/>
  <c r="H163" i="2"/>
  <c r="I163" i="2" s="1"/>
  <c r="G370" i="2"/>
  <c r="H369" i="2"/>
  <c r="I369" i="2" s="1"/>
  <c r="G113" i="2"/>
  <c r="H112" i="2"/>
  <c r="I112" i="2" s="1"/>
  <c r="G126" i="2"/>
  <c r="H125" i="2"/>
  <c r="I125" i="2" s="1"/>
  <c r="G190" i="2"/>
  <c r="H189" i="2"/>
  <c r="I189" i="2" s="1"/>
  <c r="G343" i="2"/>
  <c r="H342" i="2"/>
  <c r="I342" i="2" s="1"/>
  <c r="G279" i="2"/>
  <c r="H278" i="2"/>
  <c r="I278" i="2" s="1"/>
  <c r="G17" i="2"/>
  <c r="H16" i="2"/>
  <c r="I16" i="2" s="1"/>
  <c r="G253" i="2"/>
  <c r="H252" i="2"/>
  <c r="I252" i="2" s="1"/>
  <c r="S252" i="2"/>
  <c r="N39" i="41"/>
  <c r="G227" i="2"/>
  <c r="H227" i="2" s="1"/>
  <c r="I227" i="2" s="1"/>
  <c r="T226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G178" i="2" l="1"/>
  <c r="H177" i="2"/>
  <c r="I177" i="2" s="1"/>
  <c r="T177" i="2"/>
  <c r="G203" i="2"/>
  <c r="H202" i="2"/>
  <c r="I202" i="2" s="1"/>
  <c r="G358" i="2"/>
  <c r="H357" i="2"/>
  <c r="I357" i="2" s="1"/>
  <c r="G215" i="2"/>
  <c r="H214" i="2"/>
  <c r="I214" i="2" s="1"/>
  <c r="G280" i="2"/>
  <c r="H279" i="2"/>
  <c r="I279" i="2" s="1"/>
  <c r="G114" i="2"/>
  <c r="H113" i="2"/>
  <c r="I113" i="2" s="1"/>
  <c r="G165" i="2"/>
  <c r="H164" i="2"/>
  <c r="I164" i="2" s="1"/>
  <c r="G18" i="2"/>
  <c r="H17" i="2"/>
  <c r="I17" i="2" s="1"/>
  <c r="G371" i="2"/>
  <c r="H370" i="2"/>
  <c r="I370" i="2" s="1"/>
  <c r="G139" i="2"/>
  <c r="H138" i="2"/>
  <c r="I138" i="2" s="1"/>
  <c r="G254" i="2"/>
  <c r="H253" i="2"/>
  <c r="I253" i="2" s="1"/>
  <c r="S253" i="2"/>
  <c r="G191" i="2"/>
  <c r="H190" i="2"/>
  <c r="I190" i="2" s="1"/>
  <c r="G344" i="2"/>
  <c r="H343" i="2"/>
  <c r="I343" i="2" s="1"/>
  <c r="G127" i="2"/>
  <c r="H126" i="2"/>
  <c r="I126" i="2" s="1"/>
  <c r="G306" i="2"/>
  <c r="H305" i="2"/>
  <c r="I305" i="2" s="1"/>
  <c r="G293" i="2"/>
  <c r="H292" i="2"/>
  <c r="I292" i="2" s="1"/>
  <c r="G331" i="2"/>
  <c r="H330" i="2"/>
  <c r="I330" i="2" s="1"/>
  <c r="G384" i="2"/>
  <c r="H383" i="2"/>
  <c r="I383" i="2" s="1"/>
  <c r="G318" i="2"/>
  <c r="H317" i="2"/>
  <c r="I317" i="2" s="1"/>
  <c r="O39" i="41"/>
  <c r="T227" i="2"/>
  <c r="G228" i="2"/>
  <c r="H228" i="2" s="1"/>
  <c r="I228" i="2" s="1"/>
  <c r="A105" i="2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G140" i="2" l="1"/>
  <c r="H139" i="2"/>
  <c r="I139" i="2" s="1"/>
  <c r="G115" i="2"/>
  <c r="H114" i="2"/>
  <c r="I114" i="2" s="1"/>
  <c r="G216" i="2"/>
  <c r="H215" i="2"/>
  <c r="I215" i="2" s="1"/>
  <c r="G204" i="2"/>
  <c r="H203" i="2"/>
  <c r="I203" i="2" s="1"/>
  <c r="G319" i="2"/>
  <c r="H318" i="2"/>
  <c r="I318" i="2" s="1"/>
  <c r="G332" i="2"/>
  <c r="H331" i="2"/>
  <c r="I331" i="2" s="1"/>
  <c r="G307" i="2"/>
  <c r="H306" i="2"/>
  <c r="I306" i="2" s="1"/>
  <c r="G345" i="2"/>
  <c r="H344" i="2"/>
  <c r="I344" i="2" s="1"/>
  <c r="G255" i="2"/>
  <c r="H254" i="2"/>
  <c r="I254" i="2" s="1"/>
  <c r="S254" i="2"/>
  <c r="G372" i="2"/>
  <c r="H372" i="2" s="1"/>
  <c r="I372" i="2" s="1"/>
  <c r="H371" i="2"/>
  <c r="I371" i="2" s="1"/>
  <c r="G166" i="2"/>
  <c r="H165" i="2"/>
  <c r="I165" i="2" s="1"/>
  <c r="G281" i="2"/>
  <c r="H280" i="2"/>
  <c r="I280" i="2" s="1"/>
  <c r="G359" i="2"/>
  <c r="H359" i="2" s="1"/>
  <c r="I359" i="2" s="1"/>
  <c r="H358" i="2"/>
  <c r="I358" i="2" s="1"/>
  <c r="G19" i="2"/>
  <c r="H18" i="2"/>
  <c r="I18" i="2" s="1"/>
  <c r="G385" i="2"/>
  <c r="H385" i="2" s="1"/>
  <c r="I385" i="2" s="1"/>
  <c r="H384" i="2"/>
  <c r="I384" i="2" s="1"/>
  <c r="G294" i="2"/>
  <c r="H293" i="2"/>
  <c r="I293" i="2" s="1"/>
  <c r="G128" i="2"/>
  <c r="H127" i="2"/>
  <c r="I127" i="2" s="1"/>
  <c r="G192" i="2"/>
  <c r="H191" i="2"/>
  <c r="I191" i="2" s="1"/>
  <c r="G179" i="2"/>
  <c r="H178" i="2"/>
  <c r="I178" i="2" s="1"/>
  <c r="T178" i="2"/>
  <c r="P39" i="41"/>
  <c r="T228" i="2"/>
  <c r="G229" i="2"/>
  <c r="H229" i="2" s="1"/>
  <c r="I229" i="2" s="1"/>
  <c r="A130" i="2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118" i="2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G20" i="2" l="1"/>
  <c r="H19" i="2"/>
  <c r="I19" i="2" s="1"/>
  <c r="G346" i="2"/>
  <c r="H346" i="2" s="1"/>
  <c r="I346" i="2" s="1"/>
  <c r="H345" i="2"/>
  <c r="I345" i="2" s="1"/>
  <c r="G333" i="2"/>
  <c r="H333" i="2" s="1"/>
  <c r="I333" i="2" s="1"/>
  <c r="H332" i="2"/>
  <c r="I332" i="2" s="1"/>
  <c r="G116" i="2"/>
  <c r="H115" i="2"/>
  <c r="I115" i="2" s="1"/>
  <c r="G180" i="2"/>
  <c r="H179" i="2"/>
  <c r="I179" i="2" s="1"/>
  <c r="T179" i="2"/>
  <c r="G129" i="2"/>
  <c r="H129" i="2" s="1"/>
  <c r="I129" i="2" s="1"/>
  <c r="H128" i="2"/>
  <c r="I128" i="2" s="1"/>
  <c r="G167" i="2"/>
  <c r="H167" i="2" s="1"/>
  <c r="I167" i="2" s="1"/>
  <c r="H166" i="2"/>
  <c r="I166" i="2" s="1"/>
  <c r="G193" i="2"/>
  <c r="H193" i="2" s="1"/>
  <c r="I193" i="2" s="1"/>
  <c r="H192" i="2"/>
  <c r="I192" i="2" s="1"/>
  <c r="G295" i="2"/>
  <c r="H295" i="2" s="1"/>
  <c r="I295" i="2" s="1"/>
  <c r="H294" i="2"/>
  <c r="I294" i="2" s="1"/>
  <c r="G282" i="2"/>
  <c r="H282" i="2" s="1"/>
  <c r="I282" i="2" s="1"/>
  <c r="H281" i="2"/>
  <c r="I281" i="2" s="1"/>
  <c r="G205" i="2"/>
  <c r="H205" i="2" s="1"/>
  <c r="I205" i="2" s="1"/>
  <c r="H204" i="2"/>
  <c r="I204" i="2" s="1"/>
  <c r="G256" i="2"/>
  <c r="H255" i="2"/>
  <c r="I255" i="2" s="1"/>
  <c r="S255" i="2"/>
  <c r="G308" i="2"/>
  <c r="H308" i="2" s="1"/>
  <c r="I308" i="2" s="1"/>
  <c r="H307" i="2"/>
  <c r="I307" i="2" s="1"/>
  <c r="G320" i="2"/>
  <c r="H320" i="2" s="1"/>
  <c r="I320" i="2" s="1"/>
  <c r="H319" i="2"/>
  <c r="I319" i="2" s="1"/>
  <c r="G217" i="2"/>
  <c r="H216" i="2"/>
  <c r="I216" i="2" s="1"/>
  <c r="G141" i="2"/>
  <c r="H140" i="2"/>
  <c r="I140" i="2" s="1"/>
  <c r="Q39" i="41"/>
  <c r="A206" i="2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T229" i="2"/>
  <c r="G230" i="2"/>
  <c r="H230" i="2" s="1"/>
  <c r="I230" i="2" s="1"/>
  <c r="H3" i="2"/>
  <c r="I3" i="2" s="1"/>
  <c r="G257" i="2" l="1"/>
  <c r="H256" i="2"/>
  <c r="I256" i="2" s="1"/>
  <c r="S256" i="2"/>
  <c r="G218" i="2"/>
  <c r="H218" i="2" s="1"/>
  <c r="I218" i="2" s="1"/>
  <c r="H217" i="2"/>
  <c r="I217" i="2" s="1"/>
  <c r="G117" i="2"/>
  <c r="H117" i="2" s="1"/>
  <c r="I117" i="2" s="1"/>
  <c r="H116" i="2"/>
  <c r="I116" i="2" s="1"/>
  <c r="G142" i="2"/>
  <c r="H142" i="2" s="1"/>
  <c r="I142" i="2" s="1"/>
  <c r="H141" i="2"/>
  <c r="I141" i="2" s="1"/>
  <c r="T180" i="2"/>
  <c r="H180" i="2"/>
  <c r="I180" i="2" s="1"/>
  <c r="G21" i="2"/>
  <c r="H20" i="2"/>
  <c r="I20" i="2" s="1"/>
  <c r="R39" i="41"/>
  <c r="A296" i="2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G231" i="2"/>
  <c r="T230" i="2"/>
  <c r="T231" i="2" l="1"/>
  <c r="H231" i="2"/>
  <c r="I231" i="2" s="1"/>
  <c r="G22" i="2"/>
  <c r="H21" i="2"/>
  <c r="I21" i="2" s="1"/>
  <c r="S257" i="2"/>
  <c r="H257" i="2"/>
  <c r="I257" i="2" s="1"/>
  <c r="S39" i="41"/>
  <c r="I61" i="2"/>
  <c r="G23" i="2" l="1"/>
  <c r="H23" i="2" s="1"/>
  <c r="I23" i="2" s="1"/>
  <c r="H22" i="2"/>
  <c r="I22" i="2" s="1"/>
  <c r="T39" i="41"/>
  <c r="H38" i="2"/>
  <c r="I38" i="2" s="1"/>
  <c r="U39" i="41" l="1"/>
  <c r="I49" i="2"/>
  <c r="H50" i="2"/>
  <c r="I50" i="2" s="1"/>
  <c r="H39" i="2"/>
  <c r="I39" i="2" s="1"/>
  <c r="V39" i="41" l="1"/>
  <c r="W39" i="41" l="1"/>
  <c r="X39" i="41" l="1"/>
  <c r="Y39" i="41" l="1"/>
  <c r="Z39" i="41" l="1"/>
  <c r="AA39" i="41" l="1"/>
  <c r="AB39" i="41" l="1"/>
  <c r="AC39" i="41" l="1"/>
  <c r="AD39" i="41" l="1"/>
  <c r="AE39" i="41" l="1"/>
  <c r="AF39" i="41" l="1"/>
  <c r="AG39" i="41" l="1"/>
  <c r="AH39" i="41" l="1"/>
  <c r="AI39" i="41" l="1"/>
  <c r="AJ39" i="41" l="1"/>
  <c r="AK39" i="41" l="1"/>
  <c r="AL39" i="41" l="1"/>
  <c r="AM39" i="41" l="1"/>
  <c r="AN39" i="41" l="1"/>
  <c r="AO39" i="41" l="1"/>
  <c r="AP39" i="41" l="1"/>
  <c r="AQ39" i="41" l="1"/>
  <c r="AR39" i="41" l="1"/>
  <c r="AS39" i="41" l="1"/>
  <c r="AT39" i="41" l="1"/>
  <c r="AU39" i="41" l="1"/>
  <c r="AV39" i="41" l="1"/>
  <c r="AW39" i="41" l="1"/>
  <c r="AX39" i="41" l="1"/>
  <c r="AY39" i="41" l="1"/>
  <c r="AZ39" i="41" l="1"/>
  <c r="BA39" i="41"/>
</calcChain>
</file>

<file path=xl/sharedStrings.xml><?xml version="1.0" encoding="utf-8"?>
<sst xmlns="http://schemas.openxmlformats.org/spreadsheetml/2006/main" count="4139" uniqueCount="580">
  <si>
    <t>Prestataire</t>
  </si>
  <si>
    <t>Poste</t>
  </si>
  <si>
    <t>Libellés</t>
  </si>
  <si>
    <t>Paie</t>
  </si>
  <si>
    <t>Rgt émis le</t>
  </si>
  <si>
    <t>Décaissé à ce jour</t>
  </si>
  <si>
    <t>Engagé à ce jour</t>
  </si>
  <si>
    <t>N°de fact</t>
  </si>
  <si>
    <t>Sous rubrique 1</t>
  </si>
  <si>
    <t>Étiquettes de lignes</t>
  </si>
  <si>
    <t>Total général</t>
  </si>
  <si>
    <t>Sous rubrique 2</t>
  </si>
  <si>
    <t>Date de facture</t>
  </si>
  <si>
    <t>(vide)</t>
  </si>
  <si>
    <t>Année de décaissement</t>
  </si>
  <si>
    <t>Total TTC</t>
  </si>
  <si>
    <t>Total HT</t>
  </si>
  <si>
    <t>Étiquettes de colonnes</t>
  </si>
  <si>
    <t>Salaire Brut</t>
  </si>
  <si>
    <t>Charges patronale</t>
  </si>
  <si>
    <t>2014</t>
  </si>
  <si>
    <t>DECAISSE A CE JOUR</t>
  </si>
  <si>
    <t>ENGAGE A CE JOUR</t>
  </si>
  <si>
    <t>1 -Charges fixes</t>
  </si>
  <si>
    <t>EDF</t>
  </si>
  <si>
    <t>Budget annuel</t>
  </si>
  <si>
    <t>Electricité cabinet - janvier 2016</t>
  </si>
  <si>
    <t>Electricité cabinet - février 2016</t>
  </si>
  <si>
    <t>Electricité cabinet - mars 2016</t>
  </si>
  <si>
    <t>Electricité cabinet - avril 2016</t>
  </si>
  <si>
    <t>Electricité cabinet - mai 2016</t>
  </si>
  <si>
    <t>Electricité cabinet - juin 2016</t>
  </si>
  <si>
    <t>Electricité cabinet - juillet 2016</t>
  </si>
  <si>
    <t>Electricité cabinet - aout 2016</t>
  </si>
  <si>
    <t>Budget actualisé</t>
  </si>
  <si>
    <t>Semaine de décaissement</t>
  </si>
  <si>
    <t>2016</t>
  </si>
  <si>
    <t>Banque</t>
  </si>
  <si>
    <t>Société Générale</t>
  </si>
  <si>
    <t>Assurance cabinet - janvier 2016</t>
  </si>
  <si>
    <t>Assurance cabinet - février 2016</t>
  </si>
  <si>
    <t>Assurance cabinet - mars 2016</t>
  </si>
  <si>
    <t>Assurance cabinet - avril 2016</t>
  </si>
  <si>
    <t>Assurance cabinet - mai 2016</t>
  </si>
  <si>
    <t>Assurance cabinet - juin 2016</t>
  </si>
  <si>
    <t>Assurance cabinet - juillet 2016</t>
  </si>
  <si>
    <t>Assurance cabinet - aout 2016</t>
  </si>
  <si>
    <t>Assurance cabinet - septembre 2016</t>
  </si>
  <si>
    <t>Assurance cabinet - octobre 2016</t>
  </si>
  <si>
    <t>Assurance cabinet - novembre 2016</t>
  </si>
  <si>
    <t>Assurance cabinet - decembre 2016</t>
  </si>
  <si>
    <t>MACSF</t>
  </si>
  <si>
    <t>A-ELECTRICITE</t>
  </si>
  <si>
    <t>C-LOCATION PARKING</t>
  </si>
  <si>
    <t>Parking - janvier 2016</t>
  </si>
  <si>
    <t>Parking - février 2016</t>
  </si>
  <si>
    <t>Parking - mars 2016</t>
  </si>
  <si>
    <t>Parking - avril 2016</t>
  </si>
  <si>
    <t>Parking - mai 2016</t>
  </si>
  <si>
    <t>Parkingt - juin 2016</t>
  </si>
  <si>
    <t>Parking - juillet 2016</t>
  </si>
  <si>
    <t>Parking - aout 2016</t>
  </si>
  <si>
    <t>Parking - septembre 2016</t>
  </si>
  <si>
    <t>Parking - octobre 2016</t>
  </si>
  <si>
    <t>Parking - novembre 2016</t>
  </si>
  <si>
    <t>Parking - decembre 2016</t>
  </si>
  <si>
    <t>PARKING</t>
  </si>
  <si>
    <t>C-CHAINES TV</t>
  </si>
  <si>
    <t>CANAL +</t>
  </si>
  <si>
    <t>Canal + abt 1 - janvier 2016</t>
  </si>
  <si>
    <t>Canal + abt 1 - février 2016</t>
  </si>
  <si>
    <t>Canal + abt 1 - mars 2016</t>
  </si>
  <si>
    <t>Canal + abt 1 - avril 2016</t>
  </si>
  <si>
    <t>Canal + abt 1 - mai 2016</t>
  </si>
  <si>
    <t>Canal + abt 1 - juin 2016</t>
  </si>
  <si>
    <t>Canal + abt 1 - juillet 2016</t>
  </si>
  <si>
    <t>Canal + abt 1 - aout 2016</t>
  </si>
  <si>
    <t>Canal + abt 1 - septembre 2016</t>
  </si>
  <si>
    <t>Canal + abt 1 - octobre 2016</t>
  </si>
  <si>
    <t>Canal + abt 1 - novembre 2016</t>
  </si>
  <si>
    <t>Canal + abt 1 - decembre 2016</t>
  </si>
  <si>
    <t>Canal + abt 2 - janvier 2016</t>
  </si>
  <si>
    <t>Canal + abt 2 - février 2016</t>
  </si>
  <si>
    <t>Canal + abt 2 - mars 2016</t>
  </si>
  <si>
    <t>Canal + abt 2 - avril 2016</t>
  </si>
  <si>
    <t>Canal + abt 2 - mai 2016</t>
  </si>
  <si>
    <t>Canal + abt 2 - juin 2016</t>
  </si>
  <si>
    <t>Canal + abt 2 - juillet 2016</t>
  </si>
  <si>
    <t>Canal + abt 2 - aout 2016</t>
  </si>
  <si>
    <t>Canal + abt 2 - septembre 2016</t>
  </si>
  <si>
    <t>Canal + abt 2 - octobre 2016</t>
  </si>
  <si>
    <t>Canal + abt 2 - novembre 2016</t>
  </si>
  <si>
    <t>Canal + abt 2 - decembre 2016</t>
  </si>
  <si>
    <t>D-CHARGES SOCIALES MARCUS ABECASSIS</t>
  </si>
  <si>
    <t>URSSAF</t>
  </si>
  <si>
    <t>E-ASSURANCE LOCAUX</t>
  </si>
  <si>
    <t>B-ASSURANCE RC PRO</t>
  </si>
  <si>
    <t>ALLIANZ</t>
  </si>
  <si>
    <t>Assurance locaux - janvier 2016</t>
  </si>
  <si>
    <t>Assurance locaux - février 2016</t>
  </si>
  <si>
    <t>Assurance locaux - mars 2016</t>
  </si>
  <si>
    <t>Assurance locaux - avril 2016</t>
  </si>
  <si>
    <t>Assurance locaux - mai 2016</t>
  </si>
  <si>
    <t>Assurance locaux - juin 2016</t>
  </si>
  <si>
    <t>Assurance locaux - juillet 2016</t>
  </si>
  <si>
    <t>Assurance locaux - aout 2016</t>
  </si>
  <si>
    <t>Assurance locaux - novembre 2016</t>
  </si>
  <si>
    <t>Assurance locaux - septembre 2016</t>
  </si>
  <si>
    <t>Assurance locaux - octobre 2016</t>
  </si>
  <si>
    <t>Assurance locaux - décembre 2016</t>
  </si>
  <si>
    <t>F-TELEPHONE ET INTERNET ADSL</t>
  </si>
  <si>
    <t>FREE ADSL</t>
  </si>
  <si>
    <t>Frais de téléphone - janvier 2016</t>
  </si>
  <si>
    <t>Frais de téléphone - février 2016</t>
  </si>
  <si>
    <t>Frais de téléphone - mars 2016</t>
  </si>
  <si>
    <t>Téléphonie fixe - janvier 2016</t>
  </si>
  <si>
    <t>Téléphonie fixe - février 2016</t>
  </si>
  <si>
    <t>Frais de téléphone - avril 2016</t>
  </si>
  <si>
    <t>Frais de téléphone - juin 2016</t>
  </si>
  <si>
    <t>Frais de téléphone - mai 2016</t>
  </si>
  <si>
    <t>Frais de téléphone - juillet 2016</t>
  </si>
  <si>
    <t>Frais de téléphone - aout 2016</t>
  </si>
  <si>
    <t>Frais de téléphone - septembre 2016</t>
  </si>
  <si>
    <t>Frais de téléphone - octobre 2016</t>
  </si>
  <si>
    <t>Frais de téléphone - novembre 2016</t>
  </si>
  <si>
    <t>Frais de téléphone - décembre 2016</t>
  </si>
  <si>
    <t>Téléphonie fixe - mars 2016</t>
  </si>
  <si>
    <t>Téléphonie fixe - avril 2016</t>
  </si>
  <si>
    <t>Téléphonie fixe - mai 2016</t>
  </si>
  <si>
    <t>Téléphonie fixe - juin 2016</t>
  </si>
  <si>
    <t>Téléphonie fixe - juillet 2016</t>
  </si>
  <si>
    <t>Téléphonie fixe - aout 2016</t>
  </si>
  <si>
    <t>Téléphonie fixe - septembre 2016</t>
  </si>
  <si>
    <t>Téléphonie fixe - octobre 2016</t>
  </si>
  <si>
    <t>Téléphonie fixe - novembre 2016</t>
  </si>
  <si>
    <t>Téléphonie fixe - décembre 2016</t>
  </si>
  <si>
    <t>ORANGE</t>
  </si>
  <si>
    <t>ELOGIE/PARK</t>
  </si>
  <si>
    <t>elogie park - janvier 2016</t>
  </si>
  <si>
    <t>elogie park - février 2016</t>
  </si>
  <si>
    <t>elogie park - mars 2016</t>
  </si>
  <si>
    <t>elogie park - avril 2016</t>
  </si>
  <si>
    <t>elogie park - mai 2016</t>
  </si>
  <si>
    <t>elogie park - juin 2016</t>
  </si>
  <si>
    <t>elogie park - juillet 2016</t>
  </si>
  <si>
    <t>elogie park - aout 2016</t>
  </si>
  <si>
    <t>elogie park - septembre 2016</t>
  </si>
  <si>
    <t>elogie park - octobre 2016</t>
  </si>
  <si>
    <t>elogie park - novembre 2016</t>
  </si>
  <si>
    <t>elogie park - décembre 2016</t>
  </si>
  <si>
    <t>GENERALI</t>
  </si>
  <si>
    <t>Prevoyance vie - janvier 2016</t>
  </si>
  <si>
    <t>Prevoyance vie - février 2016</t>
  </si>
  <si>
    <t>Prevoyance vie - mars 2016</t>
  </si>
  <si>
    <t>Prevoyance vie - avril 2016</t>
  </si>
  <si>
    <t>Prevoyance vie - mai 2016</t>
  </si>
  <si>
    <t>Prevoyance vie - juin 2016</t>
  </si>
  <si>
    <t>Prevoyance vie - juillet 2016</t>
  </si>
  <si>
    <t>Prevoyance vie - aout 2016</t>
  </si>
  <si>
    <t>Prevoyance vie - septembre 2016</t>
  </si>
  <si>
    <t>Prevoyance vie - octobre 2016</t>
  </si>
  <si>
    <t>Prevoyance vie - novembre 2016</t>
  </si>
  <si>
    <t>Prevoyance vie - décembre 2016</t>
  </si>
  <si>
    <t>G-TELEPHONIE</t>
  </si>
  <si>
    <t>G-TELEPHONE FIXE</t>
  </si>
  <si>
    <t>H-TELEPHONE MOBILE</t>
  </si>
  <si>
    <t>Téléphonie mobile - janvier 2016</t>
  </si>
  <si>
    <t>Téléphonie mobile - février 2016</t>
  </si>
  <si>
    <t>Téléphonie mobile - mars 2016</t>
  </si>
  <si>
    <t>Téléphonie mobile - avril 2016</t>
  </si>
  <si>
    <t>Téléphonie mobile - mai 2016</t>
  </si>
  <si>
    <t>Téléphonie mobile - juin 2016</t>
  </si>
  <si>
    <t>Téléphonie mobile - juillet 2016</t>
  </si>
  <si>
    <t>Téléphonie mobile - aout 2016</t>
  </si>
  <si>
    <t>Téléphonie mobile - septembre 2016</t>
  </si>
  <si>
    <t>Téléphonie mobile - octobre 2016</t>
  </si>
  <si>
    <t>Téléphonie mobile - novembre 2016</t>
  </si>
  <si>
    <t>Téléphonie mobile - décembre 2016</t>
  </si>
  <si>
    <t>FREE MOBILE</t>
  </si>
  <si>
    <t>I-ELOGIE PARK</t>
  </si>
  <si>
    <t>J-PREVOYANCE</t>
  </si>
  <si>
    <t>K-PREVOYANCE VIE</t>
  </si>
  <si>
    <t>L-RETRAITE CHIRURGIEN</t>
  </si>
  <si>
    <t>CARCD</t>
  </si>
  <si>
    <t>L-CREDIT BAILS (LOCATIONS)</t>
  </si>
  <si>
    <t>LAGELANDEN</t>
  </si>
  <si>
    <t>Locations LAGELANDEN - janvier 2016</t>
  </si>
  <si>
    <t>Locations LAGELANDEN - février 2016</t>
  </si>
  <si>
    <t>Locations LAGELANDEN - mars 2016</t>
  </si>
  <si>
    <t>Locations LAGELANDEN - avril 2016</t>
  </si>
  <si>
    <t>Locations LAGELANDEN - mai 2016</t>
  </si>
  <si>
    <t>Locations LAGELANDEN - juin 2016</t>
  </si>
  <si>
    <t>Locations LAGELANDEN - juillet 2016</t>
  </si>
  <si>
    <t>Locations LAGELANDEN - aout 2016</t>
  </si>
  <si>
    <t>Locations LAGELANDEN - septembre 2016</t>
  </si>
  <si>
    <t>Locations LAGELANDEN - octobre 2016</t>
  </si>
  <si>
    <t>Locations LAGELANDEN - novembre 2016</t>
  </si>
  <si>
    <t>Locations LAGELANDEN - décembre 2016</t>
  </si>
  <si>
    <t>M-FRAIS DE PEAGE</t>
  </si>
  <si>
    <t>Frais de péage - janvier 2016</t>
  </si>
  <si>
    <t>Frais de péage - février 2016</t>
  </si>
  <si>
    <t>Frais de péage - mars 2016</t>
  </si>
  <si>
    <t>Frais de péage - avril 2016</t>
  </si>
  <si>
    <t>Frais de péage - mai 2016</t>
  </si>
  <si>
    <t>Frais de péage - juin 2016</t>
  </si>
  <si>
    <t>Frais de péage - juillet 2016</t>
  </si>
  <si>
    <t>Frais de péage - aout 2016</t>
  </si>
  <si>
    <t>Frais de péage - septembre 2016</t>
  </si>
  <si>
    <t>Frais de péage - octobre 2016</t>
  </si>
  <si>
    <t>Frais de péage - novembre 2016</t>
  </si>
  <si>
    <t>Frais de péage - décembre 2016</t>
  </si>
  <si>
    <t>PEAGE</t>
  </si>
  <si>
    <t>N-URSSAF CHIRURGIEN</t>
  </si>
  <si>
    <t>Urssaf chirurgien - janvier 2016</t>
  </si>
  <si>
    <t>Urssaf chirurgien - février 2016</t>
  </si>
  <si>
    <t>Urssaf chirurgien - mars 2016</t>
  </si>
  <si>
    <t>Urssaf chirurgien - avril 2016</t>
  </si>
  <si>
    <t>Urssaf chirurgien - mai 2016</t>
  </si>
  <si>
    <t>Urssaf chirurgien - juin 2016</t>
  </si>
  <si>
    <t>Urssaf chirurgien - juillet 2016</t>
  </si>
  <si>
    <t>Urssaf chirurgien - aout 2016</t>
  </si>
  <si>
    <t>Urssaf chirurgien - septembre 2016</t>
  </si>
  <si>
    <t>Urssaf chirurgien - octobre 2016</t>
  </si>
  <si>
    <t>Urssaf chirurgien - novembre 2016</t>
  </si>
  <si>
    <t>Urssaf chirurgien - décembre 2016</t>
  </si>
  <si>
    <t>O-TELEPHONE</t>
  </si>
  <si>
    <t>O-TELEPHONE ORANGE</t>
  </si>
  <si>
    <t>Téléphonie fixe - decembre 2016</t>
  </si>
  <si>
    <t>P-SALAIRE ASSISTANTE</t>
  </si>
  <si>
    <t>Assistante salaire net - janvier 2016</t>
  </si>
  <si>
    <t>Assistante salaire net - février 2016</t>
  </si>
  <si>
    <t>Assistante salaire net - mars 2016</t>
  </si>
  <si>
    <t>Assistante salaire net - avril 2016</t>
  </si>
  <si>
    <t>Assistante salaire net - mai 2016</t>
  </si>
  <si>
    <t>Assistante salaire net - juin 2016</t>
  </si>
  <si>
    <t>Assistante salaire net - juillet 2016</t>
  </si>
  <si>
    <t>Assistante salaire net - aout 2016</t>
  </si>
  <si>
    <t>Assistante salaire net - septembre 2016</t>
  </si>
  <si>
    <t>Assistante salaire net - octobre 2016</t>
  </si>
  <si>
    <t>Assistante salaire net - novembre 2016</t>
  </si>
  <si>
    <t>Assistante salaire net - decembre 2016</t>
  </si>
  <si>
    <t>Assistante charges sociales - janvier 2016</t>
  </si>
  <si>
    <t>Assistante charges sociales - février 2016</t>
  </si>
  <si>
    <t>Assistante charges sociales - mars 2016</t>
  </si>
  <si>
    <t>Assistante charges sociales - avril 2016</t>
  </si>
  <si>
    <t>Assistante charges sociales - mai 2016</t>
  </si>
  <si>
    <t>Assistante charges sociales - juin 2016</t>
  </si>
  <si>
    <t>Assistante charges sociales - juillet 2016</t>
  </si>
  <si>
    <t>Assistante charges sociales - aout 2016</t>
  </si>
  <si>
    <t>Assistante charges sociales - septembre 2016</t>
  </si>
  <si>
    <t>Assistante charges sociales - octobre 2016</t>
  </si>
  <si>
    <t>Assistante charges sociales - novembre 2016</t>
  </si>
  <si>
    <t>Assistante charges sociales - decembre 2016</t>
  </si>
  <si>
    <t>Q-LOYER LOCAUX</t>
  </si>
  <si>
    <t>ETELI</t>
  </si>
  <si>
    <t>Loyer cabinet - janvier 2016</t>
  </si>
  <si>
    <t>Loyer cabinet - février 2016</t>
  </si>
  <si>
    <t>Loyer cabinet - mars 2016</t>
  </si>
  <si>
    <t>Loyer cabinet - avril 2016</t>
  </si>
  <si>
    <t>Loyer cabinet - mai 2016</t>
  </si>
  <si>
    <t>Loyer cabinet - juin 2016</t>
  </si>
  <si>
    <t>Loyer cabinet - juillet 2016</t>
  </si>
  <si>
    <t>Loyer cabinet - aout 2016</t>
  </si>
  <si>
    <t>Loyer cabinet - septembre 2016</t>
  </si>
  <si>
    <t>Loyer cabinet - octobre 2016</t>
  </si>
  <si>
    <t>Loyer cabinet - novembre 2016</t>
  </si>
  <si>
    <t>Loyer cabinet - decembre 2016</t>
  </si>
  <si>
    <t>Crédit Agricole</t>
  </si>
  <si>
    <t>R-MATERIEL RADIOLOGIE</t>
  </si>
  <si>
    <t>Panneau radio 3D - janvier 2016</t>
  </si>
  <si>
    <t>Panneau radio 3D - février 2016</t>
  </si>
  <si>
    <t>Panneau radio 3D - mars 2016</t>
  </si>
  <si>
    <t>Panneau radio 3D - avril 2016</t>
  </si>
  <si>
    <t>Panneau radio 3D - mai 2016</t>
  </si>
  <si>
    <t>Panneau radio 3D - juin 2016</t>
  </si>
  <si>
    <t>Panneau radio 3D - juillet 2016</t>
  </si>
  <si>
    <t>Panneau radio 3D - aout 2016</t>
  </si>
  <si>
    <t>Panneau radio 3D - septembre 2016</t>
  </si>
  <si>
    <t>Panneau radio 3D - octobre 2016</t>
  </si>
  <si>
    <t>Panneau radio 3D - novembre 2016</t>
  </si>
  <si>
    <t>Panneau radio 3D - decembre 2016</t>
  </si>
  <si>
    <t>SOGELEASE</t>
  </si>
  <si>
    <t>S-ECHEANCE PRÊT</t>
  </si>
  <si>
    <t>S-PRÊT ETELI</t>
  </si>
  <si>
    <t>T-PRÊT CIC</t>
  </si>
  <si>
    <t>Prêt ETELI - janvier 2016</t>
  </si>
  <si>
    <t>Prêt ETELI - février 2016</t>
  </si>
  <si>
    <t>Prêt ETELI - mars 2016</t>
  </si>
  <si>
    <t>Prêt ETELI - avril 2016</t>
  </si>
  <si>
    <t>Prêt ETELI - mai 2016</t>
  </si>
  <si>
    <t>Prêt ETELI - juin 2016</t>
  </si>
  <si>
    <t>Prêt ETELI - juillet 2016</t>
  </si>
  <si>
    <t>Prêt ETELI - aout 2016</t>
  </si>
  <si>
    <t>Prêt ETELI - septembre 2016</t>
  </si>
  <si>
    <t>Prêt ETELI - octobre 2016</t>
  </si>
  <si>
    <t>Prêt ETELI - novembre 2016</t>
  </si>
  <si>
    <t>Prêt ETELI - decembre 2016</t>
  </si>
  <si>
    <t>Prêt CIC - janvier 2016</t>
  </si>
  <si>
    <t>Prêt CIC - février 2016</t>
  </si>
  <si>
    <t>Prêt CIC - mars 2016</t>
  </si>
  <si>
    <t>Prêt CIC - avril 2016</t>
  </si>
  <si>
    <t>Prêt CIC - mai 2016</t>
  </si>
  <si>
    <t>Prêt CIC - juin 2016</t>
  </si>
  <si>
    <t>Prêt CIC - juillet 2016</t>
  </si>
  <si>
    <t>Prêt CIC - aout 2016</t>
  </si>
  <si>
    <t>Prêt CIC - septembre 2016</t>
  </si>
  <si>
    <t>Prêt CIC - octobre 2016</t>
  </si>
  <si>
    <t>Prêt CIC - novembre 2016</t>
  </si>
  <si>
    <t>Prêt CIC - decembre 2016</t>
  </si>
  <si>
    <t>SOCIETE GENERALE</t>
  </si>
  <si>
    <t>CIC</t>
  </si>
  <si>
    <t>2 -Divers</t>
  </si>
  <si>
    <t>U-VIREMENT PERSONNEL</t>
  </si>
  <si>
    <t>Virement Sabine - janvier 2016</t>
  </si>
  <si>
    <t>Virement Sabine - février 2016</t>
  </si>
  <si>
    <t>Virement Sabine - mars 2016</t>
  </si>
  <si>
    <t>Virement Sabine - avril 2016</t>
  </si>
  <si>
    <t>Virement Sabine - mai 2016</t>
  </si>
  <si>
    <t>Virement Sabine - juin 2016</t>
  </si>
  <si>
    <t>Virement Sabine - juillet 2016</t>
  </si>
  <si>
    <t>Virement Sabine - aout 2016</t>
  </si>
  <si>
    <t>Virement Sabine - septembre 2016</t>
  </si>
  <si>
    <t>Virement Sabine - octobre 2016</t>
  </si>
  <si>
    <t>Virement Sabine - novembre 2016</t>
  </si>
  <si>
    <t>Virement Sabine - decembre 2016</t>
  </si>
  <si>
    <t>SABINE ABECASSIS</t>
  </si>
  <si>
    <t>V-TELEPHONE FREE</t>
  </si>
  <si>
    <t>W-EXPERT COMPTABLE</t>
  </si>
  <si>
    <t>Comptabilité - janvier 2016</t>
  </si>
  <si>
    <t>Comptabilité - février 2016</t>
  </si>
  <si>
    <t>Comptabilité - mars 2016</t>
  </si>
  <si>
    <t>Comptabilité - avril 2016</t>
  </si>
  <si>
    <t>Comptabilité - mai 2016</t>
  </si>
  <si>
    <t>Comptabilité - juin 2016</t>
  </si>
  <si>
    <t>Comptabilité - juillet 2016</t>
  </si>
  <si>
    <t>Comptabilité - aout 2016</t>
  </si>
  <si>
    <t>Comptabilité - septembre 2016</t>
  </si>
  <si>
    <t>Comptabilité - octobre 2016</t>
  </si>
  <si>
    <t>Comptabilité - novembre 2016</t>
  </si>
  <si>
    <t>Comptabilité - décembre 2016</t>
  </si>
  <si>
    <t>NAOBEL</t>
  </si>
  <si>
    <t>Virement Appartement - janvier 2016</t>
  </si>
  <si>
    <t>Virement Appartement - février 2016</t>
  </si>
  <si>
    <t>Virement Appartement - mars 2016</t>
  </si>
  <si>
    <t>Virement Appartement - avril 2016</t>
  </si>
  <si>
    <t>Virement Appartement - mai 2016</t>
  </si>
  <si>
    <t>Virement Appartement - juin 2016</t>
  </si>
  <si>
    <t>Virement Appartement - juillet 2016</t>
  </si>
  <si>
    <t>Virement Appartement - aout 2016</t>
  </si>
  <si>
    <t>Virement Appartement - septembre 2016</t>
  </si>
  <si>
    <t>Virement Appartement - octobre 2016</t>
  </si>
  <si>
    <t>Virement Appartement - novembre 2016</t>
  </si>
  <si>
    <t>Virement Appartement - decembre 2016</t>
  </si>
  <si>
    <t>APPARTEMENT</t>
  </si>
  <si>
    <t>X-VIREMENT APPARTEMENT</t>
  </si>
  <si>
    <t xml:space="preserve">Y-ASSURANCE PRÊT </t>
  </si>
  <si>
    <t>Société Générale ETELI</t>
  </si>
  <si>
    <t>Z-ASSURANCE</t>
  </si>
  <si>
    <t>54*12</t>
  </si>
  <si>
    <t>DEPENSES TRESORERIE CHARGES FIXES</t>
  </si>
  <si>
    <t>1 -Recette CABINET</t>
  </si>
  <si>
    <t>MARCUS ABECASSIS</t>
  </si>
  <si>
    <t>A RECEVOIR</t>
  </si>
  <si>
    <t>ENCAISSE A CE JOUR</t>
  </si>
  <si>
    <t>Mutuelles</t>
  </si>
  <si>
    <t>Sécurité Sociale</t>
  </si>
  <si>
    <t>Semaine RGT CB/Chèques</t>
  </si>
  <si>
    <t>Année</t>
  </si>
  <si>
    <t xml:space="preserve"> 1</t>
  </si>
  <si>
    <t xml:space="preserve"> 2</t>
  </si>
  <si>
    <t xml:space="preserve"> 3</t>
  </si>
  <si>
    <t xml:space="preserve"> 4</t>
  </si>
  <si>
    <t xml:space="preserve"> 5</t>
  </si>
  <si>
    <t xml:space="preserve"> 6</t>
  </si>
  <si>
    <t xml:space="preserve"> 7</t>
  </si>
  <si>
    <t xml:space="preserve"> 8</t>
  </si>
  <si>
    <t xml:space="preserve"> 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</si>
  <si>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</si>
  <si>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</si>
  <si>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</si>
  <si>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</si>
  <si>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</si>
  <si>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</si>
  <si>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</si>
  <si>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</si>
  <si>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</si>
  <si>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</si>
  <si>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</si>
  <si>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</si>
  <si>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</si>
  <si>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</si>
  <si>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</si>
  <si>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</si>
  <si>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</si>
  <si>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</si>
  <si>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</si>
  <si>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</si>
  <si>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</si>
  <si>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</si>
  <si>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</si>
  <si>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</si>
  <si>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</si>
  <si>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</si>
  <si>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</si>
  <si>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</si>
  <si>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</si>
  <si>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</si>
  <si>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</si>
  <si>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</si>
  <si>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</si>
  <si>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</si>
  <si>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</si>
  <si>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</si>
  <si>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</si>
  <si>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</si>
  <si>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</si>
  <si>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</si>
  <si>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</si>
  <si>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</si>
  <si>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</si>
  <si>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3- Achats</t>
  </si>
  <si>
    <t>ALDO TOHME</t>
  </si>
  <si>
    <t>N° FACTURE</t>
  </si>
  <si>
    <t>ALPHABIO</t>
  </si>
  <si>
    <t>AB IMPLANTS</t>
  </si>
  <si>
    <t>BIOMET</t>
  </si>
  <si>
    <t>CNOCD</t>
  </si>
  <si>
    <t>COTISATION 2016</t>
  </si>
  <si>
    <t>GACD</t>
  </si>
  <si>
    <t>GEISTLICH</t>
  </si>
  <si>
    <t>4J51100016</t>
  </si>
  <si>
    <t>GD</t>
  </si>
  <si>
    <t>IPP PHARMA</t>
  </si>
  <si>
    <t>IRSN</t>
  </si>
  <si>
    <t>LABOPREMIER</t>
  </si>
  <si>
    <t>MEGADENTAL</t>
  </si>
  <si>
    <t>MIS</t>
  </si>
  <si>
    <t>SFID</t>
  </si>
  <si>
    <t>SODICOME</t>
  </si>
  <si>
    <t>VOG</t>
  </si>
  <si>
    <t>FA46322</t>
  </si>
  <si>
    <t>Somme de Total TTC</t>
  </si>
  <si>
    <t>CB/Chèques</t>
  </si>
  <si>
    <t>Mode règlement</t>
  </si>
  <si>
    <t>Semaines</t>
  </si>
  <si>
    <t>Encaissments</t>
  </si>
  <si>
    <t>Décaissements Charges fixes</t>
  </si>
  <si>
    <t>Décaissement Achats</t>
  </si>
  <si>
    <t>Sous-total 1</t>
  </si>
  <si>
    <t>Virement +</t>
  </si>
  <si>
    <t>Virement -</t>
  </si>
  <si>
    <t>Solde fin de semaine</t>
  </si>
  <si>
    <t>B-PROTHESES</t>
  </si>
  <si>
    <t>Recettes prothèses - semaine 1</t>
  </si>
  <si>
    <t>Recettes prothèses - semaine 2</t>
  </si>
  <si>
    <t>Recettes prothèses - semaine 3</t>
  </si>
  <si>
    <t>Recettes prothèses - semaine 4</t>
  </si>
  <si>
    <t>Recettes prothèses - semaine 5</t>
  </si>
  <si>
    <t>Recettes prothèses - semaine 6</t>
  </si>
  <si>
    <t>Recettes prothèses - semaine 7</t>
  </si>
  <si>
    <t>Recettes prothèses - semaine 8</t>
  </si>
  <si>
    <t>Recettes prothèses - semaine 9</t>
  </si>
  <si>
    <t>Recettes prothèses - semaine 10</t>
  </si>
  <si>
    <t>Recettes prothèses - semaine 11</t>
  </si>
  <si>
    <t>Recettes prothèses - semaine 12</t>
  </si>
  <si>
    <t>Recettes prothèses - semaine 13</t>
  </si>
  <si>
    <t>Recettes prothèses - semaine 14</t>
  </si>
  <si>
    <t>Recettes prothèses - semaine 15</t>
  </si>
  <si>
    <t>Recettes prothèses - semaine 16</t>
  </si>
  <si>
    <t>Recettes prothèses - semaine 17</t>
  </si>
  <si>
    <t>Recettes prothèses - semaine 18</t>
  </si>
  <si>
    <t>Recettes prothèses - semaine 19</t>
  </si>
  <si>
    <t>Recettes prothèses - semaine 20</t>
  </si>
  <si>
    <t>Recettes prothèses - semaine 21</t>
  </si>
  <si>
    <t>Recettes prothèses - semaine 22</t>
  </si>
  <si>
    <t>Recettes prothèses - semaine 23</t>
  </si>
  <si>
    <t>Recettes prothèses - semaine 24</t>
  </si>
  <si>
    <t>Recettes prothèses - semaine 25</t>
  </si>
  <si>
    <t>Recettes prothèses - semaine 26</t>
  </si>
  <si>
    <t>Recettes prothèses - semaine 27</t>
  </si>
  <si>
    <t>Recettes prothèses - semaine 28</t>
  </si>
  <si>
    <t>Recettes prothèses - semaine 29</t>
  </si>
  <si>
    <t>Recettes prothèses - semaine 30</t>
  </si>
  <si>
    <t>Recettes prothèses - semaine 31</t>
  </si>
  <si>
    <t>Recettes prothèses - semaine 32</t>
  </si>
  <si>
    <t>Recettes prothèses - semaine 33</t>
  </si>
  <si>
    <t>Recettes prothèses - semaine 34</t>
  </si>
  <si>
    <t>Recettes prothèses - semaine 35</t>
  </si>
  <si>
    <t>Recettes prothèses - semaine 36</t>
  </si>
  <si>
    <t>Recettes prothèses - semaine 37</t>
  </si>
  <si>
    <t>Recettes prothèses - semaine 38</t>
  </si>
  <si>
    <t>Recettes prothèses - semaine 39</t>
  </si>
  <si>
    <t>Recettes prothèses - semaine 40</t>
  </si>
  <si>
    <t>Recettes prothèses - semaine 41</t>
  </si>
  <si>
    <t>Recettes prothèses - semaine 42</t>
  </si>
  <si>
    <t>Recettes prothèses - semaine 43</t>
  </si>
  <si>
    <t>Recettes prothèses - semaine 44</t>
  </si>
  <si>
    <t>Recettes prothèses - semaine 45</t>
  </si>
  <si>
    <t>Recettes prothèses - semaine 46</t>
  </si>
  <si>
    <t>Recettes prothèses - semaine 47</t>
  </si>
  <si>
    <t>Recettes prothèses - semaine 48</t>
  </si>
  <si>
    <t>Recettes prothèses - semaine 49</t>
  </si>
  <si>
    <t>Recettes prothèses - semaine 50</t>
  </si>
  <si>
    <t>Recettes prothèses - semaine 51</t>
  </si>
  <si>
    <t>Recettes prothèses - semaine 52</t>
  </si>
  <si>
    <t>A-SOINS</t>
  </si>
  <si>
    <t>Recettes soins - semaine 1</t>
  </si>
  <si>
    <t>Recettes soins - semaine 2</t>
  </si>
  <si>
    <t>Recettes soins - semaine 3</t>
  </si>
  <si>
    <t>Recettes soins - semaine 4</t>
  </si>
  <si>
    <t>Recettes soins - semaine 5</t>
  </si>
  <si>
    <t>Recettes soins - semaine 6</t>
  </si>
  <si>
    <t>Recettes soins - semaine 7</t>
  </si>
  <si>
    <t>Recettes soins - semaine 8</t>
  </si>
  <si>
    <t>Recettes soins - semaine 9</t>
  </si>
  <si>
    <t>Recettes soins - semaine 10</t>
  </si>
  <si>
    <t>Recettes soins - semaine 11</t>
  </si>
  <si>
    <t>Recettes soins - semaine 12</t>
  </si>
  <si>
    <t>Recettes soins - semaine 13</t>
  </si>
  <si>
    <t>Recettes soins - semaine 14</t>
  </si>
  <si>
    <t>Recettes soins - semaine 15</t>
  </si>
  <si>
    <t>Recettes soins - semaine 16</t>
  </si>
  <si>
    <t>Recettes soins - semaine 17</t>
  </si>
  <si>
    <t>Recettes soins - semaine 18</t>
  </si>
  <si>
    <t>Recettes soins - semaine 19</t>
  </si>
  <si>
    <t>Recettes soins - semaine 20</t>
  </si>
  <si>
    <t>Recettes soins - semaine 21</t>
  </si>
  <si>
    <t>Recettes soins - semaine 22</t>
  </si>
  <si>
    <t>Recettes soins - semaine 23</t>
  </si>
  <si>
    <t>Recettes soins - semaine 24</t>
  </si>
  <si>
    <t>Recettes soins - semaine 25</t>
  </si>
  <si>
    <t>Recettes soins - semaine 26</t>
  </si>
  <si>
    <t>Recettes soins - semaine 27</t>
  </si>
  <si>
    <t>Recettes soins - semaine 28</t>
  </si>
  <si>
    <t>Recettes soins - semaine 29</t>
  </si>
  <si>
    <t>Recettes soins - semaine 30</t>
  </si>
  <si>
    <t>Recettes soins - semaine 31</t>
  </si>
  <si>
    <t>Recettes soins - semaine 32</t>
  </si>
  <si>
    <t>Recettes soins - semaine 33</t>
  </si>
  <si>
    <t>Recettes soins - semaine 34</t>
  </si>
  <si>
    <t>Recettes soins - semaine 35</t>
  </si>
  <si>
    <t>Recettes soins - semaine 36</t>
  </si>
  <si>
    <t>Recettes soins - semaine 37</t>
  </si>
  <si>
    <t>Recettes soins - semaine 38</t>
  </si>
  <si>
    <t>Recettes soins - semaine 39</t>
  </si>
  <si>
    <t>Recettes soins - semaine 40</t>
  </si>
  <si>
    <t>Recettes soins - semaine 41</t>
  </si>
  <si>
    <t>Recettes soins - semaine 42</t>
  </si>
  <si>
    <t>Recettes soins - semaine 43</t>
  </si>
  <si>
    <t>Recettes soins - semaine 44</t>
  </si>
  <si>
    <t>Recettes soins - semaine 45</t>
  </si>
  <si>
    <t>Recettes soins - semaine 46</t>
  </si>
  <si>
    <t>Recettes soins - semaine 47</t>
  </si>
  <si>
    <t>Recettes soins - semaine 48</t>
  </si>
  <si>
    <t>Recettes soins - semaine 49</t>
  </si>
  <si>
    <t>Recettes soins - semaine 50</t>
  </si>
  <si>
    <t>Recettes soins - semaine 51</t>
  </si>
  <si>
    <t>Recettes soins - semaine 52</t>
  </si>
  <si>
    <t>(Plusieurs éléments)</t>
  </si>
  <si>
    <t>AXA</t>
  </si>
  <si>
    <t>Virements personnels</t>
  </si>
  <si>
    <t>x</t>
  </si>
  <si>
    <t>D-CHARGES SOCIALES</t>
  </si>
  <si>
    <t>L-RETRAITE</t>
  </si>
  <si>
    <t>retraite - janvier 2016</t>
  </si>
  <si>
    <t>retraite - février 2016</t>
  </si>
  <si>
    <t>retraite - mars 2016</t>
  </si>
  <si>
    <t>retraite - avril 2016</t>
  </si>
  <si>
    <t>retraite - mai 2016</t>
  </si>
  <si>
    <t>retraite - juin 2016</t>
  </si>
  <si>
    <t>retraite - juillet 2016</t>
  </si>
  <si>
    <t>retraite - aout 2016</t>
  </si>
  <si>
    <t>retraite - septembre 2016</t>
  </si>
  <si>
    <t>retraite - octobre 2016</t>
  </si>
  <si>
    <t>retraite - novembre 2016</t>
  </si>
  <si>
    <t>retraite - décembre 2016</t>
  </si>
  <si>
    <t>dirigeant - février 2016</t>
  </si>
  <si>
    <t>dirigeant - mai 2016</t>
  </si>
  <si>
    <t>dirigeant - aout 2016</t>
  </si>
  <si>
    <t>dirigeant - novembre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</si>
</sst>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F&quot;"/>
    <numFmt numFmtId="165" formatCode="#,##0.00\ &quot;€&quot;"/>
    <numFmt numFmtId="166" formatCode="_-* #,##0.00\ [$€-1]_-;\-* #,##0.00\ [$€-1]_-;_-* &quot;-&quot;??\ [$€-1]_-"/>
    <numFmt numFmtId="167" formatCode="_-* #,##0.00\ [$€-40C]_-;\-* #,##0.00\ [$€-40C]_-;_-* &quot;-&quot;??\ [$€-40C]_-;_-@_-"/>
    <numFmt numFmtId="168" formatCode="[$-40C]mmmm\-yy;@"/>
    <numFmt numFmtId="169" formatCode="[$-40C]d\-mmm;@"/>
  </numFmts>
  <fonts count="46">
    <font>
      <sz val="12"/>
      <name val="Footlight MT Light"/>
    </font>
    <font>
      <sz val="12"/>
      <name val="Verdana"/>
      <family val="2"/>
    </font>
    <font>
      <sz val="12"/>
      <name val="Trebuchet MS"/>
      <family val="2"/>
    </font>
    <font>
      <b/>
      <sz val="12"/>
      <name val="Trebuchet MS"/>
      <family val="2"/>
    </font>
    <font>
      <sz val="16"/>
      <name val="Trebuchet MS"/>
      <family val="2"/>
    </font>
    <font>
      <sz val="12"/>
      <name val="Footlight MT Light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9"/>
      <name val="L Frutiger Light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u/>
      <sz val="12"/>
      <color theme="10"/>
      <name val="Footlight MT Light"/>
      <family val="1"/>
    </font>
    <font>
      <u/>
      <sz val="12"/>
      <color theme="11"/>
      <name val="Footlight MT Light"/>
      <family val="1"/>
    </font>
    <font>
      <sz val="12"/>
      <color theme="0"/>
      <name val="Trebuchet MS"/>
      <family val="2"/>
    </font>
    <font>
      <b/>
      <sz val="12"/>
      <color theme="0"/>
      <name val="Trebuchet MS"/>
      <family val="2"/>
    </font>
    <font>
      <b/>
      <sz val="16"/>
      <color theme="0"/>
      <name val="Trebuchet MS"/>
      <family val="2"/>
    </font>
    <font>
      <sz val="11"/>
      <name val="Trebuchet MS"/>
      <family val="2"/>
    </font>
    <font>
      <b/>
      <sz val="12"/>
      <color rgb="FFC00000"/>
      <name val="Trebuchet MS"/>
      <family val="2"/>
    </font>
    <font>
      <sz val="12"/>
      <color rgb="FFC00000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sz val="12"/>
      <name val="Footlight MT Light"/>
      <family val="1"/>
    </font>
    <font>
      <sz val="48"/>
      <name val="Footlight MT Light"/>
      <family val="1"/>
    </font>
    <font>
      <sz val="12"/>
      <color theme="1"/>
      <name val="Footlight MT Light"/>
    </font>
    <font>
      <b/>
      <sz val="12"/>
      <color theme="0"/>
      <name val="Footlight MT Light"/>
    </font>
    <font>
      <sz val="12"/>
      <color theme="0"/>
      <name val="Footlight MT Light"/>
    </font>
    <font>
      <b/>
      <sz val="12"/>
      <color theme="1"/>
      <name val="Footlight MT Light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9E70E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  <border>
      <left/>
      <right/>
      <top/>
      <bottom style="thin">
        <color theme="5" tint="-0.249977111117893"/>
      </bottom>
      <diagonal/>
    </border>
    <border>
      <left/>
      <right/>
      <top style="thin">
        <color theme="5" tint="-0.249977111117893"/>
      </top>
      <bottom style="thin">
        <color theme="5" tint="0.79998168889431442"/>
      </bottom>
      <diagonal/>
    </border>
    <border>
      <left/>
      <right/>
      <top style="thin">
        <color theme="5" tint="-0.249977111117893"/>
      </top>
      <bottom style="thin">
        <color theme="5" tint="0.59999389629810485"/>
      </bottom>
      <diagonal/>
    </border>
    <border>
      <left/>
      <right/>
      <top style="double">
        <color theme="5" tint="-0.249977111117893"/>
      </top>
      <bottom/>
      <diagonal/>
    </border>
    <border>
      <left/>
      <right/>
      <top style="thin">
        <color theme="5" tint="0.79998168889431442"/>
      </top>
      <bottom style="thin">
        <color indexed="64"/>
      </bottom>
      <diagonal/>
    </border>
    <border>
      <left/>
      <right/>
      <top/>
      <bottom style="thin">
        <color theme="5" tint="0.79998168889431442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</borders>
  <cellStyleXfs count="62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20" borderId="2" applyNumberFormat="0" applyAlignment="0" applyProtection="0"/>
    <xf numFmtId="0" fontId="10" fillId="0" borderId="3" applyNumberFormat="0" applyFill="0" applyAlignment="0" applyProtection="0"/>
    <xf numFmtId="0" fontId="11" fillId="21" borderId="4" applyNumberFormat="0" applyFont="0" applyAlignment="0" applyProtection="0"/>
    <xf numFmtId="0" fontId="11" fillId="21" borderId="4" applyNumberFormat="0" applyFont="0" applyAlignment="0" applyProtection="0"/>
    <xf numFmtId="4" fontId="12" fillId="0" borderId="1"/>
    <xf numFmtId="0" fontId="13" fillId="7" borderId="2" applyNumberFormat="0" applyAlignment="0" applyProtection="0"/>
    <xf numFmtId="166" fontId="5" fillId="0" borderId="0" applyFont="0" applyFill="0" applyBorder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16" fillId="4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18" fillId="20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7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6" fillId="0" borderId="8" applyNumberFormat="0" applyFill="0" applyAlignment="0" applyProtection="0"/>
    <xf numFmtId="0" fontId="26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23" borderId="10" applyNumberFormat="0" applyAlignment="0" applyProtection="0"/>
    <xf numFmtId="0" fontId="29" fillId="23" borderId="10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4" fontId="40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2" fillId="0" borderId="0" xfId="1" applyFont="1" applyBorder="1" applyAlignment="1">
      <alignment vertical="center"/>
    </xf>
    <xf numFmtId="167" fontId="2" fillId="0" borderId="0" xfId="1" applyNumberFormat="1" applyFont="1" applyBorder="1" applyAlignment="1">
      <alignment vertical="center"/>
    </xf>
    <xf numFmtId="0" fontId="2" fillId="0" borderId="11" xfId="1" applyFont="1" applyBorder="1" applyAlignment="1">
      <alignment vertical="center"/>
    </xf>
    <xf numFmtId="0" fontId="32" fillId="24" borderId="11" xfId="1" applyFont="1" applyFill="1" applyBorder="1" applyAlignment="1">
      <alignment vertical="center"/>
    </xf>
    <xf numFmtId="0" fontId="34" fillId="25" borderId="11" xfId="1" applyFont="1" applyFill="1" applyBorder="1" applyAlignment="1">
      <alignment vertical="center"/>
    </xf>
    <xf numFmtId="0" fontId="34" fillId="25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32" fillId="24" borderId="11" xfId="1" applyFont="1" applyFill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4" fontId="2" fillId="0" borderId="11" xfId="1" applyNumberFormat="1" applyFont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14" fontId="2" fillId="0" borderId="11" xfId="1" applyNumberFormat="1" applyFont="1" applyFill="1" applyBorder="1" applyAlignment="1">
      <alignment horizontal="center" vertical="center"/>
    </xf>
    <xf numFmtId="0" fontId="2" fillId="26" borderId="11" xfId="1" applyFont="1" applyFill="1" applyBorder="1" applyAlignment="1">
      <alignment vertical="center"/>
    </xf>
    <xf numFmtId="0" fontId="0" fillId="0" borderId="0" xfId="0" pivotButton="1"/>
    <xf numFmtId="168" fontId="34" fillId="25" borderId="11" xfId="1" applyNumberFormat="1" applyFont="1" applyFill="1" applyBorder="1" applyAlignment="1">
      <alignment vertical="center"/>
    </xf>
    <xf numFmtId="168" fontId="32" fillId="24" borderId="11" xfId="1" applyNumberFormat="1" applyFont="1" applyFill="1" applyBorder="1" applyAlignment="1">
      <alignment vertical="center"/>
    </xf>
    <xf numFmtId="168" fontId="2" fillId="0" borderId="11" xfId="1" applyNumberFormat="1" applyFont="1" applyFill="1" applyBorder="1" applyAlignment="1">
      <alignment vertical="center"/>
    </xf>
    <xf numFmtId="168" fontId="2" fillId="0" borderId="11" xfId="1" applyNumberFormat="1" applyFont="1" applyBorder="1" applyAlignment="1">
      <alignment vertical="center"/>
    </xf>
    <xf numFmtId="168" fontId="2" fillId="0" borderId="0" xfId="1" applyNumberFormat="1" applyFont="1" applyBorder="1" applyAlignment="1">
      <alignment vertical="center"/>
    </xf>
    <xf numFmtId="168" fontId="2" fillId="0" borderId="0" xfId="1" applyNumberFormat="1" applyFont="1" applyAlignment="1">
      <alignment vertical="center"/>
    </xf>
    <xf numFmtId="165" fontId="2" fillId="0" borderId="0" xfId="1" applyNumberFormat="1" applyFont="1" applyAlignment="1">
      <alignment horizontal="center" vertical="center"/>
    </xf>
    <xf numFmtId="165" fontId="2" fillId="0" borderId="0" xfId="1" applyNumberFormat="1" applyFont="1" applyAlignment="1">
      <alignment vertical="center"/>
    </xf>
    <xf numFmtId="49" fontId="34" fillId="25" borderId="11" xfId="1" applyNumberFormat="1" applyFont="1" applyFill="1" applyBorder="1" applyAlignment="1">
      <alignment horizontal="center" vertical="center"/>
    </xf>
    <xf numFmtId="49" fontId="35" fillId="0" borderId="11" xfId="1" applyNumberFormat="1" applyFont="1" applyFill="1" applyBorder="1" applyAlignment="1">
      <alignment horizontal="center" vertical="center"/>
    </xf>
    <xf numFmtId="49" fontId="35" fillId="27" borderId="11" xfId="1" applyNumberFormat="1" applyFont="1" applyFill="1" applyBorder="1" applyAlignment="1">
      <alignment horizontal="center" vertical="center"/>
    </xf>
    <xf numFmtId="49" fontId="35" fillId="0" borderId="0" xfId="1" applyNumberFormat="1" applyFont="1" applyBorder="1" applyAlignment="1">
      <alignment horizontal="center" vertical="center"/>
    </xf>
    <xf numFmtId="49" fontId="35" fillId="0" borderId="0" xfId="1" applyNumberFormat="1" applyFont="1" applyAlignment="1">
      <alignment horizontal="center" vertical="center"/>
    </xf>
    <xf numFmtId="167" fontId="34" fillId="25" borderId="12" xfId="1" applyNumberFormat="1" applyFont="1" applyFill="1" applyBorder="1" applyAlignment="1">
      <alignment vertical="center"/>
    </xf>
    <xf numFmtId="167" fontId="33" fillId="24" borderId="12" xfId="1" applyNumberFormat="1" applyFont="1" applyFill="1" applyBorder="1" applyAlignment="1">
      <alignment vertical="center"/>
    </xf>
    <xf numFmtId="167" fontId="32" fillId="24" borderId="12" xfId="1" applyNumberFormat="1" applyFont="1" applyFill="1" applyBorder="1" applyAlignment="1">
      <alignment vertical="center"/>
    </xf>
    <xf numFmtId="0" fontId="2" fillId="26" borderId="11" xfId="1" applyFont="1" applyFill="1" applyBorder="1" applyAlignment="1">
      <alignment horizontal="center" vertical="center"/>
    </xf>
    <xf numFmtId="0" fontId="37" fillId="0" borderId="11" xfId="1" applyFont="1" applyBorder="1" applyAlignment="1">
      <alignment horizontal="center" vertical="center"/>
    </xf>
    <xf numFmtId="0" fontId="37" fillId="0" borderId="11" xfId="1" applyFont="1" applyFill="1" applyBorder="1" applyAlignment="1">
      <alignment horizontal="center" vertical="center"/>
    </xf>
    <xf numFmtId="0" fontId="2" fillId="29" borderId="11" xfId="1" applyFont="1" applyFill="1" applyBorder="1" applyAlignment="1">
      <alignment vertical="center"/>
    </xf>
    <xf numFmtId="167" fontId="2" fillId="0" borderId="12" xfId="1" applyNumberFormat="1" applyFont="1" applyFill="1" applyBorder="1" applyAlignment="1">
      <alignment horizontal="center" vertical="center"/>
    </xf>
    <xf numFmtId="167" fontId="34" fillId="24" borderId="13" xfId="1" applyNumberFormat="1" applyFont="1" applyFill="1" applyBorder="1" applyAlignment="1">
      <alignment vertical="center"/>
    </xf>
    <xf numFmtId="167" fontId="2" fillId="24" borderId="14" xfId="1" applyNumberFormat="1" applyFont="1" applyFill="1" applyBorder="1" applyAlignment="1">
      <alignment vertical="center"/>
    </xf>
    <xf numFmtId="0" fontId="32" fillId="24" borderId="14" xfId="1" applyFont="1" applyFill="1" applyBorder="1" applyAlignment="1">
      <alignment vertical="center"/>
    </xf>
    <xf numFmtId="165" fontId="36" fillId="0" borderId="14" xfId="1" applyNumberFormat="1" applyFont="1" applyFill="1" applyBorder="1" applyAlignment="1">
      <alignment horizontal="right" vertical="center"/>
    </xf>
    <xf numFmtId="165" fontId="32" fillId="24" borderId="14" xfId="1" applyNumberFormat="1" applyFont="1" applyFill="1" applyBorder="1" applyAlignment="1">
      <alignment horizontal="right" vertical="center"/>
    </xf>
    <xf numFmtId="165" fontId="0" fillId="0" borderId="0" xfId="0" applyNumberFormat="1"/>
    <xf numFmtId="0" fontId="34" fillId="25" borderId="13" xfId="1" applyFont="1" applyFill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left"/>
    </xf>
    <xf numFmtId="167" fontId="3" fillId="27" borderId="14" xfId="1" applyNumberFormat="1" applyFont="1" applyFill="1" applyBorder="1" applyAlignment="1">
      <alignment horizontal="right" vertical="center"/>
    </xf>
    <xf numFmtId="165" fontId="3" fillId="27" borderId="14" xfId="1" applyNumberFormat="1" applyFont="1" applyFill="1" applyBorder="1" applyAlignment="1">
      <alignment horizontal="right" vertical="center"/>
    </xf>
    <xf numFmtId="165" fontId="39" fillId="27" borderId="14" xfId="1" applyNumberFormat="1" applyFont="1" applyFill="1" applyBorder="1" applyAlignment="1">
      <alignment horizontal="right" vertical="center"/>
    </xf>
    <xf numFmtId="0" fontId="38" fillId="0" borderId="11" xfId="1" applyFont="1" applyFill="1" applyBorder="1" applyAlignment="1">
      <alignment vertical="center"/>
    </xf>
    <xf numFmtId="0" fontId="38" fillId="0" borderId="11" xfId="1" applyFont="1" applyBorder="1" applyAlignment="1">
      <alignment horizontal="center" vertical="center"/>
    </xf>
    <xf numFmtId="167" fontId="38" fillId="0" borderId="12" xfId="1" applyNumberFormat="1" applyFont="1" applyFill="1" applyBorder="1" applyAlignment="1">
      <alignment horizontal="center" vertical="center"/>
    </xf>
    <xf numFmtId="167" fontId="39" fillId="27" borderId="14" xfId="1" applyNumberFormat="1" applyFont="1" applyFill="1" applyBorder="1" applyAlignment="1">
      <alignment horizontal="right" vertical="center"/>
    </xf>
    <xf numFmtId="0" fontId="38" fillId="0" borderId="11" xfId="1" applyFont="1" applyFill="1" applyBorder="1" applyAlignment="1">
      <alignment horizontal="center" vertical="center"/>
    </xf>
    <xf numFmtId="168" fontId="38" fillId="0" borderId="11" xfId="1" applyNumberFormat="1" applyFont="1" applyBorder="1" applyAlignment="1">
      <alignment vertical="center"/>
    </xf>
    <xf numFmtId="0" fontId="38" fillId="0" borderId="0" xfId="1" applyFont="1" applyFill="1" applyAlignment="1">
      <alignment vertical="center"/>
    </xf>
    <xf numFmtId="165" fontId="34" fillId="25" borderId="11" xfId="1" applyNumberFormat="1" applyFont="1" applyFill="1" applyBorder="1" applyAlignment="1">
      <alignment vertical="center"/>
    </xf>
    <xf numFmtId="165" fontId="34" fillId="25" borderId="11" xfId="61" applyNumberFormat="1" applyFont="1" applyFill="1" applyBorder="1" applyAlignment="1">
      <alignment vertical="center"/>
    </xf>
    <xf numFmtId="165" fontId="32" fillId="24" borderId="11" xfId="1" applyNumberFormat="1" applyFont="1" applyFill="1" applyBorder="1" applyAlignment="1">
      <alignment vertical="center"/>
    </xf>
    <xf numFmtId="165" fontId="2" fillId="0" borderId="11" xfId="1" applyNumberFormat="1" applyFont="1" applyFill="1" applyBorder="1" applyAlignment="1">
      <alignment vertical="center"/>
    </xf>
    <xf numFmtId="165" fontId="2" fillId="0" borderId="11" xfId="1" applyNumberFormat="1" applyFont="1" applyBorder="1" applyAlignment="1">
      <alignment vertical="center"/>
    </xf>
    <xf numFmtId="165" fontId="2" fillId="28" borderId="11" xfId="61" applyNumberFormat="1" applyFont="1" applyFill="1" applyBorder="1" applyAlignment="1">
      <alignment vertical="center"/>
    </xf>
    <xf numFmtId="165" fontId="2" fillId="0" borderId="11" xfId="6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0" xfId="61" applyNumberFormat="1" applyFont="1" applyAlignment="1">
      <alignment vertical="center"/>
    </xf>
    <xf numFmtId="165" fontId="2" fillId="28" borderId="11" xfId="1" applyNumberFormat="1" applyFont="1" applyFill="1" applyBorder="1" applyAlignment="1">
      <alignment vertical="center"/>
    </xf>
    <xf numFmtId="165" fontId="38" fillId="28" borderId="11" xfId="1" applyNumberFormat="1" applyFont="1" applyFill="1" applyBorder="1" applyAlignment="1">
      <alignment vertical="center"/>
    </xf>
    <xf numFmtId="0" fontId="0" fillId="0" borderId="0" xfId="0" applyAlignment="1">
      <alignment horizontal="left" indent="1"/>
    </xf>
    <xf numFmtId="164" fontId="34" fillId="25" borderId="11" xfId="1" applyNumberFormat="1" applyFont="1" applyFill="1" applyBorder="1" applyAlignment="1">
      <alignment horizontal="center" vertical="center"/>
    </xf>
    <xf numFmtId="0" fontId="2" fillId="30" borderId="11" xfId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/>
    </xf>
    <xf numFmtId="16" fontId="2" fillId="0" borderId="11" xfId="1" applyNumberFormat="1" applyFont="1" applyBorder="1" applyAlignment="1">
      <alignment horizontal="center" vertical="center"/>
    </xf>
    <xf numFmtId="0" fontId="2" fillId="31" borderId="11" xfId="1" applyFont="1" applyFill="1" applyBorder="1" applyAlignment="1">
      <alignment horizontal="center" vertical="center"/>
    </xf>
    <xf numFmtId="16" fontId="38" fillId="0" borderId="11" xfId="1" applyNumberFormat="1" applyFont="1" applyBorder="1" applyAlignment="1">
      <alignment horizontal="center" vertical="center"/>
    </xf>
    <xf numFmtId="169" fontId="2" fillId="0" borderId="11" xfId="1" applyNumberFormat="1" applyFont="1" applyBorder="1" applyAlignment="1">
      <alignment horizontal="center" vertical="center"/>
    </xf>
    <xf numFmtId="0" fontId="38" fillId="29" borderId="11" xfId="1" applyFont="1" applyFill="1" applyBorder="1" applyAlignment="1">
      <alignment vertical="center"/>
    </xf>
    <xf numFmtId="0" fontId="41" fillId="0" borderId="15" xfId="0" applyFont="1" applyBorder="1" applyAlignment="1">
      <alignment vertical="center"/>
    </xf>
    <xf numFmtId="0" fontId="41" fillId="0" borderId="16" xfId="0" applyFont="1" applyBorder="1" applyAlignment="1">
      <alignment vertical="center"/>
    </xf>
    <xf numFmtId="0" fontId="41" fillId="0" borderId="17" xfId="0" applyFont="1" applyBorder="1" applyAlignment="1">
      <alignment vertical="center"/>
    </xf>
    <xf numFmtId="0" fontId="41" fillId="0" borderId="18" xfId="0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0" fontId="41" fillId="0" borderId="19" xfId="0" applyFont="1" applyBorder="1" applyAlignment="1">
      <alignment vertical="center"/>
    </xf>
    <xf numFmtId="0" fontId="41" fillId="0" borderId="20" xfId="0" applyFont="1" applyBorder="1" applyAlignment="1">
      <alignment vertical="center"/>
    </xf>
    <xf numFmtId="0" fontId="41" fillId="0" borderId="21" xfId="0" applyFont="1" applyBorder="1" applyAlignment="1">
      <alignment vertical="center"/>
    </xf>
    <xf numFmtId="0" fontId="41" fillId="0" borderId="22" xfId="0" applyFont="1" applyBorder="1" applyAlignment="1">
      <alignment vertical="center"/>
    </xf>
    <xf numFmtId="167" fontId="33" fillId="30" borderId="12" xfId="1" applyNumberFormat="1" applyFont="1" applyFill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/>
    </xf>
    <xf numFmtId="16" fontId="2" fillId="0" borderId="11" xfId="1" applyNumberFormat="1" applyFont="1" applyFill="1" applyBorder="1" applyAlignment="1">
      <alignment horizontal="center" vertical="center"/>
    </xf>
    <xf numFmtId="167" fontId="39" fillId="27" borderId="14" xfId="1" applyNumberFormat="1" applyFont="1" applyFill="1" applyBorder="1" applyAlignment="1">
      <alignment horizontal="center" vertical="center"/>
    </xf>
    <xf numFmtId="1" fontId="2" fillId="0" borderId="11" xfId="1" applyNumberFormat="1" applyFont="1" applyBorder="1" applyAlignment="1">
      <alignment horizontal="center" vertical="center"/>
    </xf>
    <xf numFmtId="0" fontId="44" fillId="32" borderId="24" xfId="0" applyFont="1" applyFill="1" applyBorder="1"/>
    <xf numFmtId="0" fontId="44" fillId="32" borderId="26" xfId="0" applyFont="1" applyFill="1" applyBorder="1" applyAlignment="1">
      <alignment horizontal="center"/>
    </xf>
    <xf numFmtId="0" fontId="44" fillId="33" borderId="23" xfId="0" applyFont="1" applyFill="1" applyBorder="1" applyAlignment="1">
      <alignment horizontal="left"/>
    </xf>
    <xf numFmtId="0" fontId="44" fillId="33" borderId="23" xfId="0" applyNumberFormat="1" applyFont="1" applyFill="1" applyBorder="1"/>
    <xf numFmtId="0" fontId="42" fillId="0" borderId="23" xfId="0" applyFont="1" applyBorder="1" applyAlignment="1">
      <alignment horizontal="left" indent="1"/>
    </xf>
    <xf numFmtId="0" fontId="42" fillId="0" borderId="23" xfId="0" applyNumberFormat="1" applyFont="1" applyBorder="1"/>
    <xf numFmtId="0" fontId="45" fillId="0" borderId="27" xfId="0" applyFont="1" applyBorder="1" applyAlignment="1">
      <alignment horizontal="left"/>
    </xf>
    <xf numFmtId="0" fontId="45" fillId="0" borderId="27" xfId="0" applyNumberFormat="1" applyFont="1" applyBorder="1"/>
    <xf numFmtId="0" fontId="2" fillId="28" borderId="11" xfId="1" applyFont="1" applyFill="1" applyBorder="1" applyAlignment="1">
      <alignment horizontal="center" vertical="center"/>
    </xf>
    <xf numFmtId="16" fontId="2" fillId="28" borderId="11" xfId="1" applyNumberFormat="1" applyFont="1" applyFill="1" applyBorder="1" applyAlignment="1">
      <alignment horizontal="center" vertical="center"/>
    </xf>
    <xf numFmtId="0" fontId="43" fillId="32" borderId="24" xfId="0" applyFont="1" applyFill="1" applyBorder="1"/>
    <xf numFmtId="0" fontId="44" fillId="32" borderId="25" xfId="0" applyFont="1" applyFill="1" applyBorder="1"/>
    <xf numFmtId="0" fontId="42" fillId="0" borderId="29" xfId="0" applyFont="1" applyBorder="1" applyAlignment="1">
      <alignment horizontal="left" indent="1"/>
    </xf>
    <xf numFmtId="0" fontId="42" fillId="0" borderId="29" xfId="0" applyNumberFormat="1" applyFont="1" applyBorder="1"/>
    <xf numFmtId="0" fontId="42" fillId="0" borderId="28" xfId="0" applyFont="1" applyBorder="1" applyAlignment="1">
      <alignment horizontal="left" indent="1"/>
    </xf>
    <xf numFmtId="0" fontId="42" fillId="0" borderId="28" xfId="0" applyNumberFormat="1" applyFont="1" applyBorder="1"/>
    <xf numFmtId="165" fontId="39" fillId="34" borderId="14" xfId="1" applyNumberFormat="1" applyFont="1" applyFill="1" applyBorder="1" applyAlignment="1">
      <alignment horizontal="right" vertical="center"/>
    </xf>
    <xf numFmtId="0" fontId="2" fillId="0" borderId="30" xfId="1" applyFont="1" applyBorder="1" applyAlignment="1">
      <alignment vertical="center"/>
    </xf>
  </cellXfs>
  <cellStyles count="62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" xfId="29"/>
    <cellStyle name="Commentaire 2" xfId="30"/>
    <cellStyle name="Détail" xfId="31"/>
    <cellStyle name="Entrée 2" xfId="32"/>
    <cellStyle name="Euro" xfId="33"/>
    <cellStyle name="Insatisfaisant 2" xfId="34"/>
    <cellStyle name="Lien hypertexte" xfId="57" builtinId="8" hidden="1"/>
    <cellStyle name="Lien hypertexte" xfId="59" builtinId="8" hidden="1"/>
    <cellStyle name="Lien hypertexte visité" xfId="58" builtinId="9" hidden="1"/>
    <cellStyle name="Lien hypertexte visité" xfId="60" builtinId="9" hidden="1"/>
    <cellStyle name="Monétaire" xfId="61" builtinId="4"/>
    <cellStyle name="Neutre 2" xfId="35"/>
    <cellStyle name="Normal" xfId="0" builtinId="0"/>
    <cellStyle name="Normal_Détail charges AIDA 1" xfId="1"/>
    <cellStyle name="Satisfaisant" xfId="36"/>
    <cellStyle name="Satisfaisant 2" xfId="37"/>
    <cellStyle name="Satisfaisant_BP Almazian 1.xls" xfId="38"/>
    <cellStyle name="Sortie 2" xfId="39"/>
    <cellStyle name="Texte explicatif 2" xfId="40"/>
    <cellStyle name="Titre" xfId="41"/>
    <cellStyle name="Titre 1" xfId="42"/>
    <cellStyle name="Titre 1 2" xfId="43"/>
    <cellStyle name="Titre 1_BP Almazian 1.xls" xfId="44"/>
    <cellStyle name="Titre 2" xfId="45"/>
    <cellStyle name="Titre 2 2" xfId="46"/>
    <cellStyle name="Titre 2_BP Almazian 1.xls" xfId="47"/>
    <cellStyle name="Titre 3" xfId="48"/>
    <cellStyle name="Titre 3 2" xfId="49"/>
    <cellStyle name="Titre 3_BP Almazian 1.xls" xfId="50"/>
    <cellStyle name="Titre 4" xfId="51"/>
    <cellStyle name="Titre 4 2" xfId="52"/>
    <cellStyle name="Titre 4_BP Almazian 1.xls" xfId="53"/>
    <cellStyle name="Total 2" xfId="54"/>
    <cellStyle name="Vérification" xfId="55"/>
    <cellStyle name="Vérification 2" xfId="56"/>
  </cellStyles>
  <dxfs count="5"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C00000"/>
          <bgColor rgb="FF000000"/>
        </patternFill>
      </fill>
    </dxf>
  </dxfs>
  <tableStyles count="0" defaultTableStyle="TableStyleMedium9" defaultPivotStyle="PivotStyleMedium4"/>
  <colors>
    <mruColors>
      <color rgb="FF09E70E"/>
      <color rgb="FFC50786"/>
      <color rgb="FF5A5967"/>
      <color rgb="FFFA82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pmichelin\tourn&#233;e%20automne%202002\Nouveau%20D&#233;cor\MasterSystemPLANNINGs\B&#233;caud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\pmichelin\tourn&#233;e%20automne%202002\Nouveau%20D&#233;cor\MasterSystemPLANNINGs\Liane%20Fol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écaud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ane Foly"/>
    </sheetNames>
    <definedNames>
      <definedName name="PrintAutomne98" refersTo="#REF!"/>
      <definedName name="PrintEté98" refersTo="#REF!"/>
      <definedName name="PrintHiver99" refersTo="#REF!"/>
    </defined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kko Bellaiche" refreshedDate="42447.581361689816" createdVersion="5" refreshedVersion="5" minRefreshableVersion="3" recordCount="314">
  <cacheSource type="worksheet">
    <worksheetSource ref="A1:O315" sheet="BDD 3 - RECETTES"/>
  </cacheSource>
  <cacheFields count="15">
    <cacheField name="Poste" numFmtId="0">
      <sharedItems/>
    </cacheField>
    <cacheField name="Sous rubrique 1" numFmtId="0">
      <sharedItems count="6">
        <s v="A-SOINS"/>
        <s v="B-PROTHESES"/>
        <s v="C-LASER" u="1"/>
        <s v="B-DEVITALISATION DENTS" u="1"/>
        <s v="A-EMPRUNTE ET PAUSE" u="1"/>
        <s v="D-CONTRÔLE" u="1"/>
      </sharedItems>
    </cacheField>
    <cacheField name="Sous rubrique 2" numFmtId="0">
      <sharedItems containsNonDate="0" containsString="0" containsBlank="1"/>
    </cacheField>
    <cacheField name="Libellés" numFmtId="0">
      <sharedItems containsBlank="1"/>
    </cacheField>
    <cacheField name="Prestataire" numFmtId="0">
      <sharedItems containsBlank="1"/>
    </cacheField>
    <cacheField name="Budget annuel" numFmtId="167">
      <sharedItems containsNonDate="0" containsString="0" containsBlank="1"/>
    </cacheField>
    <cacheField name="Budget actualisé" numFmtId="167">
      <sharedItems containsString="0" containsBlank="1" containsNumber="1" containsInteger="1" minValue="0" maxValue="0"/>
    </cacheField>
    <cacheField name="Mode règlement" numFmtId="167">
      <sharedItems containsBlank="1" count="4">
        <m/>
        <s v="CB/Chèques"/>
        <s v="Mutuelles"/>
        <s v="Sécurité Sociale"/>
      </sharedItems>
    </cacheField>
    <cacheField name="Total TTC" numFmtId="0">
      <sharedItems containsString="0" containsBlank="1" containsNumber="1" minValue="0" maxValue="7973.52"/>
    </cacheField>
    <cacheField name="Total HT" numFmtId="0">
      <sharedItems containsString="0" containsBlank="1" containsNumber="1" minValue="0" maxValue="7973.52"/>
    </cacheField>
    <cacheField name="Décaissé à ce jour" numFmtId="0">
      <sharedItems containsBlank="1"/>
    </cacheField>
    <cacheField name="Engagé à ce jour" numFmtId="0">
      <sharedItems containsBlank="1"/>
    </cacheField>
    <cacheField name="Semaine RGT CB/Chèques" numFmtId="0">
      <sharedItems containsBlank="1" containsMixedTypes="1" containsNumber="1" containsInteger="1" minValue="4" maxValue="15" count="60">
        <m/>
        <s v=" 1"/>
        <s v=" 2"/>
        <s v=" 4"/>
        <s v=" 3"/>
        <s v=" 5"/>
        <s v=" 7"/>
        <s v=" 6"/>
        <s v=" 8"/>
        <s v=" 9"/>
        <s v="10"/>
        <s v="11"/>
        <s v="12"/>
        <s v="13"/>
        <s v="14"/>
        <s v="15"/>
        <s v="16"/>
        <s v="17"/>
        <s v="18"/>
        <s v="19"/>
        <s v="20"/>
        <s v="21"/>
        <s v="22"/>
        <s v="23"/>
        <s v="24"/>
        <s v="25"/>
        <s v="26"/>
        <s v="27"/>
        <s v="28"/>
        <s v="29"/>
        <s v="30"/>
        <s v="31"/>
        <s v="32"/>
        <s v="33"/>
        <s v="34"/>
        <s v="35"/>
        <s v="36"/>
        <s v="37"/>
        <s v="38"/>
        <s v="39"/>
        <s v="40"/>
        <s v="41"/>
        <s v="42"/>
        <s v="43"/>
        <s v="44"/>
        <s v="45"/>
        <s v="46"/>
        <s v="47"/>
        <s v="48"/>
        <s v="49"/>
        <s v="50"/>
        <s v="51"/>
        <s v="52"/>
        <n v="15" u="1"/>
        <n v="6" u="1"/>
        <n v="8" u="1"/>
        <n v="9" u="1"/>
        <n v="10" u="1"/>
        <n v="4" u="1"/>
        <n v="12" u="1"/>
      </sharedItems>
    </cacheField>
    <cacheField name="Banque" numFmtId="0">
      <sharedItems containsBlank="1" count="5">
        <m/>
        <s v="Crédit Agricole"/>
        <s v="Société Générale"/>
        <s v="CA" u="1"/>
        <s v="CIC" u="1"/>
      </sharedItems>
    </cacheField>
    <cacheField name="Anné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ikko Bellaiche" refreshedDate="42450.513510185185" createdVersion="4" refreshedVersion="5" minRefreshableVersion="3" recordCount="398">
  <cacheSource type="worksheet">
    <worksheetSource ref="A1:T395" sheet="BDD 1 - CHARGES FIXES"/>
  </cacheSource>
  <cacheFields count="21">
    <cacheField name="Poste" numFmtId="0">
      <sharedItems/>
    </cacheField>
    <cacheField name="Sous rubrique 1" numFmtId="0">
      <sharedItems count="31">
        <s v="A-ELECTRICITE"/>
        <s v="B-ASSURANCE RC PRO"/>
        <s v="C-LOCATION PARKING"/>
        <s v="C-CHAINES TV"/>
        <s v="D-CHARGES SOCIALES MARCUS ABECASSIS"/>
        <s v="E-ASSURANCE LOCAUX"/>
        <s v="F-TELEPHONE ET INTERNET ADSL"/>
        <s v="G-TELEPHONIE"/>
        <s v="G-TELEPHONE FIXE"/>
        <s v="H-TELEPHONE MOBILE"/>
        <s v="I-ELOGIE PARK"/>
        <s v="J-PREVOYANCE"/>
        <s v="K-PREVOYANCE VIE"/>
        <s v="L-RETRAITE CHIRURGIEN"/>
        <s v="L-CREDIT BAILS (LOCATIONS)"/>
        <s v="M-FRAIS DE PEAGE"/>
        <s v="N-URSSAF CHIRURGIEN"/>
        <s v="O-TELEPHONE"/>
        <s v="O-TELEPHONE ORANGE"/>
        <s v="P-SALAIRE ASSISTANTE"/>
        <s v="Q-LOYER LOCAUX"/>
        <s v="R-MATERIEL RADIOLOGIE"/>
        <s v="S-ECHEANCE PRÊT"/>
        <s v="S-PRÊT ETELI"/>
        <s v="T-PRÊT CIC"/>
        <s v="U-VIREMENT PERSONNEL"/>
        <s v="V-TELEPHONE FREE"/>
        <s v="W-EXPERT COMPTABLE"/>
        <s v="X-VIREMENT APPARTEMENT"/>
        <s v="Y-ASSURANCE PRÊT "/>
        <s v="Z-ASSURANCE"/>
      </sharedItems>
    </cacheField>
    <cacheField name="Sous rubrique 2" numFmtId="0">
      <sharedItems containsNonDate="0" containsString="0" containsBlank="1"/>
    </cacheField>
    <cacheField name="Libellés" numFmtId="0">
      <sharedItems containsBlank="1"/>
    </cacheField>
    <cacheField name="Prestataire" numFmtId="0">
      <sharedItems containsBlank="1"/>
    </cacheField>
    <cacheField name="Budget annuel" numFmtId="167">
      <sharedItems containsBlank="1" containsMixedTypes="1" containsNumber="1" minValue="203.88" maxValue="38150.119999999995"/>
    </cacheField>
    <cacheField name="Budget actualisé" numFmtId="167">
      <sharedItems containsString="0" containsBlank="1" containsNumber="1" minValue="0" maxValue="4169"/>
    </cacheField>
    <cacheField name="Total TTC" numFmtId="0">
      <sharedItems containsBlank="1" containsMixedTypes="1" containsNumber="1" minValue="0" maxValue="4169"/>
    </cacheField>
    <cacheField name="Total HT" numFmtId="0">
      <sharedItems containsBlank="1" containsMixedTypes="1" containsNumber="1" minValue="0" maxValue="4169"/>
    </cacheField>
    <cacheField name="Décaissé à ce jour" numFmtId="0">
      <sharedItems containsBlank="1"/>
    </cacheField>
    <cacheField name="Engagé à ce jour" numFmtId="0">
      <sharedItems containsBlank="1"/>
    </cacheField>
    <cacheField name="Rgt émis le" numFmtId="0">
      <sharedItems containsNonDate="0" containsDate="1" containsString="0" containsBlank="1" minDate="2016-01-01T00:00:00" maxDate="2016-12-31T00:00:00"/>
    </cacheField>
    <cacheField name="Banque" numFmtId="0">
      <sharedItems containsBlank="1" count="5">
        <m/>
        <s v="Société Générale"/>
        <s v="Crédit Agricole"/>
        <s v="CIC"/>
        <s v="Société Générale ETELI"/>
      </sharedItems>
    </cacheField>
    <cacheField name="Semaine de décaissement" numFmtId="0">
      <sharedItems containsString="0" containsBlank="1" containsNumber="1" containsInteger="1" minValue="1" maxValue="52" count="53">
        <m/>
        <n v="1"/>
        <n v="5"/>
        <n v="9"/>
        <n v="13"/>
        <n v="17"/>
        <n v="22"/>
        <n v="26"/>
        <n v="31"/>
        <n v="35"/>
        <n v="39"/>
        <n v="44"/>
        <n v="48"/>
        <n v="14"/>
        <n v="18"/>
        <n v="27"/>
        <n v="40"/>
        <n v="6"/>
        <n v="10"/>
        <n v="23"/>
        <n v="32"/>
        <n v="36"/>
        <n v="45"/>
        <n v="49"/>
        <n v="19"/>
        <n v="2"/>
        <n v="15"/>
        <n v="28"/>
        <n v="37"/>
        <n v="41"/>
        <n v="50"/>
        <n v="7"/>
        <n v="11"/>
        <n v="24"/>
        <n v="33"/>
        <n v="46"/>
        <n v="20"/>
        <n v="42"/>
        <n v="3"/>
        <n v="12"/>
        <n v="16"/>
        <n v="25"/>
        <n v="29"/>
        <n v="38"/>
        <n v="47"/>
        <n v="51"/>
        <n v="8"/>
        <n v="21"/>
        <n v="34"/>
        <n v="4"/>
        <n v="30"/>
        <n v="43"/>
        <n v="52"/>
      </sharedItems>
    </cacheField>
    <cacheField name="Année de décaissement" numFmtId="0">
      <sharedItems containsBlank="1" containsMixedTypes="1" containsNumber="1" containsInteger="1" minValue="2013" maxValue="2013"/>
    </cacheField>
    <cacheField name="N°de fact" numFmtId="0">
      <sharedItems containsNonDate="0" containsString="0" containsBlank="1"/>
    </cacheField>
    <cacheField name="Date de facture" numFmtId="0">
      <sharedItems containsNonDate="0" containsString="0" containsBlank="1"/>
    </cacheField>
    <cacheField name="Paie" numFmtId="0">
      <sharedItems containsNonDate="0" containsDate="1" containsString="0" containsBlank="1" minDate="2016-01-01T00:00:00" maxDate="2016-12-02T00:00:00"/>
    </cacheField>
    <cacheField name="Salaire Brut" numFmtId="0">
      <sharedItems containsString="0" containsBlank="1" containsNumber="1" minValue="1789.51" maxValue="1789.51"/>
    </cacheField>
    <cacheField name="Charges patronale" numFmtId="0">
      <sharedItems containsBlank="1" containsMixedTypes="1" containsNumber="1" minValue="0" maxValue="4169"/>
    </cacheField>
    <cacheField name="Champ1" numFmtId="0" formula="#NAME?+#NAME?+#NAME?+#NAME?+#NAME?+#NAME?+#NAME?+#NAME?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Nikko Bellaiche" refreshedDate="42450.613216666665" createdVersion="5" refreshedVersion="5" minRefreshableVersion="3" recordCount="400">
  <cacheSource type="worksheet">
    <worksheetSource ref="A1:O401" sheet="BDD 2- CHARGES VARIABLES"/>
  </cacheSource>
  <cacheFields count="15">
    <cacheField name="Poste" numFmtId="0">
      <sharedItems/>
    </cacheField>
    <cacheField name="Sous rubrique 1" numFmtId="0">
      <sharedItems containsBlank="1"/>
    </cacheField>
    <cacheField name="Sous rubrique 2" numFmtId="0">
      <sharedItems containsNonDate="0" containsString="0" containsBlank="1"/>
    </cacheField>
    <cacheField name="N° FACTURE" numFmtId="0">
      <sharedItems containsBlank="1" containsMixedTypes="1" containsNumber="1" containsInteger="1" minValue="6679" maxValue="201603595" count="73">
        <m/>
        <n v="4112015"/>
        <n v="4122015"/>
        <n v="44574"/>
        <n v="45254"/>
        <n v="45232"/>
        <n v="45558"/>
        <n v="45869"/>
        <n v="46211"/>
        <n v="46792"/>
        <n v="47219"/>
        <n v="47326"/>
        <n v="47805"/>
        <n v="48299"/>
        <n v="48571"/>
        <n v="48597"/>
        <n v="48598"/>
        <n v="48963"/>
        <n v="49430"/>
        <n v="49706"/>
        <n v="49934"/>
        <n v="50028"/>
        <n v="50138"/>
        <n v="50238"/>
        <n v="50956"/>
        <n v="51562"/>
        <n v="52013"/>
        <n v="52042"/>
        <n v="52595"/>
        <n v="52605"/>
        <n v="52596"/>
        <n v="53850"/>
        <n v="54182"/>
        <n v="54567"/>
        <n v="54623"/>
        <n v="54948"/>
        <n v="55193"/>
        <n v="55430"/>
        <n v="55532"/>
        <n v="55908"/>
        <n v="57420"/>
        <n v="57807"/>
        <n v="6679"/>
        <n v="201603595"/>
        <s v="COTISATION 2016"/>
        <n v="15141428"/>
        <s v="4J51100016"/>
        <n v="20150273"/>
        <n v="20150564"/>
        <n v="20150742"/>
        <n v="20151624"/>
        <n v="20160287"/>
        <n v="107414"/>
        <n v="107607"/>
        <n v="5047049"/>
        <n v="20151200"/>
        <n v="20151540"/>
        <n v="20151733"/>
        <n v="20151928"/>
        <n v="20152130"/>
        <n v="3647703"/>
        <n v="3685141"/>
        <n v="3685149"/>
        <n v="3693536"/>
        <n v="3749958"/>
        <n v="3797893"/>
        <n v="3832311"/>
        <n v="195142"/>
        <n v="195480"/>
        <n v="151251"/>
        <n v="75753"/>
        <s v="FA46322"/>
        <n v="150902" u="1"/>
      </sharedItems>
    </cacheField>
    <cacheField name="Prestataire" numFmtId="0">
      <sharedItems containsBlank="1" containsMixedTypes="1" containsNumber="1" containsInteger="1" minValue="0" maxValue="0" count="18">
        <m/>
        <s v="ALDO TOHME"/>
        <s v="ALPHABIO"/>
        <s v="AB IMPLANTS"/>
        <s v="BIOMET"/>
        <s v="CNOCD"/>
        <s v="GACD"/>
        <s v="GEISTLICH"/>
        <s v="GD"/>
        <s v="IPP PHARMA"/>
        <s v="IRSN"/>
        <s v="LABOPREMIER"/>
        <s v="MEGADENTAL"/>
        <s v="MIS"/>
        <s v="SFID"/>
        <s v="SODICOME"/>
        <s v="VOG"/>
        <n v="0"/>
      </sharedItems>
    </cacheField>
    <cacheField name="Budget annuel" numFmtId="167">
      <sharedItems containsString="0" containsBlank="1" containsNumber="1" minValue="2922.48" maxValue="2922.48"/>
    </cacheField>
    <cacheField name="Total TTC" numFmtId="0">
      <sharedItems containsString="0" containsBlank="1" containsNumber="1" minValue="-228.76" maxValue="2018"/>
    </cacheField>
    <cacheField name="Total HT" numFmtId="0">
      <sharedItems containsString="0" containsBlank="1" containsNumber="1" minValue="-228.76" maxValue="2018"/>
    </cacheField>
    <cacheField name="Décaissé à ce jour" numFmtId="0">
      <sharedItems containsBlank="1"/>
    </cacheField>
    <cacheField name="Engagé à ce jour" numFmtId="0">
      <sharedItems containsBlank="1"/>
    </cacheField>
    <cacheField name="Rgt émis le" numFmtId="0">
      <sharedItems containsNonDate="0" containsDate="1" containsString="0" containsBlank="1" minDate="2015-01-12T00:00:00" maxDate="2016-06-20T00:00:00"/>
    </cacheField>
    <cacheField name="Banque" numFmtId="0">
      <sharedItems containsBlank="1" count="5">
        <m/>
        <s v="Crédit Agricole"/>
        <s v="CIC"/>
        <s v="Société Générale"/>
        <s v="Crrédit Agricole" u="1"/>
      </sharedItems>
    </cacheField>
    <cacheField name="Semaine de décaissement" numFmtId="0">
      <sharedItems containsString="0" containsBlank="1" containsNumber="1" containsInteger="1" minValue="1" maxValue="25" count="18">
        <m/>
        <n v="10"/>
        <n v="11"/>
        <n v="4"/>
        <n v="8"/>
        <n v="12"/>
        <n v="17"/>
        <n v="21"/>
        <n v="25"/>
        <n v="1"/>
        <n v="14"/>
        <n v="3"/>
        <n v="6"/>
        <n v="5"/>
        <n v="18"/>
        <n v="2"/>
        <n v="7"/>
        <n v="9"/>
      </sharedItems>
    </cacheField>
    <cacheField name="Année de décaissement" numFmtId="0">
      <sharedItems containsBlank="1"/>
    </cacheField>
    <cacheField name="Date de facture" numFmtId="0">
      <sharedItems containsNonDate="0" containsDate="1" containsString="0" containsBlank="1" minDate="2014-09-30T00:00:00" maxDate="2016-02-0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4">
  <r>
    <s v="1 -Recette CABINET"/>
    <x v="0"/>
    <m/>
    <m/>
    <m/>
    <m/>
    <m/>
    <x v="0"/>
    <m/>
    <m/>
    <m/>
    <m/>
    <x v="0"/>
    <x v="0"/>
    <m/>
  </r>
  <r>
    <s v="1 -Recette CABINET"/>
    <x v="0"/>
    <m/>
    <s v="Recettes soins - semaine 1"/>
    <s v="MARCUS ABECASSIS"/>
    <m/>
    <n v="0"/>
    <x v="1"/>
    <n v="3025.95"/>
    <n v="3025.95"/>
    <s v="ENCAISSE A CE JOUR"/>
    <m/>
    <x v="1"/>
    <x v="1"/>
    <s v="2016"/>
  </r>
  <r>
    <s v="1 -Recette CABINET"/>
    <x v="0"/>
    <m/>
    <s v="Recettes soins - semaine 1"/>
    <s v="MARCUS ABECASSIS"/>
    <m/>
    <n v="0"/>
    <x v="2"/>
    <n v="0"/>
    <n v="0"/>
    <s v="ENCAISSE A CE JOUR"/>
    <m/>
    <x v="1"/>
    <x v="2"/>
    <s v="2016"/>
  </r>
  <r>
    <s v="1 -Recette CABINET"/>
    <x v="0"/>
    <m/>
    <s v="Recettes soins - semaine 1"/>
    <s v="MARCUS ABECASSIS"/>
    <m/>
    <n v="0"/>
    <x v="3"/>
    <n v="0"/>
    <n v="0"/>
    <s v="ENCAISSE A CE JOUR"/>
    <m/>
    <x v="1"/>
    <x v="2"/>
    <s v="2016"/>
  </r>
  <r>
    <s v="1 -Recette CABINET"/>
    <x v="0"/>
    <m/>
    <s v="Recettes soins - semaine 2"/>
    <s v="MARCUS ABECASSIS"/>
    <m/>
    <n v="0"/>
    <x v="1"/>
    <n v="3945.04"/>
    <n v="3945.04"/>
    <s v="ENCAISSE A CE JOUR"/>
    <m/>
    <x v="2"/>
    <x v="1"/>
    <s v="2016"/>
  </r>
  <r>
    <s v="1 -Recette CABINET"/>
    <x v="0"/>
    <m/>
    <s v="Recettes soins - semaine 2"/>
    <s v="MARCUS ABECASSIS"/>
    <m/>
    <n v="0"/>
    <x v="2"/>
    <n v="0"/>
    <n v="0"/>
    <s v="ENCAISSE A CE JOUR"/>
    <m/>
    <x v="2"/>
    <x v="2"/>
    <s v="2016"/>
  </r>
  <r>
    <s v="1 -Recette CABINET"/>
    <x v="0"/>
    <m/>
    <s v="Recettes soins - semaine 2"/>
    <s v="MARCUS ABECASSIS"/>
    <m/>
    <n v="0"/>
    <x v="3"/>
    <n v="79.569999999999993"/>
    <n v="79.569999999999993"/>
    <s v="ENCAISSE A CE JOUR"/>
    <m/>
    <x v="3"/>
    <x v="2"/>
    <s v="2016"/>
  </r>
  <r>
    <s v="1 -Recette CABINET"/>
    <x v="0"/>
    <m/>
    <s v="Recettes soins - semaine 3"/>
    <s v="MARCUS ABECASSIS"/>
    <m/>
    <n v="0"/>
    <x v="1"/>
    <n v="3215.27"/>
    <n v="3215.27"/>
    <s v="ENCAISSE A CE JOUR"/>
    <m/>
    <x v="4"/>
    <x v="1"/>
    <s v="2016"/>
  </r>
  <r>
    <s v="1 -Recette CABINET"/>
    <x v="0"/>
    <m/>
    <s v="Recettes soins - semaine 3"/>
    <s v="MARCUS ABECASSIS"/>
    <m/>
    <n v="0"/>
    <x v="2"/>
    <n v="0"/>
    <n v="0"/>
    <s v="ENCAISSE A CE JOUR"/>
    <m/>
    <x v="4"/>
    <x v="2"/>
    <s v="2016"/>
  </r>
  <r>
    <s v="1 -Recette CABINET"/>
    <x v="0"/>
    <m/>
    <s v="Recettes soins - semaine 3"/>
    <s v="MARCUS ABECASSIS"/>
    <m/>
    <n v="0"/>
    <x v="3"/>
    <n v="0"/>
    <n v="0"/>
    <s v="ENCAISSE A CE JOUR"/>
    <m/>
    <x v="4"/>
    <x v="2"/>
    <s v="2016"/>
  </r>
  <r>
    <s v="1 -Recette CABINET"/>
    <x v="0"/>
    <m/>
    <s v="Recettes soins - semaine 4"/>
    <s v="MARCUS ABECASSIS"/>
    <m/>
    <n v="0"/>
    <x v="1"/>
    <n v="3553.9300000000003"/>
    <n v="3553.9300000000003"/>
    <s v="ENCAISSE A CE JOUR"/>
    <m/>
    <x v="3"/>
    <x v="1"/>
    <s v="2016"/>
  </r>
  <r>
    <s v="1 -Recette CABINET"/>
    <x v="0"/>
    <m/>
    <s v="Recettes soins - semaine 4"/>
    <s v="MARCUS ABECASSIS"/>
    <m/>
    <n v="0"/>
    <x v="2"/>
    <n v="0"/>
    <n v="0"/>
    <s v="ENCAISSE A CE JOUR"/>
    <m/>
    <x v="3"/>
    <x v="2"/>
    <s v="2016"/>
  </r>
  <r>
    <s v="1 -Recette CABINET"/>
    <x v="0"/>
    <m/>
    <s v="Recettes soins - semaine 4"/>
    <s v="MARCUS ABECASSIS"/>
    <m/>
    <n v="0"/>
    <x v="3"/>
    <n v="0"/>
    <n v="0"/>
    <s v="ENCAISSE A CE JOUR"/>
    <m/>
    <x v="3"/>
    <x v="2"/>
    <s v="2016"/>
  </r>
  <r>
    <s v="1 -Recette CABINET"/>
    <x v="0"/>
    <m/>
    <s v="Recettes soins - semaine 5"/>
    <s v="MARCUS ABECASSIS"/>
    <m/>
    <n v="0"/>
    <x v="1"/>
    <n v="5132.75"/>
    <n v="5132.75"/>
    <s v="ENCAISSE A CE JOUR"/>
    <m/>
    <x v="5"/>
    <x v="1"/>
    <s v="2016"/>
  </r>
  <r>
    <s v="1 -Recette CABINET"/>
    <x v="0"/>
    <m/>
    <s v="Recettes soins - semaine 5"/>
    <s v="MARCUS ABECASSIS"/>
    <m/>
    <n v="0"/>
    <x v="2"/>
    <n v="0"/>
    <n v="0"/>
    <s v="ENCAISSE A CE JOUR"/>
    <m/>
    <x v="5"/>
    <x v="2"/>
    <s v="2016"/>
  </r>
  <r>
    <s v="1 -Recette CABINET"/>
    <x v="0"/>
    <m/>
    <s v="Recettes soins - semaine 5"/>
    <s v="MARCUS ABECASSIS"/>
    <m/>
    <n v="0"/>
    <x v="3"/>
    <n v="28.68"/>
    <n v="28.68"/>
    <s v="ENCAISSE A CE JOUR"/>
    <m/>
    <x v="6"/>
    <x v="2"/>
    <s v="2016"/>
  </r>
  <r>
    <s v="1 -Recette CABINET"/>
    <x v="0"/>
    <m/>
    <s v="Recettes soins - semaine 6"/>
    <s v="MARCUS ABECASSIS"/>
    <m/>
    <n v="0"/>
    <x v="1"/>
    <n v="3909.41"/>
    <n v="3909.41"/>
    <s v="ENCAISSE A CE JOUR"/>
    <m/>
    <x v="7"/>
    <x v="1"/>
    <s v="2016"/>
  </r>
  <r>
    <s v="1 -Recette CABINET"/>
    <x v="0"/>
    <m/>
    <s v="Recettes soins - semaine 6"/>
    <s v="MARCUS ABECASSIS"/>
    <m/>
    <n v="0"/>
    <x v="2"/>
    <n v="0"/>
    <n v="0"/>
    <s v="ENCAISSE A CE JOUR"/>
    <m/>
    <x v="7"/>
    <x v="2"/>
    <s v="2016"/>
  </r>
  <r>
    <s v="1 -Recette CABINET"/>
    <x v="0"/>
    <m/>
    <s v="Recettes soins - semaine 6"/>
    <s v="MARCUS ABECASSIS"/>
    <m/>
    <n v="0"/>
    <x v="3"/>
    <n v="180.4"/>
    <n v="180.4"/>
    <s v="ENCAISSE A CE JOUR"/>
    <m/>
    <x v="8"/>
    <x v="2"/>
    <s v="2016"/>
  </r>
  <r>
    <s v="1 -Recette CABINET"/>
    <x v="0"/>
    <m/>
    <s v="Recettes soins - semaine 7"/>
    <s v="MARCUS ABECASSIS"/>
    <m/>
    <n v="0"/>
    <x v="1"/>
    <n v="3043.7"/>
    <n v="3043.7"/>
    <s v="ENCAISSE A CE JOUR"/>
    <m/>
    <x v="6"/>
    <x v="1"/>
    <s v="2016"/>
  </r>
  <r>
    <s v="1 -Recette CABINET"/>
    <x v="0"/>
    <m/>
    <s v="Recettes soins - semaine 7"/>
    <s v="MARCUS ABECASSIS"/>
    <m/>
    <n v="0"/>
    <x v="2"/>
    <n v="0"/>
    <n v="0"/>
    <s v="ENCAISSE A CE JOUR"/>
    <m/>
    <x v="6"/>
    <x v="2"/>
    <s v="2016"/>
  </r>
  <r>
    <s v="1 -Recette CABINET"/>
    <x v="0"/>
    <m/>
    <s v="Recettes soins - semaine 7"/>
    <s v="MARCUS ABECASSIS"/>
    <m/>
    <n v="0"/>
    <x v="3"/>
    <n v="477.35"/>
    <n v="477.35"/>
    <s v="ENCAISSE A CE JOUR"/>
    <m/>
    <x v="9"/>
    <x v="2"/>
    <s v="2016"/>
  </r>
  <r>
    <s v="1 -Recette CABINET"/>
    <x v="0"/>
    <m/>
    <s v="Recettes soins - semaine 8"/>
    <s v="MARCUS ABECASSIS"/>
    <m/>
    <n v="0"/>
    <x v="1"/>
    <n v="3270.6"/>
    <n v="3270.6"/>
    <s v="ENCAISSE A CE JOUR"/>
    <m/>
    <x v="8"/>
    <x v="1"/>
    <s v="2016"/>
  </r>
  <r>
    <s v="1 -Recette CABINET"/>
    <x v="0"/>
    <m/>
    <s v="Recettes soins - semaine 8"/>
    <s v="MARCUS ABECASSIS"/>
    <m/>
    <n v="0"/>
    <x v="2"/>
    <n v="204.85"/>
    <n v="204.85"/>
    <s v="ENCAISSE A CE JOUR"/>
    <m/>
    <x v="8"/>
    <x v="2"/>
    <s v="2016"/>
  </r>
  <r>
    <s v="1 -Recette CABINET"/>
    <x v="0"/>
    <m/>
    <s v="Recettes soins - semaine 8"/>
    <s v="MARCUS ABECASSIS"/>
    <m/>
    <n v="0"/>
    <x v="3"/>
    <n v="0"/>
    <n v="0"/>
    <s v="ENCAISSE A CE JOUR"/>
    <m/>
    <x v="8"/>
    <x v="2"/>
    <s v="2016"/>
  </r>
  <r>
    <s v="1 -Recette CABINET"/>
    <x v="0"/>
    <m/>
    <s v="Recettes soins - semaine 9"/>
    <s v="MARCUS ABECASSIS"/>
    <m/>
    <n v="0"/>
    <x v="1"/>
    <n v="3615.9599999999996"/>
    <n v="3615.9599999999996"/>
    <s v="ENCAISSE A CE JOUR"/>
    <m/>
    <x v="9"/>
    <x v="1"/>
    <s v="2016"/>
  </r>
  <r>
    <s v="1 -Recette CABINET"/>
    <x v="0"/>
    <m/>
    <s v="Recettes soins - semaine 9"/>
    <s v="MARCUS ABECASSIS"/>
    <m/>
    <n v="0"/>
    <x v="2"/>
    <n v="0"/>
    <n v="0"/>
    <s v="ENCAISSE A CE JOUR"/>
    <m/>
    <x v="9"/>
    <x v="2"/>
    <s v="2016"/>
  </r>
  <r>
    <s v="1 -Recette CABINET"/>
    <x v="0"/>
    <m/>
    <s v="Recettes soins - semaine 9"/>
    <s v="MARCUS ABECASSIS"/>
    <m/>
    <n v="0"/>
    <x v="3"/>
    <n v="0"/>
    <n v="0"/>
    <s v="ENCAISSE A CE JOUR"/>
    <m/>
    <x v="9"/>
    <x v="2"/>
    <s v="2016"/>
  </r>
  <r>
    <s v="1 -Recette CABINET"/>
    <x v="0"/>
    <m/>
    <s v="Recettes soins - semaine 10"/>
    <s v="MARCUS ABECASSIS"/>
    <m/>
    <n v="0"/>
    <x v="1"/>
    <n v="2230.9"/>
    <n v="2230.9"/>
    <s v="ENCAISSE A CE JOUR"/>
    <m/>
    <x v="10"/>
    <x v="1"/>
    <s v="2016"/>
  </r>
  <r>
    <s v="1 -Recette CABINET"/>
    <x v="0"/>
    <m/>
    <s v="Recettes soins - semaine 10"/>
    <s v="MARCUS ABECASSIS"/>
    <m/>
    <n v="0"/>
    <x v="2"/>
    <n v="0"/>
    <n v="0"/>
    <s v="ENCAISSE A CE JOUR"/>
    <m/>
    <x v="10"/>
    <x v="2"/>
    <s v="2016"/>
  </r>
  <r>
    <s v="1 -Recette CABINET"/>
    <x v="0"/>
    <m/>
    <s v="Recettes soins - semaine 10"/>
    <s v="MARCUS ABECASSIS"/>
    <m/>
    <n v="0"/>
    <x v="3"/>
    <n v="0"/>
    <n v="0"/>
    <s v="ENCAISSE A CE JOUR"/>
    <m/>
    <x v="10"/>
    <x v="2"/>
    <s v="2016"/>
  </r>
  <r>
    <s v="1 -Recette CABINET"/>
    <x v="0"/>
    <m/>
    <s v="Recettes soins - semaine 11"/>
    <s v="MARCUS ABECASSIS"/>
    <m/>
    <n v="0"/>
    <x v="1"/>
    <n v="1495.88"/>
    <n v="1495.88"/>
    <m/>
    <s v="A RECEVOIR"/>
    <x v="11"/>
    <x v="1"/>
    <s v="2016"/>
  </r>
  <r>
    <s v="1 -Recette CABINET"/>
    <x v="0"/>
    <m/>
    <s v="Recettes soins - semaine 11"/>
    <s v="MARCUS ABECASSIS"/>
    <m/>
    <n v="0"/>
    <x v="2"/>
    <n v="0"/>
    <n v="0"/>
    <m/>
    <s v="A RECEVOIR"/>
    <x v="11"/>
    <x v="2"/>
    <s v="2016"/>
  </r>
  <r>
    <s v="1 -Recette CABINET"/>
    <x v="0"/>
    <m/>
    <s v="Recettes soins - semaine 11"/>
    <s v="MARCUS ABECASSIS"/>
    <m/>
    <n v="0"/>
    <x v="3"/>
    <n v="0"/>
    <n v="0"/>
    <m/>
    <s v="A RECEVOIR"/>
    <x v="11"/>
    <x v="2"/>
    <s v="2016"/>
  </r>
  <r>
    <s v="1 -Recette CABINET"/>
    <x v="0"/>
    <m/>
    <s v="Recettes soins - semaine 12"/>
    <s v="MARCUS ABECASSIS"/>
    <m/>
    <n v="0"/>
    <x v="1"/>
    <n v="0"/>
    <n v="0"/>
    <m/>
    <s v="A RECEVOIR"/>
    <x v="12"/>
    <x v="1"/>
    <s v="2016"/>
  </r>
  <r>
    <s v="1 -Recette CABINET"/>
    <x v="0"/>
    <m/>
    <s v="Recettes soins - semaine 12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2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3"/>
    <s v="MARCUS ABECASSIS"/>
    <m/>
    <n v="0"/>
    <x v="1"/>
    <n v="0"/>
    <n v="0"/>
    <m/>
    <s v="A RECEVOIR"/>
    <x v="13"/>
    <x v="1"/>
    <s v="2016"/>
  </r>
  <r>
    <s v="1 -Recette CABINET"/>
    <x v="0"/>
    <m/>
    <s v="Recettes soins - semaine 13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3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4"/>
    <s v="MARCUS ABECASSIS"/>
    <m/>
    <n v="0"/>
    <x v="1"/>
    <n v="0"/>
    <n v="0"/>
    <m/>
    <s v="A RECEVOIR"/>
    <x v="14"/>
    <x v="1"/>
    <s v="2016"/>
  </r>
  <r>
    <s v="1 -Recette CABINET"/>
    <x v="0"/>
    <m/>
    <s v="Recettes soins - semaine 14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4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5"/>
    <s v="MARCUS ABECASSIS"/>
    <m/>
    <n v="0"/>
    <x v="1"/>
    <n v="0"/>
    <n v="0"/>
    <m/>
    <s v="A RECEVOIR"/>
    <x v="15"/>
    <x v="1"/>
    <s v="2016"/>
  </r>
  <r>
    <s v="1 -Recette CABINET"/>
    <x v="0"/>
    <m/>
    <s v="Recettes soins - semaine 15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5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6"/>
    <s v="MARCUS ABECASSIS"/>
    <m/>
    <n v="0"/>
    <x v="1"/>
    <n v="0"/>
    <n v="0"/>
    <m/>
    <s v="A RECEVOIR"/>
    <x v="16"/>
    <x v="1"/>
    <s v="2016"/>
  </r>
  <r>
    <s v="1 -Recette CABINET"/>
    <x v="0"/>
    <m/>
    <s v="Recettes soins - semaine 16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6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7"/>
    <s v="MARCUS ABECASSIS"/>
    <m/>
    <n v="0"/>
    <x v="1"/>
    <n v="0"/>
    <n v="0"/>
    <m/>
    <s v="A RECEVOIR"/>
    <x v="17"/>
    <x v="1"/>
    <s v="2016"/>
  </r>
  <r>
    <s v="1 -Recette CABINET"/>
    <x v="0"/>
    <m/>
    <s v="Recettes soins - semaine 17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7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8"/>
    <s v="MARCUS ABECASSIS"/>
    <m/>
    <n v="0"/>
    <x v="1"/>
    <n v="0"/>
    <n v="0"/>
    <m/>
    <s v="A RECEVOIR"/>
    <x v="18"/>
    <x v="1"/>
    <s v="2016"/>
  </r>
  <r>
    <s v="1 -Recette CABINET"/>
    <x v="0"/>
    <m/>
    <s v="Recettes soins - semaine 18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8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19"/>
    <s v="MARCUS ABECASSIS"/>
    <m/>
    <n v="0"/>
    <x v="1"/>
    <n v="0"/>
    <n v="0"/>
    <m/>
    <s v="A RECEVOIR"/>
    <x v="19"/>
    <x v="1"/>
    <s v="2016"/>
  </r>
  <r>
    <s v="1 -Recette CABINET"/>
    <x v="0"/>
    <m/>
    <s v="Recettes soins - semaine 19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19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0"/>
    <s v="MARCUS ABECASSIS"/>
    <m/>
    <n v="0"/>
    <x v="1"/>
    <n v="0"/>
    <n v="0"/>
    <m/>
    <s v="A RECEVOIR"/>
    <x v="20"/>
    <x v="1"/>
    <s v="2016"/>
  </r>
  <r>
    <s v="1 -Recette CABINET"/>
    <x v="0"/>
    <m/>
    <s v="Recettes soins - semaine 20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0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1"/>
    <s v="MARCUS ABECASSIS"/>
    <m/>
    <n v="0"/>
    <x v="1"/>
    <n v="0"/>
    <n v="0"/>
    <m/>
    <s v="A RECEVOIR"/>
    <x v="21"/>
    <x v="1"/>
    <s v="2016"/>
  </r>
  <r>
    <s v="1 -Recette CABINET"/>
    <x v="0"/>
    <m/>
    <s v="Recettes soins - semaine 21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1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2"/>
    <s v="MARCUS ABECASSIS"/>
    <m/>
    <n v="0"/>
    <x v="1"/>
    <n v="0"/>
    <n v="0"/>
    <m/>
    <s v="A RECEVOIR"/>
    <x v="22"/>
    <x v="1"/>
    <s v="2016"/>
  </r>
  <r>
    <s v="1 -Recette CABINET"/>
    <x v="0"/>
    <m/>
    <s v="Recettes soins - semaine 22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2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3"/>
    <s v="MARCUS ABECASSIS"/>
    <m/>
    <n v="0"/>
    <x v="1"/>
    <n v="0"/>
    <n v="0"/>
    <m/>
    <s v="A RECEVOIR"/>
    <x v="23"/>
    <x v="1"/>
    <s v="2016"/>
  </r>
  <r>
    <s v="1 -Recette CABINET"/>
    <x v="0"/>
    <m/>
    <s v="Recettes soins - semaine 23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3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4"/>
    <s v="MARCUS ABECASSIS"/>
    <m/>
    <n v="0"/>
    <x v="1"/>
    <n v="0"/>
    <n v="0"/>
    <m/>
    <s v="A RECEVOIR"/>
    <x v="24"/>
    <x v="1"/>
    <s v="2016"/>
  </r>
  <r>
    <s v="1 -Recette CABINET"/>
    <x v="0"/>
    <m/>
    <s v="Recettes soins - semaine 24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4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5"/>
    <s v="MARCUS ABECASSIS"/>
    <m/>
    <n v="0"/>
    <x v="1"/>
    <n v="0"/>
    <n v="0"/>
    <m/>
    <s v="A RECEVOIR"/>
    <x v="25"/>
    <x v="1"/>
    <s v="2016"/>
  </r>
  <r>
    <s v="1 -Recette CABINET"/>
    <x v="0"/>
    <m/>
    <s v="Recettes soins - semaine 25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5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6"/>
    <s v="MARCUS ABECASSIS"/>
    <m/>
    <n v="0"/>
    <x v="1"/>
    <n v="0"/>
    <n v="0"/>
    <m/>
    <s v="A RECEVOIR"/>
    <x v="26"/>
    <x v="1"/>
    <s v="2016"/>
  </r>
  <r>
    <s v="1 -Recette CABINET"/>
    <x v="0"/>
    <m/>
    <s v="Recettes soins - semaine 26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6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7"/>
    <s v="MARCUS ABECASSIS"/>
    <m/>
    <n v="0"/>
    <x v="1"/>
    <n v="0"/>
    <n v="0"/>
    <m/>
    <s v="A RECEVOIR"/>
    <x v="27"/>
    <x v="1"/>
    <s v="2016"/>
  </r>
  <r>
    <s v="1 -Recette CABINET"/>
    <x v="0"/>
    <m/>
    <s v="Recettes soins - semaine 27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7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8"/>
    <s v="MARCUS ABECASSIS"/>
    <m/>
    <n v="0"/>
    <x v="1"/>
    <n v="0"/>
    <n v="0"/>
    <m/>
    <s v="A RECEVOIR"/>
    <x v="28"/>
    <x v="1"/>
    <s v="2016"/>
  </r>
  <r>
    <s v="1 -Recette CABINET"/>
    <x v="0"/>
    <m/>
    <s v="Recettes soins - semaine 28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8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29"/>
    <s v="MARCUS ABECASSIS"/>
    <m/>
    <n v="0"/>
    <x v="1"/>
    <n v="0"/>
    <n v="0"/>
    <m/>
    <s v="A RECEVOIR"/>
    <x v="29"/>
    <x v="1"/>
    <s v="2016"/>
  </r>
  <r>
    <s v="1 -Recette CABINET"/>
    <x v="0"/>
    <m/>
    <s v="Recettes soins - semaine 29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29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0"/>
    <s v="MARCUS ABECASSIS"/>
    <m/>
    <n v="0"/>
    <x v="1"/>
    <n v="0"/>
    <n v="0"/>
    <m/>
    <s v="A RECEVOIR"/>
    <x v="30"/>
    <x v="1"/>
    <s v="2016"/>
  </r>
  <r>
    <s v="1 -Recette CABINET"/>
    <x v="0"/>
    <m/>
    <s v="Recettes soins - semaine 30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0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1"/>
    <s v="MARCUS ABECASSIS"/>
    <m/>
    <n v="0"/>
    <x v="1"/>
    <n v="0"/>
    <n v="0"/>
    <m/>
    <s v="A RECEVOIR"/>
    <x v="31"/>
    <x v="1"/>
    <s v="2016"/>
  </r>
  <r>
    <s v="1 -Recette CABINET"/>
    <x v="0"/>
    <m/>
    <s v="Recettes soins - semaine 31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1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2"/>
    <s v="MARCUS ABECASSIS"/>
    <m/>
    <n v="0"/>
    <x v="1"/>
    <n v="0"/>
    <n v="0"/>
    <m/>
    <s v="A RECEVOIR"/>
    <x v="32"/>
    <x v="1"/>
    <s v="2016"/>
  </r>
  <r>
    <s v="1 -Recette CABINET"/>
    <x v="0"/>
    <m/>
    <s v="Recettes soins - semaine 32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2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3"/>
    <s v="MARCUS ABECASSIS"/>
    <m/>
    <n v="0"/>
    <x v="1"/>
    <n v="0"/>
    <n v="0"/>
    <m/>
    <s v="A RECEVOIR"/>
    <x v="33"/>
    <x v="1"/>
    <s v="2016"/>
  </r>
  <r>
    <s v="1 -Recette CABINET"/>
    <x v="0"/>
    <m/>
    <s v="Recettes soins - semaine 33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3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4"/>
    <s v="MARCUS ABECASSIS"/>
    <m/>
    <n v="0"/>
    <x v="1"/>
    <n v="0"/>
    <n v="0"/>
    <m/>
    <s v="A RECEVOIR"/>
    <x v="34"/>
    <x v="1"/>
    <s v="2016"/>
  </r>
  <r>
    <s v="1 -Recette CABINET"/>
    <x v="0"/>
    <m/>
    <s v="Recettes soins - semaine 34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4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5"/>
    <s v="MARCUS ABECASSIS"/>
    <m/>
    <n v="0"/>
    <x v="1"/>
    <n v="0"/>
    <n v="0"/>
    <m/>
    <s v="A RECEVOIR"/>
    <x v="35"/>
    <x v="1"/>
    <s v="2016"/>
  </r>
  <r>
    <s v="1 -Recette CABINET"/>
    <x v="0"/>
    <m/>
    <s v="Recettes soins - semaine 35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5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6"/>
    <s v="MARCUS ABECASSIS"/>
    <m/>
    <n v="0"/>
    <x v="1"/>
    <n v="0"/>
    <n v="0"/>
    <m/>
    <s v="A RECEVOIR"/>
    <x v="36"/>
    <x v="1"/>
    <s v="2016"/>
  </r>
  <r>
    <s v="1 -Recette CABINET"/>
    <x v="0"/>
    <m/>
    <s v="Recettes soins - semaine 36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6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7"/>
    <s v="MARCUS ABECASSIS"/>
    <m/>
    <n v="0"/>
    <x v="1"/>
    <n v="0"/>
    <n v="0"/>
    <m/>
    <s v="A RECEVOIR"/>
    <x v="37"/>
    <x v="1"/>
    <s v="2016"/>
  </r>
  <r>
    <s v="1 -Recette CABINET"/>
    <x v="0"/>
    <m/>
    <s v="Recettes soins - semaine 37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7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8"/>
    <s v="MARCUS ABECASSIS"/>
    <m/>
    <n v="0"/>
    <x v="1"/>
    <n v="0"/>
    <n v="0"/>
    <m/>
    <s v="A RECEVOIR"/>
    <x v="38"/>
    <x v="1"/>
    <s v="2016"/>
  </r>
  <r>
    <s v="1 -Recette CABINET"/>
    <x v="0"/>
    <m/>
    <s v="Recettes soins - semaine 38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8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39"/>
    <s v="MARCUS ABECASSIS"/>
    <m/>
    <n v="0"/>
    <x v="1"/>
    <n v="0"/>
    <n v="0"/>
    <m/>
    <s v="A RECEVOIR"/>
    <x v="39"/>
    <x v="1"/>
    <s v="2016"/>
  </r>
  <r>
    <s v="1 -Recette CABINET"/>
    <x v="0"/>
    <m/>
    <s v="Recettes soins - semaine 39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39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0"/>
    <s v="MARCUS ABECASSIS"/>
    <m/>
    <n v="0"/>
    <x v="1"/>
    <n v="0"/>
    <n v="0"/>
    <m/>
    <s v="A RECEVOIR"/>
    <x v="40"/>
    <x v="1"/>
    <s v="2016"/>
  </r>
  <r>
    <s v="1 -Recette CABINET"/>
    <x v="0"/>
    <m/>
    <s v="Recettes soins - semaine 40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0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1"/>
    <s v="MARCUS ABECASSIS"/>
    <m/>
    <n v="0"/>
    <x v="1"/>
    <n v="0"/>
    <n v="0"/>
    <m/>
    <s v="A RECEVOIR"/>
    <x v="41"/>
    <x v="1"/>
    <s v="2016"/>
  </r>
  <r>
    <s v="1 -Recette CABINET"/>
    <x v="0"/>
    <m/>
    <s v="Recettes soins - semaine 41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1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2"/>
    <s v="MARCUS ABECASSIS"/>
    <m/>
    <n v="0"/>
    <x v="1"/>
    <n v="0"/>
    <n v="0"/>
    <m/>
    <s v="A RECEVOIR"/>
    <x v="42"/>
    <x v="1"/>
    <s v="2016"/>
  </r>
  <r>
    <s v="1 -Recette CABINET"/>
    <x v="0"/>
    <m/>
    <s v="Recettes soins - semaine 42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2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3"/>
    <s v="MARCUS ABECASSIS"/>
    <m/>
    <n v="0"/>
    <x v="1"/>
    <n v="0"/>
    <n v="0"/>
    <m/>
    <s v="A RECEVOIR"/>
    <x v="43"/>
    <x v="1"/>
    <s v="2016"/>
  </r>
  <r>
    <s v="1 -Recette CABINET"/>
    <x v="0"/>
    <m/>
    <s v="Recettes soins - semaine 43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3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4"/>
    <s v="MARCUS ABECASSIS"/>
    <m/>
    <n v="0"/>
    <x v="1"/>
    <n v="0"/>
    <n v="0"/>
    <m/>
    <s v="A RECEVOIR"/>
    <x v="44"/>
    <x v="1"/>
    <s v="2016"/>
  </r>
  <r>
    <s v="1 -Recette CABINET"/>
    <x v="0"/>
    <m/>
    <s v="Recettes soins - semaine 44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4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5"/>
    <s v="MARCUS ABECASSIS"/>
    <m/>
    <n v="0"/>
    <x v="1"/>
    <n v="0"/>
    <n v="0"/>
    <m/>
    <s v="A RECEVOIR"/>
    <x v="45"/>
    <x v="1"/>
    <s v="2016"/>
  </r>
  <r>
    <s v="1 -Recette CABINET"/>
    <x v="0"/>
    <m/>
    <s v="Recettes soins - semaine 45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5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6"/>
    <s v="MARCUS ABECASSIS"/>
    <m/>
    <n v="0"/>
    <x v="1"/>
    <n v="0"/>
    <n v="0"/>
    <m/>
    <s v="A RECEVOIR"/>
    <x v="46"/>
    <x v="1"/>
    <s v="2016"/>
  </r>
  <r>
    <s v="1 -Recette CABINET"/>
    <x v="0"/>
    <m/>
    <s v="Recettes soins - semaine 46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6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7"/>
    <s v="MARCUS ABECASSIS"/>
    <m/>
    <n v="0"/>
    <x v="1"/>
    <n v="0"/>
    <n v="0"/>
    <m/>
    <s v="A RECEVOIR"/>
    <x v="47"/>
    <x v="1"/>
    <s v="2016"/>
  </r>
  <r>
    <s v="1 -Recette CABINET"/>
    <x v="0"/>
    <m/>
    <s v="Recettes soins - semaine 47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7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8"/>
    <s v="MARCUS ABECASSIS"/>
    <m/>
    <n v="0"/>
    <x v="1"/>
    <n v="0"/>
    <n v="0"/>
    <m/>
    <s v="A RECEVOIR"/>
    <x v="48"/>
    <x v="1"/>
    <s v="2016"/>
  </r>
  <r>
    <s v="1 -Recette CABINET"/>
    <x v="0"/>
    <m/>
    <s v="Recettes soins - semaine 48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8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49"/>
    <s v="MARCUS ABECASSIS"/>
    <m/>
    <n v="0"/>
    <x v="1"/>
    <n v="0"/>
    <n v="0"/>
    <m/>
    <s v="A RECEVOIR"/>
    <x v="49"/>
    <x v="1"/>
    <s v="2016"/>
  </r>
  <r>
    <s v="1 -Recette CABINET"/>
    <x v="0"/>
    <m/>
    <s v="Recettes soins - semaine 49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49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50"/>
    <s v="MARCUS ABECASSIS"/>
    <m/>
    <n v="0"/>
    <x v="1"/>
    <n v="0"/>
    <n v="0"/>
    <m/>
    <s v="A RECEVOIR"/>
    <x v="50"/>
    <x v="1"/>
    <s v="2016"/>
  </r>
  <r>
    <s v="1 -Recette CABINET"/>
    <x v="0"/>
    <m/>
    <s v="Recettes soins - semaine 50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50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51"/>
    <s v="MARCUS ABECASSIS"/>
    <m/>
    <n v="0"/>
    <x v="1"/>
    <n v="0"/>
    <n v="0"/>
    <m/>
    <s v="A RECEVOIR"/>
    <x v="51"/>
    <x v="1"/>
    <s v="2016"/>
  </r>
  <r>
    <s v="1 -Recette CABINET"/>
    <x v="0"/>
    <m/>
    <s v="Recettes soins - semaine 51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51"/>
    <s v="MARCUS ABECASSIS"/>
    <m/>
    <n v="0"/>
    <x v="3"/>
    <n v="0"/>
    <n v="0"/>
    <m/>
    <s v="A RECEVOIR"/>
    <x v="0"/>
    <x v="2"/>
    <s v="2016"/>
  </r>
  <r>
    <s v="1 -Recette CABINET"/>
    <x v="0"/>
    <m/>
    <s v="Recettes soins - semaine 52"/>
    <s v="MARCUS ABECASSIS"/>
    <m/>
    <n v="0"/>
    <x v="1"/>
    <n v="0"/>
    <n v="0"/>
    <m/>
    <s v="A RECEVOIR"/>
    <x v="52"/>
    <x v="1"/>
    <s v="2016"/>
  </r>
  <r>
    <s v="1 -Recette CABINET"/>
    <x v="0"/>
    <m/>
    <s v="Recettes soins - semaine 52"/>
    <s v="MARCUS ABECASSIS"/>
    <m/>
    <n v="0"/>
    <x v="2"/>
    <n v="0"/>
    <n v="0"/>
    <m/>
    <s v="A RECEVOIR"/>
    <x v="0"/>
    <x v="2"/>
    <s v="2016"/>
  </r>
  <r>
    <s v="1 -Recette CABINET"/>
    <x v="0"/>
    <m/>
    <s v="Recettes soins - semaine 52"/>
    <s v="MARCUS ABECASSIS"/>
    <m/>
    <n v="0"/>
    <x v="3"/>
    <n v="0"/>
    <n v="0"/>
    <m/>
    <s v="A RECEVOIR"/>
    <x v="0"/>
    <x v="2"/>
    <s v="2016"/>
  </r>
  <r>
    <s v="1 -Recette CABINET"/>
    <x v="1"/>
    <m/>
    <m/>
    <m/>
    <m/>
    <m/>
    <x v="0"/>
    <m/>
    <m/>
    <m/>
    <m/>
    <x v="0"/>
    <x v="0"/>
    <m/>
  </r>
  <r>
    <s v="1 -Recette CABINET"/>
    <x v="1"/>
    <m/>
    <s v="Recettes prothèses - semaine 1"/>
    <s v="MARCUS ABECASSIS"/>
    <m/>
    <n v="0"/>
    <x v="1"/>
    <n v="5791.89"/>
    <n v="5791.89"/>
    <s v="ENCAISSE A CE JOUR"/>
    <m/>
    <x v="1"/>
    <x v="1"/>
    <s v="2016"/>
  </r>
  <r>
    <s v="1 -Recette CABINET"/>
    <x v="1"/>
    <m/>
    <s v="Recettes prothèses - semaine 1"/>
    <s v="MARCUS ABECASSIS"/>
    <m/>
    <n v="0"/>
    <x v="2"/>
    <n v="0"/>
    <n v="0"/>
    <s v="ENCAISSE A CE JOUR"/>
    <m/>
    <x v="1"/>
    <x v="2"/>
    <s v="2016"/>
  </r>
  <r>
    <s v="1 -Recette CABINET"/>
    <x v="1"/>
    <m/>
    <s v="Recettes prothèses - semaine 1"/>
    <s v="MARCUS ABECASSIS"/>
    <m/>
    <n v="0"/>
    <x v="3"/>
    <n v="161.04"/>
    <n v="161.04"/>
    <s v="ENCAISSE A CE JOUR"/>
    <m/>
    <x v="4"/>
    <x v="2"/>
    <s v="2016"/>
  </r>
  <r>
    <s v="1 -Recette CABINET"/>
    <x v="1"/>
    <m/>
    <s v="Recettes prothèses - semaine 2"/>
    <s v="MARCUS ABECASSIS"/>
    <m/>
    <n v="0"/>
    <x v="1"/>
    <n v="7973.52"/>
    <n v="7973.52"/>
    <s v="ENCAISSE A CE JOUR"/>
    <m/>
    <x v="2"/>
    <x v="1"/>
    <s v="2016"/>
  </r>
  <r>
    <s v="1 -Recette CABINET"/>
    <x v="1"/>
    <m/>
    <s v="Recettes prothèses - semaine 2"/>
    <s v="MARCUS ABECASSIS"/>
    <m/>
    <n v="0"/>
    <x v="2"/>
    <n v="527.21"/>
    <n v="527.21"/>
    <s v="ENCAISSE A CE JOUR"/>
    <m/>
    <x v="0"/>
    <x v="2"/>
    <s v="2016"/>
  </r>
  <r>
    <s v="1 -Recette CABINET"/>
    <x v="1"/>
    <m/>
    <s v="Recettes prothèses - semaine 2"/>
    <s v="MARCUS ABECASSIS"/>
    <m/>
    <n v="0"/>
    <x v="3"/>
    <n v="0"/>
    <n v="0"/>
    <s v="ENCAISSE A CE JOUR"/>
    <m/>
    <x v="2"/>
    <x v="2"/>
    <s v="2016"/>
  </r>
  <r>
    <s v="1 -Recette CABINET"/>
    <x v="1"/>
    <m/>
    <s v="Recettes prothèses - semaine 3"/>
    <s v="MARCUS ABECASSIS"/>
    <m/>
    <n v="0"/>
    <x v="1"/>
    <n v="7699.11"/>
    <n v="7699.11"/>
    <s v="ENCAISSE A CE JOUR"/>
    <m/>
    <x v="4"/>
    <x v="1"/>
    <s v="2016"/>
  </r>
  <r>
    <s v="1 -Recette CABINET"/>
    <x v="1"/>
    <m/>
    <s v="Recettes prothèses - semaine 3"/>
    <s v="MARCUS ABECASSIS"/>
    <m/>
    <n v="0"/>
    <x v="2"/>
    <n v="0"/>
    <n v="0"/>
    <s v="ENCAISSE A CE JOUR"/>
    <m/>
    <x v="4"/>
    <x v="2"/>
    <s v="2016"/>
  </r>
  <r>
    <s v="1 -Recette CABINET"/>
    <x v="1"/>
    <m/>
    <s v="Recettes prothèses - semaine 3"/>
    <s v="MARCUS ABECASSIS"/>
    <m/>
    <n v="0"/>
    <x v="3"/>
    <n v="352.18"/>
    <n v="352.18"/>
    <s v="ENCAISSE A CE JOUR"/>
    <m/>
    <x v="5"/>
    <x v="2"/>
    <s v="2016"/>
  </r>
  <r>
    <s v="1 -Recette CABINET"/>
    <x v="1"/>
    <m/>
    <s v="Recettes prothèses - semaine 4"/>
    <s v="MARCUS ABECASSIS"/>
    <m/>
    <n v="0"/>
    <x v="1"/>
    <n v="2187"/>
    <n v="2187"/>
    <s v="ENCAISSE A CE JOUR"/>
    <m/>
    <x v="3"/>
    <x v="1"/>
    <s v="2016"/>
  </r>
  <r>
    <s v="1 -Recette CABINET"/>
    <x v="1"/>
    <m/>
    <s v="Recettes prothèses - semaine 4"/>
    <s v="MARCUS ABECASSIS"/>
    <m/>
    <n v="0"/>
    <x v="2"/>
    <n v="0"/>
    <n v="0"/>
    <s v="ENCAISSE A CE JOUR"/>
    <m/>
    <x v="3"/>
    <x v="2"/>
    <s v="2016"/>
  </r>
  <r>
    <s v="1 -Recette CABINET"/>
    <x v="1"/>
    <m/>
    <s v="Recettes prothèses - semaine 4"/>
    <s v="MARCUS ABECASSIS"/>
    <m/>
    <n v="0"/>
    <x v="3"/>
    <n v="0"/>
    <n v="0"/>
    <s v="ENCAISSE A CE JOUR"/>
    <m/>
    <x v="3"/>
    <x v="2"/>
    <s v="2016"/>
  </r>
  <r>
    <s v="1 -Recette CABINET"/>
    <x v="1"/>
    <m/>
    <s v="Recettes prothèses - semaine 5"/>
    <s v="MARCUS ABECASSIS"/>
    <m/>
    <n v="0"/>
    <x v="1"/>
    <n v="4470.25"/>
    <n v="4470.25"/>
    <s v="ENCAISSE A CE JOUR"/>
    <m/>
    <x v="5"/>
    <x v="1"/>
    <s v="2016"/>
  </r>
  <r>
    <s v="1 -Recette CABINET"/>
    <x v="1"/>
    <m/>
    <s v="Recettes prothèses - semaine 5"/>
    <s v="MARCUS ABECASSIS"/>
    <m/>
    <n v="0"/>
    <x v="2"/>
    <n v="0"/>
    <n v="0"/>
    <s v="ENCAISSE A CE JOUR"/>
    <m/>
    <x v="5"/>
    <x v="2"/>
    <s v="2016"/>
  </r>
  <r>
    <s v="1 -Recette CABINET"/>
    <x v="1"/>
    <m/>
    <s v="Recettes prothèses - semaine 5"/>
    <s v="MARCUS ABECASSIS"/>
    <m/>
    <n v="0"/>
    <x v="3"/>
    <n v="0"/>
    <n v="0"/>
    <s v="ENCAISSE A CE JOUR"/>
    <m/>
    <x v="5"/>
    <x v="2"/>
    <s v="2016"/>
  </r>
  <r>
    <s v="1 -Recette CABINET"/>
    <x v="1"/>
    <m/>
    <s v="Recettes prothèses - semaine 6"/>
    <s v="MARCUS ABECASSIS"/>
    <m/>
    <n v="0"/>
    <x v="1"/>
    <n v="1147"/>
    <n v="1147"/>
    <s v="ENCAISSE A CE JOUR"/>
    <m/>
    <x v="7"/>
    <x v="1"/>
    <s v="2016"/>
  </r>
  <r>
    <s v="1 -Recette CABINET"/>
    <x v="1"/>
    <m/>
    <s v="Recettes prothèses - semaine 6"/>
    <s v="MARCUS ABECASSIS"/>
    <m/>
    <n v="0"/>
    <x v="2"/>
    <n v="1421.82"/>
    <n v="1421.82"/>
    <s v="ENCAISSE A CE JOUR"/>
    <m/>
    <x v="7"/>
    <x v="2"/>
    <s v="2016"/>
  </r>
  <r>
    <s v="1 -Recette CABINET"/>
    <x v="1"/>
    <m/>
    <s v="Recettes prothèses - semaine 6"/>
    <s v="MARCUS ABECASSIS"/>
    <m/>
    <n v="0"/>
    <x v="3"/>
    <n v="176.09"/>
    <n v="176.09"/>
    <s v="ENCAISSE A CE JOUR"/>
    <m/>
    <x v="8"/>
    <x v="2"/>
    <s v="2016"/>
  </r>
  <r>
    <s v="1 -Recette CABINET"/>
    <x v="1"/>
    <m/>
    <s v="Recettes prothèses - semaine 7"/>
    <s v="MARCUS ABECASSIS"/>
    <m/>
    <n v="0"/>
    <x v="1"/>
    <n v="2992.12"/>
    <n v="2992.12"/>
    <s v="ENCAISSE A CE JOUR"/>
    <m/>
    <x v="6"/>
    <x v="1"/>
    <s v="2016"/>
  </r>
  <r>
    <s v="1 -Recette CABINET"/>
    <x v="1"/>
    <m/>
    <s v="Recettes prothèses - semaine 7"/>
    <s v="MARCUS ABECASSIS"/>
    <m/>
    <n v="0"/>
    <x v="2"/>
    <n v="0"/>
    <n v="0"/>
    <s v="ENCAISSE A CE JOUR"/>
    <m/>
    <x v="6"/>
    <x v="2"/>
    <s v="2016"/>
  </r>
  <r>
    <s v="1 -Recette CABINET"/>
    <x v="1"/>
    <m/>
    <s v="Recettes prothèses - semaine 7"/>
    <s v="MARCUS ABECASSIS"/>
    <m/>
    <n v="0"/>
    <x v="3"/>
    <n v="176.09"/>
    <n v="176.09"/>
    <s v="ENCAISSE A CE JOUR"/>
    <m/>
    <x v="9"/>
    <x v="2"/>
    <s v="2016"/>
  </r>
  <r>
    <s v="1 -Recette CABINET"/>
    <x v="1"/>
    <m/>
    <s v="Recettes prothèses - semaine 8"/>
    <s v="MARCUS ABECASSIS"/>
    <m/>
    <n v="0"/>
    <x v="1"/>
    <n v="3947.75"/>
    <n v="3947.75"/>
    <s v="ENCAISSE A CE JOUR"/>
    <m/>
    <x v="8"/>
    <x v="1"/>
    <s v="2016"/>
  </r>
  <r>
    <s v="1 -Recette CABINET"/>
    <x v="1"/>
    <m/>
    <s v="Recettes prothèses - semaine 8"/>
    <s v="MARCUS ABECASSIS"/>
    <m/>
    <n v="0"/>
    <x v="2"/>
    <n v="1421.82"/>
    <n v="1421.82"/>
    <s v="ENCAISSE A CE JOUR"/>
    <m/>
    <x v="8"/>
    <x v="2"/>
    <s v="2016"/>
  </r>
  <r>
    <s v="1 -Recette CABINET"/>
    <x v="1"/>
    <m/>
    <s v="Recettes prothèses - semaine 8"/>
    <s v="MARCUS ABECASSIS"/>
    <m/>
    <n v="0"/>
    <x v="3"/>
    <n v="0"/>
    <n v="0"/>
    <s v="ENCAISSE A CE JOUR"/>
    <m/>
    <x v="8"/>
    <x v="2"/>
    <s v="2016"/>
  </r>
  <r>
    <s v="1 -Recette CABINET"/>
    <x v="1"/>
    <m/>
    <s v="Recettes prothèses - semaine 9"/>
    <s v="MARCUS ABECASSIS"/>
    <m/>
    <n v="0"/>
    <x v="1"/>
    <n v="3971.84"/>
    <n v="3971.84"/>
    <s v="ENCAISSE A CE JOUR"/>
    <m/>
    <x v="9"/>
    <x v="1"/>
    <s v="2016"/>
  </r>
  <r>
    <s v="1 -Recette CABINET"/>
    <x v="1"/>
    <m/>
    <s v="Recettes prothèses - semaine 9"/>
    <s v="MARCUS ABECASSIS"/>
    <m/>
    <n v="0"/>
    <x v="2"/>
    <n v="0"/>
    <n v="0"/>
    <s v="ENCAISSE A CE JOUR"/>
    <m/>
    <x v="9"/>
    <x v="2"/>
    <s v="2016"/>
  </r>
  <r>
    <s v="1 -Recette CABINET"/>
    <x v="1"/>
    <m/>
    <s v="Recettes prothèses - semaine 9"/>
    <s v="MARCUS ABECASSIS"/>
    <m/>
    <n v="0"/>
    <x v="3"/>
    <n v="0"/>
    <n v="0"/>
    <s v="ENCAISSE A CE JOUR"/>
    <m/>
    <x v="9"/>
    <x v="2"/>
    <s v="2016"/>
  </r>
  <r>
    <s v="1 -Recette CABINET"/>
    <x v="1"/>
    <m/>
    <s v="Recettes prothèses - semaine 10"/>
    <s v="MARCUS ABECASSIS"/>
    <m/>
    <n v="0"/>
    <x v="1"/>
    <n v="1573.98"/>
    <n v="1573.98"/>
    <s v="ENCAISSE A CE JOUR"/>
    <m/>
    <x v="10"/>
    <x v="1"/>
    <s v="2016"/>
  </r>
  <r>
    <s v="1 -Recette CABINET"/>
    <x v="1"/>
    <m/>
    <s v="Recettes prothèses - semaine 10"/>
    <s v="MARCUS ABECASSIS"/>
    <m/>
    <n v="0"/>
    <x v="2"/>
    <n v="0"/>
    <n v="0"/>
    <s v="ENCAISSE A CE JOUR"/>
    <m/>
    <x v="10"/>
    <x v="2"/>
    <s v="2016"/>
  </r>
  <r>
    <s v="1 -Recette CABINET"/>
    <x v="1"/>
    <m/>
    <s v="Recettes prothèses - semaine 10"/>
    <s v="MARCUS ABECASSIS"/>
    <m/>
    <n v="0"/>
    <x v="3"/>
    <n v="0"/>
    <n v="0"/>
    <s v="ENCAISSE A CE JOUR"/>
    <m/>
    <x v="10"/>
    <x v="2"/>
    <s v="2016"/>
  </r>
  <r>
    <s v="1 -Recette CABINET"/>
    <x v="1"/>
    <m/>
    <s v="Recettes prothèses - semaine 11"/>
    <s v="MARCUS ABECASSIS"/>
    <m/>
    <n v="0"/>
    <x v="1"/>
    <n v="887"/>
    <n v="887"/>
    <m/>
    <s v="A RECEVOIR"/>
    <x v="11"/>
    <x v="1"/>
    <s v="2016"/>
  </r>
  <r>
    <s v="1 -Recette CABINET"/>
    <x v="1"/>
    <m/>
    <s v="Recettes prothèses - semaine 11"/>
    <s v="MARCUS ABECASSIS"/>
    <m/>
    <n v="0"/>
    <x v="2"/>
    <n v="0"/>
    <n v="0"/>
    <m/>
    <s v="A RECEVOIR"/>
    <x v="11"/>
    <x v="2"/>
    <s v="2016"/>
  </r>
  <r>
    <s v="1 -Recette CABINET"/>
    <x v="1"/>
    <m/>
    <s v="Recettes prothèses - semaine 11"/>
    <s v="MARCUS ABECASSIS"/>
    <m/>
    <n v="0"/>
    <x v="3"/>
    <n v="0"/>
    <n v="0"/>
    <m/>
    <s v="A RECEVOIR"/>
    <x v="11"/>
    <x v="2"/>
    <s v="2016"/>
  </r>
  <r>
    <s v="1 -Recette CABINET"/>
    <x v="1"/>
    <m/>
    <s v="Recettes prothèses - semaine 12"/>
    <s v="MARCUS ABECASSIS"/>
    <m/>
    <n v="0"/>
    <x v="1"/>
    <n v="0"/>
    <n v="0"/>
    <m/>
    <s v="A RECEVOIR"/>
    <x v="12"/>
    <x v="1"/>
    <s v="2016"/>
  </r>
  <r>
    <s v="1 -Recette CABINET"/>
    <x v="1"/>
    <m/>
    <s v="Recettes prothèses - semaine 12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2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3"/>
    <s v="MARCUS ABECASSIS"/>
    <m/>
    <n v="0"/>
    <x v="1"/>
    <n v="0"/>
    <n v="0"/>
    <m/>
    <s v="A RECEVOIR"/>
    <x v="13"/>
    <x v="1"/>
    <s v="2016"/>
  </r>
  <r>
    <s v="1 -Recette CABINET"/>
    <x v="1"/>
    <m/>
    <s v="Recettes prothèses - semaine 13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3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4"/>
    <s v="MARCUS ABECASSIS"/>
    <m/>
    <n v="0"/>
    <x v="1"/>
    <n v="0"/>
    <n v="0"/>
    <m/>
    <s v="A RECEVOIR"/>
    <x v="14"/>
    <x v="1"/>
    <s v="2016"/>
  </r>
  <r>
    <s v="1 -Recette CABINET"/>
    <x v="1"/>
    <m/>
    <s v="Recettes prothèses - semaine 14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4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5"/>
    <s v="MARCUS ABECASSIS"/>
    <m/>
    <n v="0"/>
    <x v="1"/>
    <n v="0"/>
    <n v="0"/>
    <m/>
    <s v="A RECEVOIR"/>
    <x v="15"/>
    <x v="1"/>
    <s v="2016"/>
  </r>
  <r>
    <s v="1 -Recette CABINET"/>
    <x v="1"/>
    <m/>
    <s v="Recettes prothèses - semaine 15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5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6"/>
    <s v="MARCUS ABECASSIS"/>
    <m/>
    <n v="0"/>
    <x v="1"/>
    <n v="0"/>
    <n v="0"/>
    <m/>
    <s v="A RECEVOIR"/>
    <x v="16"/>
    <x v="1"/>
    <s v="2016"/>
  </r>
  <r>
    <s v="1 -Recette CABINET"/>
    <x v="1"/>
    <m/>
    <s v="Recettes prothèses - semaine 16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6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7"/>
    <s v="MARCUS ABECASSIS"/>
    <m/>
    <n v="0"/>
    <x v="1"/>
    <n v="0"/>
    <n v="0"/>
    <m/>
    <s v="A RECEVOIR"/>
    <x v="17"/>
    <x v="1"/>
    <s v="2016"/>
  </r>
  <r>
    <s v="1 -Recette CABINET"/>
    <x v="1"/>
    <m/>
    <s v="Recettes prothèses - semaine 17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7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8"/>
    <s v="MARCUS ABECASSIS"/>
    <m/>
    <n v="0"/>
    <x v="1"/>
    <n v="0"/>
    <n v="0"/>
    <m/>
    <s v="A RECEVOIR"/>
    <x v="18"/>
    <x v="1"/>
    <s v="2016"/>
  </r>
  <r>
    <s v="1 -Recette CABINET"/>
    <x v="1"/>
    <m/>
    <s v="Recettes prothèses - semaine 18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8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19"/>
    <s v="MARCUS ABECASSIS"/>
    <m/>
    <n v="0"/>
    <x v="1"/>
    <n v="0"/>
    <n v="0"/>
    <m/>
    <s v="A RECEVOIR"/>
    <x v="19"/>
    <x v="1"/>
    <s v="2016"/>
  </r>
  <r>
    <s v="1 -Recette CABINET"/>
    <x v="1"/>
    <m/>
    <s v="Recettes prothèses - semaine 19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19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0"/>
    <s v="MARCUS ABECASSIS"/>
    <m/>
    <n v="0"/>
    <x v="1"/>
    <n v="0"/>
    <n v="0"/>
    <m/>
    <s v="A RECEVOIR"/>
    <x v="20"/>
    <x v="1"/>
    <s v="2016"/>
  </r>
  <r>
    <s v="1 -Recette CABINET"/>
    <x v="1"/>
    <m/>
    <s v="Recettes prothèses - semaine 20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0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1"/>
    <s v="MARCUS ABECASSIS"/>
    <m/>
    <n v="0"/>
    <x v="1"/>
    <n v="0"/>
    <n v="0"/>
    <m/>
    <s v="A RECEVOIR"/>
    <x v="21"/>
    <x v="1"/>
    <s v="2016"/>
  </r>
  <r>
    <s v="1 -Recette CABINET"/>
    <x v="1"/>
    <m/>
    <s v="Recettes prothèses - semaine 21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1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2"/>
    <s v="MARCUS ABECASSIS"/>
    <m/>
    <n v="0"/>
    <x v="1"/>
    <n v="0"/>
    <n v="0"/>
    <m/>
    <s v="A RECEVOIR"/>
    <x v="22"/>
    <x v="1"/>
    <s v="2016"/>
  </r>
  <r>
    <s v="1 -Recette CABINET"/>
    <x v="1"/>
    <m/>
    <s v="Recettes prothèses - semaine 22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2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3"/>
    <s v="MARCUS ABECASSIS"/>
    <m/>
    <n v="0"/>
    <x v="1"/>
    <n v="0"/>
    <n v="0"/>
    <m/>
    <s v="A RECEVOIR"/>
    <x v="23"/>
    <x v="1"/>
    <s v="2016"/>
  </r>
  <r>
    <s v="1 -Recette CABINET"/>
    <x v="1"/>
    <m/>
    <s v="Recettes prothèses - semaine 23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3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4"/>
    <s v="MARCUS ABECASSIS"/>
    <m/>
    <n v="0"/>
    <x v="1"/>
    <n v="0"/>
    <n v="0"/>
    <m/>
    <s v="A RECEVOIR"/>
    <x v="24"/>
    <x v="1"/>
    <s v="2016"/>
  </r>
  <r>
    <s v="1 -Recette CABINET"/>
    <x v="1"/>
    <m/>
    <s v="Recettes prothèses - semaine 24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4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5"/>
    <s v="MARCUS ABECASSIS"/>
    <m/>
    <n v="0"/>
    <x v="1"/>
    <n v="0"/>
    <n v="0"/>
    <m/>
    <s v="A RECEVOIR"/>
    <x v="25"/>
    <x v="1"/>
    <s v="2016"/>
  </r>
  <r>
    <s v="1 -Recette CABINET"/>
    <x v="1"/>
    <m/>
    <s v="Recettes prothèses - semaine 25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5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6"/>
    <s v="MARCUS ABECASSIS"/>
    <m/>
    <n v="0"/>
    <x v="1"/>
    <n v="0"/>
    <n v="0"/>
    <m/>
    <s v="A RECEVOIR"/>
    <x v="26"/>
    <x v="1"/>
    <s v="2016"/>
  </r>
  <r>
    <s v="1 -Recette CABINET"/>
    <x v="1"/>
    <m/>
    <s v="Recettes prothèses - semaine 26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6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7"/>
    <s v="MARCUS ABECASSIS"/>
    <m/>
    <n v="0"/>
    <x v="1"/>
    <n v="0"/>
    <n v="0"/>
    <m/>
    <s v="A RECEVOIR"/>
    <x v="27"/>
    <x v="1"/>
    <s v="2016"/>
  </r>
  <r>
    <s v="1 -Recette CABINET"/>
    <x v="1"/>
    <m/>
    <s v="Recettes prothèses - semaine 27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7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8"/>
    <s v="MARCUS ABECASSIS"/>
    <m/>
    <n v="0"/>
    <x v="1"/>
    <n v="0"/>
    <n v="0"/>
    <m/>
    <s v="A RECEVOIR"/>
    <x v="28"/>
    <x v="1"/>
    <s v="2016"/>
  </r>
  <r>
    <s v="1 -Recette CABINET"/>
    <x v="1"/>
    <m/>
    <s v="Recettes prothèses - semaine 28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8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29"/>
    <s v="MARCUS ABECASSIS"/>
    <m/>
    <n v="0"/>
    <x v="1"/>
    <n v="0"/>
    <n v="0"/>
    <m/>
    <s v="A RECEVOIR"/>
    <x v="29"/>
    <x v="1"/>
    <s v="2016"/>
  </r>
  <r>
    <s v="1 -Recette CABINET"/>
    <x v="1"/>
    <m/>
    <s v="Recettes prothèses - semaine 29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29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0"/>
    <s v="MARCUS ABECASSIS"/>
    <m/>
    <n v="0"/>
    <x v="1"/>
    <n v="0"/>
    <n v="0"/>
    <m/>
    <s v="A RECEVOIR"/>
    <x v="30"/>
    <x v="1"/>
    <s v="2016"/>
  </r>
  <r>
    <s v="1 -Recette CABINET"/>
    <x v="1"/>
    <m/>
    <s v="Recettes prothèses - semaine 30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0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1"/>
    <s v="MARCUS ABECASSIS"/>
    <m/>
    <n v="0"/>
    <x v="1"/>
    <n v="0"/>
    <n v="0"/>
    <m/>
    <s v="A RECEVOIR"/>
    <x v="31"/>
    <x v="1"/>
    <s v="2016"/>
  </r>
  <r>
    <s v="1 -Recette CABINET"/>
    <x v="1"/>
    <m/>
    <s v="Recettes prothèses - semaine 31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1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2"/>
    <s v="MARCUS ABECASSIS"/>
    <m/>
    <n v="0"/>
    <x v="1"/>
    <n v="0"/>
    <n v="0"/>
    <m/>
    <s v="A RECEVOIR"/>
    <x v="32"/>
    <x v="1"/>
    <s v="2016"/>
  </r>
  <r>
    <s v="1 -Recette CABINET"/>
    <x v="1"/>
    <m/>
    <s v="Recettes prothèses - semaine 32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2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3"/>
    <s v="MARCUS ABECASSIS"/>
    <m/>
    <n v="0"/>
    <x v="1"/>
    <n v="0"/>
    <n v="0"/>
    <m/>
    <s v="A RECEVOIR"/>
    <x v="33"/>
    <x v="1"/>
    <s v="2016"/>
  </r>
  <r>
    <s v="1 -Recette CABINET"/>
    <x v="1"/>
    <m/>
    <s v="Recettes prothèses - semaine 33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3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4"/>
    <s v="MARCUS ABECASSIS"/>
    <m/>
    <n v="0"/>
    <x v="1"/>
    <n v="0"/>
    <n v="0"/>
    <m/>
    <s v="A RECEVOIR"/>
    <x v="34"/>
    <x v="1"/>
    <s v="2016"/>
  </r>
  <r>
    <s v="1 -Recette CABINET"/>
    <x v="1"/>
    <m/>
    <s v="Recettes prothèses - semaine 34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4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5"/>
    <s v="MARCUS ABECASSIS"/>
    <m/>
    <n v="0"/>
    <x v="1"/>
    <n v="0"/>
    <n v="0"/>
    <m/>
    <s v="A RECEVOIR"/>
    <x v="35"/>
    <x v="1"/>
    <s v="2016"/>
  </r>
  <r>
    <s v="1 -Recette CABINET"/>
    <x v="1"/>
    <m/>
    <s v="Recettes prothèses - semaine 35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5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6"/>
    <s v="MARCUS ABECASSIS"/>
    <m/>
    <n v="0"/>
    <x v="1"/>
    <n v="0"/>
    <n v="0"/>
    <m/>
    <s v="A RECEVOIR"/>
    <x v="36"/>
    <x v="1"/>
    <s v="2016"/>
  </r>
  <r>
    <s v="1 -Recette CABINET"/>
    <x v="1"/>
    <m/>
    <s v="Recettes prothèses - semaine 36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6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7"/>
    <s v="MARCUS ABECASSIS"/>
    <m/>
    <n v="0"/>
    <x v="1"/>
    <n v="0"/>
    <n v="0"/>
    <m/>
    <s v="A RECEVOIR"/>
    <x v="37"/>
    <x v="1"/>
    <s v="2016"/>
  </r>
  <r>
    <s v="1 -Recette CABINET"/>
    <x v="1"/>
    <m/>
    <s v="Recettes prothèses - semaine 37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7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8"/>
    <s v="MARCUS ABECASSIS"/>
    <m/>
    <n v="0"/>
    <x v="1"/>
    <n v="0"/>
    <n v="0"/>
    <m/>
    <s v="A RECEVOIR"/>
    <x v="38"/>
    <x v="1"/>
    <s v="2016"/>
  </r>
  <r>
    <s v="1 -Recette CABINET"/>
    <x v="1"/>
    <m/>
    <s v="Recettes prothèses - semaine 38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8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39"/>
    <s v="MARCUS ABECASSIS"/>
    <m/>
    <n v="0"/>
    <x v="1"/>
    <n v="0"/>
    <n v="0"/>
    <m/>
    <s v="A RECEVOIR"/>
    <x v="39"/>
    <x v="1"/>
    <s v="2016"/>
  </r>
  <r>
    <s v="1 -Recette CABINET"/>
    <x v="1"/>
    <m/>
    <s v="Recettes prothèses - semaine 39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39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0"/>
    <s v="MARCUS ABECASSIS"/>
    <m/>
    <n v="0"/>
    <x v="1"/>
    <n v="0"/>
    <n v="0"/>
    <m/>
    <s v="A RECEVOIR"/>
    <x v="40"/>
    <x v="1"/>
    <s v="2016"/>
  </r>
  <r>
    <s v="1 -Recette CABINET"/>
    <x v="1"/>
    <m/>
    <s v="Recettes prothèses - semaine 40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0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1"/>
    <s v="MARCUS ABECASSIS"/>
    <m/>
    <n v="0"/>
    <x v="1"/>
    <n v="0"/>
    <n v="0"/>
    <m/>
    <s v="A RECEVOIR"/>
    <x v="41"/>
    <x v="1"/>
    <s v="2016"/>
  </r>
  <r>
    <s v="1 -Recette CABINET"/>
    <x v="1"/>
    <m/>
    <s v="Recettes prothèses - semaine 41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1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2"/>
    <s v="MARCUS ABECASSIS"/>
    <m/>
    <n v="0"/>
    <x v="1"/>
    <n v="0"/>
    <n v="0"/>
    <m/>
    <s v="A RECEVOIR"/>
    <x v="42"/>
    <x v="1"/>
    <s v="2016"/>
  </r>
  <r>
    <s v="1 -Recette CABINET"/>
    <x v="1"/>
    <m/>
    <s v="Recettes prothèses - semaine 42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2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3"/>
    <s v="MARCUS ABECASSIS"/>
    <m/>
    <n v="0"/>
    <x v="1"/>
    <n v="0"/>
    <n v="0"/>
    <m/>
    <s v="A RECEVOIR"/>
    <x v="43"/>
    <x v="1"/>
    <s v="2016"/>
  </r>
  <r>
    <s v="1 -Recette CABINET"/>
    <x v="1"/>
    <m/>
    <s v="Recettes prothèses - semaine 43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3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4"/>
    <s v="MARCUS ABECASSIS"/>
    <m/>
    <n v="0"/>
    <x v="1"/>
    <n v="0"/>
    <n v="0"/>
    <m/>
    <s v="A RECEVOIR"/>
    <x v="44"/>
    <x v="1"/>
    <s v="2016"/>
  </r>
  <r>
    <s v="1 -Recette CABINET"/>
    <x v="1"/>
    <m/>
    <s v="Recettes prothèses - semaine 44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4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5"/>
    <s v="MARCUS ABECASSIS"/>
    <m/>
    <n v="0"/>
    <x v="1"/>
    <n v="0"/>
    <n v="0"/>
    <m/>
    <s v="A RECEVOIR"/>
    <x v="45"/>
    <x v="1"/>
    <s v="2016"/>
  </r>
  <r>
    <s v="1 -Recette CABINET"/>
    <x v="1"/>
    <m/>
    <s v="Recettes prothèses - semaine 45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5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6"/>
    <s v="MARCUS ABECASSIS"/>
    <m/>
    <n v="0"/>
    <x v="1"/>
    <n v="0"/>
    <n v="0"/>
    <m/>
    <s v="A RECEVOIR"/>
    <x v="46"/>
    <x v="1"/>
    <s v="2016"/>
  </r>
  <r>
    <s v="1 -Recette CABINET"/>
    <x v="1"/>
    <m/>
    <s v="Recettes prothèses - semaine 46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6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7"/>
    <s v="MARCUS ABECASSIS"/>
    <m/>
    <n v="0"/>
    <x v="1"/>
    <n v="0"/>
    <n v="0"/>
    <m/>
    <s v="A RECEVOIR"/>
    <x v="47"/>
    <x v="1"/>
    <s v="2016"/>
  </r>
  <r>
    <s v="1 -Recette CABINET"/>
    <x v="1"/>
    <m/>
    <s v="Recettes prothèses - semaine 47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7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8"/>
    <s v="MARCUS ABECASSIS"/>
    <m/>
    <n v="0"/>
    <x v="1"/>
    <n v="0"/>
    <n v="0"/>
    <m/>
    <s v="A RECEVOIR"/>
    <x v="48"/>
    <x v="1"/>
    <s v="2016"/>
  </r>
  <r>
    <s v="1 -Recette CABINET"/>
    <x v="1"/>
    <m/>
    <s v="Recettes prothèses - semaine 48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8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49"/>
    <s v="MARCUS ABECASSIS"/>
    <m/>
    <n v="0"/>
    <x v="1"/>
    <n v="0"/>
    <n v="0"/>
    <m/>
    <s v="A RECEVOIR"/>
    <x v="49"/>
    <x v="1"/>
    <s v="2016"/>
  </r>
  <r>
    <s v="1 -Recette CABINET"/>
    <x v="1"/>
    <m/>
    <s v="Recettes prothèses - semaine 49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49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50"/>
    <s v="MARCUS ABECASSIS"/>
    <m/>
    <n v="0"/>
    <x v="1"/>
    <n v="0"/>
    <n v="0"/>
    <m/>
    <s v="A RECEVOIR"/>
    <x v="50"/>
    <x v="1"/>
    <s v="2016"/>
  </r>
  <r>
    <s v="1 -Recette CABINET"/>
    <x v="1"/>
    <m/>
    <s v="Recettes prothèses - semaine 50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50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51"/>
    <s v="MARCUS ABECASSIS"/>
    <m/>
    <n v="0"/>
    <x v="1"/>
    <n v="0"/>
    <n v="0"/>
    <m/>
    <s v="A RECEVOIR"/>
    <x v="51"/>
    <x v="1"/>
    <s v="2016"/>
  </r>
  <r>
    <s v="1 -Recette CABINET"/>
    <x v="1"/>
    <m/>
    <s v="Recettes prothèses - semaine 51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51"/>
    <s v="MARCUS ABECASSIS"/>
    <m/>
    <n v="0"/>
    <x v="3"/>
    <n v="0"/>
    <n v="0"/>
    <m/>
    <s v="A RECEVOIR"/>
    <x v="0"/>
    <x v="2"/>
    <s v="2016"/>
  </r>
  <r>
    <s v="1 -Recette CABINET"/>
    <x v="1"/>
    <m/>
    <s v="Recettes prothèses - semaine 52"/>
    <s v="MARCUS ABECASSIS"/>
    <m/>
    <n v="0"/>
    <x v="1"/>
    <n v="0"/>
    <n v="0"/>
    <m/>
    <s v="A RECEVOIR"/>
    <x v="52"/>
    <x v="1"/>
    <s v="2016"/>
  </r>
  <r>
    <s v="1 -Recette CABINET"/>
    <x v="1"/>
    <m/>
    <s v="Recettes prothèses - semaine 52"/>
    <s v="MARCUS ABECASSIS"/>
    <m/>
    <n v="0"/>
    <x v="2"/>
    <n v="0"/>
    <n v="0"/>
    <m/>
    <s v="A RECEVOIR"/>
    <x v="0"/>
    <x v="2"/>
    <s v="2016"/>
  </r>
  <r>
    <s v="1 -Recette CABINET"/>
    <x v="1"/>
    <m/>
    <s v="Recettes prothèses - semaine 52"/>
    <s v="MARCUS ABECASSIS"/>
    <m/>
    <n v="0"/>
    <x v="3"/>
    <n v="0"/>
    <n v="0"/>
    <m/>
    <s v="A RECEVOIR"/>
    <x v="0"/>
    <x v="2"/>
    <s v="201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98">
  <r>
    <s v="1 -Charges fixes"/>
    <x v="0"/>
    <m/>
    <m/>
    <m/>
    <n v="2922.48"/>
    <m/>
    <m/>
    <m/>
    <m/>
    <m/>
    <m/>
    <x v="0"/>
    <x v="0"/>
    <m/>
    <m/>
    <m/>
    <m/>
    <m/>
    <m/>
  </r>
  <r>
    <s v="1 -Charges fixes"/>
    <x v="0"/>
    <m/>
    <s v="Electricité cabinet - janvier 2016"/>
    <s v="EDF"/>
    <m/>
    <n v="243.54"/>
    <n v="243.54"/>
    <n v="243.54"/>
    <s v="DECAISSE A CE JOUR"/>
    <m/>
    <d v="2016-01-01T00:00:00"/>
    <x v="1"/>
    <x v="1"/>
    <s v="2016"/>
    <m/>
    <m/>
    <m/>
    <m/>
    <m/>
  </r>
  <r>
    <s v="1 -Charges fixes"/>
    <x v="0"/>
    <m/>
    <s v="Electricité cabinet - février 2016"/>
    <s v="EDF"/>
    <m/>
    <n v="243.54"/>
    <n v="243.54"/>
    <n v="243.54"/>
    <s v="DECAISSE A CE JOUR"/>
    <m/>
    <d v="2016-02-01T00:00:00"/>
    <x v="1"/>
    <x v="2"/>
    <s v="2016"/>
    <m/>
    <m/>
    <m/>
    <m/>
    <m/>
  </r>
  <r>
    <s v="1 -Charges fixes"/>
    <x v="0"/>
    <m/>
    <s v="Electricité cabinet - mars 2016"/>
    <s v="EDF"/>
    <m/>
    <n v="243.54"/>
    <n v="243.54"/>
    <n v="243.54"/>
    <s v="DECAISSE A CE JOUR"/>
    <m/>
    <d v="2016-03-01T00:00:00"/>
    <x v="1"/>
    <x v="3"/>
    <s v="2016"/>
    <m/>
    <m/>
    <m/>
    <m/>
    <m/>
  </r>
  <r>
    <s v="1 -Charges fixes"/>
    <x v="0"/>
    <m/>
    <s v="Electricité cabinet - avril 2016"/>
    <s v="EDF"/>
    <m/>
    <n v="243.54"/>
    <n v="243.54"/>
    <n v="243.54"/>
    <m/>
    <s v="ENGAGE A CE JOUR"/>
    <d v="2016-04-01T00:00:00"/>
    <x v="1"/>
    <x v="4"/>
    <s v="2016"/>
    <m/>
    <m/>
    <m/>
    <m/>
    <m/>
  </r>
  <r>
    <s v="1 -Charges fixes"/>
    <x v="0"/>
    <m/>
    <s v="Electricité cabinet - mai 2016"/>
    <s v="EDF"/>
    <m/>
    <n v="243.54"/>
    <n v="243.54"/>
    <n v="243.54"/>
    <m/>
    <s v="ENGAGE A CE JOUR"/>
    <d v="2016-05-01T00:00:00"/>
    <x v="1"/>
    <x v="5"/>
    <s v="2016"/>
    <m/>
    <m/>
    <m/>
    <m/>
    <m/>
  </r>
  <r>
    <s v="1 -Charges fixes"/>
    <x v="0"/>
    <m/>
    <s v="Electricité cabinet - juin 2016"/>
    <s v="EDF"/>
    <m/>
    <n v="243.54"/>
    <n v="243.54"/>
    <n v="243.54"/>
    <m/>
    <s v="ENGAGE A CE JOUR"/>
    <d v="2016-06-01T00:00:00"/>
    <x v="1"/>
    <x v="6"/>
    <s v="2016"/>
    <m/>
    <m/>
    <m/>
    <m/>
    <m/>
  </r>
  <r>
    <s v="1 -Charges fixes"/>
    <x v="0"/>
    <m/>
    <s v="Electricité cabinet - juillet 2016"/>
    <s v="EDF"/>
    <m/>
    <n v="243.54"/>
    <n v="243.54"/>
    <n v="243.54"/>
    <m/>
    <s v="ENGAGE A CE JOUR"/>
    <d v="2016-07-01T00:00:00"/>
    <x v="1"/>
    <x v="7"/>
    <s v="2016"/>
    <m/>
    <m/>
    <m/>
    <m/>
    <m/>
  </r>
  <r>
    <s v="1 -Charges fixes"/>
    <x v="0"/>
    <m/>
    <s v="Electricité cabinet - aout 2016"/>
    <s v="EDF"/>
    <m/>
    <n v="243.54"/>
    <n v="243.54"/>
    <n v="243.54"/>
    <m/>
    <s v="ENGAGE A CE JOUR"/>
    <d v="2016-08-01T00:00:00"/>
    <x v="1"/>
    <x v="8"/>
    <s v="2016"/>
    <m/>
    <m/>
    <m/>
    <m/>
    <m/>
  </r>
  <r>
    <s v="1 -Charges fixes"/>
    <x v="0"/>
    <m/>
    <s v="Electricité cabinet - septembre 2016"/>
    <s v="EDF"/>
    <m/>
    <n v="243.54"/>
    <n v="243.54"/>
    <n v="243.54"/>
    <m/>
    <s v="ENGAGE A CE JOUR"/>
    <d v="2016-09-01T00:00:00"/>
    <x v="1"/>
    <x v="9"/>
    <s v="2016"/>
    <m/>
    <m/>
    <m/>
    <m/>
    <m/>
  </r>
  <r>
    <s v="1 -Charges fixes"/>
    <x v="0"/>
    <m/>
    <s v="Electricité cabinet - ocotbre 2016"/>
    <s v="EDF"/>
    <m/>
    <n v="243.54"/>
    <n v="243.54"/>
    <n v="243.54"/>
    <m/>
    <s v="ENGAGE A CE JOUR"/>
    <d v="2016-10-01T00:00:00"/>
    <x v="1"/>
    <x v="10"/>
    <s v="2016"/>
    <m/>
    <m/>
    <m/>
    <m/>
    <m/>
  </r>
  <r>
    <s v="1 -Charges fixes"/>
    <x v="0"/>
    <m/>
    <s v="Electricité cabinet - novembre 2016"/>
    <s v="EDF"/>
    <m/>
    <n v="243.54"/>
    <n v="243.54"/>
    <n v="243.54"/>
    <m/>
    <s v="ENGAGE A CE JOUR"/>
    <d v="2016-11-01T00:00:00"/>
    <x v="1"/>
    <x v="11"/>
    <s v="2016"/>
    <m/>
    <m/>
    <m/>
    <m/>
    <m/>
  </r>
  <r>
    <s v="1 -Charges fixes"/>
    <x v="0"/>
    <m/>
    <s v="Electricité cabinet - decembre 2016"/>
    <s v="EDF"/>
    <m/>
    <n v="243.54"/>
    <n v="243.54"/>
    <n v="243.54"/>
    <m/>
    <s v="ENGAGE A CE JOUR"/>
    <d v="2016-12-01T00:00:00"/>
    <x v="1"/>
    <x v="12"/>
    <s v="2016"/>
    <m/>
    <m/>
    <m/>
    <m/>
    <m/>
  </r>
  <r>
    <s v="1 -Charges fixes"/>
    <x v="1"/>
    <m/>
    <m/>
    <m/>
    <n v="6578.4000000000005"/>
    <m/>
    <m/>
    <m/>
    <m/>
    <m/>
    <m/>
    <x v="0"/>
    <x v="0"/>
    <m/>
    <m/>
    <m/>
    <m/>
    <m/>
    <m/>
  </r>
  <r>
    <s v="1 -Charges fixes"/>
    <x v="1"/>
    <m/>
    <s v="Assurance cabinet - janvier 2016"/>
    <s v="MACSF"/>
    <m/>
    <n v="542.19000000000005"/>
    <n v="548.20000000000005"/>
    <n v="548.20000000000005"/>
    <s v="DECAISSE A CE JOUR"/>
    <m/>
    <d v="2016-01-04T00:00:00"/>
    <x v="1"/>
    <x v="1"/>
    <s v="2016"/>
    <m/>
    <m/>
    <m/>
    <m/>
    <m/>
  </r>
  <r>
    <s v="1 -Charges fixes"/>
    <x v="1"/>
    <m/>
    <s v="Assurance cabinet - février 2016"/>
    <s v="MACSF"/>
    <m/>
    <n v="542.19000000000005"/>
    <n v="548.20000000000005"/>
    <n v="548.20000000000005"/>
    <s v="DECAISSE A CE JOUR"/>
    <m/>
    <d v="2016-02-04T00:00:00"/>
    <x v="1"/>
    <x v="2"/>
    <s v="2016"/>
    <m/>
    <m/>
    <m/>
    <m/>
    <m/>
  </r>
  <r>
    <s v="1 -Charges fixes"/>
    <x v="1"/>
    <m/>
    <s v="Assurance cabinet - mars 2016"/>
    <s v="MACSF"/>
    <m/>
    <n v="542.19000000000005"/>
    <n v="548.20000000000005"/>
    <n v="548.20000000000005"/>
    <s v="DECAISSE A CE JOUR"/>
    <m/>
    <d v="2016-03-04T00:00:00"/>
    <x v="1"/>
    <x v="3"/>
    <s v="2016"/>
    <m/>
    <m/>
    <m/>
    <m/>
    <m/>
  </r>
  <r>
    <s v="1 -Charges fixes"/>
    <x v="1"/>
    <m/>
    <s v="Assurance cabinet - avril 2016"/>
    <s v="AXA"/>
    <m/>
    <n v="542.19000000000005"/>
    <n v="542.19000000000005"/>
    <n v="542.19000000000005"/>
    <m/>
    <s v="ENGAGE A CE JOUR"/>
    <d v="2016-04-04T00:00:00"/>
    <x v="2"/>
    <x v="13"/>
    <s v="2016"/>
    <m/>
    <m/>
    <m/>
    <m/>
    <m/>
  </r>
  <r>
    <s v="1 -Charges fixes"/>
    <x v="1"/>
    <m/>
    <s v="Assurance cabinet - mai 2016"/>
    <s v="AXA"/>
    <m/>
    <n v="542.19000000000005"/>
    <n v="542.19000000000005"/>
    <n v="542.19000000000005"/>
    <m/>
    <s v="ENGAGE A CE JOUR"/>
    <d v="2016-05-04T00:00:00"/>
    <x v="2"/>
    <x v="14"/>
    <s v="2016"/>
    <m/>
    <m/>
    <m/>
    <m/>
    <m/>
  </r>
  <r>
    <s v="1 -Charges fixes"/>
    <x v="1"/>
    <m/>
    <s v="Assurance cabinet - juin 2016"/>
    <s v="AXA"/>
    <m/>
    <n v="542.19000000000005"/>
    <n v="542.19000000000005"/>
    <n v="542.19000000000005"/>
    <m/>
    <s v="ENGAGE A CE JOUR"/>
    <d v="2016-06-04T00:00:00"/>
    <x v="2"/>
    <x v="6"/>
    <s v="2016"/>
    <m/>
    <m/>
    <m/>
    <m/>
    <m/>
  </r>
  <r>
    <s v="1 -Charges fixes"/>
    <x v="1"/>
    <m/>
    <s v="Assurance cabinet - juillet 2016"/>
    <s v="AXA"/>
    <m/>
    <n v="542.19000000000005"/>
    <n v="542.19000000000005"/>
    <n v="542.19000000000005"/>
    <m/>
    <s v="ENGAGE A CE JOUR"/>
    <d v="2016-07-04T00:00:00"/>
    <x v="2"/>
    <x v="15"/>
    <s v="2016"/>
    <m/>
    <m/>
    <m/>
    <m/>
    <m/>
  </r>
  <r>
    <s v="1 -Charges fixes"/>
    <x v="1"/>
    <m/>
    <s v="Assurance cabinet - aout 2016"/>
    <s v="AXA"/>
    <m/>
    <n v="542.19000000000005"/>
    <n v="542.19000000000005"/>
    <n v="542.19000000000005"/>
    <m/>
    <s v="ENGAGE A CE JOUR"/>
    <d v="2016-08-04T00:00:00"/>
    <x v="2"/>
    <x v="8"/>
    <s v="2016"/>
    <m/>
    <m/>
    <m/>
    <m/>
    <m/>
  </r>
  <r>
    <s v="1 -Charges fixes"/>
    <x v="1"/>
    <m/>
    <s v="Assurance cabinet - septembre 2016"/>
    <s v="AXA"/>
    <m/>
    <n v="542.19000000000005"/>
    <n v="542.19000000000005"/>
    <n v="542.19000000000005"/>
    <m/>
    <s v="ENGAGE A CE JOUR"/>
    <d v="2016-09-04T00:00:00"/>
    <x v="2"/>
    <x v="9"/>
    <s v="2016"/>
    <m/>
    <m/>
    <m/>
    <m/>
    <m/>
  </r>
  <r>
    <s v="1 -Charges fixes"/>
    <x v="1"/>
    <m/>
    <s v="Assurance cabinet - octobre 2016"/>
    <s v="AXA"/>
    <m/>
    <n v="542.19000000000005"/>
    <n v="542.19000000000005"/>
    <n v="542.19000000000005"/>
    <m/>
    <s v="ENGAGE A CE JOUR"/>
    <d v="2016-10-04T00:00:00"/>
    <x v="2"/>
    <x v="16"/>
    <s v="2016"/>
    <m/>
    <m/>
    <m/>
    <m/>
    <m/>
  </r>
  <r>
    <s v="1 -Charges fixes"/>
    <x v="1"/>
    <m/>
    <s v="Assurance cabinet - novembre 2016"/>
    <s v="AXA"/>
    <m/>
    <n v="542.19000000000005"/>
    <n v="542.19000000000005"/>
    <n v="542.19000000000005"/>
    <m/>
    <s v="ENGAGE A CE JOUR"/>
    <d v="2016-11-04T00:00:00"/>
    <x v="2"/>
    <x v="11"/>
    <s v="2016"/>
    <m/>
    <m/>
    <m/>
    <m/>
    <m/>
  </r>
  <r>
    <s v="1 -Charges fixes"/>
    <x v="1"/>
    <m/>
    <s v="Assurance cabinet - decembre 2016"/>
    <s v="AXA"/>
    <m/>
    <n v="542.19000000000005"/>
    <n v="542.19000000000005"/>
    <n v="542.19000000000005"/>
    <m/>
    <s v="ENGAGE A CE JOUR"/>
    <d v="2016-12-04T00:00:00"/>
    <x v="2"/>
    <x v="12"/>
    <s v="2016"/>
    <m/>
    <m/>
    <m/>
    <m/>
    <m/>
  </r>
  <r>
    <s v="1 -Charges fixes"/>
    <x v="2"/>
    <m/>
    <m/>
    <m/>
    <n v="1800"/>
    <m/>
    <m/>
    <m/>
    <m/>
    <m/>
    <m/>
    <x v="0"/>
    <x v="0"/>
    <m/>
    <m/>
    <m/>
    <m/>
    <m/>
    <m/>
  </r>
  <r>
    <s v="1 -Charges fixes"/>
    <x v="2"/>
    <m/>
    <s v="Parking - janvier 2016"/>
    <s v="PARKING"/>
    <m/>
    <n v="150"/>
    <n v="150"/>
    <n v="150"/>
    <s v="DECAISSE A CE JOUR"/>
    <m/>
    <d v="2016-01-04T00:00:00"/>
    <x v="3"/>
    <x v="1"/>
    <s v="2016"/>
    <m/>
    <m/>
    <m/>
    <m/>
    <m/>
  </r>
  <r>
    <s v="1 -Charges fixes"/>
    <x v="2"/>
    <m/>
    <s v="Parking - février 2016"/>
    <s v="PARKING"/>
    <m/>
    <n v="150"/>
    <n v="150"/>
    <n v="150"/>
    <s v="DECAISSE A CE JOUR"/>
    <m/>
    <d v="2016-02-04T00:00:00"/>
    <x v="3"/>
    <x v="2"/>
    <s v="2016"/>
    <m/>
    <m/>
    <m/>
    <m/>
    <m/>
  </r>
  <r>
    <s v="1 -Charges fixes"/>
    <x v="2"/>
    <m/>
    <s v="Parking - mars 2016"/>
    <s v="PARKING"/>
    <m/>
    <n v="150"/>
    <n v="150"/>
    <n v="150"/>
    <s v="DECAISSE A CE JOUR"/>
    <m/>
    <d v="2016-03-04T00:00:00"/>
    <x v="3"/>
    <x v="3"/>
    <s v="2016"/>
    <m/>
    <m/>
    <m/>
    <m/>
    <m/>
  </r>
  <r>
    <s v="1 -Charges fixes"/>
    <x v="2"/>
    <m/>
    <s v="Parking - avril 2016"/>
    <s v="PARKING"/>
    <m/>
    <n v="150"/>
    <n v="150"/>
    <n v="150"/>
    <m/>
    <s v="ENGAGE A CE JOUR"/>
    <d v="2016-04-04T00:00:00"/>
    <x v="3"/>
    <x v="13"/>
    <s v="2016"/>
    <m/>
    <m/>
    <m/>
    <m/>
    <m/>
  </r>
  <r>
    <s v="1 -Charges fixes"/>
    <x v="2"/>
    <m/>
    <s v="Parking - mai 2016"/>
    <s v="PARKING"/>
    <m/>
    <n v="150"/>
    <n v="150"/>
    <n v="150"/>
    <m/>
    <s v="ENGAGE A CE JOUR"/>
    <d v="2016-05-04T00:00:00"/>
    <x v="3"/>
    <x v="14"/>
    <s v="2016"/>
    <m/>
    <m/>
    <m/>
    <m/>
    <m/>
  </r>
  <r>
    <s v="1 -Charges fixes"/>
    <x v="2"/>
    <m/>
    <s v="Parkingt - juin 2016"/>
    <s v="PARKING"/>
    <m/>
    <n v="150"/>
    <n v="150"/>
    <n v="150"/>
    <m/>
    <s v="ENGAGE A CE JOUR"/>
    <d v="2016-06-04T00:00:00"/>
    <x v="3"/>
    <x v="6"/>
    <s v="2016"/>
    <m/>
    <m/>
    <m/>
    <m/>
    <m/>
  </r>
  <r>
    <s v="1 -Charges fixes"/>
    <x v="2"/>
    <m/>
    <s v="Parking - juillet 2016"/>
    <s v="PARKING"/>
    <m/>
    <n v="150"/>
    <n v="150"/>
    <n v="150"/>
    <m/>
    <s v="ENGAGE A CE JOUR"/>
    <d v="2016-07-04T00:00:00"/>
    <x v="3"/>
    <x v="15"/>
    <s v="2016"/>
    <m/>
    <m/>
    <m/>
    <m/>
    <m/>
  </r>
  <r>
    <s v="1 -Charges fixes"/>
    <x v="2"/>
    <m/>
    <s v="Parking - aout 2016"/>
    <s v="PARKING"/>
    <m/>
    <n v="150"/>
    <n v="150"/>
    <n v="150"/>
    <m/>
    <s v="ENGAGE A CE JOUR"/>
    <d v="2016-08-04T00:00:00"/>
    <x v="3"/>
    <x v="8"/>
    <s v="2016"/>
    <m/>
    <m/>
    <m/>
    <m/>
    <m/>
  </r>
  <r>
    <s v="1 -Charges fixes"/>
    <x v="2"/>
    <m/>
    <s v="Parking - septembre 2016"/>
    <s v="PARKING"/>
    <m/>
    <n v="150"/>
    <n v="150"/>
    <n v="150"/>
    <m/>
    <s v="ENGAGE A CE JOUR"/>
    <d v="2016-09-04T00:00:00"/>
    <x v="3"/>
    <x v="9"/>
    <s v="2016"/>
    <m/>
    <m/>
    <m/>
    <m/>
    <m/>
  </r>
  <r>
    <s v="1 -Charges fixes"/>
    <x v="2"/>
    <m/>
    <s v="Parking - octobre 2016"/>
    <s v="PARKING"/>
    <m/>
    <n v="150"/>
    <n v="150"/>
    <n v="150"/>
    <m/>
    <s v="ENGAGE A CE JOUR"/>
    <d v="2016-10-04T00:00:00"/>
    <x v="3"/>
    <x v="16"/>
    <s v="2016"/>
    <m/>
    <m/>
    <m/>
    <m/>
    <m/>
  </r>
  <r>
    <s v="1 -Charges fixes"/>
    <x v="2"/>
    <m/>
    <s v="Parking - novembre 2016"/>
    <s v="PARKING"/>
    <m/>
    <n v="150"/>
    <n v="150"/>
    <n v="150"/>
    <m/>
    <s v="ENGAGE A CE JOUR"/>
    <d v="2016-11-04T00:00:00"/>
    <x v="3"/>
    <x v="11"/>
    <s v="2016"/>
    <m/>
    <m/>
    <m/>
    <m/>
    <m/>
  </r>
  <r>
    <s v="1 -Charges fixes"/>
    <x v="2"/>
    <m/>
    <s v="Parking - decembre 2016"/>
    <s v="PARKING"/>
    <m/>
    <n v="150"/>
    <n v="150"/>
    <n v="150"/>
    <m/>
    <s v="ENGAGE A CE JOUR"/>
    <d v="2016-12-04T00:00:00"/>
    <x v="3"/>
    <x v="12"/>
    <s v="2016"/>
    <m/>
    <m/>
    <m/>
    <m/>
    <m/>
  </r>
  <r>
    <s v="1 -Charges fixes"/>
    <x v="3"/>
    <m/>
    <m/>
    <m/>
    <n v="574.79999999999995"/>
    <m/>
    <m/>
    <m/>
    <m/>
    <m/>
    <m/>
    <x v="0"/>
    <x v="0"/>
    <m/>
    <m/>
    <m/>
    <m/>
    <m/>
    <m/>
  </r>
  <r>
    <s v="1 -Charges fixes"/>
    <x v="3"/>
    <m/>
    <s v="Canal + abt 1 - janvier 2016"/>
    <s v="CANAL +"/>
    <m/>
    <n v="39.9"/>
    <n v="39.9"/>
    <n v="39.9"/>
    <s v="DECAISSE A CE JOUR"/>
    <m/>
    <d v="2016-01-04T00:00:00"/>
    <x v="1"/>
    <x v="1"/>
    <s v="2016"/>
    <m/>
    <m/>
    <m/>
    <m/>
    <m/>
  </r>
  <r>
    <s v="1 -Charges fixes"/>
    <x v="3"/>
    <m/>
    <s v="Canal + abt 1 - février 2016"/>
    <s v="CANAL +"/>
    <m/>
    <n v="39.9"/>
    <n v="39.9"/>
    <n v="39.9"/>
    <s v="DECAISSE A CE JOUR"/>
    <m/>
    <d v="2016-02-04T00:00:00"/>
    <x v="1"/>
    <x v="2"/>
    <s v="2016"/>
    <m/>
    <m/>
    <m/>
    <m/>
    <m/>
  </r>
  <r>
    <s v="1 -Charges fixes"/>
    <x v="3"/>
    <m/>
    <s v="Canal + abt 1 - mars 2016"/>
    <s v="CANAL +"/>
    <m/>
    <n v="39.9"/>
    <n v="39.9"/>
    <n v="39.9"/>
    <s v="DECAISSE A CE JOUR"/>
    <m/>
    <d v="2016-03-04T00:00:00"/>
    <x v="1"/>
    <x v="3"/>
    <s v="2016"/>
    <m/>
    <m/>
    <m/>
    <m/>
    <m/>
  </r>
  <r>
    <s v="1 -Charges fixes"/>
    <x v="3"/>
    <m/>
    <s v="Canal + abt 1 - avril 2016"/>
    <s v="CANAL +"/>
    <m/>
    <n v="39.9"/>
    <n v="39.9"/>
    <n v="39.9"/>
    <m/>
    <s v="ENGAGE A CE JOUR"/>
    <d v="2016-04-04T00:00:00"/>
    <x v="1"/>
    <x v="13"/>
    <s v="2016"/>
    <m/>
    <m/>
    <m/>
    <m/>
    <m/>
  </r>
  <r>
    <s v="1 -Charges fixes"/>
    <x v="3"/>
    <m/>
    <s v="Canal + abt 1 - mai 2016"/>
    <s v="CANAL +"/>
    <m/>
    <n v="39.9"/>
    <n v="39.9"/>
    <n v="39.9"/>
    <m/>
    <s v="ENGAGE A CE JOUR"/>
    <d v="2016-05-04T00:00:00"/>
    <x v="1"/>
    <x v="14"/>
    <s v="2016"/>
    <m/>
    <m/>
    <m/>
    <m/>
    <m/>
  </r>
  <r>
    <s v="1 -Charges fixes"/>
    <x v="3"/>
    <m/>
    <s v="Canal + abt 1 - juin 2016"/>
    <s v="CANAL +"/>
    <m/>
    <n v="39.9"/>
    <n v="39.9"/>
    <n v="39.9"/>
    <m/>
    <s v="ENGAGE A CE JOUR"/>
    <d v="2016-06-04T00:00:00"/>
    <x v="1"/>
    <x v="6"/>
    <s v="2016"/>
    <m/>
    <m/>
    <m/>
    <m/>
    <m/>
  </r>
  <r>
    <s v="1 -Charges fixes"/>
    <x v="3"/>
    <m/>
    <s v="Canal + abt 1 - juillet 2016"/>
    <s v="CANAL +"/>
    <m/>
    <n v="39.9"/>
    <n v="39.9"/>
    <n v="39.9"/>
    <m/>
    <s v="ENGAGE A CE JOUR"/>
    <d v="2016-07-04T00:00:00"/>
    <x v="1"/>
    <x v="15"/>
    <s v="2016"/>
    <m/>
    <m/>
    <m/>
    <m/>
    <m/>
  </r>
  <r>
    <s v="1 -Charges fixes"/>
    <x v="3"/>
    <m/>
    <s v="Canal + abt 1 - aout 2016"/>
    <s v="CANAL +"/>
    <m/>
    <n v="39.9"/>
    <n v="39.9"/>
    <n v="39.9"/>
    <m/>
    <s v="ENGAGE A CE JOUR"/>
    <d v="2016-08-04T00:00:00"/>
    <x v="1"/>
    <x v="8"/>
    <s v="2016"/>
    <m/>
    <m/>
    <m/>
    <m/>
    <m/>
  </r>
  <r>
    <s v="1 -Charges fixes"/>
    <x v="3"/>
    <m/>
    <s v="Canal + abt 1 - septembre 2016"/>
    <s v="CANAL +"/>
    <m/>
    <n v="39.9"/>
    <n v="39.9"/>
    <n v="39.9"/>
    <m/>
    <s v="ENGAGE A CE JOUR"/>
    <d v="2016-09-04T00:00:00"/>
    <x v="1"/>
    <x v="9"/>
    <s v="2016"/>
    <m/>
    <m/>
    <m/>
    <m/>
    <m/>
  </r>
  <r>
    <s v="1 -Charges fixes"/>
    <x v="3"/>
    <m/>
    <s v="Canal + abt 1 - octobre 2016"/>
    <s v="CANAL +"/>
    <m/>
    <n v="39.9"/>
    <n v="39.9"/>
    <n v="39.9"/>
    <m/>
    <s v="ENGAGE A CE JOUR"/>
    <d v="2016-10-04T00:00:00"/>
    <x v="1"/>
    <x v="16"/>
    <s v="2016"/>
    <m/>
    <m/>
    <m/>
    <m/>
    <m/>
  </r>
  <r>
    <s v="1 -Charges fixes"/>
    <x v="3"/>
    <m/>
    <s v="Canal + abt 1 - novembre 2016"/>
    <s v="CANAL +"/>
    <m/>
    <n v="39.9"/>
    <n v="39.9"/>
    <n v="39.9"/>
    <m/>
    <s v="ENGAGE A CE JOUR"/>
    <d v="2016-11-04T00:00:00"/>
    <x v="1"/>
    <x v="11"/>
    <s v="2016"/>
    <m/>
    <m/>
    <m/>
    <m/>
    <m/>
  </r>
  <r>
    <s v="1 -Charges fixes"/>
    <x v="3"/>
    <m/>
    <s v="Canal + abt 1 - decembre 2016"/>
    <s v="CANAL +"/>
    <m/>
    <n v="39.9"/>
    <n v="39.9"/>
    <n v="39.9"/>
    <m/>
    <s v="ENGAGE A CE JOUR"/>
    <d v="2016-12-04T00:00:00"/>
    <x v="1"/>
    <x v="12"/>
    <s v="2016"/>
    <m/>
    <m/>
    <m/>
    <m/>
    <m/>
  </r>
  <r>
    <s v="1 -Charges fixes"/>
    <x v="3"/>
    <m/>
    <s v="Canal + abt 2 - janvier 2016"/>
    <s v="CANAL +"/>
    <m/>
    <n v="8"/>
    <n v="8"/>
    <n v="8"/>
    <s v="DECAISSE A CE JOUR"/>
    <m/>
    <d v="2016-01-04T00:00:00"/>
    <x v="1"/>
    <x v="1"/>
    <s v="2016"/>
    <m/>
    <m/>
    <m/>
    <m/>
    <m/>
  </r>
  <r>
    <s v="1 -Charges fixes"/>
    <x v="3"/>
    <m/>
    <s v="Canal + abt 2 - février 2016"/>
    <s v="CANAL +"/>
    <m/>
    <n v="8"/>
    <n v="8"/>
    <n v="8"/>
    <s v="DECAISSE A CE JOUR"/>
    <m/>
    <d v="2016-02-04T00:00:00"/>
    <x v="1"/>
    <x v="2"/>
    <s v="2016"/>
    <m/>
    <m/>
    <m/>
    <m/>
    <m/>
  </r>
  <r>
    <s v="1 -Charges fixes"/>
    <x v="3"/>
    <m/>
    <s v="Canal + abt 2 - mars 2016"/>
    <s v="CANAL +"/>
    <m/>
    <n v="8"/>
    <n v="8"/>
    <n v="8"/>
    <s v="DECAISSE A CE JOUR"/>
    <m/>
    <d v="2016-03-04T00:00:00"/>
    <x v="1"/>
    <x v="3"/>
    <s v="2016"/>
    <m/>
    <m/>
    <m/>
    <m/>
    <m/>
  </r>
  <r>
    <s v="1 -Charges fixes"/>
    <x v="3"/>
    <m/>
    <s v="Canal + abt 2 - avril 2016"/>
    <s v="CANAL +"/>
    <m/>
    <n v="8"/>
    <n v="8"/>
    <n v="8"/>
    <m/>
    <s v="ENGAGE A CE JOUR"/>
    <d v="2016-04-04T00:00:00"/>
    <x v="1"/>
    <x v="13"/>
    <s v="2016"/>
    <m/>
    <m/>
    <m/>
    <m/>
    <m/>
  </r>
  <r>
    <s v="1 -Charges fixes"/>
    <x v="3"/>
    <m/>
    <s v="Canal + abt 2 - mai 2016"/>
    <s v="CANAL +"/>
    <m/>
    <n v="8"/>
    <n v="8"/>
    <n v="8"/>
    <m/>
    <s v="ENGAGE A CE JOUR"/>
    <d v="2016-05-04T00:00:00"/>
    <x v="1"/>
    <x v="14"/>
    <s v="2016"/>
    <m/>
    <m/>
    <m/>
    <m/>
    <m/>
  </r>
  <r>
    <s v="1 -Charges fixes"/>
    <x v="3"/>
    <m/>
    <s v="Canal + abt 2 - juin 2016"/>
    <s v="CANAL +"/>
    <m/>
    <n v="8"/>
    <n v="8"/>
    <n v="8"/>
    <m/>
    <s v="ENGAGE A CE JOUR"/>
    <d v="2016-06-04T00:00:00"/>
    <x v="1"/>
    <x v="6"/>
    <s v="2016"/>
    <m/>
    <m/>
    <m/>
    <m/>
    <m/>
  </r>
  <r>
    <s v="1 -Charges fixes"/>
    <x v="3"/>
    <m/>
    <s v="Canal + abt 2 - juillet 2016"/>
    <s v="CANAL +"/>
    <m/>
    <n v="8"/>
    <n v="8"/>
    <n v="8"/>
    <m/>
    <s v="ENGAGE A CE JOUR"/>
    <d v="2016-07-04T00:00:00"/>
    <x v="1"/>
    <x v="15"/>
    <s v="2016"/>
    <m/>
    <m/>
    <m/>
    <m/>
    <m/>
  </r>
  <r>
    <s v="1 -Charges fixes"/>
    <x v="3"/>
    <m/>
    <s v="Canal + abt 2 - aout 2016"/>
    <s v="CANAL +"/>
    <m/>
    <n v="8"/>
    <n v="8"/>
    <n v="8"/>
    <m/>
    <s v="ENGAGE A CE JOUR"/>
    <d v="2016-08-04T00:00:00"/>
    <x v="1"/>
    <x v="8"/>
    <s v="2016"/>
    <m/>
    <m/>
    <m/>
    <m/>
    <m/>
  </r>
  <r>
    <s v="1 -Charges fixes"/>
    <x v="3"/>
    <m/>
    <s v="Canal + abt 2 - septembre 2016"/>
    <s v="CANAL +"/>
    <m/>
    <n v="8"/>
    <n v="8"/>
    <n v="8"/>
    <m/>
    <s v="ENGAGE A CE JOUR"/>
    <d v="2016-09-04T00:00:00"/>
    <x v="1"/>
    <x v="9"/>
    <s v="2016"/>
    <m/>
    <m/>
    <m/>
    <m/>
    <m/>
  </r>
  <r>
    <s v="1 -Charges fixes"/>
    <x v="3"/>
    <m/>
    <s v="Canal + abt 2 - octobre 2016"/>
    <s v="CANAL +"/>
    <m/>
    <n v="8"/>
    <n v="8"/>
    <n v="8"/>
    <m/>
    <s v="ENGAGE A CE JOUR"/>
    <d v="2016-10-04T00:00:00"/>
    <x v="1"/>
    <x v="16"/>
    <s v="2016"/>
    <m/>
    <m/>
    <m/>
    <m/>
    <m/>
  </r>
  <r>
    <s v="1 -Charges fixes"/>
    <x v="3"/>
    <m/>
    <s v="Canal + abt 2 - novembre 2016"/>
    <s v="CANAL +"/>
    <m/>
    <n v="8"/>
    <n v="8"/>
    <n v="8"/>
    <m/>
    <s v="ENGAGE A CE JOUR"/>
    <d v="2016-11-04T00:00:00"/>
    <x v="1"/>
    <x v="11"/>
    <s v="2016"/>
    <m/>
    <m/>
    <m/>
    <m/>
    <m/>
  </r>
  <r>
    <s v="1 -Charges fixes"/>
    <x v="3"/>
    <m/>
    <s v="Canal + abt 2 - decembre 2016"/>
    <s v="CANAL +"/>
    <m/>
    <n v="8"/>
    <n v="8"/>
    <e v="#REF!"/>
    <m/>
    <s v="ENGAGE A CE JOUR"/>
    <d v="2016-12-04T00:00:00"/>
    <x v="1"/>
    <x v="12"/>
    <s v="2016"/>
    <m/>
    <m/>
    <m/>
    <m/>
    <m/>
  </r>
  <r>
    <s v="1 -Charges fixes"/>
    <x v="4"/>
    <m/>
    <m/>
    <m/>
    <n v="5368"/>
    <m/>
    <m/>
    <m/>
    <m/>
    <m/>
    <m/>
    <x v="0"/>
    <x v="0"/>
    <m/>
    <m/>
    <m/>
    <m/>
    <m/>
    <m/>
  </r>
  <r>
    <s v="1 -Charges fixes"/>
    <x v="4"/>
    <m/>
    <s v="Marcus Abecassis - chirurgien dentiste - février 2016"/>
    <s v="URSSAF"/>
    <m/>
    <n v="1389"/>
    <n v="1389"/>
    <n v="1389"/>
    <s v="DECAISSE A CE JOUR"/>
    <m/>
    <d v="2016-02-05T00:00:00"/>
    <x v="1"/>
    <x v="2"/>
    <s v="2016"/>
    <m/>
    <m/>
    <d v="2016-01-01T00:00:00"/>
    <m/>
    <n v="1389"/>
  </r>
  <r>
    <s v="1 -Charges fixes"/>
    <x v="4"/>
    <m/>
    <s v="Marcus Abecassis - chirurgien dentiste - mai 2016"/>
    <s v="URSSAF"/>
    <m/>
    <n v="1389"/>
    <n v="1389"/>
    <n v="1389"/>
    <m/>
    <s v="ENGAGE A CE JOUR"/>
    <d v="2016-05-05T00:00:00"/>
    <x v="0"/>
    <x v="14"/>
    <s v="2016"/>
    <m/>
    <m/>
    <d v="2016-04-01T00:00:00"/>
    <m/>
    <n v="1389"/>
  </r>
  <r>
    <s v="1 -Charges fixes"/>
    <x v="4"/>
    <m/>
    <s v="Marcus Abecassis - chirurgien dentiste - aout 2016"/>
    <s v="URSSAF"/>
    <m/>
    <n v="1389"/>
    <n v="1389"/>
    <n v="1389"/>
    <m/>
    <s v="ENGAGE A CE JOUR"/>
    <d v="2016-08-05T00:00:00"/>
    <x v="0"/>
    <x v="8"/>
    <s v="2016"/>
    <m/>
    <m/>
    <d v="2016-07-01T00:00:00"/>
    <m/>
    <n v="1389"/>
  </r>
  <r>
    <s v="1 -Charges fixes"/>
    <x v="4"/>
    <m/>
    <s v="Marcus Abecassis - chirurgien dentiste - novembre 2016"/>
    <s v="URSSAF"/>
    <m/>
    <n v="1389"/>
    <n v="1389"/>
    <n v="1389"/>
    <m/>
    <s v="ENGAGE A CE JOUR"/>
    <d v="2016-11-05T00:00:00"/>
    <x v="0"/>
    <x v="11"/>
    <s v="2016"/>
    <m/>
    <m/>
    <d v="2016-10-01T00:00:00"/>
    <m/>
    <n v="1389"/>
  </r>
  <r>
    <s v="1 -Charges fixes"/>
    <x v="5"/>
    <m/>
    <m/>
    <m/>
    <n v="1237.08"/>
    <m/>
    <m/>
    <m/>
    <m/>
    <m/>
    <m/>
    <x v="0"/>
    <x v="0"/>
    <m/>
    <m/>
    <m/>
    <m/>
    <m/>
    <m/>
  </r>
  <r>
    <s v="1 -Charges fixes"/>
    <x v="5"/>
    <m/>
    <s v="Assurance locaux - janvier 2016"/>
    <s v="ALLIANZ"/>
    <m/>
    <n v="103.09"/>
    <n v="103.09"/>
    <n v="103.09"/>
    <s v="DECAISSE A CE JOUR"/>
    <m/>
    <d v="2016-01-08T00:00:00"/>
    <x v="1"/>
    <x v="1"/>
    <s v="2016"/>
    <m/>
    <m/>
    <m/>
    <m/>
    <m/>
  </r>
  <r>
    <s v="1 -Charges fixes"/>
    <x v="5"/>
    <m/>
    <s v="Assurance locaux - février 2016"/>
    <s v="ALLIANZ"/>
    <m/>
    <n v="103.09"/>
    <n v="103.09"/>
    <n v="103.09"/>
    <s v="DECAISSE A CE JOUR"/>
    <m/>
    <d v="2016-02-08T00:00:00"/>
    <x v="1"/>
    <x v="17"/>
    <s v="2016"/>
    <m/>
    <m/>
    <m/>
    <m/>
    <m/>
  </r>
  <r>
    <s v="1 -Charges fixes"/>
    <x v="5"/>
    <m/>
    <s v="Assurance locaux - mars 2016"/>
    <s v="ALLIANZ"/>
    <m/>
    <n v="103.09"/>
    <n v="103.09"/>
    <n v="103.09"/>
    <s v="DECAISSE A CE JOUR"/>
    <m/>
    <d v="2016-03-08T00:00:00"/>
    <x v="1"/>
    <x v="18"/>
    <s v="2016"/>
    <m/>
    <m/>
    <m/>
    <m/>
    <m/>
  </r>
  <r>
    <s v="1 -Charges fixes"/>
    <x v="5"/>
    <m/>
    <s v="Assurance locaux - avril 2016"/>
    <s v="ALLIANZ"/>
    <m/>
    <n v="103.09"/>
    <n v="103.09"/>
    <n v="103.09"/>
    <m/>
    <s v="ENGAGE A CE JOUR"/>
    <d v="2016-04-08T00:00:00"/>
    <x v="1"/>
    <x v="13"/>
    <s v="2016"/>
    <m/>
    <m/>
    <m/>
    <m/>
    <m/>
  </r>
  <r>
    <s v="1 -Charges fixes"/>
    <x v="5"/>
    <m/>
    <s v="Assurance locaux - mai 2016"/>
    <s v="ALLIANZ"/>
    <m/>
    <n v="103.09"/>
    <n v="103.09"/>
    <n v="103.09"/>
    <m/>
    <s v="ENGAGE A CE JOUR"/>
    <d v="2016-05-08T00:00:00"/>
    <x v="1"/>
    <x v="14"/>
    <s v="2016"/>
    <m/>
    <m/>
    <m/>
    <m/>
    <m/>
  </r>
  <r>
    <s v="1 -Charges fixes"/>
    <x v="5"/>
    <m/>
    <s v="Assurance locaux - juin 2016"/>
    <s v="ALLIANZ"/>
    <m/>
    <n v="103.09"/>
    <n v="103.09"/>
    <n v="103.09"/>
    <m/>
    <s v="ENGAGE A CE JOUR"/>
    <d v="2016-06-08T00:00:00"/>
    <x v="1"/>
    <x v="19"/>
    <s v="2016"/>
    <m/>
    <m/>
    <m/>
    <m/>
    <m/>
  </r>
  <r>
    <s v="1 -Charges fixes"/>
    <x v="5"/>
    <m/>
    <s v="Assurance locaux - juillet 2016"/>
    <s v="ALLIANZ"/>
    <m/>
    <n v="103.09"/>
    <n v="103.09"/>
    <n v="103.09"/>
    <m/>
    <s v="ENGAGE A CE JOUR"/>
    <d v="2016-07-08T00:00:00"/>
    <x v="1"/>
    <x v="15"/>
    <s v="2016"/>
    <m/>
    <m/>
    <m/>
    <m/>
    <m/>
  </r>
  <r>
    <s v="1 -Charges fixes"/>
    <x v="5"/>
    <m/>
    <s v="Assurance locaux - aout 2016"/>
    <s v="ALLIANZ"/>
    <m/>
    <n v="103.09"/>
    <n v="103.09"/>
    <n v="103.09"/>
    <m/>
    <s v="ENGAGE A CE JOUR"/>
    <d v="2016-08-08T00:00:00"/>
    <x v="1"/>
    <x v="20"/>
    <s v="2016"/>
    <m/>
    <m/>
    <m/>
    <m/>
    <m/>
  </r>
  <r>
    <s v="1 -Charges fixes"/>
    <x v="5"/>
    <m/>
    <s v="Assurance locaux - septembre 2016"/>
    <s v="ALLIANZ"/>
    <m/>
    <n v="103.09"/>
    <n v="103.09"/>
    <n v="103.09"/>
    <m/>
    <s v="ENGAGE A CE JOUR"/>
    <d v="2016-09-08T00:00:00"/>
    <x v="1"/>
    <x v="21"/>
    <s v="2016"/>
    <m/>
    <m/>
    <m/>
    <m/>
    <m/>
  </r>
  <r>
    <s v="1 -Charges fixes"/>
    <x v="5"/>
    <m/>
    <s v="Assurance locaux - octobre 2016"/>
    <s v="ALLIANZ"/>
    <m/>
    <n v="103.09"/>
    <n v="103.09"/>
    <n v="103.09"/>
    <m/>
    <s v="ENGAGE A CE JOUR"/>
    <d v="2016-10-08T00:00:00"/>
    <x v="1"/>
    <x v="16"/>
    <s v="2016"/>
    <m/>
    <m/>
    <m/>
    <m/>
    <m/>
  </r>
  <r>
    <s v="1 -Charges fixes"/>
    <x v="5"/>
    <m/>
    <s v="Assurance locaux - novembre 2016"/>
    <s v="ALLIANZ"/>
    <m/>
    <n v="103.09"/>
    <n v="103.09"/>
    <n v="103.09"/>
    <m/>
    <s v="ENGAGE A CE JOUR"/>
    <d v="2016-11-08T00:00:00"/>
    <x v="1"/>
    <x v="22"/>
    <s v="2016"/>
    <m/>
    <m/>
    <m/>
    <m/>
    <m/>
  </r>
  <r>
    <s v="1 -Charges fixes"/>
    <x v="5"/>
    <m/>
    <s v="Assurance locaux - décembre 2016"/>
    <s v="ALLIANZ"/>
    <m/>
    <n v="103.09"/>
    <n v="103.09"/>
    <n v="103.09"/>
    <m/>
    <s v="ENGAGE A CE JOUR"/>
    <d v="2016-12-08T00:00:00"/>
    <x v="1"/>
    <x v="23"/>
    <s v="2016"/>
    <m/>
    <m/>
    <m/>
    <m/>
    <m/>
  </r>
  <r>
    <s v="1 -Charges fixes"/>
    <x v="6"/>
    <m/>
    <m/>
    <m/>
    <n v="1595.76"/>
    <m/>
    <m/>
    <m/>
    <m/>
    <m/>
    <m/>
    <x v="0"/>
    <x v="0"/>
    <m/>
    <m/>
    <m/>
    <m/>
    <m/>
    <m/>
  </r>
  <r>
    <s v="1 -Charges fixes"/>
    <x v="6"/>
    <m/>
    <s v="Frais de téléphone - janvier 2016"/>
    <s v="FREE ADSL"/>
    <m/>
    <n v="100"/>
    <n v="131.12"/>
    <n v="131.12"/>
    <s v="DECAISSE A CE JOUR"/>
    <m/>
    <d v="2016-01-08T00:00:00"/>
    <x v="1"/>
    <x v="1"/>
    <s v="2016"/>
    <m/>
    <m/>
    <m/>
    <m/>
    <m/>
  </r>
  <r>
    <s v="1 -Charges fixes"/>
    <x v="6"/>
    <m/>
    <s v="Frais de téléphone - février 2016"/>
    <s v="FREE ADSL"/>
    <m/>
    <n v="100"/>
    <n v="85.83"/>
    <n v="85.83"/>
    <s v="DECAISSE A CE JOUR"/>
    <m/>
    <d v="2016-02-08T00:00:00"/>
    <x v="1"/>
    <x v="17"/>
    <s v="2016"/>
    <m/>
    <m/>
    <m/>
    <m/>
    <m/>
  </r>
  <r>
    <s v="1 -Charges fixes"/>
    <x v="6"/>
    <m/>
    <s v="Frais de téléphone - mars 2016"/>
    <s v="FREE ADSL"/>
    <m/>
    <n v="100"/>
    <n v="68.400000000000006"/>
    <n v="68.400000000000006"/>
    <s v="DECAISSE A CE JOUR"/>
    <m/>
    <d v="2016-03-08T00:00:00"/>
    <x v="1"/>
    <x v="18"/>
    <s v="2016"/>
    <m/>
    <m/>
    <m/>
    <m/>
    <m/>
  </r>
  <r>
    <s v="1 -Charges fixes"/>
    <x v="6"/>
    <m/>
    <s v="Frais de téléphone - avril 2016"/>
    <s v="FREE ADSL"/>
    <m/>
    <n v="100"/>
    <n v="100"/>
    <n v="100"/>
    <m/>
    <s v="ENGAGE A CE JOUR"/>
    <d v="2016-04-08T00:00:00"/>
    <x v="1"/>
    <x v="13"/>
    <s v="2016"/>
    <m/>
    <m/>
    <m/>
    <m/>
    <m/>
  </r>
  <r>
    <s v="1 -Charges fixes"/>
    <x v="6"/>
    <m/>
    <s v="Frais de téléphone - mai 2016"/>
    <s v="FREE ADSL"/>
    <m/>
    <n v="100"/>
    <n v="100"/>
    <n v="100"/>
    <m/>
    <s v="ENGAGE A CE JOUR"/>
    <d v="2016-05-08T00:00:00"/>
    <x v="1"/>
    <x v="14"/>
    <s v="2016"/>
    <m/>
    <m/>
    <m/>
    <m/>
    <m/>
  </r>
  <r>
    <s v="1 -Charges fixes"/>
    <x v="6"/>
    <m/>
    <s v="Frais de téléphone - juin 2016"/>
    <s v="FREE ADSL"/>
    <m/>
    <n v="100"/>
    <n v="100"/>
    <n v="100"/>
    <m/>
    <s v="ENGAGE A CE JOUR"/>
    <d v="2016-06-08T00:00:00"/>
    <x v="1"/>
    <x v="19"/>
    <s v="2016"/>
    <m/>
    <m/>
    <m/>
    <m/>
    <m/>
  </r>
  <r>
    <s v="1 -Charges fixes"/>
    <x v="6"/>
    <m/>
    <s v="Frais de téléphone - juillet 2016"/>
    <s v="FREE ADSL"/>
    <m/>
    <n v="100"/>
    <n v="100"/>
    <n v="100"/>
    <m/>
    <s v="ENGAGE A CE JOUR"/>
    <d v="2016-07-08T00:00:00"/>
    <x v="1"/>
    <x v="15"/>
    <s v="2016"/>
    <m/>
    <m/>
    <m/>
    <m/>
    <m/>
  </r>
  <r>
    <s v="1 -Charges fixes"/>
    <x v="6"/>
    <m/>
    <s v="Frais de téléphone - aout 2016"/>
    <s v="FREE ADSL"/>
    <m/>
    <n v="100"/>
    <n v="100"/>
    <n v="100"/>
    <m/>
    <s v="ENGAGE A CE JOUR"/>
    <d v="2016-08-08T00:00:00"/>
    <x v="1"/>
    <x v="20"/>
    <s v="2016"/>
    <m/>
    <m/>
    <m/>
    <m/>
    <m/>
  </r>
  <r>
    <s v="1 -Charges fixes"/>
    <x v="6"/>
    <m/>
    <s v="Frais de téléphone - septembre 2016"/>
    <s v="FREE ADSL"/>
    <m/>
    <n v="100"/>
    <n v="100"/>
    <n v="100"/>
    <m/>
    <s v="ENGAGE A CE JOUR"/>
    <d v="2016-09-08T00:00:00"/>
    <x v="1"/>
    <x v="21"/>
    <s v="2016"/>
    <m/>
    <m/>
    <m/>
    <m/>
    <m/>
  </r>
  <r>
    <s v="1 -Charges fixes"/>
    <x v="6"/>
    <m/>
    <s v="Frais de téléphone - octobre 2016"/>
    <s v="FREE ADSL"/>
    <m/>
    <n v="100"/>
    <n v="100"/>
    <n v="100"/>
    <m/>
    <s v="ENGAGE A CE JOUR"/>
    <d v="2016-10-08T00:00:00"/>
    <x v="1"/>
    <x v="16"/>
    <s v="2016"/>
    <m/>
    <m/>
    <m/>
    <m/>
    <m/>
  </r>
  <r>
    <s v="1 -Charges fixes"/>
    <x v="6"/>
    <m/>
    <s v="Frais de téléphone - novembre 2016"/>
    <s v="FREE ADSL"/>
    <m/>
    <n v="100"/>
    <n v="100"/>
    <n v="100"/>
    <m/>
    <s v="ENGAGE A CE JOUR"/>
    <d v="2016-11-08T00:00:00"/>
    <x v="1"/>
    <x v="22"/>
    <s v="2016"/>
    <m/>
    <m/>
    <m/>
    <m/>
    <m/>
  </r>
  <r>
    <s v="1 -Charges fixes"/>
    <x v="6"/>
    <m/>
    <s v="Frais de téléphone - décembre 2016"/>
    <s v="FREE ADSL"/>
    <m/>
    <n v="100"/>
    <n v="100"/>
    <n v="100"/>
    <m/>
    <s v="ENGAGE A CE JOUR"/>
    <d v="2016-12-08T00:00:00"/>
    <x v="1"/>
    <x v="23"/>
    <s v="2016"/>
    <m/>
    <m/>
    <m/>
    <m/>
    <m/>
  </r>
  <r>
    <s v="1 -Charges fixes"/>
    <x v="6"/>
    <m/>
    <s v="Frais de téléphone - janvier 2016"/>
    <s v="FREE ADSL"/>
    <m/>
    <n v="32.979999999999997"/>
    <n v="32.979999999999997"/>
    <n v="32.979999999999997"/>
    <s v="DECAISSE A CE JOUR"/>
    <m/>
    <d v="2016-01-08T00:00:00"/>
    <x v="1"/>
    <x v="1"/>
    <s v="2016"/>
    <m/>
    <m/>
    <m/>
    <m/>
    <m/>
  </r>
  <r>
    <s v="1 -Charges fixes"/>
    <x v="6"/>
    <m/>
    <s v="Frais de téléphone - février 2016"/>
    <s v="FREE ADSL"/>
    <m/>
    <n v="32.979999999999997"/>
    <n v="32.979999999999997"/>
    <n v="32.979999999999997"/>
    <s v="DECAISSE A CE JOUR"/>
    <m/>
    <d v="2016-02-08T00:00:00"/>
    <x v="1"/>
    <x v="17"/>
    <s v="2016"/>
    <m/>
    <m/>
    <m/>
    <m/>
    <m/>
  </r>
  <r>
    <s v="1 -Charges fixes"/>
    <x v="6"/>
    <m/>
    <s v="Frais de téléphone - mars 2016"/>
    <s v="FREE ADSL"/>
    <m/>
    <n v="32.979999999999997"/>
    <n v="32.979999999999997"/>
    <n v="32.979999999999997"/>
    <s v="DECAISSE A CE JOUR"/>
    <m/>
    <d v="2016-03-08T00:00:00"/>
    <x v="1"/>
    <x v="18"/>
    <s v="2016"/>
    <m/>
    <m/>
    <m/>
    <m/>
    <m/>
  </r>
  <r>
    <s v="1 -Charges fixes"/>
    <x v="6"/>
    <m/>
    <s v="Frais de téléphone - avril 2016"/>
    <s v="FREE ADSL"/>
    <m/>
    <n v="32.979999999999997"/>
    <n v="32.979999999999997"/>
    <n v="32.979999999999997"/>
    <m/>
    <s v="ENGAGE A CE JOUR"/>
    <d v="2016-04-08T00:00:00"/>
    <x v="1"/>
    <x v="13"/>
    <s v="2016"/>
    <m/>
    <m/>
    <m/>
    <m/>
    <m/>
  </r>
  <r>
    <s v="1 -Charges fixes"/>
    <x v="6"/>
    <m/>
    <s v="Frais de téléphone - mai 2016"/>
    <s v="FREE ADSL"/>
    <m/>
    <n v="32.979999999999997"/>
    <n v="32.979999999999997"/>
    <n v="32.979999999999997"/>
    <m/>
    <s v="ENGAGE A CE JOUR"/>
    <d v="2016-05-08T00:00:00"/>
    <x v="1"/>
    <x v="14"/>
    <s v="2016"/>
    <m/>
    <m/>
    <m/>
    <m/>
    <m/>
  </r>
  <r>
    <s v="1 -Charges fixes"/>
    <x v="6"/>
    <m/>
    <s v="Frais de téléphone - juin 2016"/>
    <s v="FREE ADSL"/>
    <m/>
    <n v="32.979999999999997"/>
    <n v="32.979999999999997"/>
    <n v="32.979999999999997"/>
    <m/>
    <s v="ENGAGE A CE JOUR"/>
    <d v="2016-06-08T00:00:00"/>
    <x v="1"/>
    <x v="19"/>
    <s v="2016"/>
    <m/>
    <m/>
    <m/>
    <m/>
    <m/>
  </r>
  <r>
    <s v="1 -Charges fixes"/>
    <x v="6"/>
    <m/>
    <s v="Frais de téléphone - juillet 2016"/>
    <s v="FREE ADSL"/>
    <m/>
    <n v="32.979999999999997"/>
    <n v="32.979999999999997"/>
    <n v="32.979999999999997"/>
    <m/>
    <s v="ENGAGE A CE JOUR"/>
    <d v="2016-07-08T00:00:00"/>
    <x v="1"/>
    <x v="15"/>
    <s v="2016"/>
    <m/>
    <m/>
    <m/>
    <m/>
    <m/>
  </r>
  <r>
    <s v="1 -Charges fixes"/>
    <x v="6"/>
    <m/>
    <s v="Frais de téléphone - aout 2016"/>
    <s v="FREE ADSL"/>
    <m/>
    <n v="32.979999999999997"/>
    <n v="32.979999999999997"/>
    <n v="32.979999999999997"/>
    <m/>
    <s v="ENGAGE A CE JOUR"/>
    <d v="2016-08-08T00:00:00"/>
    <x v="1"/>
    <x v="20"/>
    <s v="2016"/>
    <m/>
    <m/>
    <m/>
    <m/>
    <m/>
  </r>
  <r>
    <s v="1 -Charges fixes"/>
    <x v="6"/>
    <m/>
    <s v="Frais de téléphone - septembre 2016"/>
    <s v="FREE ADSL"/>
    <m/>
    <n v="32.979999999999997"/>
    <n v="32.979999999999997"/>
    <n v="32.979999999999997"/>
    <m/>
    <s v="ENGAGE A CE JOUR"/>
    <d v="2016-09-08T00:00:00"/>
    <x v="1"/>
    <x v="21"/>
    <s v="2016"/>
    <m/>
    <m/>
    <m/>
    <m/>
    <m/>
  </r>
  <r>
    <s v="1 -Charges fixes"/>
    <x v="6"/>
    <m/>
    <s v="Frais de téléphone - octobre 2016"/>
    <s v="FREE ADSL"/>
    <m/>
    <n v="32.979999999999997"/>
    <n v="32.979999999999997"/>
    <n v="32.979999999999997"/>
    <m/>
    <s v="ENGAGE A CE JOUR"/>
    <d v="2016-10-08T00:00:00"/>
    <x v="1"/>
    <x v="16"/>
    <s v="2016"/>
    <m/>
    <m/>
    <m/>
    <m/>
    <m/>
  </r>
  <r>
    <s v="1 -Charges fixes"/>
    <x v="6"/>
    <m/>
    <s v="Frais de téléphone - novembre 2016"/>
    <s v="FREE ADSL"/>
    <m/>
    <n v="32.979999999999997"/>
    <n v="32.979999999999997"/>
    <n v="32.979999999999997"/>
    <m/>
    <s v="ENGAGE A CE JOUR"/>
    <d v="2016-11-08T00:00:00"/>
    <x v="1"/>
    <x v="22"/>
    <s v="2016"/>
    <m/>
    <m/>
    <m/>
    <m/>
    <m/>
  </r>
  <r>
    <s v="1 -Charges fixes"/>
    <x v="6"/>
    <m/>
    <s v="Frais de téléphone - décembre 2016"/>
    <s v="FREE ADSL"/>
    <m/>
    <n v="32.979999999999997"/>
    <n v="32.979999999999997"/>
    <n v="32.979999999999997"/>
    <m/>
    <s v="ENGAGE A CE JOUR"/>
    <d v="2016-12-08T00:00:00"/>
    <x v="1"/>
    <x v="23"/>
    <s v="2016"/>
    <m/>
    <m/>
    <m/>
    <m/>
    <m/>
  </r>
  <r>
    <s v="1 -Charges fixes"/>
    <x v="7"/>
    <m/>
    <m/>
    <m/>
    <n v="2793.96"/>
    <m/>
    <m/>
    <m/>
    <m/>
    <m/>
    <m/>
    <x v="0"/>
    <x v="0"/>
    <m/>
    <m/>
    <m/>
    <m/>
    <m/>
    <m/>
  </r>
  <r>
    <s v="1 -Charges fixes"/>
    <x v="8"/>
    <m/>
    <s v="Téléphonie fixe - janvier 2016"/>
    <s v="ORANGE"/>
    <m/>
    <n v="202.84"/>
    <n v="202.84"/>
    <n v="202.84"/>
    <s v="DECAISSE A CE JOUR"/>
    <m/>
    <d v="2016-01-09T00:00:00"/>
    <x v="1"/>
    <x v="1"/>
    <s v="2016"/>
    <m/>
    <m/>
    <m/>
    <m/>
    <m/>
  </r>
  <r>
    <s v="1 -Charges fixes"/>
    <x v="8"/>
    <m/>
    <s v="Téléphonie fixe - février 2016"/>
    <s v="ORANGE"/>
    <m/>
    <n v="215.06"/>
    <n v="215.06"/>
    <n v="215.06"/>
    <s v="DECAISSE A CE JOUR"/>
    <m/>
    <d v="2016-02-09T00:00:00"/>
    <x v="1"/>
    <x v="17"/>
    <s v="2016"/>
    <m/>
    <m/>
    <m/>
    <m/>
    <m/>
  </r>
  <r>
    <s v="1 -Charges fixes"/>
    <x v="8"/>
    <m/>
    <s v="Téléphonie fixe - mars 2016"/>
    <s v="ORANGE"/>
    <m/>
    <n v="215.06"/>
    <n v="216.56"/>
    <n v="216.56"/>
    <s v="DECAISSE A CE JOUR"/>
    <m/>
    <d v="2016-03-09T00:00:00"/>
    <x v="1"/>
    <x v="18"/>
    <s v="2016"/>
    <m/>
    <m/>
    <m/>
    <m/>
    <m/>
  </r>
  <r>
    <s v="1 -Charges fixes"/>
    <x v="8"/>
    <m/>
    <s v="Téléphonie fixe - avril 2016"/>
    <s v="ORANGE"/>
    <m/>
    <n v="215.06"/>
    <n v="215.06"/>
    <n v="215.06"/>
    <m/>
    <s v="ENGAGE A CE JOUR"/>
    <d v="2016-04-09T00:00:00"/>
    <x v="1"/>
    <x v="13"/>
    <s v="2016"/>
    <m/>
    <m/>
    <m/>
    <m/>
    <m/>
  </r>
  <r>
    <s v="1 -Charges fixes"/>
    <x v="8"/>
    <m/>
    <s v="Téléphonie fixe - mai 2016"/>
    <s v="ORANGE"/>
    <m/>
    <n v="215.06"/>
    <n v="215.06"/>
    <n v="215.06"/>
    <m/>
    <s v="ENGAGE A CE JOUR"/>
    <d v="2016-05-09T00:00:00"/>
    <x v="1"/>
    <x v="24"/>
    <s v="2016"/>
    <m/>
    <m/>
    <m/>
    <m/>
    <m/>
  </r>
  <r>
    <s v="1 -Charges fixes"/>
    <x v="8"/>
    <m/>
    <s v="Téléphonie fixe - juin 2016"/>
    <s v="ORANGE"/>
    <m/>
    <n v="215.06"/>
    <n v="215.06"/>
    <n v="215.06"/>
    <m/>
    <s v="ENGAGE A CE JOUR"/>
    <d v="2016-06-09T00:00:00"/>
    <x v="1"/>
    <x v="19"/>
    <s v="2016"/>
    <m/>
    <m/>
    <m/>
    <m/>
    <m/>
  </r>
  <r>
    <s v="1 -Charges fixes"/>
    <x v="8"/>
    <m/>
    <s v="Téléphonie fixe - juillet 2016"/>
    <s v="ORANGE"/>
    <m/>
    <n v="215.06"/>
    <n v="215.06"/>
    <n v="215.06"/>
    <m/>
    <s v="ENGAGE A CE JOUR"/>
    <d v="2016-07-09T00:00:00"/>
    <x v="1"/>
    <x v="15"/>
    <s v="2016"/>
    <m/>
    <m/>
    <m/>
    <m/>
    <m/>
  </r>
  <r>
    <s v="1 -Charges fixes"/>
    <x v="8"/>
    <m/>
    <s v="Téléphonie fixe - aout 2016"/>
    <s v="ORANGE"/>
    <m/>
    <n v="215.06"/>
    <n v="215.06"/>
    <n v="215.06"/>
    <m/>
    <s v="ENGAGE A CE JOUR"/>
    <d v="2016-08-09T00:00:00"/>
    <x v="1"/>
    <x v="20"/>
    <s v="2016"/>
    <m/>
    <m/>
    <m/>
    <m/>
    <m/>
  </r>
  <r>
    <s v="1 -Charges fixes"/>
    <x v="8"/>
    <m/>
    <s v="Téléphonie fixe - septembre 2016"/>
    <s v="ORANGE"/>
    <m/>
    <n v="215.06"/>
    <n v="215.06"/>
    <n v="215.06"/>
    <m/>
    <s v="ENGAGE A CE JOUR"/>
    <d v="2016-09-09T00:00:00"/>
    <x v="1"/>
    <x v="21"/>
    <s v="2016"/>
    <m/>
    <m/>
    <m/>
    <m/>
    <m/>
  </r>
  <r>
    <s v="1 -Charges fixes"/>
    <x v="8"/>
    <m/>
    <s v="Téléphonie fixe - octobre 2016"/>
    <s v="ORANGE"/>
    <m/>
    <n v="215.06"/>
    <n v="215.06"/>
    <n v="215.06"/>
    <m/>
    <s v="ENGAGE A CE JOUR"/>
    <d v="2016-10-09T00:00:00"/>
    <x v="1"/>
    <x v="16"/>
    <s v="2016"/>
    <m/>
    <m/>
    <m/>
    <m/>
    <m/>
  </r>
  <r>
    <s v="1 -Charges fixes"/>
    <x v="8"/>
    <m/>
    <s v="Téléphonie fixe - novembre 2016"/>
    <s v="ORANGE"/>
    <m/>
    <n v="215.06"/>
    <n v="215.06"/>
    <n v="215.06"/>
    <m/>
    <s v="ENGAGE A CE JOUR"/>
    <d v="2016-11-09T00:00:00"/>
    <x v="1"/>
    <x v="22"/>
    <s v="2016"/>
    <m/>
    <m/>
    <m/>
    <m/>
    <m/>
  </r>
  <r>
    <s v="1 -Charges fixes"/>
    <x v="8"/>
    <m/>
    <s v="Téléphonie fixe - décembre 2016"/>
    <s v="ORANGE"/>
    <m/>
    <n v="215.06"/>
    <n v="215.06"/>
    <n v="215.06"/>
    <m/>
    <s v="ENGAGE A CE JOUR"/>
    <d v="2016-12-09T00:00:00"/>
    <x v="1"/>
    <x v="23"/>
    <s v="2016"/>
    <m/>
    <m/>
    <m/>
    <m/>
    <m/>
  </r>
  <r>
    <s v="1 -Charges fixes"/>
    <x v="9"/>
    <m/>
    <s v="Téléphonie mobile - janvier 2016"/>
    <s v="FREE MOBILE"/>
    <m/>
    <n v="29.99"/>
    <n v="33.42"/>
    <n v="33.42"/>
    <s v="DECAISSE A CE JOUR"/>
    <m/>
    <d v="2016-01-12T00:00:00"/>
    <x v="1"/>
    <x v="25"/>
    <s v="2016"/>
    <m/>
    <m/>
    <m/>
    <m/>
    <m/>
  </r>
  <r>
    <s v="1 -Charges fixes"/>
    <x v="9"/>
    <m/>
    <s v="Téléphonie mobile - février 2016"/>
    <s v="FREE MOBILE"/>
    <m/>
    <n v="29.99"/>
    <n v="32.979999999999997"/>
    <n v="32.979999999999997"/>
    <s v="DECAISSE A CE JOUR"/>
    <m/>
    <d v="2016-02-12T00:00:00"/>
    <x v="1"/>
    <x v="17"/>
    <s v="2016"/>
    <m/>
    <m/>
    <m/>
    <m/>
    <m/>
  </r>
  <r>
    <s v="1 -Charges fixes"/>
    <x v="9"/>
    <m/>
    <s v="Téléphonie mobile - mars 2016"/>
    <s v="FREE MOBILE"/>
    <m/>
    <n v="29.99"/>
    <n v="38.33"/>
    <n v="38.33"/>
    <s v="DECAISSE A CE JOUR"/>
    <m/>
    <d v="2016-03-12T00:00:00"/>
    <x v="1"/>
    <x v="18"/>
    <s v="2016"/>
    <m/>
    <m/>
    <m/>
    <m/>
    <m/>
  </r>
  <r>
    <s v="1 -Charges fixes"/>
    <x v="9"/>
    <m/>
    <s v="Téléphonie mobile - avril 2016"/>
    <s v="FREE MOBILE"/>
    <m/>
    <n v="29.99"/>
    <n v="29.99"/>
    <n v="29.99"/>
    <m/>
    <s v="ENGAGE A CE JOUR"/>
    <d v="2016-04-12T00:00:00"/>
    <x v="1"/>
    <x v="26"/>
    <s v="2016"/>
    <m/>
    <m/>
    <m/>
    <m/>
    <m/>
  </r>
  <r>
    <s v="1 -Charges fixes"/>
    <x v="9"/>
    <m/>
    <s v="Téléphonie mobile - mai 2016"/>
    <s v="FREE MOBILE"/>
    <m/>
    <n v="29.99"/>
    <n v="29.99"/>
    <n v="29.99"/>
    <m/>
    <s v="ENGAGE A CE JOUR"/>
    <d v="2016-05-12T00:00:00"/>
    <x v="1"/>
    <x v="24"/>
    <s v="2016"/>
    <m/>
    <m/>
    <m/>
    <m/>
    <m/>
  </r>
  <r>
    <s v="1 -Charges fixes"/>
    <x v="9"/>
    <m/>
    <s v="Téléphonie mobile - juin 2016"/>
    <s v="FREE MOBILE"/>
    <m/>
    <n v="29.99"/>
    <n v="29.99"/>
    <n v="29.99"/>
    <m/>
    <s v="ENGAGE A CE JOUR"/>
    <d v="2016-06-12T00:00:00"/>
    <x v="1"/>
    <x v="19"/>
    <s v="2016"/>
    <m/>
    <m/>
    <m/>
    <m/>
    <m/>
  </r>
  <r>
    <s v="1 -Charges fixes"/>
    <x v="9"/>
    <m/>
    <s v="Téléphonie mobile - juillet 2016"/>
    <s v="FREE MOBILE"/>
    <m/>
    <n v="29.99"/>
    <n v="29.99"/>
    <n v="29.99"/>
    <m/>
    <s v="ENGAGE A CE JOUR"/>
    <d v="2016-07-12T00:00:00"/>
    <x v="1"/>
    <x v="27"/>
    <s v="2016"/>
    <m/>
    <m/>
    <m/>
    <m/>
    <m/>
  </r>
  <r>
    <s v="1 -Charges fixes"/>
    <x v="9"/>
    <m/>
    <s v="Téléphonie mobile - aout 2016"/>
    <s v="FREE MOBILE"/>
    <m/>
    <n v="29.99"/>
    <n v="29.99"/>
    <n v="29.99"/>
    <m/>
    <s v="ENGAGE A CE JOUR"/>
    <d v="2016-08-12T00:00:00"/>
    <x v="1"/>
    <x v="20"/>
    <s v="2016"/>
    <m/>
    <m/>
    <m/>
    <m/>
    <m/>
  </r>
  <r>
    <s v="1 -Charges fixes"/>
    <x v="9"/>
    <m/>
    <s v="Téléphonie mobile - septembre 2016"/>
    <s v="FREE MOBILE"/>
    <m/>
    <n v="29.99"/>
    <n v="29.99"/>
    <n v="29.99"/>
    <m/>
    <s v="ENGAGE A CE JOUR"/>
    <d v="2016-09-12T00:00:00"/>
    <x v="1"/>
    <x v="28"/>
    <s v="2016"/>
    <m/>
    <m/>
    <m/>
    <m/>
    <m/>
  </r>
  <r>
    <s v="1 -Charges fixes"/>
    <x v="9"/>
    <m/>
    <s v="Téléphonie mobile - octobre 2016"/>
    <s v="FREE MOBILE"/>
    <m/>
    <n v="29.99"/>
    <n v="29.99"/>
    <n v="29.99"/>
    <m/>
    <s v="ENGAGE A CE JOUR"/>
    <d v="2016-10-12T00:00:00"/>
    <x v="1"/>
    <x v="29"/>
    <s v="2016"/>
    <m/>
    <m/>
    <m/>
    <m/>
    <m/>
  </r>
  <r>
    <s v="1 -Charges fixes"/>
    <x v="9"/>
    <m/>
    <s v="Téléphonie mobile - novembre 2016"/>
    <s v="FREE MOBILE"/>
    <m/>
    <n v="29.99"/>
    <n v="29.99"/>
    <n v="29.99"/>
    <m/>
    <s v="ENGAGE A CE JOUR"/>
    <d v="2016-11-12T00:00:00"/>
    <x v="1"/>
    <x v="22"/>
    <s v="2016"/>
    <m/>
    <m/>
    <m/>
    <m/>
    <m/>
  </r>
  <r>
    <s v="1 -Charges fixes"/>
    <x v="9"/>
    <m/>
    <s v="Téléphonie mobile - décembre 2016"/>
    <s v="FREE MOBILE"/>
    <m/>
    <n v="29.99"/>
    <n v="29.99"/>
    <n v="29.99"/>
    <m/>
    <s v="ENGAGE A CE JOUR"/>
    <d v="2016-12-12T00:00:00"/>
    <x v="1"/>
    <x v="30"/>
    <s v="2016"/>
    <m/>
    <m/>
    <m/>
    <m/>
    <m/>
  </r>
  <r>
    <s v="1 -Charges fixes"/>
    <x v="10"/>
    <m/>
    <m/>
    <m/>
    <n v="1151.4000000000001"/>
    <m/>
    <m/>
    <m/>
    <m/>
    <m/>
    <m/>
    <x v="0"/>
    <x v="0"/>
    <m/>
    <m/>
    <m/>
    <m/>
    <m/>
    <m/>
  </r>
  <r>
    <s v="1 -Charges fixes"/>
    <x v="10"/>
    <m/>
    <s v="elogie park - janvier 2016"/>
    <s v="ELOGIE/PARK"/>
    <m/>
    <n v="95.95"/>
    <n v="95.95"/>
    <n v="95.95"/>
    <s v="DECAISSE A CE JOUR"/>
    <m/>
    <d v="2016-01-10T00:00:00"/>
    <x v="1"/>
    <x v="1"/>
    <s v="2016"/>
    <m/>
    <m/>
    <m/>
    <m/>
    <m/>
  </r>
  <r>
    <s v="1 -Charges fixes"/>
    <x v="10"/>
    <m/>
    <s v="elogie park - février 2016"/>
    <s v="ELOGIE/PARK"/>
    <m/>
    <n v="95.95"/>
    <n v="95.95"/>
    <n v="95.95"/>
    <s v="DECAISSE A CE JOUR"/>
    <m/>
    <d v="2016-02-10T00:00:00"/>
    <x v="1"/>
    <x v="17"/>
    <s v="2016"/>
    <m/>
    <m/>
    <m/>
    <m/>
    <m/>
  </r>
  <r>
    <s v="1 -Charges fixes"/>
    <x v="10"/>
    <m/>
    <s v="elogie park - mars 2016"/>
    <s v="ELOGIE/PARK"/>
    <m/>
    <n v="95.95"/>
    <n v="95.95"/>
    <n v="95.95"/>
    <s v="DECAISSE A CE JOUR"/>
    <m/>
    <d v="2016-03-10T00:00:00"/>
    <x v="1"/>
    <x v="18"/>
    <s v="2016"/>
    <m/>
    <m/>
    <m/>
    <m/>
    <m/>
  </r>
  <r>
    <s v="1 -Charges fixes"/>
    <x v="10"/>
    <m/>
    <s v="elogie park - avril 2016"/>
    <s v="ELOGIE/PARK"/>
    <m/>
    <n v="95.95"/>
    <n v="95.95"/>
    <n v="95.95"/>
    <m/>
    <s v="ENGAGE A CE JOUR"/>
    <d v="2016-04-10T00:00:00"/>
    <x v="1"/>
    <x v="13"/>
    <s v="2016"/>
    <m/>
    <m/>
    <m/>
    <m/>
    <m/>
  </r>
  <r>
    <s v="1 -Charges fixes"/>
    <x v="10"/>
    <m/>
    <s v="elogie park - mai 2016"/>
    <s v="ELOGIE/PARK"/>
    <m/>
    <n v="95.95"/>
    <n v="95.95"/>
    <n v="95.95"/>
    <m/>
    <s v="ENGAGE A CE JOUR"/>
    <d v="2016-05-10T00:00:00"/>
    <x v="1"/>
    <x v="24"/>
    <s v="2016"/>
    <m/>
    <m/>
    <m/>
    <m/>
    <m/>
  </r>
  <r>
    <s v="1 -Charges fixes"/>
    <x v="10"/>
    <m/>
    <s v="elogie park - juin 2016"/>
    <s v="ELOGIE/PARK"/>
    <m/>
    <n v="95.95"/>
    <n v="95.95"/>
    <n v="95.95"/>
    <m/>
    <s v="ENGAGE A CE JOUR"/>
    <d v="2016-06-10T00:00:00"/>
    <x v="1"/>
    <x v="19"/>
    <s v="2016"/>
    <m/>
    <m/>
    <m/>
    <m/>
    <m/>
  </r>
  <r>
    <s v="1 -Charges fixes"/>
    <x v="10"/>
    <m/>
    <s v="elogie park - juillet 2016"/>
    <s v="ELOGIE/PARK"/>
    <m/>
    <n v="95.95"/>
    <n v="95.95"/>
    <n v="95.95"/>
    <m/>
    <s v="ENGAGE A CE JOUR"/>
    <d v="2016-07-10T00:00:00"/>
    <x v="1"/>
    <x v="15"/>
    <s v="2016"/>
    <m/>
    <m/>
    <m/>
    <m/>
    <m/>
  </r>
  <r>
    <s v="1 -Charges fixes"/>
    <x v="10"/>
    <m/>
    <s v="elogie park - aout 2016"/>
    <s v="ELOGIE/PARK"/>
    <m/>
    <n v="95.95"/>
    <n v="95.95"/>
    <n v="95.95"/>
    <m/>
    <s v="ENGAGE A CE JOUR"/>
    <d v="2016-08-10T00:00:00"/>
    <x v="1"/>
    <x v="20"/>
    <s v="2016"/>
    <m/>
    <m/>
    <m/>
    <m/>
    <m/>
  </r>
  <r>
    <s v="1 -Charges fixes"/>
    <x v="10"/>
    <m/>
    <s v="elogie park - septembre 2016"/>
    <s v="ELOGIE/PARK"/>
    <m/>
    <n v="95.95"/>
    <n v="95.95"/>
    <n v="95.95"/>
    <m/>
    <s v="ENGAGE A CE JOUR"/>
    <d v="2016-09-10T00:00:00"/>
    <x v="1"/>
    <x v="21"/>
    <s v="2016"/>
    <m/>
    <m/>
    <m/>
    <m/>
    <m/>
  </r>
  <r>
    <s v="1 -Charges fixes"/>
    <x v="10"/>
    <m/>
    <s v="elogie park - octobre 2016"/>
    <s v="ELOGIE/PARK"/>
    <m/>
    <n v="95.95"/>
    <n v="95.95"/>
    <n v="95.95"/>
    <m/>
    <s v="ENGAGE A CE JOUR"/>
    <d v="2016-10-10T00:00:00"/>
    <x v="1"/>
    <x v="29"/>
    <s v="2016"/>
    <m/>
    <m/>
    <m/>
    <m/>
    <m/>
  </r>
  <r>
    <s v="1 -Charges fixes"/>
    <x v="10"/>
    <m/>
    <s v="elogie park - novembre 2016"/>
    <s v="ELOGIE/PARK"/>
    <m/>
    <n v="95.95"/>
    <n v="95.95"/>
    <n v="95.95"/>
    <m/>
    <s v="ENGAGE A CE JOUR"/>
    <d v="2016-11-10T00:00:00"/>
    <x v="1"/>
    <x v="22"/>
    <s v="2016"/>
    <m/>
    <m/>
    <m/>
    <m/>
    <m/>
  </r>
  <r>
    <s v="1 -Charges fixes"/>
    <x v="10"/>
    <m/>
    <s v="elogie park - décembre 2016"/>
    <s v="ELOGIE/PARK"/>
    <m/>
    <n v="95.95"/>
    <n v="95.95"/>
    <n v="95.95"/>
    <m/>
    <s v="ENGAGE A CE JOUR"/>
    <d v="2016-12-10T00:00:00"/>
    <x v="1"/>
    <x v="23"/>
    <s v="2016"/>
    <m/>
    <m/>
    <m/>
    <m/>
    <m/>
  </r>
  <r>
    <s v="1 -Charges fixes"/>
    <x v="11"/>
    <m/>
    <m/>
    <m/>
    <n v="3559.32"/>
    <m/>
    <m/>
    <m/>
    <m/>
    <m/>
    <m/>
    <x v="0"/>
    <x v="0"/>
    <m/>
    <m/>
    <m/>
    <m/>
    <m/>
    <m/>
  </r>
  <r>
    <s v="1 -Charges fixes"/>
    <x v="11"/>
    <m/>
    <s v="Prevoyance vie - janvier 2016"/>
    <s v="GENERALI"/>
    <m/>
    <n v="192.03"/>
    <n v="192.03"/>
    <n v="192.03"/>
    <s v="DECAISSE A CE JOUR"/>
    <m/>
    <d v="2016-01-10T00:00:00"/>
    <x v="1"/>
    <x v="1"/>
    <s v="2016"/>
    <m/>
    <m/>
    <m/>
    <m/>
    <m/>
  </r>
  <r>
    <s v="1 -Charges fixes"/>
    <x v="11"/>
    <m/>
    <s v="Prevoyance vie - février 2016"/>
    <s v="GENERALI"/>
    <m/>
    <n v="192.03"/>
    <n v="0"/>
    <n v="0"/>
    <m/>
    <m/>
    <m/>
    <x v="0"/>
    <x v="17"/>
    <s v="2016"/>
    <m/>
    <m/>
    <m/>
    <m/>
    <m/>
  </r>
  <r>
    <s v="1 -Charges fixes"/>
    <x v="11"/>
    <m/>
    <s v="Prevoyance vie - mars 2016"/>
    <s v="GENERALI"/>
    <m/>
    <n v="192.03"/>
    <n v="0"/>
    <n v="0"/>
    <m/>
    <m/>
    <m/>
    <x v="0"/>
    <x v="18"/>
    <s v="2016"/>
    <m/>
    <m/>
    <m/>
    <m/>
    <m/>
  </r>
  <r>
    <s v="1 -Charges fixes"/>
    <x v="11"/>
    <m/>
    <s v="Prevoyance vie - avril 2016"/>
    <s v="GENERALI"/>
    <m/>
    <n v="192.03"/>
    <n v="0"/>
    <n v="0"/>
    <m/>
    <m/>
    <m/>
    <x v="0"/>
    <x v="13"/>
    <s v="2016"/>
    <m/>
    <m/>
    <m/>
    <m/>
    <m/>
  </r>
  <r>
    <s v="1 -Charges fixes"/>
    <x v="11"/>
    <m/>
    <s v="Prevoyance vie - mai 2016"/>
    <s v="GENERALI"/>
    <m/>
    <n v="192.03"/>
    <n v="0"/>
    <n v="0"/>
    <m/>
    <m/>
    <m/>
    <x v="0"/>
    <x v="24"/>
    <s v="2016"/>
    <m/>
    <m/>
    <m/>
    <m/>
    <m/>
  </r>
  <r>
    <s v="1 -Charges fixes"/>
    <x v="11"/>
    <m/>
    <s v="Prevoyance vie - juin 2016"/>
    <s v="GENERALI"/>
    <m/>
    <n v="192.03"/>
    <n v="0"/>
    <n v="0"/>
    <m/>
    <m/>
    <m/>
    <x v="0"/>
    <x v="19"/>
    <s v="2016"/>
    <m/>
    <m/>
    <m/>
    <m/>
    <m/>
  </r>
  <r>
    <s v="1 -Charges fixes"/>
    <x v="11"/>
    <m/>
    <s v="Prevoyance vie - juillet 2016"/>
    <s v="GENERALI"/>
    <m/>
    <n v="192.03"/>
    <n v="0"/>
    <n v="0"/>
    <m/>
    <m/>
    <m/>
    <x v="0"/>
    <x v="15"/>
    <s v="2016"/>
    <m/>
    <m/>
    <m/>
    <m/>
    <m/>
  </r>
  <r>
    <s v="1 -Charges fixes"/>
    <x v="11"/>
    <m/>
    <s v="Prevoyance vie - aout 2016"/>
    <s v="GENERALI"/>
    <m/>
    <n v="192.03"/>
    <n v="0"/>
    <n v="0"/>
    <m/>
    <m/>
    <m/>
    <x v="0"/>
    <x v="20"/>
    <s v="2016"/>
    <m/>
    <m/>
    <m/>
    <m/>
    <m/>
  </r>
  <r>
    <s v="1 -Charges fixes"/>
    <x v="11"/>
    <m/>
    <s v="Prevoyance vie - septembre 2016"/>
    <s v="GENERALI"/>
    <m/>
    <n v="192.03"/>
    <n v="0"/>
    <n v="0"/>
    <m/>
    <m/>
    <m/>
    <x v="0"/>
    <x v="21"/>
    <s v="2016"/>
    <m/>
    <m/>
    <m/>
    <m/>
    <m/>
  </r>
  <r>
    <s v="1 -Charges fixes"/>
    <x v="11"/>
    <m/>
    <s v="Prevoyance vie - octobre 2016"/>
    <s v="GENERALI"/>
    <m/>
    <n v="192.03"/>
    <n v="0"/>
    <n v="0"/>
    <m/>
    <m/>
    <m/>
    <x v="0"/>
    <x v="29"/>
    <s v="2016"/>
    <m/>
    <m/>
    <m/>
    <m/>
    <m/>
  </r>
  <r>
    <s v="1 -Charges fixes"/>
    <x v="11"/>
    <m/>
    <s v="Prevoyance vie - novembre 2016"/>
    <s v="GENERALI"/>
    <m/>
    <n v="192.03"/>
    <n v="0"/>
    <n v="0"/>
    <m/>
    <m/>
    <m/>
    <x v="0"/>
    <x v="22"/>
    <s v="2016"/>
    <m/>
    <m/>
    <m/>
    <m/>
    <m/>
  </r>
  <r>
    <s v="1 -Charges fixes"/>
    <x v="11"/>
    <m/>
    <s v="Prevoyance vie - décembre 2016"/>
    <s v="GENERALI"/>
    <m/>
    <n v="192.03"/>
    <n v="0"/>
    <n v="0"/>
    <m/>
    <m/>
    <m/>
    <x v="0"/>
    <x v="23"/>
    <s v="2016"/>
    <m/>
    <m/>
    <m/>
    <m/>
    <m/>
  </r>
  <r>
    <s v="1 -Charges fixes"/>
    <x v="12"/>
    <m/>
    <s v="Prevoyance vie - janvier 2016"/>
    <s v="GENERALI"/>
    <m/>
    <n v="104.58"/>
    <n v="104.58"/>
    <n v="104.58"/>
    <s v="DECAISSE A CE JOUR"/>
    <m/>
    <d v="2016-01-10T00:00:00"/>
    <x v="3"/>
    <x v="1"/>
    <s v="2016"/>
    <m/>
    <m/>
    <m/>
    <m/>
    <m/>
  </r>
  <r>
    <s v="1 -Charges fixes"/>
    <x v="12"/>
    <m/>
    <s v="Prevoyance vie - février 2016"/>
    <s v="GENERALI"/>
    <m/>
    <n v="104.58"/>
    <n v="104.58"/>
    <n v="104.58"/>
    <s v="DECAISSE A CE JOUR"/>
    <m/>
    <d v="2016-02-10T00:00:00"/>
    <x v="3"/>
    <x v="17"/>
    <s v="2016"/>
    <m/>
    <m/>
    <m/>
    <m/>
    <m/>
  </r>
  <r>
    <s v="1 -Charges fixes"/>
    <x v="12"/>
    <m/>
    <s v="Prevoyance vie - mars 2016"/>
    <s v="GENERALI"/>
    <m/>
    <n v="104.58"/>
    <n v="104.58"/>
    <n v="104.58"/>
    <s v="DECAISSE A CE JOUR"/>
    <m/>
    <d v="2016-03-10T00:00:00"/>
    <x v="3"/>
    <x v="18"/>
    <s v="2016"/>
    <m/>
    <m/>
    <m/>
    <m/>
    <m/>
  </r>
  <r>
    <s v="1 -Charges fixes"/>
    <x v="12"/>
    <m/>
    <s v="Prevoyance vie - avril 2016"/>
    <s v="GENERALI"/>
    <m/>
    <n v="104.58"/>
    <n v="104.58"/>
    <n v="104.58"/>
    <m/>
    <s v="ENGAGE A CE JOUR"/>
    <d v="2016-04-10T00:00:00"/>
    <x v="3"/>
    <x v="13"/>
    <s v="2016"/>
    <m/>
    <m/>
    <m/>
    <m/>
    <m/>
  </r>
  <r>
    <s v="1 -Charges fixes"/>
    <x v="12"/>
    <m/>
    <s v="Prevoyance vie - mai 2016"/>
    <s v="GENERALI"/>
    <m/>
    <n v="104.58"/>
    <n v="104.58"/>
    <n v="104.58"/>
    <m/>
    <s v="ENGAGE A CE JOUR"/>
    <d v="2016-05-10T00:00:00"/>
    <x v="3"/>
    <x v="24"/>
    <s v="2016"/>
    <m/>
    <m/>
    <m/>
    <m/>
    <m/>
  </r>
  <r>
    <s v="1 -Charges fixes"/>
    <x v="12"/>
    <m/>
    <s v="Prevoyance vie - juin 2016"/>
    <s v="GENERALI"/>
    <m/>
    <n v="104.58"/>
    <n v="104.58"/>
    <n v="104.58"/>
    <m/>
    <s v="ENGAGE A CE JOUR"/>
    <d v="2016-06-10T00:00:00"/>
    <x v="3"/>
    <x v="19"/>
    <s v="2016"/>
    <m/>
    <m/>
    <m/>
    <m/>
    <m/>
  </r>
  <r>
    <s v="1 -Charges fixes"/>
    <x v="12"/>
    <m/>
    <s v="Prevoyance vie - juillet 2016"/>
    <s v="GENERALI"/>
    <m/>
    <n v="104.58"/>
    <n v="104.58"/>
    <n v="104.58"/>
    <m/>
    <s v="ENGAGE A CE JOUR"/>
    <d v="2016-07-10T00:00:00"/>
    <x v="3"/>
    <x v="15"/>
    <s v="2016"/>
    <m/>
    <m/>
    <m/>
    <m/>
    <m/>
  </r>
  <r>
    <s v="1 -Charges fixes"/>
    <x v="12"/>
    <m/>
    <s v="Prevoyance vie - aout 2016"/>
    <s v="GENERALI"/>
    <m/>
    <n v="104.58"/>
    <n v="104.58"/>
    <n v="104.58"/>
    <m/>
    <s v="ENGAGE A CE JOUR"/>
    <d v="2016-08-10T00:00:00"/>
    <x v="3"/>
    <x v="20"/>
    <s v="2016"/>
    <m/>
    <m/>
    <m/>
    <m/>
    <m/>
  </r>
  <r>
    <s v="1 -Charges fixes"/>
    <x v="12"/>
    <m/>
    <s v="Prevoyance vie - septembre 2016"/>
    <s v="GENERALI"/>
    <m/>
    <n v="104.58"/>
    <n v="104.58"/>
    <n v="104.58"/>
    <m/>
    <s v="ENGAGE A CE JOUR"/>
    <d v="2016-09-10T00:00:00"/>
    <x v="3"/>
    <x v="21"/>
    <s v="2016"/>
    <m/>
    <m/>
    <m/>
    <m/>
    <m/>
  </r>
  <r>
    <s v="1 -Charges fixes"/>
    <x v="12"/>
    <m/>
    <s v="Prevoyance vie - octobre 2016"/>
    <s v="GENERALI"/>
    <m/>
    <n v="104.58"/>
    <n v="104.58"/>
    <n v="104.58"/>
    <m/>
    <s v="ENGAGE A CE JOUR"/>
    <d v="2016-10-10T00:00:00"/>
    <x v="3"/>
    <x v="29"/>
    <s v="2016"/>
    <m/>
    <m/>
    <m/>
    <m/>
    <m/>
  </r>
  <r>
    <s v="1 -Charges fixes"/>
    <x v="12"/>
    <m/>
    <s v="Prevoyance vie - novembre 2016"/>
    <s v="GENERALI"/>
    <m/>
    <n v="104.58"/>
    <n v="104.58"/>
    <n v="104.58"/>
    <m/>
    <s v="ENGAGE A CE JOUR"/>
    <d v="2016-11-10T00:00:00"/>
    <x v="3"/>
    <x v="22"/>
    <s v="2016"/>
    <m/>
    <m/>
    <m/>
    <m/>
    <m/>
  </r>
  <r>
    <s v="1 -Charges fixes"/>
    <x v="12"/>
    <m/>
    <s v="Prevoyance vie - décembre 2016"/>
    <s v="GENERALI"/>
    <m/>
    <n v="104.58"/>
    <n v="104.58"/>
    <n v="104.58"/>
    <m/>
    <s v="ENGAGE A CE JOUR"/>
    <d v="2016-12-10T00:00:00"/>
    <x v="3"/>
    <x v="23"/>
    <s v="2016"/>
    <m/>
    <m/>
    <m/>
    <m/>
    <m/>
  </r>
  <r>
    <s v="1 -Charges fixes"/>
    <x v="13"/>
    <m/>
    <m/>
    <m/>
    <n v="18010.920000000002"/>
    <m/>
    <m/>
    <m/>
    <m/>
    <m/>
    <m/>
    <x v="0"/>
    <x v="0"/>
    <m/>
    <m/>
    <m/>
    <m/>
    <m/>
    <m/>
  </r>
  <r>
    <s v="1 -Charges fixes"/>
    <x v="13"/>
    <m/>
    <s v="Retraite chirurgien - janvier 2016"/>
    <s v="CARCD"/>
    <m/>
    <n v="1500.91"/>
    <n v="1500.91"/>
    <n v="1500.91"/>
    <s v="DECAISSE A CE JOUR"/>
    <m/>
    <d v="2016-01-15T00:00:00"/>
    <x v="1"/>
    <x v="25"/>
    <s v="2016"/>
    <m/>
    <m/>
    <d v="2016-01-01T00:00:00"/>
    <m/>
    <n v="1500.91"/>
  </r>
  <r>
    <s v="1 -Charges fixes"/>
    <x v="13"/>
    <m/>
    <s v="Retraite chirurgien - février 2016"/>
    <s v="CARCD"/>
    <m/>
    <n v="1500.91"/>
    <n v="1500.91"/>
    <n v="1500.91"/>
    <s v="DECAISSE A CE JOUR"/>
    <m/>
    <d v="2016-02-15T00:00:00"/>
    <x v="1"/>
    <x v="31"/>
    <s v="2016"/>
    <m/>
    <m/>
    <d v="2016-02-01T00:00:00"/>
    <m/>
    <n v="1500.91"/>
  </r>
  <r>
    <s v="1 -Charges fixes"/>
    <x v="13"/>
    <m/>
    <s v="Retraite chirurgien - mars 2016"/>
    <s v="CARCD"/>
    <m/>
    <n v="1500.91"/>
    <n v="1500.91"/>
    <n v="1500.91"/>
    <s v="DECAISSE A CE JOUR"/>
    <m/>
    <d v="2016-03-15T00:00:00"/>
    <x v="1"/>
    <x v="32"/>
    <s v="2016"/>
    <m/>
    <m/>
    <d v="2016-03-01T00:00:00"/>
    <m/>
    <n v="1500.91"/>
  </r>
  <r>
    <s v="1 -Charges fixes"/>
    <x v="13"/>
    <m/>
    <s v="Retraite chirurgien - avril 2016"/>
    <s v="CARCD"/>
    <m/>
    <n v="1500.91"/>
    <n v="1500.91"/>
    <n v="1500.91"/>
    <m/>
    <s v="ENGAGE A CE JOUR"/>
    <d v="2016-04-15T00:00:00"/>
    <x v="1"/>
    <x v="26"/>
    <s v="2016"/>
    <m/>
    <m/>
    <d v="2016-04-01T00:00:00"/>
    <m/>
    <n v="1500.91"/>
  </r>
  <r>
    <s v="1 -Charges fixes"/>
    <x v="13"/>
    <m/>
    <s v="Retraite chirurgien - mai 2016"/>
    <s v="CARCD"/>
    <m/>
    <n v="1500.91"/>
    <n v="1500.91"/>
    <n v="1500.91"/>
    <m/>
    <s v="ENGAGE A CE JOUR"/>
    <d v="2016-05-15T00:00:00"/>
    <x v="1"/>
    <x v="24"/>
    <s v="2016"/>
    <m/>
    <m/>
    <d v="2016-05-01T00:00:00"/>
    <m/>
    <n v="1500.91"/>
  </r>
  <r>
    <s v="1 -Charges fixes"/>
    <x v="13"/>
    <m/>
    <s v="Retraite chirurgien - juin 2016"/>
    <s v="CARCD"/>
    <m/>
    <n v="1500.91"/>
    <n v="1500.91"/>
    <n v="1500.91"/>
    <m/>
    <s v="ENGAGE A CE JOUR"/>
    <d v="2016-06-15T00:00:00"/>
    <x v="1"/>
    <x v="33"/>
    <s v="2016"/>
    <m/>
    <m/>
    <d v="2016-06-01T00:00:00"/>
    <m/>
    <n v="1500.91"/>
  </r>
  <r>
    <s v="1 -Charges fixes"/>
    <x v="13"/>
    <m/>
    <s v="Retraite chirurgien - juillet 2016"/>
    <s v="CARCD"/>
    <m/>
    <n v="1500.91"/>
    <n v="1500.91"/>
    <n v="1500.91"/>
    <m/>
    <s v="ENGAGE A CE JOUR"/>
    <d v="2016-07-15T00:00:00"/>
    <x v="1"/>
    <x v="27"/>
    <s v="2016"/>
    <m/>
    <m/>
    <d v="2016-07-01T00:00:00"/>
    <m/>
    <n v="1500.91"/>
  </r>
  <r>
    <s v="1 -Charges fixes"/>
    <x v="13"/>
    <m/>
    <s v="Retraite chirurgien - aout 2016"/>
    <s v="CARCD"/>
    <m/>
    <n v="1500.91"/>
    <n v="1500.91"/>
    <n v="1500.91"/>
    <m/>
    <s v="ENGAGE A CE JOUR"/>
    <d v="2016-08-15T00:00:00"/>
    <x v="1"/>
    <x v="34"/>
    <s v="2016"/>
    <m/>
    <m/>
    <d v="2016-08-01T00:00:00"/>
    <m/>
    <n v="1500.91"/>
  </r>
  <r>
    <s v="1 -Charges fixes"/>
    <x v="13"/>
    <m/>
    <s v="Retraite chirurgien - septembre 2016"/>
    <s v="CARCD"/>
    <m/>
    <n v="1500.91"/>
    <n v="1500.91"/>
    <n v="1500.91"/>
    <m/>
    <s v="ENGAGE A CE JOUR"/>
    <d v="2016-09-15T00:00:00"/>
    <x v="1"/>
    <x v="28"/>
    <s v="2016"/>
    <m/>
    <m/>
    <d v="2016-09-01T00:00:00"/>
    <m/>
    <n v="1500.91"/>
  </r>
  <r>
    <s v="1 -Charges fixes"/>
    <x v="13"/>
    <m/>
    <s v="Retraite chirurgien - octobre 2016"/>
    <s v="CARCD"/>
    <m/>
    <n v="1500.91"/>
    <n v="1500.91"/>
    <n v="1500.91"/>
    <m/>
    <s v="ENGAGE A CE JOUR"/>
    <d v="2016-10-15T00:00:00"/>
    <x v="1"/>
    <x v="29"/>
    <s v="2016"/>
    <m/>
    <m/>
    <d v="2016-10-01T00:00:00"/>
    <m/>
    <n v="1500.91"/>
  </r>
  <r>
    <s v="1 -Charges fixes"/>
    <x v="13"/>
    <m/>
    <s v="Retraite chirurgien - novembre 2016"/>
    <s v="CARCD"/>
    <m/>
    <n v="1500.91"/>
    <n v="1500.91"/>
    <n v="1500.91"/>
    <m/>
    <s v="ENGAGE A CE JOUR"/>
    <d v="2016-11-15T00:00:00"/>
    <x v="1"/>
    <x v="35"/>
    <s v="2016"/>
    <m/>
    <m/>
    <d v="2016-11-01T00:00:00"/>
    <m/>
    <n v="1500.91"/>
  </r>
  <r>
    <s v="1 -Charges fixes"/>
    <x v="13"/>
    <m/>
    <s v="Retraite chirurgien - décembre 2016"/>
    <s v="CARCD"/>
    <m/>
    <n v="1500.91"/>
    <n v="1500.91"/>
    <n v="1500.91"/>
    <m/>
    <s v="ENGAGE A CE JOUR"/>
    <d v="2016-12-15T00:00:00"/>
    <x v="1"/>
    <x v="30"/>
    <s v="2016"/>
    <m/>
    <m/>
    <d v="2016-12-01T00:00:00"/>
    <m/>
    <n v="1500.91"/>
  </r>
  <r>
    <s v="1 -Charges fixes"/>
    <x v="14"/>
    <m/>
    <m/>
    <m/>
    <n v="8617.44"/>
    <m/>
    <m/>
    <m/>
    <m/>
    <m/>
    <m/>
    <x v="0"/>
    <x v="0"/>
    <m/>
    <m/>
    <m/>
    <m/>
    <m/>
    <m/>
  </r>
  <r>
    <s v="1 -Charges fixes"/>
    <x v="14"/>
    <m/>
    <s v="Locations LAGELANDEN - janvier 2016"/>
    <s v="LAGELANDEN"/>
    <m/>
    <n v="41.47"/>
    <n v="41.47"/>
    <n v="41.47"/>
    <s v="DECAISSE A CE JOUR"/>
    <m/>
    <d v="2016-01-15T00:00:00"/>
    <x v="3"/>
    <x v="25"/>
    <s v="2016"/>
    <m/>
    <m/>
    <m/>
    <m/>
    <m/>
  </r>
  <r>
    <s v="1 -Charges fixes"/>
    <x v="14"/>
    <m/>
    <s v="Locations LAGELANDEN - février 2016"/>
    <s v="LAGELANDEN"/>
    <m/>
    <n v="41.47"/>
    <n v="41.47"/>
    <n v="41.47"/>
    <s v="DECAISSE A CE JOUR"/>
    <m/>
    <d v="2016-02-15T00:00:00"/>
    <x v="3"/>
    <x v="31"/>
    <s v="2016"/>
    <m/>
    <m/>
    <m/>
    <m/>
    <m/>
  </r>
  <r>
    <s v="1 -Charges fixes"/>
    <x v="14"/>
    <m/>
    <s v="Locations LAGELANDEN - mars 2016"/>
    <s v="LAGELANDEN"/>
    <m/>
    <n v="41.47"/>
    <n v="41.47"/>
    <n v="41.47"/>
    <s v="DECAISSE A CE JOUR"/>
    <m/>
    <d v="2016-03-15T00:00:00"/>
    <x v="3"/>
    <x v="32"/>
    <s v="2016"/>
    <m/>
    <m/>
    <m/>
    <m/>
    <m/>
  </r>
  <r>
    <s v="1 -Charges fixes"/>
    <x v="14"/>
    <m/>
    <s v="Locations LAGELANDEN - avril 2016"/>
    <s v="LAGELANDEN"/>
    <m/>
    <n v="41.47"/>
    <n v="41.47"/>
    <n v="41.47"/>
    <m/>
    <s v="ENGAGE A CE JOUR"/>
    <d v="2016-04-15T00:00:00"/>
    <x v="3"/>
    <x v="26"/>
    <s v="2016"/>
    <m/>
    <m/>
    <m/>
    <m/>
    <m/>
  </r>
  <r>
    <s v="1 -Charges fixes"/>
    <x v="14"/>
    <m/>
    <s v="Locations LAGELANDEN - mai 2016"/>
    <s v="LAGELANDEN"/>
    <m/>
    <n v="41.47"/>
    <n v="41.47"/>
    <n v="41.47"/>
    <m/>
    <s v="ENGAGE A CE JOUR"/>
    <d v="2016-05-15T00:00:00"/>
    <x v="3"/>
    <x v="24"/>
    <s v="2016"/>
    <m/>
    <m/>
    <m/>
    <m/>
    <m/>
  </r>
  <r>
    <s v="1 -Charges fixes"/>
    <x v="14"/>
    <m/>
    <s v="Locations LAGELANDEN - juin 2016"/>
    <s v="LAGELANDEN"/>
    <m/>
    <n v="41.47"/>
    <n v="41.47"/>
    <n v="41.47"/>
    <m/>
    <s v="ENGAGE A CE JOUR"/>
    <d v="2016-06-15T00:00:00"/>
    <x v="3"/>
    <x v="33"/>
    <s v="2016"/>
    <m/>
    <m/>
    <m/>
    <m/>
    <m/>
  </r>
  <r>
    <s v="1 -Charges fixes"/>
    <x v="14"/>
    <m/>
    <s v="Locations LAGELANDEN - juillet 2016"/>
    <s v="LAGELANDEN"/>
    <m/>
    <n v="41.47"/>
    <n v="41.47"/>
    <n v="41.47"/>
    <m/>
    <s v="ENGAGE A CE JOUR"/>
    <d v="2016-07-15T00:00:00"/>
    <x v="3"/>
    <x v="27"/>
    <s v="2016"/>
    <m/>
    <m/>
    <m/>
    <m/>
    <m/>
  </r>
  <r>
    <s v="1 -Charges fixes"/>
    <x v="14"/>
    <m/>
    <s v="Locations LAGELANDEN - aout 2016"/>
    <s v="LAGELANDEN"/>
    <m/>
    <n v="41.47"/>
    <n v="41.47"/>
    <n v="41.47"/>
    <m/>
    <s v="ENGAGE A CE JOUR"/>
    <d v="2016-08-15T00:00:00"/>
    <x v="3"/>
    <x v="34"/>
    <s v="2016"/>
    <m/>
    <m/>
    <m/>
    <m/>
    <m/>
  </r>
  <r>
    <s v="1 -Charges fixes"/>
    <x v="14"/>
    <m/>
    <s v="Locations LAGELANDEN - septembre 2016"/>
    <s v="LAGELANDEN"/>
    <m/>
    <n v="41.47"/>
    <n v="41.47"/>
    <n v="41.47"/>
    <m/>
    <s v="ENGAGE A CE JOUR"/>
    <d v="2016-09-15T00:00:00"/>
    <x v="3"/>
    <x v="28"/>
    <s v="2016"/>
    <m/>
    <m/>
    <m/>
    <m/>
    <m/>
  </r>
  <r>
    <s v="1 -Charges fixes"/>
    <x v="14"/>
    <m/>
    <s v="Locations LAGELANDEN - octobre 2016"/>
    <s v="LAGELANDEN"/>
    <m/>
    <n v="41.47"/>
    <n v="41.47"/>
    <n v="41.47"/>
    <m/>
    <s v="ENGAGE A CE JOUR"/>
    <d v="2016-10-15T00:00:00"/>
    <x v="3"/>
    <x v="29"/>
    <s v="2016"/>
    <m/>
    <m/>
    <m/>
    <m/>
    <m/>
  </r>
  <r>
    <s v="1 -Charges fixes"/>
    <x v="14"/>
    <m/>
    <s v="Locations LAGELANDEN - novembre 2016"/>
    <s v="LAGELANDEN"/>
    <m/>
    <n v="41.47"/>
    <n v="41.47"/>
    <n v="41.47"/>
    <m/>
    <s v="ENGAGE A CE JOUR"/>
    <d v="2016-11-15T00:00:00"/>
    <x v="3"/>
    <x v="35"/>
    <s v="2016"/>
    <m/>
    <m/>
    <m/>
    <m/>
    <m/>
  </r>
  <r>
    <s v="1 -Charges fixes"/>
    <x v="14"/>
    <m/>
    <s v="Locations LAGELANDEN - décembre 2016"/>
    <s v="LAGELANDEN"/>
    <m/>
    <n v="41.47"/>
    <n v="41.47"/>
    <n v="41.47"/>
    <m/>
    <s v="ENGAGE A CE JOUR"/>
    <d v="2016-12-15T00:00:00"/>
    <x v="3"/>
    <x v="30"/>
    <s v="2016"/>
    <m/>
    <m/>
    <m/>
    <m/>
    <m/>
  </r>
  <r>
    <s v="1 -Charges fixes"/>
    <x v="14"/>
    <m/>
    <s v="Locations LAGELANDEN - janvier 2016"/>
    <s v="LAGELANDEN"/>
    <m/>
    <n v="676.65"/>
    <n v="676.65"/>
    <n v="676.65"/>
    <s v="DECAISSE A CE JOUR"/>
    <m/>
    <d v="2016-01-15T00:00:00"/>
    <x v="3"/>
    <x v="25"/>
    <s v="2016"/>
    <m/>
    <m/>
    <m/>
    <m/>
    <m/>
  </r>
  <r>
    <s v="1 -Charges fixes"/>
    <x v="14"/>
    <m/>
    <s v="Locations LAGELANDEN - février 2016"/>
    <s v="LAGELANDEN"/>
    <m/>
    <n v="676.65"/>
    <n v="676.65"/>
    <n v="676.65"/>
    <s v="DECAISSE A CE JOUR"/>
    <m/>
    <d v="2016-02-15T00:00:00"/>
    <x v="3"/>
    <x v="31"/>
    <s v="2016"/>
    <m/>
    <m/>
    <m/>
    <m/>
    <m/>
  </r>
  <r>
    <s v="1 -Charges fixes"/>
    <x v="14"/>
    <m/>
    <s v="Locations LAGELANDEN - mars 2016"/>
    <s v="LAGELANDEN"/>
    <m/>
    <n v="676.65"/>
    <n v="676.65"/>
    <n v="676.65"/>
    <s v="DECAISSE A CE JOUR"/>
    <m/>
    <d v="2016-03-15T00:00:00"/>
    <x v="3"/>
    <x v="32"/>
    <s v="2016"/>
    <m/>
    <m/>
    <m/>
    <m/>
    <m/>
  </r>
  <r>
    <s v="1 -Charges fixes"/>
    <x v="14"/>
    <m/>
    <s v="Locations LAGELANDEN - avril 2016"/>
    <s v="LAGELANDEN"/>
    <m/>
    <n v="676.65"/>
    <n v="676.65"/>
    <n v="676.65"/>
    <m/>
    <s v="ENGAGE A CE JOUR"/>
    <d v="2016-04-15T00:00:00"/>
    <x v="3"/>
    <x v="26"/>
    <s v="2016"/>
    <m/>
    <m/>
    <m/>
    <m/>
    <m/>
  </r>
  <r>
    <s v="1 -Charges fixes"/>
    <x v="14"/>
    <m/>
    <s v="Locations LAGELANDEN - mai 2016"/>
    <s v="LAGELANDEN"/>
    <m/>
    <n v="676.65"/>
    <n v="676.65"/>
    <n v="676.65"/>
    <m/>
    <s v="ENGAGE A CE JOUR"/>
    <d v="2016-05-15T00:00:00"/>
    <x v="3"/>
    <x v="24"/>
    <s v="2016"/>
    <m/>
    <m/>
    <m/>
    <m/>
    <m/>
  </r>
  <r>
    <s v="1 -Charges fixes"/>
    <x v="14"/>
    <m/>
    <s v="Locations LAGELANDEN - juin 2016"/>
    <s v="LAGELANDEN"/>
    <m/>
    <n v="676.65"/>
    <n v="676.65"/>
    <n v="676.65"/>
    <m/>
    <s v="ENGAGE A CE JOUR"/>
    <d v="2016-06-15T00:00:00"/>
    <x v="3"/>
    <x v="33"/>
    <s v="2016"/>
    <m/>
    <m/>
    <m/>
    <m/>
    <m/>
  </r>
  <r>
    <s v="1 -Charges fixes"/>
    <x v="14"/>
    <m/>
    <s v="Locations LAGELANDEN - juillet 2016"/>
    <s v="LAGELANDEN"/>
    <m/>
    <n v="676.65"/>
    <n v="676.65"/>
    <n v="676.65"/>
    <m/>
    <s v="ENGAGE A CE JOUR"/>
    <d v="2016-07-15T00:00:00"/>
    <x v="3"/>
    <x v="27"/>
    <s v="2016"/>
    <m/>
    <m/>
    <m/>
    <m/>
    <m/>
  </r>
  <r>
    <s v="1 -Charges fixes"/>
    <x v="14"/>
    <m/>
    <s v="Locations LAGELANDEN - aout 2016"/>
    <s v="LAGELANDEN"/>
    <m/>
    <n v="676.65"/>
    <n v="676.65"/>
    <n v="676.65"/>
    <m/>
    <s v="ENGAGE A CE JOUR"/>
    <d v="2016-08-15T00:00:00"/>
    <x v="3"/>
    <x v="34"/>
    <s v="2016"/>
    <m/>
    <m/>
    <m/>
    <m/>
    <m/>
  </r>
  <r>
    <s v="1 -Charges fixes"/>
    <x v="14"/>
    <m/>
    <s v="Locations LAGELANDEN - septembre 2016"/>
    <s v="LAGELANDEN"/>
    <m/>
    <n v="676.65"/>
    <n v="676.65"/>
    <n v="676.65"/>
    <m/>
    <s v="ENGAGE A CE JOUR"/>
    <d v="2016-09-15T00:00:00"/>
    <x v="3"/>
    <x v="28"/>
    <s v="2016"/>
    <m/>
    <m/>
    <m/>
    <m/>
    <m/>
  </r>
  <r>
    <s v="1 -Charges fixes"/>
    <x v="14"/>
    <m/>
    <s v="Locations LAGELANDEN - octobre 2016"/>
    <s v="LAGELANDEN"/>
    <m/>
    <n v="676.65"/>
    <n v="676.65"/>
    <n v="676.65"/>
    <m/>
    <s v="ENGAGE A CE JOUR"/>
    <d v="2016-10-15T00:00:00"/>
    <x v="3"/>
    <x v="29"/>
    <s v="2016"/>
    <m/>
    <m/>
    <m/>
    <m/>
    <m/>
  </r>
  <r>
    <s v="1 -Charges fixes"/>
    <x v="14"/>
    <m/>
    <s v="Locations LAGELANDEN - novembre 2016"/>
    <s v="LAGELANDEN"/>
    <m/>
    <n v="676.65"/>
    <n v="676.65"/>
    <n v="676.65"/>
    <m/>
    <s v="ENGAGE A CE JOUR"/>
    <d v="2016-11-15T00:00:00"/>
    <x v="3"/>
    <x v="35"/>
    <s v="2016"/>
    <m/>
    <m/>
    <m/>
    <m/>
    <m/>
  </r>
  <r>
    <s v="1 -Charges fixes"/>
    <x v="14"/>
    <m/>
    <s v="Locations LAGELANDEN - décembre 2016"/>
    <s v="LAGELANDEN"/>
    <m/>
    <n v="676.65"/>
    <n v="676.65"/>
    <n v="676.65"/>
    <m/>
    <s v="ENGAGE A CE JOUR"/>
    <d v="2016-12-15T00:00:00"/>
    <x v="3"/>
    <x v="30"/>
    <s v="2016"/>
    <m/>
    <m/>
    <m/>
    <m/>
    <m/>
  </r>
  <r>
    <s v="1 -Charges fixes"/>
    <x v="15"/>
    <m/>
    <m/>
    <m/>
    <n v="540"/>
    <m/>
    <m/>
    <m/>
    <m/>
    <m/>
    <m/>
    <x v="0"/>
    <x v="0"/>
    <m/>
    <m/>
    <m/>
    <m/>
    <m/>
    <m/>
  </r>
  <r>
    <s v="1 -Charges fixes"/>
    <x v="15"/>
    <m/>
    <s v="Frais de péage - janvier 2016"/>
    <s v="PEAGE"/>
    <m/>
    <n v="40"/>
    <n v="53.9"/>
    <n v="53.9"/>
    <s v="DECAISSE A CE JOUR"/>
    <m/>
    <d v="2016-01-17T00:00:00"/>
    <x v="1"/>
    <x v="25"/>
    <n v="2013"/>
    <m/>
    <m/>
    <m/>
    <m/>
    <m/>
  </r>
  <r>
    <s v="1 -Charges fixes"/>
    <x v="15"/>
    <m/>
    <s v="Frais de péage - février 2016"/>
    <s v="PEAGE"/>
    <m/>
    <n v="40"/>
    <n v="78.900000000000006"/>
    <n v="78.900000000000006"/>
    <s v="DECAISSE A CE JOUR"/>
    <m/>
    <d v="2016-02-17T00:00:00"/>
    <x v="1"/>
    <x v="31"/>
    <n v="2013"/>
    <m/>
    <m/>
    <m/>
    <m/>
    <m/>
  </r>
  <r>
    <s v="1 -Charges fixes"/>
    <x v="15"/>
    <m/>
    <s v="Frais de péage - mars 2016"/>
    <s v="PEAGE"/>
    <m/>
    <n v="40"/>
    <n v="40"/>
    <n v="40"/>
    <m/>
    <s v="ENGAGE A CE JOUR"/>
    <d v="2016-03-17T00:00:00"/>
    <x v="1"/>
    <x v="32"/>
    <n v="2013"/>
    <m/>
    <m/>
    <m/>
    <m/>
    <m/>
  </r>
  <r>
    <s v="1 -Charges fixes"/>
    <x v="15"/>
    <m/>
    <s v="Frais de péage - avril 2016"/>
    <s v="PEAGE"/>
    <m/>
    <n v="40"/>
    <n v="40"/>
    <n v="40"/>
    <m/>
    <s v="ENGAGE A CE JOUR"/>
    <d v="2016-04-17T00:00:00"/>
    <x v="1"/>
    <x v="26"/>
    <n v="2013"/>
    <m/>
    <m/>
    <m/>
    <m/>
    <m/>
  </r>
  <r>
    <s v="1 -Charges fixes"/>
    <x v="15"/>
    <m/>
    <s v="Frais de péage - mai 2016"/>
    <s v="PEAGE"/>
    <m/>
    <n v="40"/>
    <n v="40"/>
    <n v="40"/>
    <m/>
    <s v="ENGAGE A CE JOUR"/>
    <d v="2016-05-17T00:00:00"/>
    <x v="1"/>
    <x v="36"/>
    <n v="2013"/>
    <m/>
    <m/>
    <m/>
    <m/>
    <m/>
  </r>
  <r>
    <s v="1 -Charges fixes"/>
    <x v="15"/>
    <m/>
    <s v="Frais de péage - juin 2016"/>
    <s v="PEAGE"/>
    <m/>
    <n v="40"/>
    <n v="40"/>
    <n v="40"/>
    <m/>
    <s v="ENGAGE A CE JOUR"/>
    <d v="2016-06-17T00:00:00"/>
    <x v="1"/>
    <x v="33"/>
    <n v="2013"/>
    <m/>
    <m/>
    <m/>
    <m/>
    <m/>
  </r>
  <r>
    <s v="1 -Charges fixes"/>
    <x v="15"/>
    <m/>
    <s v="Frais de péage - juillet 2016"/>
    <s v="PEAGE"/>
    <m/>
    <n v="40"/>
    <n v="40"/>
    <n v="40"/>
    <m/>
    <s v="ENGAGE A CE JOUR"/>
    <d v="2016-07-17T00:00:00"/>
    <x v="1"/>
    <x v="27"/>
    <n v="2013"/>
    <m/>
    <m/>
    <m/>
    <m/>
    <m/>
  </r>
  <r>
    <s v="1 -Charges fixes"/>
    <x v="15"/>
    <m/>
    <s v="Frais de péage - aout 2016"/>
    <s v="PEAGE"/>
    <m/>
    <n v="40"/>
    <n v="40"/>
    <n v="40"/>
    <m/>
    <s v="ENGAGE A CE JOUR"/>
    <d v="2016-08-17T00:00:00"/>
    <x v="1"/>
    <x v="34"/>
    <n v="2013"/>
    <m/>
    <m/>
    <m/>
    <m/>
    <m/>
  </r>
  <r>
    <s v="1 -Charges fixes"/>
    <x v="15"/>
    <m/>
    <s v="Frais de péage - septembre 2016"/>
    <s v="PEAGE"/>
    <m/>
    <n v="40"/>
    <n v="40"/>
    <n v="40"/>
    <m/>
    <s v="ENGAGE A CE JOUR"/>
    <d v="2016-09-17T00:00:00"/>
    <x v="1"/>
    <x v="28"/>
    <n v="2013"/>
    <m/>
    <m/>
    <m/>
    <m/>
    <m/>
  </r>
  <r>
    <s v="1 -Charges fixes"/>
    <x v="15"/>
    <m/>
    <s v="Frais de péage - octobre 2016"/>
    <s v="PEAGE"/>
    <m/>
    <n v="40"/>
    <n v="40"/>
    <n v="40"/>
    <m/>
    <s v="ENGAGE A CE JOUR"/>
    <d v="2016-10-17T00:00:00"/>
    <x v="1"/>
    <x v="37"/>
    <s v="2014"/>
    <m/>
    <m/>
    <m/>
    <m/>
    <m/>
  </r>
  <r>
    <s v="1 -Charges fixes"/>
    <x v="15"/>
    <m/>
    <s v="Frais de péage - novembre 2016"/>
    <s v="PEAGE"/>
    <m/>
    <n v="40"/>
    <n v="40"/>
    <n v="40"/>
    <m/>
    <s v="ENGAGE A CE JOUR"/>
    <d v="2016-11-17T00:00:00"/>
    <x v="1"/>
    <x v="35"/>
    <n v="2013"/>
    <m/>
    <m/>
    <m/>
    <m/>
    <m/>
  </r>
  <r>
    <s v="1 -Charges fixes"/>
    <x v="15"/>
    <m/>
    <s v="Frais de péage - décembre 2016"/>
    <s v="PEAGE"/>
    <m/>
    <n v="40"/>
    <n v="40"/>
    <n v="40"/>
    <m/>
    <s v="ENGAGE A CE JOUR"/>
    <d v="2016-12-17T00:00:00"/>
    <x v="1"/>
    <x v="30"/>
    <n v="2013"/>
    <m/>
    <m/>
    <m/>
    <m/>
    <m/>
  </r>
  <r>
    <s v="1 -Charges fixes"/>
    <x v="16"/>
    <m/>
    <m/>
    <m/>
    <n v="16200"/>
    <m/>
    <m/>
    <m/>
    <m/>
    <m/>
    <m/>
    <x v="0"/>
    <x v="0"/>
    <m/>
    <m/>
    <m/>
    <m/>
    <m/>
    <m/>
  </r>
  <r>
    <s v="1 -Charges fixes"/>
    <x v="16"/>
    <m/>
    <s v="Urssaf chirurgien - janvier 2016"/>
    <s v="URSSAF"/>
    <m/>
    <n v="1350"/>
    <n v="1313"/>
    <n v="1313"/>
    <s v="DECAISSE A CE JOUR"/>
    <m/>
    <d v="2016-01-21T00:00:00"/>
    <x v="1"/>
    <x v="38"/>
    <s v="2016"/>
    <m/>
    <m/>
    <d v="2016-01-01T00:00:00"/>
    <m/>
    <n v="1313"/>
  </r>
  <r>
    <s v="1 -Charges fixes"/>
    <x v="16"/>
    <m/>
    <s v="Urssaf chirurgien - février 2016"/>
    <s v="URSSAF"/>
    <m/>
    <n v="1350"/>
    <n v="1498"/>
    <n v="1498"/>
    <s v="DECAISSE A CE JOUR"/>
    <m/>
    <d v="2016-02-21T00:00:00"/>
    <x v="1"/>
    <x v="31"/>
    <s v="2016"/>
    <m/>
    <m/>
    <d v="2016-02-01T00:00:00"/>
    <m/>
    <n v="1498"/>
  </r>
  <r>
    <s v="1 -Charges fixes"/>
    <x v="16"/>
    <m/>
    <s v="Urssaf chirurgien - mars 2016"/>
    <s v="URSSAF"/>
    <m/>
    <n v="1350"/>
    <n v="1313"/>
    <n v="1313"/>
    <m/>
    <s v="ENGAGE A CE JOUR"/>
    <d v="2016-03-21T00:00:00"/>
    <x v="1"/>
    <x v="39"/>
    <s v="2016"/>
    <m/>
    <m/>
    <d v="2016-03-01T00:00:00"/>
    <m/>
    <n v="1350"/>
  </r>
  <r>
    <s v="1 -Charges fixes"/>
    <x v="16"/>
    <m/>
    <s v="Urssaf chirurgien - avril 2016"/>
    <s v="URSSAF"/>
    <m/>
    <n v="1350"/>
    <n v="1350"/>
    <n v="1350"/>
    <m/>
    <s v="ENGAGE A CE JOUR"/>
    <d v="2016-04-21T00:00:00"/>
    <x v="1"/>
    <x v="40"/>
    <s v="2016"/>
    <m/>
    <m/>
    <d v="2016-04-01T00:00:00"/>
    <m/>
    <n v="1350"/>
  </r>
  <r>
    <s v="1 -Charges fixes"/>
    <x v="16"/>
    <m/>
    <s v="Urssaf chirurgien - mai 2016"/>
    <s v="URSSAF"/>
    <m/>
    <n v="1350"/>
    <n v="1350"/>
    <n v="1350"/>
    <m/>
    <s v="ENGAGE A CE JOUR"/>
    <d v="2016-05-21T00:00:00"/>
    <x v="1"/>
    <x v="36"/>
    <s v="2016"/>
    <m/>
    <m/>
    <d v="2016-05-01T00:00:00"/>
    <m/>
    <n v="1350"/>
  </r>
  <r>
    <s v="1 -Charges fixes"/>
    <x v="16"/>
    <m/>
    <s v="Urssaf chirurgien - juin 2016"/>
    <s v="URSSAF"/>
    <m/>
    <n v="1350"/>
    <n v="1350"/>
    <n v="1350"/>
    <m/>
    <s v="ENGAGE A CE JOUR"/>
    <d v="2016-06-21T00:00:00"/>
    <x v="1"/>
    <x v="41"/>
    <s v="2016"/>
    <m/>
    <m/>
    <d v="2016-06-01T00:00:00"/>
    <m/>
    <n v="1350"/>
  </r>
  <r>
    <s v="1 -Charges fixes"/>
    <x v="16"/>
    <m/>
    <s v="Urssaf chirurgien - juillet 2016"/>
    <s v="URSSAF"/>
    <m/>
    <n v="1350"/>
    <n v="1350"/>
    <n v="1350"/>
    <m/>
    <s v="ENGAGE A CE JOUR"/>
    <d v="2016-07-21T00:00:00"/>
    <x v="1"/>
    <x v="42"/>
    <s v="2016"/>
    <m/>
    <m/>
    <d v="2016-07-01T00:00:00"/>
    <m/>
    <n v="1350"/>
  </r>
  <r>
    <s v="1 -Charges fixes"/>
    <x v="16"/>
    <m/>
    <s v="Urssaf chirurgien - aout 2016"/>
    <s v="URSSAF"/>
    <m/>
    <n v="1350"/>
    <n v="1350"/>
    <n v="1350"/>
    <m/>
    <s v="ENGAGE A CE JOUR"/>
    <d v="2016-08-21T00:00:00"/>
    <x v="1"/>
    <x v="34"/>
    <s v="2016"/>
    <m/>
    <m/>
    <d v="2016-08-01T00:00:00"/>
    <m/>
    <n v="1350"/>
  </r>
  <r>
    <s v="1 -Charges fixes"/>
    <x v="16"/>
    <m/>
    <s v="Urssaf chirurgien - septembre 2016"/>
    <s v="URSSAF"/>
    <m/>
    <n v="1350"/>
    <n v="1350"/>
    <n v="1350"/>
    <m/>
    <s v="ENGAGE A CE JOUR"/>
    <d v="2016-09-21T00:00:00"/>
    <x v="1"/>
    <x v="43"/>
    <s v="2016"/>
    <m/>
    <m/>
    <d v="2016-09-01T00:00:00"/>
    <m/>
    <n v="1350"/>
  </r>
  <r>
    <s v="1 -Charges fixes"/>
    <x v="16"/>
    <m/>
    <s v="Urssaf chirurgien - octobre 2016"/>
    <s v="URSSAF"/>
    <m/>
    <n v="1350"/>
    <n v="1350"/>
    <n v="1350"/>
    <m/>
    <s v="ENGAGE A CE JOUR"/>
    <d v="2016-10-21T00:00:00"/>
    <x v="1"/>
    <x v="37"/>
    <s v="2016"/>
    <m/>
    <m/>
    <d v="2016-10-01T00:00:00"/>
    <m/>
    <n v="1350"/>
  </r>
  <r>
    <s v="1 -Charges fixes"/>
    <x v="16"/>
    <m/>
    <s v="Urssaf chirurgien - novembre 2016"/>
    <s v="URSSAF"/>
    <m/>
    <n v="1350"/>
    <n v="1350"/>
    <n v="1350"/>
    <m/>
    <s v="ENGAGE A CE JOUR"/>
    <d v="2016-11-21T00:00:00"/>
    <x v="1"/>
    <x v="44"/>
    <s v="2016"/>
    <m/>
    <m/>
    <d v="2016-11-01T00:00:00"/>
    <m/>
    <n v="1350"/>
  </r>
  <r>
    <s v="1 -Charges fixes"/>
    <x v="16"/>
    <m/>
    <s v="Urssaf chirurgien - décembre 2016"/>
    <s v="URSSAF"/>
    <m/>
    <n v="1350"/>
    <n v="1350"/>
    <n v="1350"/>
    <m/>
    <s v="ENGAGE A CE JOUR"/>
    <d v="2016-12-21T00:00:00"/>
    <x v="1"/>
    <x v="45"/>
    <s v="2016"/>
    <m/>
    <m/>
    <d v="2016-12-01T00:00:00"/>
    <m/>
    <n v="1350"/>
  </r>
  <r>
    <s v="1 -Charges fixes"/>
    <x v="17"/>
    <m/>
    <m/>
    <m/>
    <n v="800.87999999999988"/>
    <m/>
    <m/>
    <m/>
    <m/>
    <m/>
    <m/>
    <x v="0"/>
    <x v="0"/>
    <m/>
    <m/>
    <m/>
    <m/>
    <m/>
    <m/>
  </r>
  <r>
    <s v="1 -Charges fixes"/>
    <x v="18"/>
    <m/>
    <s v="Téléphonie fixe - janvier 2016"/>
    <s v="ORANGE"/>
    <m/>
    <n v="66.739999999999995"/>
    <n v="64.38"/>
    <n v="64.38"/>
    <s v="DECAISSE A CE JOUR"/>
    <m/>
    <d v="2016-01-23T00:00:00"/>
    <x v="1"/>
    <x v="38"/>
    <s v="2016"/>
    <m/>
    <m/>
    <m/>
    <m/>
    <m/>
  </r>
  <r>
    <s v="1 -Charges fixes"/>
    <x v="18"/>
    <m/>
    <s v="Téléphonie fixe - février 2016"/>
    <s v="ORANGE"/>
    <m/>
    <n v="66.739999999999995"/>
    <n v="0"/>
    <n v="0"/>
    <s v="DECAISSE A CE JOUR"/>
    <m/>
    <d v="2016-02-23T00:00:00"/>
    <x v="1"/>
    <x v="46"/>
    <s v="2016"/>
    <m/>
    <m/>
    <m/>
    <m/>
    <m/>
  </r>
  <r>
    <s v="1 -Charges fixes"/>
    <x v="18"/>
    <m/>
    <s v="Téléphonie fixe - mars 2016"/>
    <s v="ORANGE"/>
    <m/>
    <n v="66.739999999999995"/>
    <n v="66.739999999999995"/>
    <n v="66.739999999999995"/>
    <m/>
    <s v="ENGAGE A CE JOUR"/>
    <d v="2016-03-23T00:00:00"/>
    <x v="1"/>
    <x v="39"/>
    <s v="2016"/>
    <m/>
    <m/>
    <m/>
    <m/>
    <m/>
  </r>
  <r>
    <s v="1 -Charges fixes"/>
    <x v="18"/>
    <m/>
    <s v="Téléphonie fixe - avril 2016"/>
    <s v="ORANGE"/>
    <m/>
    <n v="66.739999999999995"/>
    <n v="0"/>
    <n v="0"/>
    <m/>
    <s v="ENGAGE A CE JOUR"/>
    <d v="2016-04-23T00:00:00"/>
    <x v="1"/>
    <x v="40"/>
    <s v="2016"/>
    <m/>
    <m/>
    <m/>
    <m/>
    <m/>
  </r>
  <r>
    <s v="1 -Charges fixes"/>
    <x v="18"/>
    <m/>
    <s v="Téléphonie fixe - mai 2016"/>
    <s v="ORANGE"/>
    <m/>
    <n v="66.739999999999995"/>
    <n v="66.739999999999995"/>
    <n v="66.739999999999995"/>
    <m/>
    <s v="ENGAGE A CE JOUR"/>
    <d v="2016-05-23T00:00:00"/>
    <x v="1"/>
    <x v="47"/>
    <s v="2016"/>
    <m/>
    <m/>
    <m/>
    <m/>
    <m/>
  </r>
  <r>
    <s v="1 -Charges fixes"/>
    <x v="18"/>
    <m/>
    <s v="Téléphonie fixe - juin 2016"/>
    <s v="ORANGE"/>
    <m/>
    <n v="66.739999999999995"/>
    <n v="0"/>
    <n v="0"/>
    <m/>
    <s v="ENGAGE A CE JOUR"/>
    <d v="2016-06-23T00:00:00"/>
    <x v="1"/>
    <x v="41"/>
    <s v="2016"/>
    <m/>
    <m/>
    <m/>
    <m/>
    <m/>
  </r>
  <r>
    <s v="1 -Charges fixes"/>
    <x v="18"/>
    <m/>
    <s v="Téléphonie fixe - juillet 2016"/>
    <s v="ORANGE"/>
    <m/>
    <n v="66.739999999999995"/>
    <n v="66.739999999999995"/>
    <n v="66.739999999999995"/>
    <m/>
    <s v="ENGAGE A CE JOUR"/>
    <d v="2016-07-23T00:00:00"/>
    <x v="1"/>
    <x v="42"/>
    <s v="2016"/>
    <m/>
    <m/>
    <m/>
    <m/>
    <m/>
  </r>
  <r>
    <s v="1 -Charges fixes"/>
    <x v="18"/>
    <m/>
    <s v="Téléphonie fixe - aout 2016"/>
    <s v="ORANGE"/>
    <m/>
    <n v="66.739999999999995"/>
    <n v="0"/>
    <n v="0"/>
    <m/>
    <s v="ENGAGE A CE JOUR"/>
    <d v="2016-08-23T00:00:00"/>
    <x v="1"/>
    <x v="48"/>
    <s v="2016"/>
    <m/>
    <m/>
    <m/>
    <m/>
    <m/>
  </r>
  <r>
    <s v="1 -Charges fixes"/>
    <x v="18"/>
    <m/>
    <s v="Téléphonie fixe - septembre 2016"/>
    <s v="ORANGE"/>
    <m/>
    <n v="66.739999999999995"/>
    <n v="66.739999999999995"/>
    <n v="66.739999999999995"/>
    <m/>
    <s v="ENGAGE A CE JOUR"/>
    <d v="2016-09-23T00:00:00"/>
    <x v="1"/>
    <x v="43"/>
    <s v="2016"/>
    <m/>
    <m/>
    <m/>
    <m/>
    <m/>
  </r>
  <r>
    <s v="1 -Charges fixes"/>
    <x v="18"/>
    <m/>
    <s v="Téléphonie fixe - octobre 2016"/>
    <s v="ORANGE"/>
    <m/>
    <n v="66.739999999999995"/>
    <n v="0"/>
    <n v="0"/>
    <m/>
    <s v="ENGAGE A CE JOUR"/>
    <d v="2016-10-23T00:00:00"/>
    <x v="1"/>
    <x v="37"/>
    <s v="2016"/>
    <m/>
    <m/>
    <m/>
    <m/>
    <m/>
  </r>
  <r>
    <s v="1 -Charges fixes"/>
    <x v="18"/>
    <m/>
    <s v="Téléphonie fixe - novembre 2016"/>
    <s v="ORANGE"/>
    <m/>
    <n v="66.739999999999995"/>
    <n v="66.739999999999995"/>
    <n v="66.739999999999995"/>
    <m/>
    <s v="ENGAGE A CE JOUR"/>
    <d v="2016-11-23T00:00:00"/>
    <x v="1"/>
    <x v="44"/>
    <s v="2016"/>
    <m/>
    <m/>
    <m/>
    <m/>
    <m/>
  </r>
  <r>
    <s v="1 -Charges fixes"/>
    <x v="18"/>
    <m/>
    <s v="Téléphonie fixe - decembre 2016"/>
    <s v="ORANGE"/>
    <m/>
    <n v="66.739999999999995"/>
    <n v="0"/>
    <n v="0"/>
    <m/>
    <s v="ENGAGE A CE JOUR"/>
    <d v="2016-12-23T00:00:00"/>
    <x v="1"/>
    <x v="45"/>
    <s v="2016"/>
    <m/>
    <m/>
    <m/>
    <m/>
    <m/>
  </r>
  <r>
    <s v="1 -Charges fixes"/>
    <x v="19"/>
    <m/>
    <m/>
    <m/>
    <n v="38150.119999999995"/>
    <m/>
    <m/>
    <m/>
    <m/>
    <m/>
    <m/>
    <x v="0"/>
    <x v="0"/>
    <m/>
    <m/>
    <m/>
    <m/>
    <m/>
    <m/>
  </r>
  <r>
    <s v="1 -Charges fixes"/>
    <x v="19"/>
    <m/>
    <s v="Assistante salaire net - janvier 2016"/>
    <s v="Florence Auclerc"/>
    <m/>
    <n v="1789.51"/>
    <n v="1789.51"/>
    <n v="1789.51"/>
    <s v="DECAISSE A CE JOUR"/>
    <m/>
    <d v="2016-01-23T00:00:00"/>
    <x v="2"/>
    <x v="38"/>
    <s v="2016"/>
    <m/>
    <m/>
    <d v="2016-01-01T00:00:00"/>
    <n v="1789.51"/>
    <m/>
  </r>
  <r>
    <s v="1 -Charges fixes"/>
    <x v="19"/>
    <m/>
    <s v="Assistante salaire net - février 2016"/>
    <s v="Florence Auclerc"/>
    <m/>
    <n v="1789.51"/>
    <n v="1789.51"/>
    <n v="1789.51"/>
    <s v="DECAISSE A CE JOUR"/>
    <m/>
    <d v="2016-02-23T00:00:00"/>
    <x v="2"/>
    <x v="46"/>
    <s v="2016"/>
    <m/>
    <m/>
    <d v="2016-02-01T00:00:00"/>
    <n v="1789.51"/>
    <m/>
  </r>
  <r>
    <s v="1 -Charges fixes"/>
    <x v="19"/>
    <m/>
    <s v="Assistante salaire net - mars 2016"/>
    <s v="Florence Auclerc"/>
    <m/>
    <n v="1789.51"/>
    <n v="1789.51"/>
    <n v="1789.51"/>
    <m/>
    <s v="ENGAGE A CE JOUR"/>
    <d v="2016-03-23T00:00:00"/>
    <x v="2"/>
    <x v="39"/>
    <s v="2016"/>
    <m/>
    <m/>
    <d v="2016-03-01T00:00:00"/>
    <n v="1789.51"/>
    <m/>
  </r>
  <r>
    <s v="1 -Charges fixes"/>
    <x v="19"/>
    <m/>
    <s v="Assistante salaire net - avril 2016"/>
    <s v="Florence Auclerc"/>
    <m/>
    <n v="1789.51"/>
    <n v="1789.51"/>
    <n v="1789.51"/>
    <m/>
    <s v="ENGAGE A CE JOUR"/>
    <d v="2016-04-23T00:00:00"/>
    <x v="2"/>
    <x v="40"/>
    <s v="2016"/>
    <m/>
    <m/>
    <d v="2016-04-01T00:00:00"/>
    <n v="1789.51"/>
    <m/>
  </r>
  <r>
    <s v="1 -Charges fixes"/>
    <x v="19"/>
    <m/>
    <s v="Assistante salaire net - mai 2016"/>
    <s v="Florence Auclerc"/>
    <m/>
    <n v="1789.51"/>
    <n v="1789.51"/>
    <n v="1789.51"/>
    <m/>
    <s v="ENGAGE A CE JOUR"/>
    <d v="2016-05-23T00:00:00"/>
    <x v="2"/>
    <x v="47"/>
    <s v="2016"/>
    <m/>
    <m/>
    <d v="2016-05-01T00:00:00"/>
    <n v="1789.51"/>
    <m/>
  </r>
  <r>
    <s v="1 -Charges fixes"/>
    <x v="19"/>
    <m/>
    <s v="Assistante salaire net - juin 2016"/>
    <s v="Florence Auclerc"/>
    <m/>
    <n v="1789.51"/>
    <n v="1789.51"/>
    <n v="1789.51"/>
    <m/>
    <s v="ENGAGE A CE JOUR"/>
    <d v="2016-06-23T00:00:00"/>
    <x v="2"/>
    <x v="41"/>
    <s v="2016"/>
    <m/>
    <m/>
    <d v="2016-06-01T00:00:00"/>
    <n v="1789.51"/>
    <m/>
  </r>
  <r>
    <s v="1 -Charges fixes"/>
    <x v="19"/>
    <m/>
    <s v="Assistante salaire net - juillet 2016"/>
    <s v="Florence Auclerc"/>
    <m/>
    <n v="1789.51"/>
    <n v="1789.51"/>
    <n v="1789.51"/>
    <m/>
    <s v="ENGAGE A CE JOUR"/>
    <d v="2016-07-23T00:00:00"/>
    <x v="2"/>
    <x v="42"/>
    <s v="2016"/>
    <m/>
    <m/>
    <d v="2016-07-01T00:00:00"/>
    <n v="1789.51"/>
    <m/>
  </r>
  <r>
    <s v="1 -Charges fixes"/>
    <x v="19"/>
    <m/>
    <s v="Assistante salaire net - aout 2016"/>
    <s v="Florence Auclerc"/>
    <m/>
    <n v="1789.51"/>
    <n v="1789.51"/>
    <n v="1789.51"/>
    <m/>
    <s v="ENGAGE A CE JOUR"/>
    <d v="2016-08-23T00:00:00"/>
    <x v="2"/>
    <x v="48"/>
    <s v="2016"/>
    <m/>
    <m/>
    <d v="2016-08-01T00:00:00"/>
    <n v="1789.51"/>
    <m/>
  </r>
  <r>
    <s v="1 -Charges fixes"/>
    <x v="19"/>
    <m/>
    <s v="Assistante salaire net - septembre 2016"/>
    <s v="Florence Auclerc"/>
    <m/>
    <n v="1789.51"/>
    <n v="1789.51"/>
    <n v="1789.51"/>
    <m/>
    <s v="ENGAGE A CE JOUR"/>
    <d v="2016-09-23T00:00:00"/>
    <x v="2"/>
    <x v="43"/>
    <s v="2016"/>
    <m/>
    <m/>
    <d v="2016-09-01T00:00:00"/>
    <n v="1789.51"/>
    <m/>
  </r>
  <r>
    <s v="1 -Charges fixes"/>
    <x v="19"/>
    <m/>
    <s v="Assistante salaire net - octobre 2016"/>
    <s v="Florence Auclerc"/>
    <m/>
    <n v="1789.51"/>
    <n v="1789.51"/>
    <n v="1789.51"/>
    <m/>
    <s v="ENGAGE A CE JOUR"/>
    <d v="2016-10-23T00:00:00"/>
    <x v="2"/>
    <x v="37"/>
    <s v="2016"/>
    <m/>
    <m/>
    <d v="2016-10-01T00:00:00"/>
    <n v="1789.51"/>
    <m/>
  </r>
  <r>
    <s v="1 -Charges fixes"/>
    <x v="19"/>
    <m/>
    <s v="Assistante salaire net - novembre 2016"/>
    <s v="Florence Auclerc"/>
    <m/>
    <n v="1789.51"/>
    <n v="1789.51"/>
    <n v="1789.51"/>
    <m/>
    <s v="ENGAGE A CE JOUR"/>
    <d v="2016-11-23T00:00:00"/>
    <x v="2"/>
    <x v="44"/>
    <s v="2016"/>
    <m/>
    <m/>
    <d v="2016-11-01T00:00:00"/>
    <n v="1789.51"/>
    <m/>
  </r>
  <r>
    <s v="1 -Charges fixes"/>
    <x v="19"/>
    <m/>
    <s v="Assistante salaire net - decembre 2016"/>
    <s v="Florence Auclerc"/>
    <m/>
    <n v="1789.51"/>
    <n v="1789.51"/>
    <n v="1789.51"/>
    <m/>
    <s v="ENGAGE A CE JOUR"/>
    <d v="2016-12-23T00:00:00"/>
    <x v="2"/>
    <x v="45"/>
    <s v="2016"/>
    <m/>
    <m/>
    <d v="2016-12-01T00:00:00"/>
    <n v="1789.51"/>
    <m/>
  </r>
  <r>
    <s v="1 -Charges fixes"/>
    <x v="19"/>
    <m/>
    <s v="Assistante charges sociales - janvier 2016"/>
    <s v="Florence Auclerc"/>
    <m/>
    <n v="4169"/>
    <n v="4169"/>
    <n v="4169"/>
    <s v="DECAISSE A CE JOUR"/>
    <m/>
    <d v="2016-01-23T00:00:00"/>
    <x v="2"/>
    <x v="38"/>
    <s v="2016"/>
    <m/>
    <m/>
    <d v="2016-01-01T00:00:00"/>
    <m/>
    <n v="4169"/>
  </r>
  <r>
    <s v="1 -Charges fixes"/>
    <x v="19"/>
    <m/>
    <s v="Assistante charges sociales - février 2016"/>
    <s v="Florence Auclerc"/>
    <m/>
    <n v="0"/>
    <s v="ERREUR"/>
    <s v="ERREUR"/>
    <s v="DECAISSE A CE JOUR"/>
    <m/>
    <d v="2016-02-23T00:00:00"/>
    <x v="2"/>
    <x v="46"/>
    <s v="2016"/>
    <m/>
    <m/>
    <d v="2016-02-01T00:00:00"/>
    <m/>
    <s v="ERREUR"/>
  </r>
  <r>
    <s v="1 -Charges fixes"/>
    <x v="19"/>
    <m/>
    <s v="Assistante charges sociales - mars 2016"/>
    <s v="Florence Auclerc"/>
    <m/>
    <n v="0"/>
    <n v="0"/>
    <n v="0"/>
    <m/>
    <s v="ENGAGE A CE JOUR"/>
    <d v="2016-03-23T00:00:00"/>
    <x v="2"/>
    <x v="39"/>
    <s v="2016"/>
    <m/>
    <m/>
    <d v="2016-03-01T00:00:00"/>
    <m/>
    <n v="0"/>
  </r>
  <r>
    <s v="1 -Charges fixes"/>
    <x v="19"/>
    <m/>
    <s v="Assistante charges sociales - avril 2016"/>
    <s v="Florence Auclerc"/>
    <m/>
    <n v="4169"/>
    <n v="4169"/>
    <n v="4169"/>
    <m/>
    <s v="ENGAGE A CE JOUR"/>
    <d v="2016-04-23T00:00:00"/>
    <x v="2"/>
    <x v="40"/>
    <s v="2016"/>
    <m/>
    <m/>
    <d v="2016-04-01T00:00:00"/>
    <m/>
    <n v="4169"/>
  </r>
  <r>
    <s v="1 -Charges fixes"/>
    <x v="19"/>
    <m/>
    <s v="Assistante charges sociales - mai 2016"/>
    <s v="Florence Auclerc"/>
    <m/>
    <n v="0"/>
    <n v="0"/>
    <n v="0"/>
    <m/>
    <s v="ENGAGE A CE JOUR"/>
    <d v="2016-05-23T00:00:00"/>
    <x v="2"/>
    <x v="47"/>
    <s v="2016"/>
    <m/>
    <m/>
    <d v="2016-05-01T00:00:00"/>
    <m/>
    <n v="0"/>
  </r>
  <r>
    <s v="1 -Charges fixes"/>
    <x v="19"/>
    <m/>
    <s v="Assistante charges sociales - juin 2016"/>
    <s v="Florence Auclerc"/>
    <m/>
    <n v="0"/>
    <n v="0"/>
    <n v="0"/>
    <m/>
    <s v="ENGAGE A CE JOUR"/>
    <d v="2016-06-23T00:00:00"/>
    <x v="2"/>
    <x v="41"/>
    <s v="2016"/>
    <m/>
    <m/>
    <d v="2016-06-01T00:00:00"/>
    <m/>
    <n v="0"/>
  </r>
  <r>
    <s v="1 -Charges fixes"/>
    <x v="19"/>
    <m/>
    <s v="Assistante charges sociales - juillet 2016"/>
    <s v="Florence Auclerc"/>
    <m/>
    <n v="4169"/>
    <n v="4169"/>
    <n v="4169"/>
    <m/>
    <s v="ENGAGE A CE JOUR"/>
    <d v="2016-07-23T00:00:00"/>
    <x v="2"/>
    <x v="42"/>
    <s v="2016"/>
    <m/>
    <m/>
    <d v="2016-07-01T00:00:00"/>
    <m/>
    <n v="4169"/>
  </r>
  <r>
    <s v="1 -Charges fixes"/>
    <x v="19"/>
    <m/>
    <s v="Assistante charges sociales - aout 2016"/>
    <s v="Florence Auclerc"/>
    <m/>
    <n v="0"/>
    <n v="0"/>
    <n v="0"/>
    <m/>
    <s v="ENGAGE A CE JOUR"/>
    <d v="2016-08-23T00:00:00"/>
    <x v="2"/>
    <x v="48"/>
    <s v="2016"/>
    <m/>
    <m/>
    <d v="2016-08-01T00:00:00"/>
    <m/>
    <n v="0"/>
  </r>
  <r>
    <s v="1 -Charges fixes"/>
    <x v="19"/>
    <m/>
    <s v="Assistante charges sociales - septembre 2016"/>
    <s v="Florence Auclerc"/>
    <m/>
    <n v="0"/>
    <n v="0"/>
    <n v="0"/>
    <m/>
    <s v="ENGAGE A CE JOUR"/>
    <d v="2016-09-23T00:00:00"/>
    <x v="2"/>
    <x v="43"/>
    <s v="2016"/>
    <m/>
    <m/>
    <d v="2016-09-01T00:00:00"/>
    <m/>
    <n v="0"/>
  </r>
  <r>
    <s v="1 -Charges fixes"/>
    <x v="19"/>
    <m/>
    <s v="Assistante charges sociales - octobre 2016"/>
    <s v="Florence Auclerc"/>
    <m/>
    <n v="4169"/>
    <n v="4169"/>
    <n v="4169"/>
    <m/>
    <s v="ENGAGE A CE JOUR"/>
    <d v="2016-10-23T00:00:00"/>
    <x v="2"/>
    <x v="37"/>
    <s v="2016"/>
    <m/>
    <m/>
    <d v="2016-10-01T00:00:00"/>
    <m/>
    <n v="4169"/>
  </r>
  <r>
    <s v="1 -Charges fixes"/>
    <x v="19"/>
    <m/>
    <s v="Assistante charges sociales - novembre 2016"/>
    <s v="Florence Auclerc"/>
    <m/>
    <n v="0"/>
    <n v="0"/>
    <n v="0"/>
    <m/>
    <s v="ENGAGE A CE JOUR"/>
    <d v="2016-11-23T00:00:00"/>
    <x v="2"/>
    <x v="44"/>
    <s v="2016"/>
    <m/>
    <m/>
    <d v="2016-11-01T00:00:00"/>
    <m/>
    <n v="0"/>
  </r>
  <r>
    <s v="1 -Charges fixes"/>
    <x v="19"/>
    <m/>
    <s v="Assistante charges sociales - decembre 2016"/>
    <s v="Florence Auclerc"/>
    <m/>
    <n v="0"/>
    <n v="0"/>
    <n v="0"/>
    <m/>
    <s v="ENGAGE A CE JOUR"/>
    <d v="2016-12-23T00:00:00"/>
    <x v="2"/>
    <x v="45"/>
    <s v="2016"/>
    <m/>
    <m/>
    <d v="2016-12-01T00:00:00"/>
    <m/>
    <n v="0"/>
  </r>
  <r>
    <s v="1 -Charges fixes"/>
    <x v="20"/>
    <m/>
    <m/>
    <m/>
    <n v="24000"/>
    <m/>
    <m/>
    <m/>
    <m/>
    <m/>
    <m/>
    <x v="0"/>
    <x v="0"/>
    <m/>
    <m/>
    <m/>
    <m/>
    <m/>
    <m/>
  </r>
  <r>
    <s v="1 -Charges fixes"/>
    <x v="20"/>
    <m/>
    <s v="Loyer cabinet - janvier 2016"/>
    <s v="ETELI"/>
    <m/>
    <n v="2000"/>
    <n v="2000"/>
    <n v="1789.51"/>
    <s v="DECAISSE A CE JOUR"/>
    <m/>
    <d v="2016-01-29T00:00:00"/>
    <x v="2"/>
    <x v="49"/>
    <s v="2016"/>
    <m/>
    <m/>
    <m/>
    <m/>
    <m/>
  </r>
  <r>
    <s v="1 -Charges fixes"/>
    <x v="20"/>
    <m/>
    <s v="Loyer cabinet - février 2016"/>
    <s v="ETELI"/>
    <m/>
    <n v="2000"/>
    <n v="2000"/>
    <n v="2000"/>
    <s v="DECAISSE A CE JOUR"/>
    <m/>
    <d v="2016-02-29T00:00:00"/>
    <x v="2"/>
    <x v="3"/>
    <s v="2016"/>
    <m/>
    <m/>
    <m/>
    <m/>
    <m/>
  </r>
  <r>
    <s v="1 -Charges fixes"/>
    <x v="20"/>
    <m/>
    <s v="Loyer cabinet - mars 2016"/>
    <s v="ETELI"/>
    <m/>
    <n v="2000"/>
    <n v="2000"/>
    <n v="2000"/>
    <m/>
    <s v="ENGAGE A CE JOUR"/>
    <d v="2016-03-29T00:00:00"/>
    <x v="2"/>
    <x v="4"/>
    <s v="2016"/>
    <m/>
    <m/>
    <m/>
    <m/>
    <m/>
  </r>
  <r>
    <s v="1 -Charges fixes"/>
    <x v="20"/>
    <m/>
    <s v="Loyer cabinet - avril 2016"/>
    <s v="ETELI"/>
    <m/>
    <n v="2000"/>
    <n v="2000"/>
    <n v="2000"/>
    <m/>
    <s v="ENGAGE A CE JOUR"/>
    <d v="2016-04-29T00:00:00"/>
    <x v="2"/>
    <x v="5"/>
    <s v="2016"/>
    <m/>
    <m/>
    <m/>
    <m/>
    <m/>
  </r>
  <r>
    <s v="1 -Charges fixes"/>
    <x v="20"/>
    <m/>
    <s v="Loyer cabinet - mai 2016"/>
    <s v="ETELI"/>
    <m/>
    <n v="2000"/>
    <n v="2000"/>
    <n v="2000"/>
    <m/>
    <s v="ENGAGE A CE JOUR"/>
    <d v="2016-05-29T00:00:00"/>
    <x v="2"/>
    <x v="47"/>
    <s v="2016"/>
    <m/>
    <m/>
    <m/>
    <m/>
    <m/>
  </r>
  <r>
    <s v="1 -Charges fixes"/>
    <x v="20"/>
    <m/>
    <s v="Loyer cabinet - juin 2016"/>
    <s v="ETELI"/>
    <m/>
    <n v="2000"/>
    <n v="2000"/>
    <n v="2000"/>
    <m/>
    <s v="ENGAGE A CE JOUR"/>
    <d v="2016-06-29T00:00:00"/>
    <x v="2"/>
    <x v="7"/>
    <s v="2016"/>
    <m/>
    <m/>
    <m/>
    <m/>
    <m/>
  </r>
  <r>
    <s v="1 -Charges fixes"/>
    <x v="20"/>
    <m/>
    <s v="Loyer cabinet - juillet 2016"/>
    <s v="ETELI"/>
    <m/>
    <n v="2000"/>
    <n v="2000"/>
    <n v="2000"/>
    <m/>
    <s v="ENGAGE A CE JOUR"/>
    <d v="2016-07-29T00:00:00"/>
    <x v="2"/>
    <x v="50"/>
    <s v="2016"/>
    <m/>
    <m/>
    <m/>
    <m/>
    <m/>
  </r>
  <r>
    <s v="1 -Charges fixes"/>
    <x v="20"/>
    <m/>
    <s v="Loyer cabinet - aout 2016"/>
    <s v="ETELI"/>
    <m/>
    <n v="2000"/>
    <n v="2000"/>
    <n v="2000"/>
    <m/>
    <s v="ENGAGE A CE JOUR"/>
    <d v="2016-08-29T00:00:00"/>
    <x v="2"/>
    <x v="9"/>
    <s v="2016"/>
    <m/>
    <m/>
    <m/>
    <m/>
    <m/>
  </r>
  <r>
    <s v="1 -Charges fixes"/>
    <x v="20"/>
    <m/>
    <s v="Loyer cabinet - septembre 2016"/>
    <s v="ETELI"/>
    <m/>
    <n v="2000"/>
    <n v="2000"/>
    <n v="2000"/>
    <m/>
    <s v="ENGAGE A CE JOUR"/>
    <d v="2016-09-29T00:00:00"/>
    <x v="2"/>
    <x v="10"/>
    <s v="2016"/>
    <m/>
    <m/>
    <m/>
    <m/>
    <m/>
  </r>
  <r>
    <s v="1 -Charges fixes"/>
    <x v="20"/>
    <m/>
    <s v="Loyer cabinet - octobre 2016"/>
    <s v="ETELI"/>
    <m/>
    <n v="2000"/>
    <n v="2000"/>
    <n v="2000"/>
    <m/>
    <s v="ENGAGE A CE JOUR"/>
    <d v="2016-10-29T00:00:00"/>
    <x v="2"/>
    <x v="51"/>
    <s v="2016"/>
    <m/>
    <m/>
    <m/>
    <m/>
    <m/>
  </r>
  <r>
    <s v="1 -Charges fixes"/>
    <x v="20"/>
    <m/>
    <s v="Loyer cabinet - novembre 2016"/>
    <s v="ETELI"/>
    <m/>
    <n v="2000"/>
    <n v="2000"/>
    <n v="2000"/>
    <m/>
    <s v="ENGAGE A CE JOUR"/>
    <d v="2016-11-29T00:00:00"/>
    <x v="2"/>
    <x v="12"/>
    <s v="2016"/>
    <m/>
    <m/>
    <m/>
    <m/>
    <m/>
  </r>
  <r>
    <s v="1 -Charges fixes"/>
    <x v="20"/>
    <m/>
    <s v="Loyer cabinet - decembre 2016"/>
    <s v="ETELI"/>
    <m/>
    <n v="2000"/>
    <n v="2000"/>
    <n v="2000"/>
    <m/>
    <s v="ENGAGE A CE JOUR"/>
    <d v="2016-12-29T00:00:00"/>
    <x v="2"/>
    <x v="52"/>
    <s v="2016"/>
    <m/>
    <m/>
    <m/>
    <m/>
    <m/>
  </r>
  <r>
    <s v="1 -Charges fixes"/>
    <x v="21"/>
    <m/>
    <m/>
    <m/>
    <n v="8598.119999999999"/>
    <m/>
    <m/>
    <m/>
    <m/>
    <m/>
    <m/>
    <x v="0"/>
    <x v="0"/>
    <m/>
    <m/>
    <m/>
    <m/>
    <m/>
    <m/>
  </r>
  <r>
    <s v="1 -Charges fixes"/>
    <x v="21"/>
    <m/>
    <s v="Panneau radio 3D - janvier 2016"/>
    <s v="SOGELEASE"/>
    <m/>
    <n v="716.51"/>
    <n v="716.51"/>
    <n v="716.51"/>
    <s v="DECAISSE A CE JOUR"/>
    <m/>
    <d v="2016-01-30T00:00:00"/>
    <x v="1"/>
    <x v="49"/>
    <s v="2016"/>
    <m/>
    <m/>
    <m/>
    <m/>
    <m/>
  </r>
  <r>
    <s v="1 -Charges fixes"/>
    <x v="21"/>
    <m/>
    <s v="Panneau radio 3D - février 2016"/>
    <s v="SOGELEASE"/>
    <m/>
    <n v="716.51"/>
    <n v="716.51"/>
    <n v="716.51"/>
    <s v="DECAISSE A CE JOUR"/>
    <m/>
    <d v="2016-02-29T00:00:00"/>
    <x v="1"/>
    <x v="3"/>
    <s v="2016"/>
    <m/>
    <m/>
    <m/>
    <m/>
    <m/>
  </r>
  <r>
    <s v="1 -Charges fixes"/>
    <x v="21"/>
    <m/>
    <s v="Panneau radio 3D - mars 2016"/>
    <s v="SOGELEASE"/>
    <m/>
    <n v="716.51"/>
    <n v="716.51"/>
    <n v="716.51"/>
    <m/>
    <s v="ENGAGE A CE JOUR"/>
    <d v="2016-03-30T00:00:00"/>
    <x v="1"/>
    <x v="4"/>
    <s v="2016"/>
    <m/>
    <m/>
    <m/>
    <m/>
    <m/>
  </r>
  <r>
    <s v="1 -Charges fixes"/>
    <x v="21"/>
    <m/>
    <s v="Panneau radio 3D - avril 2016"/>
    <s v="SOGELEASE"/>
    <m/>
    <n v="716.51"/>
    <n v="716.51"/>
    <n v="716.51"/>
    <m/>
    <s v="ENGAGE A CE JOUR"/>
    <d v="2016-04-30T00:00:00"/>
    <x v="1"/>
    <x v="5"/>
    <s v="2016"/>
    <m/>
    <m/>
    <m/>
    <m/>
    <m/>
  </r>
  <r>
    <s v="1 -Charges fixes"/>
    <x v="21"/>
    <m/>
    <s v="Panneau radio 3D - mai 2016"/>
    <s v="SOGELEASE"/>
    <m/>
    <n v="716.51"/>
    <n v="716.51"/>
    <n v="716.51"/>
    <m/>
    <s v="ENGAGE A CE JOUR"/>
    <d v="2016-05-30T00:00:00"/>
    <x v="1"/>
    <x v="6"/>
    <s v="2016"/>
    <m/>
    <m/>
    <m/>
    <m/>
    <m/>
  </r>
  <r>
    <s v="1 -Charges fixes"/>
    <x v="21"/>
    <m/>
    <s v="Panneau radio 3D - juin 2016"/>
    <s v="SOGELEASE"/>
    <m/>
    <n v="716.51"/>
    <n v="716.51"/>
    <n v="716.51"/>
    <m/>
    <s v="ENGAGE A CE JOUR"/>
    <d v="2016-06-30T00:00:00"/>
    <x v="1"/>
    <x v="7"/>
    <s v="2016"/>
    <m/>
    <m/>
    <m/>
    <m/>
    <m/>
  </r>
  <r>
    <s v="1 -Charges fixes"/>
    <x v="21"/>
    <m/>
    <s v="Panneau radio 3D - juillet 2016"/>
    <s v="SOGELEASE"/>
    <m/>
    <n v="716.51"/>
    <n v="716.51"/>
    <n v="716.51"/>
    <m/>
    <s v="ENGAGE A CE JOUR"/>
    <d v="2016-07-30T00:00:00"/>
    <x v="1"/>
    <x v="50"/>
    <s v="2016"/>
    <m/>
    <m/>
    <m/>
    <m/>
    <m/>
  </r>
  <r>
    <s v="1 -Charges fixes"/>
    <x v="21"/>
    <m/>
    <s v="Panneau radio 3D - aout 2016"/>
    <s v="SOGELEASE"/>
    <m/>
    <n v="716.51"/>
    <n v="716.51"/>
    <n v="716.51"/>
    <m/>
    <s v="ENGAGE A CE JOUR"/>
    <d v="2016-08-30T00:00:00"/>
    <x v="1"/>
    <x v="9"/>
    <s v="2016"/>
    <m/>
    <m/>
    <m/>
    <m/>
    <m/>
  </r>
  <r>
    <s v="1 -Charges fixes"/>
    <x v="21"/>
    <m/>
    <s v="Panneau radio 3D - septembre 2016"/>
    <s v="SOGELEASE"/>
    <m/>
    <n v="716.51"/>
    <n v="716.51"/>
    <n v="716.51"/>
    <m/>
    <s v="ENGAGE A CE JOUR"/>
    <d v="2016-09-30T00:00:00"/>
    <x v="1"/>
    <x v="10"/>
    <s v="2016"/>
    <m/>
    <m/>
    <m/>
    <m/>
    <m/>
  </r>
  <r>
    <s v="1 -Charges fixes"/>
    <x v="21"/>
    <m/>
    <s v="Panneau radio 3D - octobre 2016"/>
    <s v="SOGELEASE"/>
    <m/>
    <n v="716.51"/>
    <n v="716.51"/>
    <n v="716.51"/>
    <m/>
    <s v="ENGAGE A CE JOUR"/>
    <d v="2016-10-30T00:00:00"/>
    <x v="1"/>
    <x v="51"/>
    <s v="2016"/>
    <m/>
    <m/>
    <m/>
    <m/>
    <m/>
  </r>
  <r>
    <s v="1 -Charges fixes"/>
    <x v="21"/>
    <m/>
    <s v="Panneau radio 3D - novembre 2016"/>
    <s v="SOGELEASE"/>
    <m/>
    <n v="716.51"/>
    <n v="716.51"/>
    <n v="716.51"/>
    <m/>
    <s v="ENGAGE A CE JOUR"/>
    <d v="2016-11-30T00:00:00"/>
    <x v="1"/>
    <x v="12"/>
    <s v="2016"/>
    <m/>
    <m/>
    <m/>
    <m/>
    <m/>
  </r>
  <r>
    <s v="1 -Charges fixes"/>
    <x v="21"/>
    <m/>
    <s v="Panneau radio 3D - decembre 2016"/>
    <s v="SOGELEASE"/>
    <m/>
    <n v="716.51"/>
    <n v="716.51"/>
    <n v="716.51"/>
    <m/>
    <s v="ENGAGE A CE JOUR"/>
    <d v="2016-12-30T00:00:00"/>
    <x v="1"/>
    <x v="52"/>
    <s v="2016"/>
    <m/>
    <m/>
    <m/>
    <m/>
    <m/>
  </r>
  <r>
    <s v="1 -Charges fixes"/>
    <x v="22"/>
    <m/>
    <m/>
    <m/>
    <n v="37125.360000000001"/>
    <m/>
    <m/>
    <m/>
    <m/>
    <m/>
    <m/>
    <x v="0"/>
    <x v="0"/>
    <m/>
    <m/>
    <m/>
    <m/>
    <m/>
    <m/>
  </r>
  <r>
    <s v="1 -Charges fixes"/>
    <x v="23"/>
    <m/>
    <s v="Prêt ETELI - janvier 2016"/>
    <s v="SOCIETE GENERALE"/>
    <m/>
    <n v="1921.84"/>
    <n v="1921.84"/>
    <n v="1921.84"/>
    <s v="DECAISSE A CE JOUR"/>
    <m/>
    <d v="2016-01-30T00:00:00"/>
    <x v="4"/>
    <x v="49"/>
    <s v="2016"/>
    <m/>
    <m/>
    <m/>
    <m/>
    <m/>
  </r>
  <r>
    <s v="1 -Charges fixes"/>
    <x v="23"/>
    <m/>
    <s v="Prêt ETELI - février 2016"/>
    <s v="SOCIETE GENERALE"/>
    <m/>
    <n v="1921.84"/>
    <n v="1921.84"/>
    <n v="1921.84"/>
    <s v="DECAISSE A CE JOUR"/>
    <m/>
    <d v="2016-02-29T00:00:00"/>
    <x v="4"/>
    <x v="3"/>
    <s v="2016"/>
    <m/>
    <m/>
    <m/>
    <m/>
    <m/>
  </r>
  <r>
    <s v="1 -Charges fixes"/>
    <x v="23"/>
    <m/>
    <s v="Prêt ETELI - mars 2016"/>
    <s v="SOCIETE GENERALE"/>
    <m/>
    <n v="1921.84"/>
    <n v="1921.84"/>
    <n v="1921.84"/>
    <m/>
    <s v="ENGAGE A CE JOUR"/>
    <d v="2016-03-30T00:00:00"/>
    <x v="4"/>
    <x v="4"/>
    <s v="2016"/>
    <m/>
    <m/>
    <m/>
    <m/>
    <m/>
  </r>
  <r>
    <s v="1 -Charges fixes"/>
    <x v="23"/>
    <m/>
    <s v="Prêt ETELI - avril 2016"/>
    <s v="SOCIETE GENERALE"/>
    <m/>
    <n v="1921.84"/>
    <n v="1921.84"/>
    <n v="1921.84"/>
    <m/>
    <s v="ENGAGE A CE JOUR"/>
    <d v="2016-04-30T00:00:00"/>
    <x v="4"/>
    <x v="5"/>
    <s v="2016"/>
    <m/>
    <m/>
    <m/>
    <m/>
    <m/>
  </r>
  <r>
    <s v="1 -Charges fixes"/>
    <x v="23"/>
    <m/>
    <s v="Prêt ETELI - mai 2016"/>
    <s v="SOCIETE GENERALE"/>
    <m/>
    <n v="1921.84"/>
    <n v="1921.84"/>
    <n v="1921.84"/>
    <m/>
    <s v="ENGAGE A CE JOUR"/>
    <d v="2016-05-30T00:00:00"/>
    <x v="4"/>
    <x v="6"/>
    <s v="2016"/>
    <m/>
    <m/>
    <m/>
    <m/>
    <m/>
  </r>
  <r>
    <s v="1 -Charges fixes"/>
    <x v="23"/>
    <m/>
    <s v="Prêt ETELI - juin 2016"/>
    <s v="SOCIETE GENERALE"/>
    <m/>
    <n v="1921.84"/>
    <n v="1921.84"/>
    <n v="1921.84"/>
    <m/>
    <s v="ENGAGE A CE JOUR"/>
    <d v="2016-06-30T00:00:00"/>
    <x v="4"/>
    <x v="7"/>
    <s v="2016"/>
    <m/>
    <m/>
    <m/>
    <m/>
    <m/>
  </r>
  <r>
    <s v="1 -Charges fixes"/>
    <x v="23"/>
    <m/>
    <s v="Prêt ETELI - juillet 2016"/>
    <s v="SOCIETE GENERALE"/>
    <m/>
    <n v="1921.84"/>
    <n v="1921.84"/>
    <n v="1921.84"/>
    <m/>
    <s v="ENGAGE A CE JOUR"/>
    <d v="2016-07-30T00:00:00"/>
    <x v="4"/>
    <x v="50"/>
    <s v="2016"/>
    <m/>
    <m/>
    <m/>
    <m/>
    <m/>
  </r>
  <r>
    <s v="1 -Charges fixes"/>
    <x v="23"/>
    <m/>
    <s v="Prêt ETELI - aout 2016"/>
    <s v="SOCIETE GENERALE"/>
    <m/>
    <n v="1921.84"/>
    <n v="1921.84"/>
    <n v="1921.84"/>
    <m/>
    <s v="ENGAGE A CE JOUR"/>
    <d v="2016-08-30T00:00:00"/>
    <x v="4"/>
    <x v="9"/>
    <s v="2016"/>
    <m/>
    <m/>
    <m/>
    <m/>
    <m/>
  </r>
  <r>
    <s v="1 -Charges fixes"/>
    <x v="23"/>
    <m/>
    <s v="Prêt ETELI - septembre 2016"/>
    <s v="SOCIETE GENERALE"/>
    <m/>
    <n v="1921.84"/>
    <n v="1921.84"/>
    <n v="1921.84"/>
    <m/>
    <s v="ENGAGE A CE JOUR"/>
    <d v="2016-09-30T00:00:00"/>
    <x v="4"/>
    <x v="10"/>
    <s v="2016"/>
    <m/>
    <m/>
    <m/>
    <m/>
    <m/>
  </r>
  <r>
    <s v="1 -Charges fixes"/>
    <x v="23"/>
    <m/>
    <s v="Prêt ETELI - octobre 2016"/>
    <s v="SOCIETE GENERALE"/>
    <m/>
    <n v="1921.84"/>
    <n v="1921.84"/>
    <n v="1921.84"/>
    <m/>
    <s v="ENGAGE A CE JOUR"/>
    <d v="2016-10-30T00:00:00"/>
    <x v="4"/>
    <x v="51"/>
    <s v="2016"/>
    <m/>
    <m/>
    <m/>
    <m/>
    <m/>
  </r>
  <r>
    <s v="1 -Charges fixes"/>
    <x v="23"/>
    <m/>
    <s v="Prêt ETELI - novembre 2016"/>
    <s v="SOCIETE GENERALE"/>
    <m/>
    <n v="1921.84"/>
    <n v="1921.84"/>
    <n v="1921.84"/>
    <m/>
    <s v="ENGAGE A CE JOUR"/>
    <d v="2016-11-30T00:00:00"/>
    <x v="4"/>
    <x v="12"/>
    <s v="2016"/>
    <m/>
    <m/>
    <m/>
    <m/>
    <m/>
  </r>
  <r>
    <s v="1 -Charges fixes"/>
    <x v="23"/>
    <m/>
    <s v="Prêt ETELI - decembre 2016"/>
    <s v="SOCIETE GENERALE"/>
    <m/>
    <n v="1921.84"/>
    <n v="1921.84"/>
    <n v="1921.84"/>
    <m/>
    <s v="ENGAGE A CE JOUR"/>
    <d v="2016-12-30T00:00:00"/>
    <x v="4"/>
    <x v="52"/>
    <s v="2016"/>
    <m/>
    <m/>
    <m/>
    <m/>
    <m/>
  </r>
  <r>
    <s v="1 -Charges fixes"/>
    <x v="24"/>
    <m/>
    <s v="Prêt CIC - janvier 2016"/>
    <s v="CIC"/>
    <m/>
    <n v="1171.94"/>
    <n v="1171.94"/>
    <n v="1171.94"/>
    <s v="DECAISSE A CE JOUR"/>
    <m/>
    <d v="2016-01-30T00:00:00"/>
    <x v="3"/>
    <x v="49"/>
    <s v="2016"/>
    <m/>
    <m/>
    <m/>
    <m/>
    <m/>
  </r>
  <r>
    <s v="1 -Charges fixes"/>
    <x v="24"/>
    <m/>
    <s v="Prêt CIC - février 2016"/>
    <s v="CIC"/>
    <m/>
    <n v="1171.94"/>
    <n v="1171.94"/>
    <n v="1171.94"/>
    <s v="DECAISSE A CE JOUR"/>
    <m/>
    <d v="2016-02-29T00:00:00"/>
    <x v="3"/>
    <x v="3"/>
    <s v="2016"/>
    <m/>
    <m/>
    <m/>
    <m/>
    <m/>
  </r>
  <r>
    <s v="1 -Charges fixes"/>
    <x v="24"/>
    <m/>
    <s v="Prêt CIC - mars 2016"/>
    <s v="CIC"/>
    <m/>
    <n v="1171.94"/>
    <n v="1171.94"/>
    <n v="1171.94"/>
    <m/>
    <s v="ENGAGE A CE JOUR"/>
    <d v="2016-03-30T00:00:00"/>
    <x v="3"/>
    <x v="4"/>
    <s v="2016"/>
    <m/>
    <m/>
    <m/>
    <m/>
    <m/>
  </r>
  <r>
    <s v="1 -Charges fixes"/>
    <x v="24"/>
    <m/>
    <s v="Prêt CIC - avril 2016"/>
    <s v="CIC"/>
    <m/>
    <n v="1171.94"/>
    <n v="1171.94"/>
    <n v="1171.94"/>
    <m/>
    <s v="ENGAGE A CE JOUR"/>
    <d v="2016-04-30T00:00:00"/>
    <x v="3"/>
    <x v="5"/>
    <s v="2016"/>
    <m/>
    <m/>
    <m/>
    <m/>
    <m/>
  </r>
  <r>
    <s v="1 -Charges fixes"/>
    <x v="24"/>
    <m/>
    <s v="Prêt CIC - mai 2016"/>
    <s v="CIC"/>
    <m/>
    <n v="1171.94"/>
    <n v="1171.94"/>
    <n v="1171.94"/>
    <m/>
    <s v="ENGAGE A CE JOUR"/>
    <d v="2016-05-30T00:00:00"/>
    <x v="3"/>
    <x v="6"/>
    <s v="2016"/>
    <m/>
    <m/>
    <m/>
    <m/>
    <m/>
  </r>
  <r>
    <s v="1 -Charges fixes"/>
    <x v="24"/>
    <m/>
    <s v="Prêt CIC - juin 2016"/>
    <s v="CIC"/>
    <m/>
    <n v="1171.94"/>
    <n v="1171.94"/>
    <n v="1171.94"/>
    <m/>
    <s v="ENGAGE A CE JOUR"/>
    <d v="2016-06-30T00:00:00"/>
    <x v="3"/>
    <x v="7"/>
    <s v="2016"/>
    <m/>
    <m/>
    <m/>
    <m/>
    <m/>
  </r>
  <r>
    <s v="1 -Charges fixes"/>
    <x v="24"/>
    <m/>
    <s v="Prêt CIC - juillet 2016"/>
    <s v="CIC"/>
    <m/>
    <n v="1171.94"/>
    <n v="1171.94"/>
    <n v="1171.94"/>
    <m/>
    <s v="ENGAGE A CE JOUR"/>
    <d v="2016-07-30T00:00:00"/>
    <x v="3"/>
    <x v="50"/>
    <s v="2016"/>
    <m/>
    <m/>
    <m/>
    <m/>
    <m/>
  </r>
  <r>
    <s v="1 -Charges fixes"/>
    <x v="24"/>
    <m/>
    <s v="Prêt CIC - aout 2016"/>
    <s v="CIC"/>
    <m/>
    <n v="1171.94"/>
    <n v="1171.94"/>
    <n v="1171.94"/>
    <m/>
    <s v="ENGAGE A CE JOUR"/>
    <d v="2016-08-30T00:00:00"/>
    <x v="3"/>
    <x v="9"/>
    <s v="2016"/>
    <m/>
    <m/>
    <m/>
    <m/>
    <m/>
  </r>
  <r>
    <s v="1 -Charges fixes"/>
    <x v="24"/>
    <m/>
    <s v="Prêt CIC - septembre 2016"/>
    <s v="CIC"/>
    <m/>
    <n v="1171.94"/>
    <n v="1171.94"/>
    <n v="1171.94"/>
    <m/>
    <s v="ENGAGE A CE JOUR"/>
    <d v="2016-09-30T00:00:00"/>
    <x v="3"/>
    <x v="10"/>
    <s v="2016"/>
    <m/>
    <m/>
    <m/>
    <m/>
    <m/>
  </r>
  <r>
    <s v="1 -Charges fixes"/>
    <x v="24"/>
    <m/>
    <s v="Prêt CIC - octobre 2016"/>
    <s v="CIC"/>
    <m/>
    <n v="1171.94"/>
    <n v="1171.94"/>
    <n v="1171.94"/>
    <m/>
    <s v="ENGAGE A CE JOUR"/>
    <d v="2016-10-30T00:00:00"/>
    <x v="3"/>
    <x v="51"/>
    <s v="2016"/>
    <m/>
    <m/>
    <m/>
    <m/>
    <m/>
  </r>
  <r>
    <s v="1 -Charges fixes"/>
    <x v="24"/>
    <m/>
    <s v="Prêt CIC - novembre 2016"/>
    <s v="CIC"/>
    <m/>
    <n v="1171.94"/>
    <n v="1171.94"/>
    <n v="1171.94"/>
    <m/>
    <s v="ENGAGE A CE JOUR"/>
    <d v="2016-11-30T00:00:00"/>
    <x v="3"/>
    <x v="12"/>
    <s v="2016"/>
    <m/>
    <m/>
    <m/>
    <m/>
    <m/>
  </r>
  <r>
    <s v="1 -Charges fixes"/>
    <x v="24"/>
    <m/>
    <s v="Prêt CIC - decembre 2016"/>
    <s v="CIC"/>
    <m/>
    <n v="1171.94"/>
    <n v="1171.94"/>
    <n v="1171.94"/>
    <m/>
    <s v="ENGAGE A CE JOUR"/>
    <d v="2016-12-30T00:00:00"/>
    <x v="3"/>
    <x v="52"/>
    <s v="2016"/>
    <m/>
    <m/>
    <m/>
    <m/>
    <m/>
  </r>
  <r>
    <s v="2 -Divers"/>
    <x v="25"/>
    <m/>
    <m/>
    <m/>
    <n v="24000"/>
    <m/>
    <m/>
    <m/>
    <m/>
    <m/>
    <m/>
    <x v="0"/>
    <x v="0"/>
    <m/>
    <m/>
    <m/>
    <m/>
    <m/>
    <m/>
  </r>
  <r>
    <s v="2 -Divers"/>
    <x v="25"/>
    <m/>
    <s v="Virement Sabine - janvier 2016"/>
    <s v="SABINE ABECASSIS"/>
    <m/>
    <n v="2000"/>
    <n v="2000"/>
    <n v="2000"/>
    <s v="DECAISSE A CE JOUR"/>
    <m/>
    <d v="2016-01-30T00:00:00"/>
    <x v="3"/>
    <x v="49"/>
    <s v="2016"/>
    <m/>
    <m/>
    <m/>
    <m/>
    <m/>
  </r>
  <r>
    <s v="2 -Divers"/>
    <x v="25"/>
    <m/>
    <s v="Virement Sabine - février 2016"/>
    <s v="SABINE ABECASSIS"/>
    <m/>
    <n v="2000"/>
    <n v="2000"/>
    <n v="2000"/>
    <s v="DECAISSE A CE JOUR"/>
    <m/>
    <d v="2016-02-29T00:00:00"/>
    <x v="3"/>
    <x v="3"/>
    <s v="2016"/>
    <m/>
    <m/>
    <m/>
    <m/>
    <m/>
  </r>
  <r>
    <s v="2 -Divers"/>
    <x v="25"/>
    <m/>
    <s v="Virement Sabine - mars 2016"/>
    <s v="SABINE ABECASSIS"/>
    <m/>
    <n v="2000"/>
    <n v="2000"/>
    <n v="2000"/>
    <m/>
    <s v="ENGAGE A CE JOUR"/>
    <d v="2016-03-30T00:00:00"/>
    <x v="3"/>
    <x v="4"/>
    <s v="2016"/>
    <m/>
    <m/>
    <m/>
    <m/>
    <m/>
  </r>
  <r>
    <s v="2 -Divers"/>
    <x v="25"/>
    <m/>
    <s v="Virement Sabine - avril 2016"/>
    <s v="SABINE ABECASSIS"/>
    <m/>
    <n v="2000"/>
    <n v="2000"/>
    <n v="2000"/>
    <m/>
    <s v="ENGAGE A CE JOUR"/>
    <d v="2016-04-30T00:00:00"/>
    <x v="3"/>
    <x v="5"/>
    <s v="2016"/>
    <m/>
    <m/>
    <m/>
    <m/>
    <m/>
  </r>
  <r>
    <s v="2 -Divers"/>
    <x v="25"/>
    <m/>
    <s v="Virement Sabine - mai 2016"/>
    <s v="SABINE ABECASSIS"/>
    <m/>
    <n v="2000"/>
    <n v="2000"/>
    <n v="2000"/>
    <m/>
    <s v="ENGAGE A CE JOUR"/>
    <d v="2016-05-30T00:00:00"/>
    <x v="3"/>
    <x v="6"/>
    <s v="2016"/>
    <m/>
    <m/>
    <m/>
    <m/>
    <m/>
  </r>
  <r>
    <s v="2 -Divers"/>
    <x v="25"/>
    <m/>
    <s v="Virement Sabine - juin 2016"/>
    <s v="SABINE ABECASSIS"/>
    <m/>
    <n v="2000"/>
    <n v="2000"/>
    <n v="2000"/>
    <m/>
    <s v="ENGAGE A CE JOUR"/>
    <d v="2016-06-30T00:00:00"/>
    <x v="3"/>
    <x v="7"/>
    <s v="2016"/>
    <m/>
    <m/>
    <m/>
    <m/>
    <m/>
  </r>
  <r>
    <s v="2 -Divers"/>
    <x v="25"/>
    <m/>
    <s v="Virement Sabine - juillet 2016"/>
    <s v="SABINE ABECASSIS"/>
    <m/>
    <n v="2000"/>
    <n v="2000"/>
    <n v="2000"/>
    <m/>
    <s v="ENGAGE A CE JOUR"/>
    <d v="2016-07-30T00:00:00"/>
    <x v="3"/>
    <x v="50"/>
    <s v="2016"/>
    <m/>
    <m/>
    <m/>
    <m/>
    <m/>
  </r>
  <r>
    <s v="2 -Divers"/>
    <x v="25"/>
    <m/>
    <s v="Virement Sabine - aout 2016"/>
    <s v="SABINE ABECASSIS"/>
    <m/>
    <n v="2000"/>
    <n v="2000"/>
    <n v="2000"/>
    <m/>
    <s v="ENGAGE A CE JOUR"/>
    <d v="2016-08-30T00:00:00"/>
    <x v="3"/>
    <x v="9"/>
    <s v="2016"/>
    <m/>
    <m/>
    <m/>
    <m/>
    <m/>
  </r>
  <r>
    <s v="2 -Divers"/>
    <x v="25"/>
    <m/>
    <s v="Virement Sabine - septembre 2016"/>
    <s v="SABINE ABECASSIS"/>
    <m/>
    <n v="2000"/>
    <n v="2000"/>
    <n v="2000"/>
    <m/>
    <s v="ENGAGE A CE JOUR"/>
    <d v="2016-09-30T00:00:00"/>
    <x v="3"/>
    <x v="10"/>
    <s v="2016"/>
    <m/>
    <m/>
    <m/>
    <m/>
    <m/>
  </r>
  <r>
    <s v="2 -Divers"/>
    <x v="25"/>
    <m/>
    <s v="Virement Sabine - octobre 2016"/>
    <s v="SABINE ABECASSIS"/>
    <m/>
    <n v="2000"/>
    <n v="2000"/>
    <n v="2000"/>
    <m/>
    <s v="ENGAGE A CE JOUR"/>
    <d v="2016-10-30T00:00:00"/>
    <x v="3"/>
    <x v="51"/>
    <s v="2016"/>
    <m/>
    <m/>
    <m/>
    <m/>
    <m/>
  </r>
  <r>
    <s v="2 -Divers"/>
    <x v="25"/>
    <m/>
    <s v="Virement Sabine - novembre 2016"/>
    <s v="SABINE ABECASSIS"/>
    <m/>
    <n v="2000"/>
    <n v="2000"/>
    <n v="2000"/>
    <m/>
    <s v="ENGAGE A CE JOUR"/>
    <d v="2016-11-30T00:00:00"/>
    <x v="3"/>
    <x v="12"/>
    <s v="2016"/>
    <m/>
    <m/>
    <m/>
    <m/>
    <m/>
  </r>
  <r>
    <s v="2 -Divers"/>
    <x v="25"/>
    <m/>
    <s v="Virement Sabine - decembre 2016"/>
    <s v="SABINE ABECASSIS"/>
    <m/>
    <n v="2000"/>
    <n v="2000"/>
    <n v="2000"/>
    <m/>
    <s v="ENGAGE A CE JOUR"/>
    <d v="2016-12-30T00:00:00"/>
    <x v="3"/>
    <x v="52"/>
    <s v="2016"/>
    <m/>
    <m/>
    <m/>
    <m/>
    <m/>
  </r>
  <r>
    <s v="1 -Charges fixes"/>
    <x v="26"/>
    <m/>
    <m/>
    <m/>
    <n v="203.88"/>
    <m/>
    <m/>
    <m/>
    <m/>
    <m/>
    <m/>
    <x v="0"/>
    <x v="0"/>
    <m/>
    <m/>
    <m/>
    <m/>
    <m/>
    <m/>
  </r>
  <r>
    <s v="1 -Charges fixes"/>
    <x v="26"/>
    <m/>
    <s v="Téléphonie mobile - janvier 2016"/>
    <s v="FREE MOBILE"/>
    <m/>
    <n v="16.989999999999998"/>
    <n v="16.989999999999998"/>
    <n v="16.989999999999998"/>
    <s v="DECAISSE A CE JOUR"/>
    <m/>
    <d v="2016-01-30T00:00:00"/>
    <x v="1"/>
    <x v="49"/>
    <s v="2016"/>
    <m/>
    <m/>
    <m/>
    <m/>
    <m/>
  </r>
  <r>
    <s v="1 -Charges fixes"/>
    <x v="26"/>
    <m/>
    <s v="Téléphonie mobile - février 2016"/>
    <s v="FREE MOBILE"/>
    <m/>
    <n v="16.989999999999998"/>
    <n v="16.989999999999998"/>
    <n v="16.989999999999998"/>
    <s v="DECAISSE A CE JOUR"/>
    <m/>
    <d v="2016-02-29T00:00:00"/>
    <x v="1"/>
    <x v="3"/>
    <s v="2016"/>
    <m/>
    <m/>
    <m/>
    <m/>
    <m/>
  </r>
  <r>
    <s v="1 -Charges fixes"/>
    <x v="26"/>
    <m/>
    <s v="Téléphonie mobile - mars 2016"/>
    <s v="FREE MOBILE"/>
    <m/>
    <n v="16.989999999999998"/>
    <n v="16.989999999999998"/>
    <n v="16.989999999999998"/>
    <m/>
    <s v="ENGAGE A CE JOUR"/>
    <d v="2016-03-30T00:00:00"/>
    <x v="1"/>
    <x v="4"/>
    <s v="2016"/>
    <m/>
    <m/>
    <m/>
    <m/>
    <m/>
  </r>
  <r>
    <s v="1 -Charges fixes"/>
    <x v="26"/>
    <m/>
    <s v="Téléphonie mobile - avril 2016"/>
    <s v="FREE MOBILE"/>
    <m/>
    <n v="16.989999999999998"/>
    <n v="16.989999999999998"/>
    <n v="16.989999999999998"/>
    <m/>
    <s v="ENGAGE A CE JOUR"/>
    <d v="2016-04-30T00:00:00"/>
    <x v="1"/>
    <x v="5"/>
    <s v="2016"/>
    <m/>
    <m/>
    <m/>
    <m/>
    <m/>
  </r>
  <r>
    <s v="1 -Charges fixes"/>
    <x v="26"/>
    <m/>
    <s v="Téléphonie mobile - mai 2016"/>
    <s v="FREE MOBILE"/>
    <m/>
    <n v="16.989999999999998"/>
    <n v="16.989999999999998"/>
    <n v="16.989999999999998"/>
    <m/>
    <s v="ENGAGE A CE JOUR"/>
    <d v="2016-05-30T00:00:00"/>
    <x v="1"/>
    <x v="6"/>
    <s v="2016"/>
    <m/>
    <m/>
    <m/>
    <m/>
    <m/>
  </r>
  <r>
    <s v="1 -Charges fixes"/>
    <x v="26"/>
    <m/>
    <s v="Téléphonie mobile - juin 2016"/>
    <s v="FREE MOBILE"/>
    <m/>
    <n v="16.989999999999998"/>
    <n v="16.989999999999998"/>
    <n v="16.989999999999998"/>
    <m/>
    <s v="ENGAGE A CE JOUR"/>
    <d v="2016-06-30T00:00:00"/>
    <x v="1"/>
    <x v="7"/>
    <s v="2016"/>
    <m/>
    <m/>
    <m/>
    <m/>
    <m/>
  </r>
  <r>
    <s v="1 -Charges fixes"/>
    <x v="26"/>
    <m/>
    <s v="Téléphonie mobile - juillet 2016"/>
    <s v="FREE MOBILE"/>
    <m/>
    <n v="16.989999999999998"/>
    <n v="16.989999999999998"/>
    <n v="16.989999999999998"/>
    <m/>
    <s v="ENGAGE A CE JOUR"/>
    <d v="2016-07-30T00:00:00"/>
    <x v="1"/>
    <x v="50"/>
    <s v="2016"/>
    <m/>
    <m/>
    <m/>
    <m/>
    <m/>
  </r>
  <r>
    <s v="1 -Charges fixes"/>
    <x v="26"/>
    <m/>
    <s v="Téléphonie mobile - aout 2016"/>
    <s v="FREE MOBILE"/>
    <m/>
    <n v="16.989999999999998"/>
    <n v="16.989999999999998"/>
    <n v="16.989999999999998"/>
    <m/>
    <s v="ENGAGE A CE JOUR"/>
    <d v="2016-08-30T00:00:00"/>
    <x v="1"/>
    <x v="9"/>
    <s v="2016"/>
    <m/>
    <m/>
    <m/>
    <m/>
    <m/>
  </r>
  <r>
    <s v="1 -Charges fixes"/>
    <x v="26"/>
    <m/>
    <s v="Téléphonie mobile - septembre 2016"/>
    <s v="FREE MOBILE"/>
    <m/>
    <n v="16.989999999999998"/>
    <n v="16.989999999999998"/>
    <n v="16.989999999999998"/>
    <m/>
    <s v="ENGAGE A CE JOUR"/>
    <d v="2016-09-30T00:00:00"/>
    <x v="1"/>
    <x v="10"/>
    <s v="2016"/>
    <m/>
    <m/>
    <m/>
    <m/>
    <m/>
  </r>
  <r>
    <s v="1 -Charges fixes"/>
    <x v="26"/>
    <m/>
    <s v="Téléphonie mobile - octobre 2016"/>
    <s v="FREE MOBILE"/>
    <m/>
    <n v="16.989999999999998"/>
    <n v="16.989999999999998"/>
    <n v="16.989999999999998"/>
    <m/>
    <s v="ENGAGE A CE JOUR"/>
    <d v="2016-10-30T00:00:00"/>
    <x v="1"/>
    <x v="51"/>
    <s v="2016"/>
    <m/>
    <m/>
    <m/>
    <m/>
    <m/>
  </r>
  <r>
    <s v="1 -Charges fixes"/>
    <x v="26"/>
    <m/>
    <s v="Téléphonie mobile - novembre 2016"/>
    <s v="FREE MOBILE"/>
    <m/>
    <n v="16.989999999999998"/>
    <n v="16.989999999999998"/>
    <n v="16.989999999999998"/>
    <m/>
    <s v="ENGAGE A CE JOUR"/>
    <d v="2016-11-30T00:00:00"/>
    <x v="1"/>
    <x v="12"/>
    <s v="2016"/>
    <m/>
    <m/>
    <m/>
    <m/>
    <m/>
  </r>
  <r>
    <s v="1 -Charges fixes"/>
    <x v="26"/>
    <m/>
    <s v="Téléphonie mobile - décembre 2016"/>
    <s v="FREE MOBILE"/>
    <m/>
    <n v="16.989999999999998"/>
    <n v="16.989999999999998"/>
    <n v="16.989999999999998"/>
    <m/>
    <s v="ENGAGE A CE JOUR"/>
    <d v="2016-12-30T00:00:00"/>
    <x v="1"/>
    <x v="52"/>
    <s v="2016"/>
    <m/>
    <m/>
    <m/>
    <m/>
    <m/>
  </r>
  <r>
    <s v="1 -Charges fixes"/>
    <x v="27"/>
    <m/>
    <m/>
    <m/>
    <n v="2160"/>
    <m/>
    <m/>
    <m/>
    <m/>
    <m/>
    <m/>
    <x v="0"/>
    <x v="0"/>
    <m/>
    <m/>
    <m/>
    <m/>
    <m/>
    <m/>
  </r>
  <r>
    <s v="1 -Charges fixes"/>
    <x v="27"/>
    <m/>
    <s v="Comptabilité - janvier 2016"/>
    <s v="NAOBEL"/>
    <m/>
    <n v="180"/>
    <n v="180"/>
    <n v="180"/>
    <s v="DECAISSE A CE JOUR"/>
    <m/>
    <d v="2016-01-01T00:00:00"/>
    <x v="2"/>
    <x v="1"/>
    <s v="2016"/>
    <m/>
    <m/>
    <m/>
    <m/>
    <m/>
  </r>
  <r>
    <s v="1 -Charges fixes"/>
    <x v="27"/>
    <m/>
    <s v="Comptabilité - février 2016"/>
    <s v="NAOBEL"/>
    <m/>
    <n v="180"/>
    <n v="180"/>
    <n v="180"/>
    <s v="DECAISSE A CE JOUR"/>
    <m/>
    <d v="2016-02-01T00:00:00"/>
    <x v="2"/>
    <x v="2"/>
    <s v="2016"/>
    <m/>
    <m/>
    <m/>
    <m/>
    <m/>
  </r>
  <r>
    <s v="1 -Charges fixes"/>
    <x v="27"/>
    <m/>
    <s v="Comptabilité - mars 2016"/>
    <s v="NAOBEL"/>
    <m/>
    <n v="180"/>
    <n v="180"/>
    <n v="180"/>
    <s v="DECAISSE A CE JOUR"/>
    <m/>
    <d v="2016-03-01T00:00:00"/>
    <x v="2"/>
    <x v="3"/>
    <s v="2016"/>
    <m/>
    <m/>
    <m/>
    <m/>
    <m/>
  </r>
  <r>
    <s v="1 -Charges fixes"/>
    <x v="27"/>
    <m/>
    <s v="Comptabilité - avril 2016"/>
    <s v="NAOBEL"/>
    <m/>
    <n v="180"/>
    <n v="180"/>
    <n v="180"/>
    <m/>
    <s v="ENGAGE A CE JOUR"/>
    <d v="2016-04-01T00:00:00"/>
    <x v="2"/>
    <x v="4"/>
    <s v="2016"/>
    <m/>
    <m/>
    <m/>
    <m/>
    <m/>
  </r>
  <r>
    <s v="1 -Charges fixes"/>
    <x v="27"/>
    <m/>
    <s v="Comptabilité - mai 2016"/>
    <s v="NAOBEL"/>
    <m/>
    <n v="180"/>
    <n v="180"/>
    <n v="180"/>
    <m/>
    <s v="ENGAGE A CE JOUR"/>
    <d v="2016-05-01T00:00:00"/>
    <x v="2"/>
    <x v="5"/>
    <s v="2016"/>
    <m/>
    <m/>
    <m/>
    <m/>
    <m/>
  </r>
  <r>
    <s v="1 -Charges fixes"/>
    <x v="27"/>
    <m/>
    <s v="Comptabilité - juin 2016"/>
    <s v="NAOBEL"/>
    <m/>
    <n v="180"/>
    <n v="180"/>
    <n v="180"/>
    <m/>
    <s v="ENGAGE A CE JOUR"/>
    <d v="2016-06-01T00:00:00"/>
    <x v="2"/>
    <x v="6"/>
    <s v="2016"/>
    <m/>
    <m/>
    <m/>
    <m/>
    <m/>
  </r>
  <r>
    <s v="1 -Charges fixes"/>
    <x v="27"/>
    <m/>
    <s v="Comptabilité - juillet 2016"/>
    <s v="NAOBEL"/>
    <m/>
    <n v="180"/>
    <n v="180"/>
    <n v="180"/>
    <m/>
    <s v="ENGAGE A CE JOUR"/>
    <d v="2016-07-01T00:00:00"/>
    <x v="2"/>
    <x v="7"/>
    <s v="2016"/>
    <m/>
    <m/>
    <m/>
    <m/>
    <m/>
  </r>
  <r>
    <s v="1 -Charges fixes"/>
    <x v="27"/>
    <m/>
    <s v="Comptabilité - aout 2016"/>
    <s v="NAOBEL"/>
    <m/>
    <n v="180"/>
    <n v="180"/>
    <n v="180"/>
    <m/>
    <s v="ENGAGE A CE JOUR"/>
    <d v="2016-08-01T00:00:00"/>
    <x v="2"/>
    <x v="8"/>
    <s v="2016"/>
    <m/>
    <m/>
    <m/>
    <m/>
    <m/>
  </r>
  <r>
    <s v="1 -Charges fixes"/>
    <x v="27"/>
    <m/>
    <s v="Comptabilité - septembre 2016"/>
    <s v="NAOBEL"/>
    <m/>
    <n v="180"/>
    <n v="180"/>
    <n v="180"/>
    <m/>
    <s v="ENGAGE A CE JOUR"/>
    <d v="2016-09-01T00:00:00"/>
    <x v="2"/>
    <x v="9"/>
    <s v="2016"/>
    <m/>
    <m/>
    <m/>
    <m/>
    <m/>
  </r>
  <r>
    <s v="1 -Charges fixes"/>
    <x v="27"/>
    <m/>
    <s v="Comptabilité - octobre 2016"/>
    <s v="NAOBEL"/>
    <m/>
    <n v="180"/>
    <n v="180"/>
    <n v="180"/>
    <m/>
    <s v="ENGAGE A CE JOUR"/>
    <d v="2016-10-01T00:00:00"/>
    <x v="2"/>
    <x v="10"/>
    <s v="2016"/>
    <m/>
    <m/>
    <m/>
    <m/>
    <m/>
  </r>
  <r>
    <s v="1 -Charges fixes"/>
    <x v="27"/>
    <m/>
    <s v="Comptabilité - novembre 2016"/>
    <s v="NAOBEL"/>
    <m/>
    <n v="180"/>
    <n v="180"/>
    <n v="180"/>
    <m/>
    <s v="ENGAGE A CE JOUR"/>
    <d v="2016-11-01T00:00:00"/>
    <x v="2"/>
    <x v="11"/>
    <s v="2016"/>
    <m/>
    <m/>
    <m/>
    <m/>
    <m/>
  </r>
  <r>
    <s v="1 -Charges fixes"/>
    <x v="27"/>
    <m/>
    <s v="Comptabilité - décembre 2016"/>
    <s v="NAOBEL"/>
    <m/>
    <n v="180"/>
    <n v="180"/>
    <n v="180"/>
    <m/>
    <s v="ENGAGE A CE JOUR"/>
    <d v="2016-12-01T00:00:00"/>
    <x v="2"/>
    <x v="12"/>
    <s v="2016"/>
    <m/>
    <m/>
    <m/>
    <m/>
    <m/>
  </r>
  <r>
    <s v="2 -Divers"/>
    <x v="28"/>
    <m/>
    <m/>
    <m/>
    <n v="12000"/>
    <m/>
    <m/>
    <m/>
    <m/>
    <m/>
    <m/>
    <x v="0"/>
    <x v="0"/>
    <m/>
    <m/>
    <m/>
    <m/>
    <m/>
    <m/>
  </r>
  <r>
    <s v="2 -Divers"/>
    <x v="28"/>
    <m/>
    <s v="Virement Appartement - janvier 2016"/>
    <s v="APPARTEMENT"/>
    <m/>
    <n v="1000"/>
    <n v="1000"/>
    <n v="1000"/>
    <s v="DECAISSE A CE JOUR"/>
    <m/>
    <d v="2016-01-03T00:00:00"/>
    <x v="3"/>
    <x v="1"/>
    <s v="2016"/>
    <m/>
    <m/>
    <m/>
    <m/>
    <m/>
  </r>
  <r>
    <s v="2 -Divers"/>
    <x v="28"/>
    <m/>
    <s v="Virement Appartement - février 2016"/>
    <s v="APPARTEMENT"/>
    <m/>
    <n v="1000"/>
    <n v="1000"/>
    <n v="1000"/>
    <s v="DECAISSE A CE JOUR"/>
    <m/>
    <d v="2016-02-03T00:00:00"/>
    <x v="3"/>
    <x v="2"/>
    <s v="2016"/>
    <m/>
    <m/>
    <m/>
    <m/>
    <m/>
  </r>
  <r>
    <s v="2 -Divers"/>
    <x v="28"/>
    <m/>
    <s v="Virement Appartement - mars 2016"/>
    <s v="APPARTEMENT"/>
    <m/>
    <n v="1000"/>
    <n v="1000"/>
    <n v="1000"/>
    <s v="DECAISSE A CE JOUR"/>
    <m/>
    <d v="2016-03-03T00:00:00"/>
    <x v="3"/>
    <x v="3"/>
    <s v="2016"/>
    <m/>
    <m/>
    <m/>
    <m/>
    <m/>
  </r>
  <r>
    <s v="2 -Divers"/>
    <x v="28"/>
    <m/>
    <s v="Virement Appartement - avril 2016"/>
    <s v="APPARTEMENT"/>
    <m/>
    <n v="1000"/>
    <n v="1000"/>
    <n v="1000"/>
    <m/>
    <s v="ENGAGE A CE JOUR"/>
    <d v="2016-04-03T00:00:00"/>
    <x v="3"/>
    <x v="4"/>
    <s v="2016"/>
    <m/>
    <m/>
    <m/>
    <m/>
    <m/>
  </r>
  <r>
    <s v="2 -Divers"/>
    <x v="28"/>
    <m/>
    <s v="Virement Appartement - mai 2016"/>
    <s v="APPARTEMENT"/>
    <m/>
    <n v="1000"/>
    <n v="1000"/>
    <n v="1000"/>
    <m/>
    <s v="ENGAGE A CE JOUR"/>
    <d v="2016-05-03T00:00:00"/>
    <x v="3"/>
    <x v="14"/>
    <s v="2016"/>
    <m/>
    <m/>
    <m/>
    <m/>
    <m/>
  </r>
  <r>
    <s v="2 -Divers"/>
    <x v="28"/>
    <m/>
    <s v="Virement Appartement - juin 2016"/>
    <s v="APPARTEMENT"/>
    <m/>
    <n v="1000"/>
    <n v="1000"/>
    <n v="1000"/>
    <m/>
    <s v="ENGAGE A CE JOUR"/>
    <d v="2016-06-03T00:00:00"/>
    <x v="3"/>
    <x v="6"/>
    <s v="2016"/>
    <m/>
    <m/>
    <m/>
    <m/>
    <m/>
  </r>
  <r>
    <s v="2 -Divers"/>
    <x v="28"/>
    <m/>
    <s v="Virement Appartement - juillet 2016"/>
    <s v="APPARTEMENT"/>
    <m/>
    <n v="1000"/>
    <n v="1000"/>
    <n v="1000"/>
    <m/>
    <s v="ENGAGE A CE JOUR"/>
    <d v="2016-07-03T00:00:00"/>
    <x v="3"/>
    <x v="7"/>
    <s v="2016"/>
    <m/>
    <m/>
    <m/>
    <m/>
    <m/>
  </r>
  <r>
    <s v="2 -Divers"/>
    <x v="28"/>
    <m/>
    <s v="Virement Appartement - aout 2016"/>
    <s v="APPARTEMENT"/>
    <m/>
    <n v="1000"/>
    <n v="1000"/>
    <n v="1000"/>
    <m/>
    <s v="ENGAGE A CE JOUR"/>
    <d v="2016-08-03T00:00:00"/>
    <x v="3"/>
    <x v="8"/>
    <s v="2016"/>
    <m/>
    <m/>
    <m/>
    <m/>
    <m/>
  </r>
  <r>
    <s v="2 -Divers"/>
    <x v="28"/>
    <m/>
    <s v="Virement Appartement - septembre 2016"/>
    <s v="APPARTEMENT"/>
    <m/>
    <n v="1000"/>
    <n v="1000"/>
    <n v="1000"/>
    <m/>
    <s v="ENGAGE A CE JOUR"/>
    <d v="2016-09-03T00:00:00"/>
    <x v="3"/>
    <x v="9"/>
    <s v="2016"/>
    <m/>
    <m/>
    <m/>
    <m/>
    <m/>
  </r>
  <r>
    <s v="2 -Divers"/>
    <x v="28"/>
    <m/>
    <s v="Virement Appartement - octobre 2016"/>
    <s v="APPARTEMENT"/>
    <m/>
    <n v="1000"/>
    <n v="1000"/>
    <n v="1000"/>
    <m/>
    <s v="ENGAGE A CE JOUR"/>
    <d v="2016-10-03T00:00:00"/>
    <x v="3"/>
    <x v="16"/>
    <s v="2016"/>
    <m/>
    <m/>
    <m/>
    <m/>
    <m/>
  </r>
  <r>
    <s v="2 -Divers"/>
    <x v="28"/>
    <m/>
    <s v="Virement Appartement - novembre 2016"/>
    <s v="APPARTEMENT"/>
    <m/>
    <n v="1000"/>
    <n v="1000"/>
    <n v="1000"/>
    <m/>
    <s v="ENGAGE A CE JOUR"/>
    <d v="2016-11-03T00:00:00"/>
    <x v="3"/>
    <x v="11"/>
    <s v="2016"/>
    <m/>
    <m/>
    <m/>
    <m/>
    <m/>
  </r>
  <r>
    <s v="2 -Divers"/>
    <x v="28"/>
    <m/>
    <s v="Virement Appartement - decembre 2016"/>
    <s v="APPARTEMENT"/>
    <m/>
    <n v="1000"/>
    <n v="1000"/>
    <n v="1000"/>
    <m/>
    <s v="ENGAGE A CE JOUR"/>
    <d v="2016-12-03T00:00:00"/>
    <x v="3"/>
    <x v="12"/>
    <s v="2016"/>
    <m/>
    <m/>
    <m/>
    <m/>
    <m/>
  </r>
  <r>
    <s v="1 -Charges fixes"/>
    <x v="29"/>
    <m/>
    <m/>
    <m/>
    <n v="828.48"/>
    <m/>
    <m/>
    <m/>
    <m/>
    <m/>
    <m/>
    <x v="0"/>
    <x v="0"/>
    <m/>
    <m/>
    <m/>
    <m/>
    <m/>
    <m/>
  </r>
  <r>
    <s v="1 -Charges fixes"/>
    <x v="29"/>
    <m/>
    <s v="Prêt ETELI - janvier 2016"/>
    <s v="MACSF"/>
    <m/>
    <n v="69.040000000000006"/>
    <n v="69.040000000000006"/>
    <n v="69.040000000000006"/>
    <s v="DECAISSE A CE JOUR"/>
    <m/>
    <d v="2016-01-08T00:00:00"/>
    <x v="4"/>
    <x v="1"/>
    <s v="2016"/>
    <m/>
    <m/>
    <m/>
    <m/>
    <m/>
  </r>
  <r>
    <s v="1 -Charges fixes"/>
    <x v="29"/>
    <m/>
    <s v="Prêt ETELI - février 2016"/>
    <s v="MACSF"/>
    <m/>
    <n v="69.040000000000006"/>
    <n v="69.040000000000006"/>
    <n v="69.040000000000006"/>
    <s v="DECAISSE A CE JOUR"/>
    <m/>
    <d v="2016-02-08T00:00:00"/>
    <x v="4"/>
    <x v="17"/>
    <s v="2016"/>
    <m/>
    <m/>
    <m/>
    <m/>
    <m/>
  </r>
  <r>
    <s v="1 -Charges fixes"/>
    <x v="29"/>
    <m/>
    <s v="Prêt ETELI - mars 2016"/>
    <s v="MACSF"/>
    <m/>
    <n v="69.040000000000006"/>
    <n v="69.040000000000006"/>
    <n v="69.040000000000006"/>
    <s v="DECAISSE A CE JOUR"/>
    <m/>
    <d v="2016-03-08T00:00:00"/>
    <x v="4"/>
    <x v="18"/>
    <s v="2016"/>
    <m/>
    <m/>
    <m/>
    <m/>
    <m/>
  </r>
  <r>
    <s v="1 -Charges fixes"/>
    <x v="29"/>
    <m/>
    <s v="Prêt ETELI - avril 2016"/>
    <s v="MACSF"/>
    <m/>
    <n v="69.040000000000006"/>
    <n v="69.040000000000006"/>
    <n v="69.040000000000006"/>
    <m/>
    <s v="ENGAGE A CE JOUR"/>
    <d v="2016-04-08T00:00:00"/>
    <x v="4"/>
    <x v="13"/>
    <s v="2016"/>
    <m/>
    <m/>
    <m/>
    <m/>
    <m/>
  </r>
  <r>
    <s v="1 -Charges fixes"/>
    <x v="29"/>
    <m/>
    <s v="Prêt ETELI - mai 2016"/>
    <s v="MACSF"/>
    <m/>
    <n v="69.040000000000006"/>
    <n v="69.040000000000006"/>
    <n v="69.040000000000006"/>
    <m/>
    <s v="ENGAGE A CE JOUR"/>
    <d v="2016-05-08T00:00:00"/>
    <x v="4"/>
    <x v="14"/>
    <s v="2016"/>
    <m/>
    <m/>
    <m/>
    <m/>
    <m/>
  </r>
  <r>
    <s v="1 -Charges fixes"/>
    <x v="29"/>
    <m/>
    <s v="Prêt ETELI - juin 2016"/>
    <s v="MACSF"/>
    <m/>
    <n v="69.040000000000006"/>
    <n v="69.040000000000006"/>
    <n v="69.040000000000006"/>
    <m/>
    <s v="ENGAGE A CE JOUR"/>
    <d v="2016-06-08T00:00:00"/>
    <x v="4"/>
    <x v="19"/>
    <s v="2016"/>
    <m/>
    <m/>
    <m/>
    <m/>
    <m/>
  </r>
  <r>
    <s v="1 -Charges fixes"/>
    <x v="29"/>
    <m/>
    <s v="Prêt ETELI - juillet 2016"/>
    <s v="MACSF"/>
    <m/>
    <n v="69.040000000000006"/>
    <n v="69.040000000000006"/>
    <n v="69.040000000000006"/>
    <m/>
    <s v="ENGAGE A CE JOUR"/>
    <d v="2016-07-08T00:00:00"/>
    <x v="4"/>
    <x v="15"/>
    <s v="2016"/>
    <m/>
    <m/>
    <m/>
    <m/>
    <m/>
  </r>
  <r>
    <s v="1 -Charges fixes"/>
    <x v="29"/>
    <m/>
    <s v="Prêt ETELI - aout 2016"/>
    <s v="MACSF"/>
    <m/>
    <n v="69.040000000000006"/>
    <n v="69.040000000000006"/>
    <n v="69.040000000000006"/>
    <m/>
    <s v="ENGAGE A CE JOUR"/>
    <d v="2016-08-08T00:00:00"/>
    <x v="4"/>
    <x v="20"/>
    <s v="2016"/>
    <m/>
    <m/>
    <m/>
    <m/>
    <m/>
  </r>
  <r>
    <s v="1 -Charges fixes"/>
    <x v="29"/>
    <m/>
    <s v="Prêt ETELI - septembre 2016"/>
    <s v="MACSF"/>
    <m/>
    <n v="69.040000000000006"/>
    <n v="69.040000000000006"/>
    <n v="69.040000000000006"/>
    <m/>
    <s v="ENGAGE A CE JOUR"/>
    <d v="2016-09-08T00:00:00"/>
    <x v="4"/>
    <x v="21"/>
    <s v="2016"/>
    <m/>
    <m/>
    <m/>
    <m/>
    <m/>
  </r>
  <r>
    <s v="1 -Charges fixes"/>
    <x v="29"/>
    <m/>
    <s v="Prêt ETELI - octobre 2016"/>
    <s v="MACSF"/>
    <m/>
    <n v="69.040000000000006"/>
    <n v="69.040000000000006"/>
    <n v="69.040000000000006"/>
    <m/>
    <s v="ENGAGE A CE JOUR"/>
    <d v="2016-10-08T00:00:00"/>
    <x v="4"/>
    <x v="16"/>
    <s v="2016"/>
    <m/>
    <m/>
    <m/>
    <m/>
    <m/>
  </r>
  <r>
    <s v="1 -Charges fixes"/>
    <x v="29"/>
    <m/>
    <s v="Prêt ETELI - novembre 2016"/>
    <s v="MACSF"/>
    <m/>
    <n v="69.040000000000006"/>
    <n v="69.040000000000006"/>
    <n v="69.040000000000006"/>
    <m/>
    <s v="ENGAGE A CE JOUR"/>
    <d v="2016-11-08T00:00:00"/>
    <x v="4"/>
    <x v="22"/>
    <s v="2016"/>
    <m/>
    <m/>
    <m/>
    <m/>
    <m/>
  </r>
  <r>
    <s v="1 -Charges fixes"/>
    <x v="29"/>
    <m/>
    <s v="Prêt ETELI - decembre 2016"/>
    <s v="MACSF"/>
    <m/>
    <n v="69.040000000000006"/>
    <n v="69.040000000000006"/>
    <n v="69.040000000000006"/>
    <m/>
    <s v="ENGAGE A CE JOUR"/>
    <d v="2016-12-08T00:00:00"/>
    <x v="4"/>
    <x v="23"/>
    <s v="2016"/>
    <m/>
    <m/>
    <m/>
    <m/>
    <m/>
  </r>
  <r>
    <s v="1 -Charges fixes"/>
    <x v="30"/>
    <m/>
    <m/>
    <m/>
    <s v="54*12"/>
    <m/>
    <m/>
    <m/>
    <m/>
    <m/>
    <m/>
    <x v="0"/>
    <x v="0"/>
    <m/>
    <m/>
    <m/>
    <m/>
    <m/>
    <m/>
  </r>
  <r>
    <s v="1 -Charges fixes"/>
    <x v="30"/>
    <m/>
    <s v="Assurance cabinet - janvier 2016"/>
    <s v="MACSF"/>
    <m/>
    <n v="54"/>
    <n v="54"/>
    <n v="54"/>
    <s v="DECAISSE A CE JOUR"/>
    <m/>
    <d v="2016-01-08T00:00:00"/>
    <x v="1"/>
    <x v="1"/>
    <s v="2016"/>
    <m/>
    <m/>
    <m/>
    <m/>
    <m/>
  </r>
  <r>
    <s v="1 -Charges fixes"/>
    <x v="30"/>
    <m/>
    <s v="Assurance cabinet - février 2016"/>
    <s v="MACSF"/>
    <m/>
    <n v="54"/>
    <n v="54"/>
    <n v="54"/>
    <s v="DECAISSE A CE JOUR"/>
    <m/>
    <d v="2016-02-08T00:00:00"/>
    <x v="1"/>
    <x v="17"/>
    <s v="2016"/>
    <m/>
    <m/>
    <m/>
    <m/>
    <m/>
  </r>
  <r>
    <s v="1 -Charges fixes"/>
    <x v="30"/>
    <m/>
    <s v="Assurance cabinet - mars 2016"/>
    <s v="MACSF"/>
    <m/>
    <n v="54"/>
    <n v="54"/>
    <n v="54"/>
    <s v="DECAISSE A CE JOUR"/>
    <m/>
    <d v="2016-03-08T00:00:00"/>
    <x v="1"/>
    <x v="18"/>
    <s v="2016"/>
    <m/>
    <m/>
    <m/>
    <m/>
    <m/>
  </r>
  <r>
    <s v="1 -Charges fixes"/>
    <x v="30"/>
    <m/>
    <s v="Assurance cabinet - avril 2016"/>
    <s v="MACSF"/>
    <m/>
    <n v="54"/>
    <n v="54"/>
    <n v="54"/>
    <m/>
    <s v="ENGAGE A CE JOUR"/>
    <d v="2016-04-08T00:00:00"/>
    <x v="1"/>
    <x v="13"/>
    <s v="2016"/>
    <m/>
    <m/>
    <m/>
    <m/>
    <m/>
  </r>
  <r>
    <s v="1 -Charges fixes"/>
    <x v="30"/>
    <m/>
    <s v="Assurance cabinet - mai 2016"/>
    <s v="MACSF"/>
    <m/>
    <n v="54"/>
    <n v="54"/>
    <n v="54"/>
    <m/>
    <s v="ENGAGE A CE JOUR"/>
    <d v="2016-05-08T00:00:00"/>
    <x v="1"/>
    <x v="14"/>
    <s v="2016"/>
    <m/>
    <m/>
    <m/>
    <m/>
    <m/>
  </r>
  <r>
    <s v="1 -Charges fixes"/>
    <x v="30"/>
    <m/>
    <s v="Assurance cabinet - juin 2016"/>
    <s v="MACSF"/>
    <m/>
    <n v="54"/>
    <n v="54"/>
    <n v="54"/>
    <m/>
    <s v="ENGAGE A CE JOUR"/>
    <d v="2016-06-08T00:00:00"/>
    <x v="1"/>
    <x v="19"/>
    <s v="2016"/>
    <m/>
    <m/>
    <m/>
    <m/>
    <m/>
  </r>
  <r>
    <s v="1 -Charges fixes"/>
    <x v="30"/>
    <m/>
    <s v="Assurance cabinet - juillet 2016"/>
    <s v="MACSF"/>
    <m/>
    <n v="54"/>
    <n v="54"/>
    <n v="54"/>
    <m/>
    <s v="ENGAGE A CE JOUR"/>
    <d v="2016-07-08T00:00:00"/>
    <x v="1"/>
    <x v="15"/>
    <s v="2016"/>
    <m/>
    <m/>
    <m/>
    <m/>
    <m/>
  </r>
  <r>
    <s v="1 -Charges fixes"/>
    <x v="30"/>
    <m/>
    <s v="Assurance cabinet - aout 2016"/>
    <s v="MACSF"/>
    <m/>
    <n v="54"/>
    <n v="54"/>
    <n v="54"/>
    <m/>
    <s v="ENGAGE A CE JOUR"/>
    <d v="2016-08-08T00:00:00"/>
    <x v="1"/>
    <x v="20"/>
    <s v="2016"/>
    <m/>
    <m/>
    <m/>
    <m/>
    <m/>
  </r>
  <r>
    <s v="1 -Charges fixes"/>
    <x v="30"/>
    <m/>
    <s v="Assurance cabinet - septembre 2016"/>
    <s v="MACSF"/>
    <m/>
    <n v="54"/>
    <n v="54"/>
    <n v="54"/>
    <m/>
    <s v="ENGAGE A CE JOUR"/>
    <d v="2016-09-08T00:00:00"/>
    <x v="1"/>
    <x v="21"/>
    <s v="2016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00">
  <r>
    <s v="3- Achats"/>
    <s v="ALDO TOHME"/>
    <m/>
    <x v="0"/>
    <x v="0"/>
    <n v="2922.48"/>
    <m/>
    <m/>
    <m/>
    <m/>
    <m/>
    <x v="0"/>
    <x v="0"/>
    <m/>
    <m/>
  </r>
  <r>
    <s v="3- Achats"/>
    <s v="ALDO TOHME"/>
    <m/>
    <x v="1"/>
    <x v="1"/>
    <m/>
    <n v="1015"/>
    <n v="1015"/>
    <s v="DECAISSE A CE JOUR"/>
    <m/>
    <d v="2016-03-02T00:00:00"/>
    <x v="1"/>
    <x v="1"/>
    <s v="2016"/>
    <d v="2015-11-30T00:00:00"/>
  </r>
  <r>
    <s v="3- Achats"/>
    <s v="ALDO TOHME"/>
    <m/>
    <x v="2"/>
    <x v="1"/>
    <m/>
    <n v="2018"/>
    <n v="2018"/>
    <s v="DECAISSE A CE JOUR"/>
    <m/>
    <d v="2016-03-13T00:00:00"/>
    <x v="1"/>
    <x v="2"/>
    <s v="2016"/>
    <d v="2015-12-31T00:00:00"/>
  </r>
  <r>
    <s v="3- Achats"/>
    <s v="ALPHABIO"/>
    <m/>
    <x v="0"/>
    <x v="0"/>
    <m/>
    <m/>
    <m/>
    <m/>
    <m/>
    <m/>
    <x v="0"/>
    <x v="0"/>
    <m/>
    <m/>
  </r>
  <r>
    <s v="3- Achats"/>
    <s v="ALPHABIO"/>
    <m/>
    <x v="3"/>
    <x v="2"/>
    <m/>
    <n v="66.5"/>
    <n v="66.5"/>
    <s v="DECAISSE A CE JOUR"/>
    <m/>
    <d v="2016-01-19T00:00:00"/>
    <x v="1"/>
    <x v="3"/>
    <s v="2016"/>
    <d v="2015-03-04T00:00:00"/>
  </r>
  <r>
    <s v="3- Achats"/>
    <s v="ALPHABIO"/>
    <m/>
    <x v="4"/>
    <x v="2"/>
    <m/>
    <n v="414.62"/>
    <n v="414.62"/>
    <s v="DECAISSE A CE JOUR"/>
    <m/>
    <d v="2016-01-19T00:00:00"/>
    <x v="1"/>
    <x v="3"/>
    <s v="2016"/>
    <d v="2015-03-19T00:00:00"/>
  </r>
  <r>
    <s v="3- Achats"/>
    <s v="ALPHABIO"/>
    <m/>
    <x v="5"/>
    <x v="2"/>
    <m/>
    <n v="252.82"/>
    <n v="252.82"/>
    <s v="DECAISSE A CE JOUR"/>
    <m/>
    <d v="2016-01-19T00:00:00"/>
    <x v="1"/>
    <x v="3"/>
    <s v="2016"/>
    <d v="2015-03-19T00:00:00"/>
  </r>
  <r>
    <s v="3- Achats"/>
    <s v="ALPHABIO"/>
    <m/>
    <x v="6"/>
    <x v="2"/>
    <m/>
    <n v="163.77000000000001"/>
    <n v="163.77000000000001"/>
    <s v="DECAISSE A CE JOUR"/>
    <m/>
    <d v="2016-01-19T00:00:00"/>
    <x v="1"/>
    <x v="3"/>
    <s v="2016"/>
    <d v="2015-03-26T00:00:00"/>
  </r>
  <r>
    <s v="3- Achats"/>
    <s v="ALPHABIO"/>
    <m/>
    <x v="7"/>
    <x v="2"/>
    <m/>
    <n v="89.1"/>
    <n v="89.1"/>
    <s v="DECAISSE A CE JOUR"/>
    <m/>
    <d v="2016-01-19T00:00:00"/>
    <x v="1"/>
    <x v="3"/>
    <s v="2016"/>
    <d v="2015-04-03T00:00:00"/>
  </r>
  <r>
    <s v="3- Achats"/>
    <s v="ALPHABIO"/>
    <m/>
    <x v="8"/>
    <x v="2"/>
    <m/>
    <n v="66.63"/>
    <n v="66.63"/>
    <s v="DECAISSE A CE JOUR"/>
    <m/>
    <d v="2016-01-19T00:00:00"/>
    <x v="1"/>
    <x v="3"/>
    <s v="2016"/>
    <d v="2015-04-14T00:00:00"/>
  </r>
  <r>
    <s v="3- Achats"/>
    <s v="ALPHABIO"/>
    <m/>
    <x v="9"/>
    <x v="2"/>
    <m/>
    <n v="160.52000000000001"/>
    <n v="160.52000000000001"/>
    <s v="DECAISSE A CE JOUR"/>
    <m/>
    <d v="2016-01-19T00:00:00"/>
    <x v="1"/>
    <x v="3"/>
    <s v="2016"/>
    <d v="2015-04-27T00:00:00"/>
  </r>
  <r>
    <s v="3- Achats"/>
    <s v="ALPHABIO"/>
    <m/>
    <x v="10"/>
    <x v="2"/>
    <m/>
    <n v="66.63"/>
    <n v="66.63"/>
    <s v="DECAISSE A CE JOUR"/>
    <m/>
    <d v="2016-02-19T00:00:00"/>
    <x v="1"/>
    <x v="4"/>
    <s v="2016"/>
    <d v="2015-05-11T00:00:00"/>
  </r>
  <r>
    <s v="3- Achats"/>
    <s v="ALPHABIO"/>
    <m/>
    <x v="11"/>
    <x v="2"/>
    <m/>
    <n v="120.96"/>
    <n v="120.96"/>
    <s v="DECAISSE A CE JOUR"/>
    <m/>
    <d v="2016-02-19T00:00:00"/>
    <x v="1"/>
    <x v="4"/>
    <s v="2016"/>
    <d v="2015-05-12T00:00:00"/>
  </r>
  <r>
    <s v="3- Achats"/>
    <s v="ALPHABIO"/>
    <m/>
    <x v="12"/>
    <x v="2"/>
    <m/>
    <n v="280.52"/>
    <n v="280.52"/>
    <s v="DECAISSE A CE JOUR"/>
    <m/>
    <d v="2016-02-19T00:00:00"/>
    <x v="1"/>
    <x v="4"/>
    <s v="2016"/>
    <d v="2015-05-26T00:00:00"/>
  </r>
  <r>
    <s v="3- Achats"/>
    <s v="ALPHABIO"/>
    <m/>
    <x v="13"/>
    <x v="2"/>
    <m/>
    <n v="121.22"/>
    <n v="121.22"/>
    <s v="DECAISSE A CE JOUR"/>
    <m/>
    <d v="2016-02-19T00:00:00"/>
    <x v="1"/>
    <x v="4"/>
    <s v="2016"/>
    <d v="2015-06-08T00:00:00"/>
  </r>
  <r>
    <s v="3- Achats"/>
    <s v="ALPHABIO"/>
    <m/>
    <x v="14"/>
    <x v="2"/>
    <m/>
    <n v="88.84"/>
    <n v="88.84"/>
    <s v="DECAISSE A CE JOUR"/>
    <m/>
    <d v="2016-02-19T00:00:00"/>
    <x v="1"/>
    <x v="4"/>
    <s v="2016"/>
    <d v="2015-06-12T00:00:00"/>
  </r>
  <r>
    <s v="3- Achats"/>
    <s v="ALPHABIO"/>
    <m/>
    <x v="15"/>
    <x v="2"/>
    <m/>
    <n v="290.72000000000003"/>
    <n v="290.72000000000003"/>
    <s v="DECAISSE A CE JOUR"/>
    <m/>
    <d v="2016-02-19T00:00:00"/>
    <x v="1"/>
    <x v="4"/>
    <s v="2016"/>
    <d v="2015-06-12T00:00:00"/>
  </r>
  <r>
    <s v="3- Achats"/>
    <s v="ALPHABIO"/>
    <m/>
    <x v="16"/>
    <x v="2"/>
    <m/>
    <n v="888.6"/>
    <n v="888.6"/>
    <s v="DECAISSE A CE JOUR"/>
    <m/>
    <d v="2016-03-19T00:00:00"/>
    <x v="1"/>
    <x v="5"/>
    <s v="2016"/>
    <d v="2015-06-12T00:00:00"/>
  </r>
  <r>
    <s v="3- Achats"/>
    <s v="ALPHABIO"/>
    <m/>
    <x v="17"/>
    <x v="2"/>
    <m/>
    <n v="235.22"/>
    <n v="235.22"/>
    <s v="DECAISSE A CE JOUR"/>
    <m/>
    <d v="2016-03-19T00:00:00"/>
    <x v="1"/>
    <x v="5"/>
    <s v="2016"/>
    <d v="2015-06-22T00:00:00"/>
  </r>
  <r>
    <s v="3- Achats"/>
    <s v="ALPHABIO"/>
    <m/>
    <x v="18"/>
    <x v="2"/>
    <m/>
    <n v="114.66"/>
    <n v="114.66"/>
    <m/>
    <s v="ENGAGE A CE JOUR"/>
    <d v="2016-04-19T00:00:00"/>
    <x v="1"/>
    <x v="6"/>
    <s v="2016"/>
    <d v="2015-07-01T00:00:00"/>
  </r>
  <r>
    <s v="3- Achats"/>
    <s v="ALPHABIO"/>
    <m/>
    <x v="19"/>
    <x v="2"/>
    <m/>
    <n v="82.56"/>
    <n v="82.56"/>
    <m/>
    <s v="ENGAGE A CE JOUR"/>
    <d v="2016-04-19T00:00:00"/>
    <x v="1"/>
    <x v="6"/>
    <s v="2016"/>
    <d v="2015-07-09T00:00:00"/>
  </r>
  <r>
    <s v="3- Achats"/>
    <s v="ALPHABIO"/>
    <m/>
    <x v="20"/>
    <x v="2"/>
    <m/>
    <n v="102.62"/>
    <n v="102.62"/>
    <m/>
    <s v="ENGAGE A CE JOUR"/>
    <d v="2016-04-19T00:00:00"/>
    <x v="1"/>
    <x v="6"/>
    <s v="2016"/>
    <d v="2015-07-13T00:00:00"/>
  </r>
  <r>
    <s v="3- Achats"/>
    <s v="ALPHABIO"/>
    <m/>
    <x v="21"/>
    <x v="2"/>
    <m/>
    <n v="128.04"/>
    <n v="128.04"/>
    <m/>
    <s v="ENGAGE A CE JOUR"/>
    <d v="2016-04-19T00:00:00"/>
    <x v="1"/>
    <x v="6"/>
    <s v="2016"/>
    <d v="2015-07-16T00:00:00"/>
  </r>
  <r>
    <s v="3- Achats"/>
    <s v="ALPHABIO"/>
    <m/>
    <x v="22"/>
    <x v="2"/>
    <m/>
    <n v="88.84"/>
    <n v="88.84"/>
    <m/>
    <s v="ENGAGE A CE JOUR"/>
    <d v="2016-04-19T00:00:00"/>
    <x v="1"/>
    <x v="6"/>
    <s v="2016"/>
    <d v="2015-07-20T00:00:00"/>
  </r>
  <r>
    <s v="3- Achats"/>
    <s v="ALPHABIO"/>
    <m/>
    <x v="23"/>
    <x v="2"/>
    <m/>
    <n v="50.44"/>
    <n v="50.44"/>
    <m/>
    <s v="ENGAGE A CE JOUR"/>
    <d v="2016-04-19T00:00:00"/>
    <x v="1"/>
    <x v="6"/>
    <s v="2016"/>
    <d v="2015-07-21T00:00:00"/>
  </r>
  <r>
    <s v="3- Achats"/>
    <s v="ALPHABIO"/>
    <m/>
    <x v="24"/>
    <x v="2"/>
    <m/>
    <n v="66.5"/>
    <n v="66.5"/>
    <m/>
    <s v="ENGAGE A CE JOUR"/>
    <d v="2016-04-19T00:00:00"/>
    <x v="1"/>
    <x v="6"/>
    <s v="2016"/>
    <d v="2015-09-04T00:00:00"/>
  </r>
  <r>
    <s v="3- Achats"/>
    <s v="ALPHABIO"/>
    <m/>
    <x v="25"/>
    <x v="2"/>
    <m/>
    <n v="282.83999999999997"/>
    <n v="282.83999999999997"/>
    <m/>
    <s v="ENGAGE A CE JOUR"/>
    <d v="2016-04-19T00:00:00"/>
    <x v="1"/>
    <x v="6"/>
    <s v="2016"/>
    <d v="2015-09-17T00:00:00"/>
  </r>
  <r>
    <s v="3- Achats"/>
    <s v="ALPHABIO"/>
    <m/>
    <x v="26"/>
    <x v="2"/>
    <m/>
    <n v="36.119999999999997"/>
    <n v="36.119999999999997"/>
    <m/>
    <s v="ENGAGE A CE JOUR"/>
    <d v="2016-04-19T00:00:00"/>
    <x v="1"/>
    <x v="6"/>
    <s v="2016"/>
    <d v="2015-09-28T00:00:00"/>
  </r>
  <r>
    <s v="3- Achats"/>
    <s v="ALPHABIO"/>
    <m/>
    <x v="27"/>
    <x v="2"/>
    <m/>
    <n v="92.3"/>
    <n v="92.3"/>
    <m/>
    <s v="ENGAGE A CE JOUR"/>
    <d v="2016-04-19T00:00:00"/>
    <x v="1"/>
    <x v="6"/>
    <s v="2016"/>
    <d v="2015-09-29T00:00:00"/>
  </r>
  <r>
    <s v="3- Achats"/>
    <s v="ALPHABIO"/>
    <m/>
    <x v="28"/>
    <x v="2"/>
    <m/>
    <n v="-228.76"/>
    <n v="-228.76"/>
    <m/>
    <s v="ENGAGE A CE JOUR"/>
    <d v="2016-05-19T00:00:00"/>
    <x v="1"/>
    <x v="7"/>
    <s v="2016"/>
    <d v="2015-10-09T00:00:00"/>
  </r>
  <r>
    <s v="3- Achats"/>
    <s v="ALPHABIO"/>
    <m/>
    <x v="29"/>
    <x v="2"/>
    <m/>
    <n v="384.26"/>
    <n v="384.26"/>
    <m/>
    <s v="ENGAGE A CE JOUR"/>
    <d v="2016-05-19T00:00:00"/>
    <x v="1"/>
    <x v="7"/>
    <s v="2016"/>
    <d v="2015-10-12T00:00:00"/>
  </r>
  <r>
    <s v="3- Achats"/>
    <s v="ALPHABIO"/>
    <m/>
    <x v="30"/>
    <x v="2"/>
    <m/>
    <n v="20.059999999999999"/>
    <n v="20.059999999999999"/>
    <m/>
    <s v="ENGAGE A CE JOUR"/>
    <d v="2016-05-19T00:00:00"/>
    <x v="1"/>
    <x v="7"/>
    <s v="2016"/>
    <d v="2015-10-27T00:00:00"/>
  </r>
  <r>
    <s v="3- Achats"/>
    <s v="ALPHABIO"/>
    <m/>
    <x v="31"/>
    <x v="2"/>
    <m/>
    <n v="90.3"/>
    <n v="90.3"/>
    <m/>
    <s v="ENGAGE A CE JOUR"/>
    <d v="2016-05-19T00:00:00"/>
    <x v="1"/>
    <x v="7"/>
    <s v="2016"/>
    <d v="2015-11-05T00:00:00"/>
  </r>
  <r>
    <s v="3- Achats"/>
    <s v="ALPHABIO"/>
    <m/>
    <x v="32"/>
    <x v="2"/>
    <m/>
    <n v="160.52000000000001"/>
    <n v="160.52000000000001"/>
    <m/>
    <s v="ENGAGE A CE JOUR"/>
    <d v="2016-05-19T00:00:00"/>
    <x v="1"/>
    <x v="7"/>
    <s v="2016"/>
    <d v="2015-11-12T00:00:00"/>
  </r>
  <r>
    <s v="3- Achats"/>
    <s v="ALPHABIO"/>
    <m/>
    <x v="33"/>
    <x v="2"/>
    <m/>
    <n v="160.52000000000001"/>
    <n v="160.52000000000001"/>
    <m/>
    <s v="ENGAGE A CE JOUR"/>
    <d v="2016-05-19T00:00:00"/>
    <x v="1"/>
    <x v="7"/>
    <s v="2016"/>
    <d v="2015-11-20T00:00:00"/>
  </r>
  <r>
    <s v="3- Achats"/>
    <s v="ALPHABIO"/>
    <m/>
    <x v="34"/>
    <x v="2"/>
    <m/>
    <n v="-160.52000000000001"/>
    <n v="-160.52000000000001"/>
    <m/>
    <s v="ENGAGE A CE JOUR"/>
    <d v="2016-05-19T00:00:00"/>
    <x v="1"/>
    <x v="7"/>
    <s v="2016"/>
    <d v="2015-11-23T00:00:00"/>
  </r>
  <r>
    <s v="3- Achats"/>
    <s v="ALPHABIO"/>
    <m/>
    <x v="35"/>
    <x v="2"/>
    <m/>
    <n v="16.059999999999999"/>
    <n v="16.059999999999999"/>
    <m/>
    <s v="ENGAGE A CE JOUR"/>
    <d v="2016-05-19T00:00:00"/>
    <x v="1"/>
    <x v="7"/>
    <s v="2016"/>
    <d v="2015-11-30T00:00:00"/>
  </r>
  <r>
    <s v="3- Achats"/>
    <s v="ALPHABIO"/>
    <m/>
    <x v="36"/>
    <x v="2"/>
    <m/>
    <n v="240.78"/>
    <n v="240.78"/>
    <m/>
    <s v="ENGAGE A CE JOUR"/>
    <d v="2016-05-19T00:00:00"/>
    <x v="1"/>
    <x v="7"/>
    <s v="2016"/>
    <d v="2015-12-03T00:00:00"/>
  </r>
  <r>
    <s v="3- Achats"/>
    <s v="ALPHABIO"/>
    <m/>
    <x v="37"/>
    <x v="2"/>
    <m/>
    <n v="80.040000000000006"/>
    <n v="80.040000000000006"/>
    <m/>
    <s v="ENGAGE A CE JOUR"/>
    <d v="2016-05-19T00:00:00"/>
    <x v="1"/>
    <x v="7"/>
    <s v="2016"/>
    <d v="2015-12-09T00:00:00"/>
  </r>
  <r>
    <s v="3- Achats"/>
    <s v="ALPHABIO"/>
    <m/>
    <x v="38"/>
    <x v="2"/>
    <m/>
    <n v="401.3"/>
    <n v="401.3"/>
    <m/>
    <s v="ENGAGE A CE JOUR"/>
    <d v="2016-05-19T00:00:00"/>
    <x v="1"/>
    <x v="7"/>
    <s v="2016"/>
    <d v="2015-12-10T00:00:00"/>
  </r>
  <r>
    <s v="3- Achats"/>
    <s v="ALPHABIO"/>
    <m/>
    <x v="39"/>
    <x v="2"/>
    <m/>
    <n v="180.6"/>
    <n v="180.6"/>
    <m/>
    <s v="ENGAGE A CE JOUR"/>
    <d v="2016-05-19T00:00:00"/>
    <x v="1"/>
    <x v="7"/>
    <s v="2016"/>
    <d v="2015-12-18T00:00:00"/>
  </r>
  <r>
    <s v="3- Achats"/>
    <s v="ALPHABIO"/>
    <m/>
    <x v="40"/>
    <x v="2"/>
    <m/>
    <n v="92.3"/>
    <n v="92.3"/>
    <m/>
    <s v="ENGAGE A CE JOUR"/>
    <d v="2016-06-19T00:00:00"/>
    <x v="1"/>
    <x v="8"/>
    <s v="2016"/>
    <d v="2016-01-27T00:00:00"/>
  </r>
  <r>
    <s v="3- Achats"/>
    <s v="ALPHABIO"/>
    <m/>
    <x v="41"/>
    <x v="2"/>
    <m/>
    <n v="446.46"/>
    <n v="446.46"/>
    <m/>
    <s v="ENGAGE A CE JOUR"/>
    <d v="2016-06-19T00:00:00"/>
    <x v="1"/>
    <x v="8"/>
    <s v="2016"/>
    <d v="2016-02-04T00:00:00"/>
  </r>
  <r>
    <s v="3- Achats"/>
    <s v="AB IMPLANTS"/>
    <m/>
    <x v="0"/>
    <x v="0"/>
    <m/>
    <m/>
    <m/>
    <m/>
    <m/>
    <m/>
    <x v="0"/>
    <x v="0"/>
    <m/>
    <m/>
  </r>
  <r>
    <s v="3- Achats"/>
    <s v="AB IMPLANTS"/>
    <m/>
    <x v="42"/>
    <x v="3"/>
    <m/>
    <n v="480"/>
    <n v="480"/>
    <m/>
    <s v="ENGAGE A CE JOUR"/>
    <m/>
    <x v="2"/>
    <x v="9"/>
    <s v="2016"/>
    <d v="2014-09-30T00:00:00"/>
  </r>
  <r>
    <s v="3- Achats"/>
    <s v="BIOMET"/>
    <m/>
    <x v="0"/>
    <x v="0"/>
    <m/>
    <m/>
    <m/>
    <m/>
    <m/>
    <m/>
    <x v="0"/>
    <x v="0"/>
    <m/>
    <m/>
  </r>
  <r>
    <s v="3- Achats"/>
    <s v="BIOMET"/>
    <m/>
    <x v="43"/>
    <x v="4"/>
    <m/>
    <n v="58.8"/>
    <n v="58.8"/>
    <s v="DECAISSE A CE JOUR"/>
    <m/>
    <d v="2016-01-18T00:00:00"/>
    <x v="1"/>
    <x v="3"/>
    <s v="2016"/>
    <d v="2015-07-06T00:00:00"/>
  </r>
  <r>
    <s v="3- Achats"/>
    <s v="CNOCD"/>
    <m/>
    <x v="0"/>
    <x v="0"/>
    <m/>
    <m/>
    <m/>
    <m/>
    <m/>
    <m/>
    <x v="0"/>
    <x v="0"/>
    <m/>
    <m/>
  </r>
  <r>
    <s v="3- Achats"/>
    <s v="CNOCD"/>
    <m/>
    <x v="44"/>
    <x v="5"/>
    <m/>
    <n v="417"/>
    <n v="417"/>
    <m/>
    <s v="ENGAGE A CE JOUR"/>
    <d v="2016-03-31T00:00:00"/>
    <x v="3"/>
    <x v="10"/>
    <s v="2016"/>
    <d v="2016-01-08T00:00:00"/>
  </r>
  <r>
    <s v="3- Achats"/>
    <s v="GACD"/>
    <m/>
    <x v="0"/>
    <x v="0"/>
    <m/>
    <m/>
    <m/>
    <m/>
    <m/>
    <m/>
    <x v="0"/>
    <x v="0"/>
    <m/>
    <m/>
  </r>
  <r>
    <s v="3- Achats"/>
    <s v="GACD"/>
    <m/>
    <x v="45"/>
    <x v="6"/>
    <m/>
    <n v="129.65"/>
    <n v="129.65"/>
    <s v="DECAISSE A CE JOUR"/>
    <m/>
    <d v="2016-01-15T00:00:00"/>
    <x v="1"/>
    <x v="11"/>
    <s v="2016"/>
    <d v="2015-09-03T00:00:00"/>
  </r>
  <r>
    <s v="3- Achats"/>
    <s v="GEISTLICH"/>
    <m/>
    <x v="0"/>
    <x v="0"/>
    <m/>
    <m/>
    <m/>
    <m/>
    <m/>
    <m/>
    <x v="0"/>
    <x v="0"/>
    <m/>
    <m/>
  </r>
  <r>
    <s v="3- Achats"/>
    <s v="GEISTLICH"/>
    <m/>
    <x v="46"/>
    <x v="7"/>
    <m/>
    <n v="495.01"/>
    <n v="495.01"/>
    <s v="DECAISSE A CE JOUR"/>
    <m/>
    <d v="2016-01-15T00:00:00"/>
    <x v="1"/>
    <x v="11"/>
    <s v="2016"/>
    <d v="2015-11-02T00:00:00"/>
  </r>
  <r>
    <s v="3- Achats"/>
    <s v="GD"/>
    <m/>
    <x v="0"/>
    <x v="0"/>
    <m/>
    <m/>
    <m/>
    <m/>
    <m/>
    <m/>
    <x v="0"/>
    <x v="0"/>
    <m/>
    <m/>
  </r>
  <r>
    <s v="3- Achats"/>
    <s v="GD"/>
    <m/>
    <x v="47"/>
    <x v="8"/>
    <m/>
    <n v="1537.04"/>
    <n v="1537.04"/>
    <m/>
    <s v="ENGAGE A CE JOUR"/>
    <m/>
    <x v="1"/>
    <x v="9"/>
    <s v="2016"/>
    <d v="2015-03-06T00:00:00"/>
  </r>
  <r>
    <s v="3- Achats"/>
    <s v="GD"/>
    <m/>
    <x v="48"/>
    <x v="8"/>
    <m/>
    <n v="436.45"/>
    <n v="436.45"/>
    <s v="DECAISSE A CE JOUR"/>
    <m/>
    <d v="2016-03-09T00:00:00"/>
    <x v="1"/>
    <x v="2"/>
    <s v="2016"/>
    <d v="2015-05-11T00:00:00"/>
  </r>
  <r>
    <s v="3- Achats"/>
    <s v="GD"/>
    <m/>
    <x v="49"/>
    <x v="8"/>
    <m/>
    <n v="393.25"/>
    <n v="393.25"/>
    <s v="DECAISSE A CE JOUR"/>
    <m/>
    <d v="2016-03-09T00:00:00"/>
    <x v="1"/>
    <x v="2"/>
    <s v="2016"/>
    <d v="2015-06-16T00:00:00"/>
  </r>
  <r>
    <s v="3- Achats"/>
    <s v="GD"/>
    <m/>
    <x v="50"/>
    <x v="8"/>
    <m/>
    <n v="762.84"/>
    <n v="762.84"/>
    <m/>
    <s v="ENGAGE A CE JOUR"/>
    <m/>
    <x v="1"/>
    <x v="9"/>
    <s v="2016"/>
    <d v="2015-12-07T00:00:00"/>
  </r>
  <r>
    <s v="3- Achats"/>
    <s v="GD"/>
    <m/>
    <x v="51"/>
    <x v="8"/>
    <m/>
    <n v="851.05"/>
    <n v="851.05"/>
    <m/>
    <s v="ENGAGE A CE JOUR"/>
    <m/>
    <x v="1"/>
    <x v="9"/>
    <s v="2016"/>
    <d v="2016-02-08T00:00:00"/>
  </r>
  <r>
    <s v="3- Achats"/>
    <s v="IPP PHARMA"/>
    <m/>
    <x v="0"/>
    <x v="0"/>
    <m/>
    <m/>
    <m/>
    <m/>
    <m/>
    <m/>
    <x v="0"/>
    <x v="0"/>
    <m/>
    <m/>
  </r>
  <r>
    <s v="3- Achats"/>
    <s v="IPP PHARMA"/>
    <m/>
    <x v="52"/>
    <x v="9"/>
    <m/>
    <n v="269"/>
    <n v="269"/>
    <s v="DECAISSE A CE JOUR"/>
    <m/>
    <d v="2016-01-20T00:00:00"/>
    <x v="1"/>
    <x v="3"/>
    <s v="2016"/>
    <d v="2015-12-01T00:00:00"/>
  </r>
  <r>
    <s v="3- Achats"/>
    <s v="IPP PHARMA"/>
    <m/>
    <x v="53"/>
    <x v="9"/>
    <m/>
    <n v="268.89999999999998"/>
    <n v="268.89999999999998"/>
    <s v="DECAISSE A CE JOUR"/>
    <m/>
    <d v="2016-02-03T00:00:00"/>
    <x v="1"/>
    <x v="12"/>
    <s v="2016"/>
    <d v="2015-12-07T00:00:00"/>
  </r>
  <r>
    <s v="3- Achats"/>
    <s v="IRSN"/>
    <m/>
    <x v="0"/>
    <x v="0"/>
    <m/>
    <m/>
    <m/>
    <m/>
    <m/>
    <m/>
    <x v="0"/>
    <x v="0"/>
    <m/>
    <m/>
  </r>
  <r>
    <s v="3- Achats"/>
    <s v="IRSN"/>
    <m/>
    <x v="54"/>
    <x v="10"/>
    <m/>
    <n v="162.84"/>
    <n v="162.84"/>
    <s v="DECAISSE A CE JOUR"/>
    <m/>
    <d v="2016-03-04T00:00:00"/>
    <x v="2"/>
    <x v="1"/>
    <s v="2016"/>
    <d v="2015-12-15T00:00:00"/>
  </r>
  <r>
    <s v="3- Achats"/>
    <s v="LABOPREMIER"/>
    <m/>
    <x v="0"/>
    <x v="0"/>
    <m/>
    <m/>
    <m/>
    <m/>
    <m/>
    <m/>
    <x v="0"/>
    <x v="0"/>
    <m/>
    <m/>
  </r>
  <r>
    <s v="3- Achats"/>
    <s v="LABOPREMIER"/>
    <m/>
    <x v="55"/>
    <x v="11"/>
    <m/>
    <n v="900.68"/>
    <n v="900.68"/>
    <s v="DECAISSE A CE JOUR"/>
    <m/>
    <d v="2016-01-25T00:00:00"/>
    <x v="2"/>
    <x v="13"/>
    <s v="2016"/>
    <d v="2015-07-01T00:00:00"/>
  </r>
  <r>
    <s v="3- Achats"/>
    <s v="LABOPREMIER"/>
    <m/>
    <x v="56"/>
    <x v="11"/>
    <m/>
    <n v="1394.87"/>
    <n v="1394.87"/>
    <s v="DECAISSE A CE JOUR"/>
    <m/>
    <d v="2016-04-01T00:00:00"/>
    <x v="1"/>
    <x v="10"/>
    <s v="2016"/>
    <d v="2015-09-30T00:00:00"/>
  </r>
  <r>
    <s v="3- Achats"/>
    <s v="LABOPREMIER"/>
    <m/>
    <x v="57"/>
    <x v="11"/>
    <m/>
    <n v="1268.32"/>
    <n v="1268.32"/>
    <s v="DECAISSE A CE JOUR"/>
    <m/>
    <d v="2016-03-01T00:00:00"/>
    <x v="1"/>
    <x v="1"/>
    <s v="2016"/>
    <d v="2015-10-31T00:00:00"/>
  </r>
  <r>
    <s v="3- Achats"/>
    <s v="LABOPREMIER"/>
    <m/>
    <x v="58"/>
    <x v="11"/>
    <m/>
    <n v="962.42"/>
    <n v="962.42"/>
    <s v="DECAISSE A CE JOUR"/>
    <m/>
    <d v="2016-02-03T00:00:00"/>
    <x v="1"/>
    <x v="12"/>
    <s v="2016"/>
    <d v="2015-11-30T00:00:00"/>
  </r>
  <r>
    <s v="3- Achats"/>
    <s v="LABOPREMIER"/>
    <m/>
    <x v="59"/>
    <x v="11"/>
    <m/>
    <n v="1774.31"/>
    <n v="1774.31"/>
    <s v="DECAISSE A CE JOUR"/>
    <m/>
    <d v="2016-05-01T00:00:00"/>
    <x v="1"/>
    <x v="14"/>
    <s v="2016"/>
    <d v="2015-12-31T00:00:00"/>
  </r>
  <r>
    <s v="3- Achats"/>
    <s v="MEGADENTAL"/>
    <m/>
    <x v="0"/>
    <x v="0"/>
    <m/>
    <m/>
    <m/>
    <m/>
    <m/>
    <m/>
    <x v="0"/>
    <x v="0"/>
    <m/>
    <m/>
  </r>
  <r>
    <s v="3- Achats"/>
    <s v="MEGADENTAL"/>
    <m/>
    <x v="60"/>
    <x v="12"/>
    <m/>
    <n v="425.9"/>
    <n v="425.9"/>
    <s v="DECAISSE A CE JOUR"/>
    <m/>
    <d v="2016-01-04T00:00:00"/>
    <x v="1"/>
    <x v="15"/>
    <s v="2016"/>
    <d v="2015-08-27T00:00:00"/>
  </r>
  <r>
    <s v="3- Achats"/>
    <s v="MEGADENTAL"/>
    <m/>
    <x v="61"/>
    <x v="12"/>
    <m/>
    <n v="629.29999999999995"/>
    <n v="629.29999999999995"/>
    <s v="DECAISSE A CE JOUR"/>
    <m/>
    <d v="2016-02-12T00:00:00"/>
    <x v="1"/>
    <x v="16"/>
    <s v="2016"/>
    <d v="2015-09-29T00:00:00"/>
  </r>
  <r>
    <s v="3- Achats"/>
    <s v="MEGADENTAL"/>
    <m/>
    <x v="62"/>
    <x v="12"/>
    <m/>
    <n v="337.5"/>
    <n v="337.5"/>
    <s v="DECAISSE A CE JOUR"/>
    <m/>
    <d v="2016-02-12T00:00:00"/>
    <x v="1"/>
    <x v="16"/>
    <s v="2016"/>
    <d v="2015-09-29T00:00:00"/>
  </r>
  <r>
    <s v="3- Achats"/>
    <s v="MEGADENTAL"/>
    <m/>
    <x v="63"/>
    <x v="12"/>
    <m/>
    <n v="16.899999999999999"/>
    <n v="16.899999999999999"/>
    <s v="DECAISSE A CE JOUR"/>
    <m/>
    <d v="2016-02-12T00:00:00"/>
    <x v="1"/>
    <x v="16"/>
    <s v="2016"/>
    <d v="2015-10-07T00:00:00"/>
  </r>
  <r>
    <s v="3- Achats"/>
    <s v="MEGADENTAL"/>
    <m/>
    <x v="64"/>
    <x v="12"/>
    <m/>
    <n v="376.6"/>
    <n v="376.6"/>
    <m/>
    <s v="ENGAGE A CE JOUR"/>
    <m/>
    <x v="1"/>
    <x v="9"/>
    <s v="2016"/>
    <d v="2015-11-24T00:00:00"/>
  </r>
  <r>
    <s v="3- Achats"/>
    <s v="MEGADENTAL"/>
    <m/>
    <x v="65"/>
    <x v="12"/>
    <m/>
    <n v="723.5"/>
    <n v="723.5"/>
    <m/>
    <s v="ENGAGE A CE JOUR"/>
    <m/>
    <x v="1"/>
    <x v="9"/>
    <s v="2016"/>
    <d v="2016-01-06T00:00:00"/>
  </r>
  <r>
    <s v="3- Achats"/>
    <s v="MEGADENTAL"/>
    <m/>
    <x v="66"/>
    <x v="12"/>
    <m/>
    <n v="396.1"/>
    <n v="396.1"/>
    <m/>
    <s v="ENGAGE A CE JOUR"/>
    <m/>
    <x v="1"/>
    <x v="9"/>
    <s v="2016"/>
    <d v="2016-02-03T00:00:00"/>
  </r>
  <r>
    <s v="3- Achats"/>
    <s v="MIS"/>
    <m/>
    <x v="0"/>
    <x v="0"/>
    <m/>
    <m/>
    <m/>
    <m/>
    <m/>
    <m/>
    <x v="0"/>
    <x v="0"/>
    <m/>
    <m/>
  </r>
  <r>
    <s v="3- Achats"/>
    <s v="MIS"/>
    <m/>
    <x v="67"/>
    <x v="13"/>
    <m/>
    <n v="66"/>
    <n v="66"/>
    <s v="DECAISSE A CE JOUR"/>
    <m/>
    <d v="2016-02-15T00:00:00"/>
    <x v="1"/>
    <x v="4"/>
    <s v="2016"/>
    <d v="2015-09-22T00:00:00"/>
  </r>
  <r>
    <s v="3- Achats"/>
    <s v="MIS"/>
    <m/>
    <x v="68"/>
    <x v="13"/>
    <m/>
    <n v="55.75"/>
    <n v="55.75"/>
    <s v="DECAISSE A CE JOUR"/>
    <m/>
    <d v="2016-02-15T00:00:00"/>
    <x v="1"/>
    <x v="4"/>
    <s v="2016"/>
    <d v="2015-09-28T00:00:00"/>
  </r>
  <r>
    <s v="3- Achats"/>
    <s v="SFID"/>
    <m/>
    <x v="0"/>
    <x v="0"/>
    <m/>
    <m/>
    <m/>
    <m/>
    <m/>
    <m/>
    <x v="0"/>
    <x v="0"/>
    <m/>
    <m/>
  </r>
  <r>
    <e v="#REF!"/>
    <s v="SFID"/>
    <m/>
    <x v="69"/>
    <x v="14"/>
    <m/>
    <n v="329.57"/>
    <n v="329.57"/>
    <s v="DECAISSE A CE JOUR"/>
    <m/>
    <d v="2016-02-26T00:00:00"/>
    <x v="1"/>
    <x v="17"/>
    <s v="2016"/>
    <d v="2015-12-31T00:00:00"/>
  </r>
  <r>
    <s v="3- Achats"/>
    <s v="SODICOME"/>
    <m/>
    <x v="0"/>
    <x v="0"/>
    <m/>
    <m/>
    <m/>
    <m/>
    <m/>
    <m/>
    <x v="0"/>
    <x v="0"/>
    <m/>
    <m/>
  </r>
  <r>
    <e v="#REF!"/>
    <s v="SODICOME"/>
    <m/>
    <x v="70"/>
    <x v="15"/>
    <m/>
    <n v="192.74"/>
    <n v="192.74"/>
    <s v="DECAISSE A CE JOUR"/>
    <m/>
    <d v="2016-01-18T00:00:00"/>
    <x v="1"/>
    <x v="3"/>
    <s v="2016"/>
    <d v="2015-10-01T00:00:00"/>
  </r>
  <r>
    <s v="3- Achats"/>
    <s v="VOG"/>
    <m/>
    <x v="0"/>
    <x v="0"/>
    <m/>
    <m/>
    <m/>
    <m/>
    <m/>
    <m/>
    <x v="0"/>
    <x v="0"/>
    <m/>
    <m/>
  </r>
  <r>
    <e v="#REF!"/>
    <s v="VOG"/>
    <m/>
    <x v="71"/>
    <x v="16"/>
    <m/>
    <n v="323.52"/>
    <n v="323.52"/>
    <s v="DECAISSE A CE JOUR"/>
    <m/>
    <d v="2015-01-12T00:00:00"/>
    <x v="2"/>
    <x v="11"/>
    <s v="2016"/>
    <d v="2015-11-27T00:00:00"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  <r>
    <e v="#REF!"/>
    <m/>
    <m/>
    <x v="0"/>
    <x v="17"/>
    <m/>
    <m/>
    <n v="0"/>
    <m/>
    <m/>
    <m/>
    <x v="0"/>
    <x v="9"/>
    <s v="201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9:BC45" firstHeaderRow="1" firstDataRow="2" firstDataCol="1"/>
  <pivotFields count="21">
    <pivotField showAll="0"/>
    <pivotField axis="axisRow" showAll="0">
      <items count="32">
        <item x="0"/>
        <item x="1"/>
        <item x="3"/>
        <item x="2"/>
        <item x="4"/>
        <item x="5"/>
        <item x="6"/>
        <item x="8"/>
        <item x="7"/>
        <item x="9"/>
        <item x="10"/>
        <item x="11"/>
        <item x="12"/>
        <item x="14"/>
        <item x="13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Row" showAll="0">
      <items count="6">
        <item x="3"/>
        <item x="2"/>
        <item x="1"/>
        <item x="4"/>
        <item sd="0" x="0"/>
        <item t="default"/>
      </items>
    </pivotField>
    <pivotField axis="axisCol" showAll="0">
      <items count="54">
        <item x="1"/>
        <item x="25"/>
        <item x="38"/>
        <item x="49"/>
        <item x="2"/>
        <item x="17"/>
        <item x="31"/>
        <item x="46"/>
        <item x="3"/>
        <item x="18"/>
        <item x="32"/>
        <item x="39"/>
        <item x="4"/>
        <item x="13"/>
        <item x="26"/>
        <item x="40"/>
        <item x="5"/>
        <item x="14"/>
        <item x="24"/>
        <item x="36"/>
        <item x="47"/>
        <item x="6"/>
        <item x="19"/>
        <item x="33"/>
        <item x="41"/>
        <item x="7"/>
        <item x="15"/>
        <item x="27"/>
        <item x="42"/>
        <item x="50"/>
        <item x="8"/>
        <item x="20"/>
        <item x="34"/>
        <item x="48"/>
        <item x="9"/>
        <item x="21"/>
        <item x="28"/>
        <item x="43"/>
        <item x="10"/>
        <item x="16"/>
        <item x="29"/>
        <item x="37"/>
        <item x="51"/>
        <item x="11"/>
        <item x="22"/>
        <item x="35"/>
        <item x="44"/>
        <item x="12"/>
        <item x="23"/>
        <item x="30"/>
        <item x="45"/>
        <item x="5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2">
    <field x="12"/>
    <field x="1"/>
  </rowFields>
  <rowItems count="35">
    <i>
      <x/>
    </i>
    <i r="1">
      <x v="3"/>
    </i>
    <i r="1">
      <x v="12"/>
    </i>
    <i r="1">
      <x v="13"/>
    </i>
    <i r="1">
      <x v="24"/>
    </i>
    <i r="1">
      <x v="25"/>
    </i>
    <i r="1">
      <x v="28"/>
    </i>
    <i>
      <x v="1"/>
    </i>
    <i r="1">
      <x v="1"/>
    </i>
    <i r="1">
      <x v="19"/>
    </i>
    <i r="1">
      <x v="20"/>
    </i>
    <i r="1">
      <x v="27"/>
    </i>
    <i>
      <x v="2"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4"/>
    </i>
    <i r="1">
      <x v="15"/>
    </i>
    <i r="1">
      <x v="16"/>
    </i>
    <i r="1">
      <x v="18"/>
    </i>
    <i r="1">
      <x v="21"/>
    </i>
    <i r="1">
      <x v="26"/>
    </i>
    <i r="1">
      <x v="30"/>
    </i>
    <i>
      <x v="3"/>
    </i>
    <i r="1">
      <x v="23"/>
    </i>
    <i r="1">
      <x v="29"/>
    </i>
    <i>
      <x v="4"/>
    </i>
    <i t="grand">
      <x/>
    </i>
  </rowItems>
  <colFields count="1">
    <field x="13"/>
  </colFields>
  <col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colItems>
  <dataFields count="1">
    <dataField name="DEPENSES TRESORERIE CHARGES FIXES" fld="7" baseField="12" baseItem="0" numFmtId="165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T26" firstHeaderRow="1" firstDataRow="2" firstDataCol="1"/>
  <pivotFields count="15">
    <pivotField showAll="0"/>
    <pivotField showAll="0"/>
    <pivotField showAll="0"/>
    <pivotField axis="axisRow" showAll="0">
      <items count="74">
        <item x="4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0"/>
        <item x="29"/>
        <item x="31"/>
        <item x="32"/>
        <item x="33"/>
        <item x="34"/>
        <item x="35"/>
        <item x="36"/>
        <item x="37"/>
        <item x="38"/>
        <item x="39"/>
        <item x="40"/>
        <item x="41"/>
        <item x="70"/>
        <item x="52"/>
        <item x="53"/>
        <item m="1" x="72"/>
        <item x="69"/>
        <item x="67"/>
        <item x="68"/>
        <item x="60"/>
        <item x="61"/>
        <item x="62"/>
        <item x="63"/>
        <item x="64"/>
        <item x="65"/>
        <item x="66"/>
        <item x="1"/>
        <item x="2"/>
        <item x="54"/>
        <item x="45"/>
        <item x="47"/>
        <item x="48"/>
        <item x="49"/>
        <item x="55"/>
        <item x="56"/>
        <item x="50"/>
        <item x="57"/>
        <item x="58"/>
        <item x="59"/>
        <item x="51"/>
        <item x="43"/>
        <item x="46"/>
        <item x="44"/>
        <item x="71"/>
        <item x="0"/>
        <item t="default"/>
      </items>
    </pivotField>
    <pivotField axis="axisRow" showAll="0">
      <items count="19">
        <item sd="0" x="17"/>
        <item sd="0" x="3"/>
        <item sd="0" x="1"/>
        <item sd="0" x="2"/>
        <item sd="0" x="4"/>
        <item sd="0" x="5"/>
        <item sd="0" x="6"/>
        <item sd="0" x="8"/>
        <item sd="0" x="7"/>
        <item sd="0" x="9"/>
        <item sd="0" x="10"/>
        <item sd="0" x="11"/>
        <item sd="0" x="12"/>
        <item sd="0" x="13"/>
        <item sd="0" x="14"/>
        <item sd="0" x="15"/>
        <item sd="0" x="16"/>
        <item sd="0" x="0"/>
        <item t="default"/>
      </items>
    </pivotField>
    <pivotField showAll="0"/>
    <pivotField dataField="1" showAll="0"/>
    <pivotField showAll="0"/>
    <pivotField showAll="0"/>
    <pivotField showAll="0"/>
    <pivotField showAll="0"/>
    <pivotField axis="axisRow" showAll="0">
      <items count="6">
        <item sd="0" x="0"/>
        <item x="1"/>
        <item x="2"/>
        <item m="1" x="4"/>
        <item x="3"/>
        <item t="default"/>
      </items>
    </pivotField>
    <pivotField axis="axisCol" showAll="0">
      <items count="19">
        <item x="9"/>
        <item x="15"/>
        <item x="11"/>
        <item x="3"/>
        <item x="12"/>
        <item x="16"/>
        <item x="4"/>
        <item x="1"/>
        <item x="5"/>
        <item x="10"/>
        <item x="6"/>
        <item x="14"/>
        <item x="7"/>
        <item x="8"/>
        <item x="0"/>
        <item x="2"/>
        <item x="17"/>
        <item x="13"/>
        <item t="default"/>
      </items>
    </pivotField>
    <pivotField showAll="0"/>
    <pivotField showAll="0"/>
  </pivotFields>
  <rowFields count="3">
    <field x="11"/>
    <field x="4"/>
    <field x="3"/>
  </rowFields>
  <rowItems count="22">
    <i>
      <x/>
    </i>
    <i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 r="1">
      <x v="14"/>
    </i>
    <i r="1">
      <x v="15"/>
    </i>
    <i>
      <x v="2"/>
    </i>
    <i r="1">
      <x v="1"/>
    </i>
    <i r="1">
      <x v="10"/>
    </i>
    <i r="1">
      <x v="11"/>
    </i>
    <i r="1">
      <x v="16"/>
    </i>
    <i>
      <x v="4"/>
    </i>
    <i r="1">
      <x v="5"/>
    </i>
    <i t="grand">
      <x/>
    </i>
  </rowItems>
  <colFields count="1">
    <field x="12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Somme de Total TTC" fld="6" baseField="11" baseItem="0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C11" firstHeaderRow="1" firstDataRow="2" firstDataCol="1" rowPageCount="1" colPageCount="1"/>
  <pivotFields count="15">
    <pivotField showAll="0"/>
    <pivotField axis="axisRow" showAll="0">
      <items count="7">
        <item m="1" x="4"/>
        <item m="1" x="3"/>
        <item m="1" x="2"/>
        <item m="1" x="5"/>
        <item x="0"/>
        <item x="1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 defaultSubtotal="0">
      <items count="4">
        <item x="1"/>
        <item x="2"/>
        <item x="3"/>
        <item h="1" x="0"/>
      </items>
    </pivotField>
    <pivotField dataField="1" showAll="0"/>
    <pivotField showAll="0"/>
    <pivotField showAll="0"/>
    <pivotField showAll="0"/>
    <pivotField axis="axisCol" showAll="0">
      <items count="61">
        <item x="1"/>
        <item x="2"/>
        <item x="4"/>
        <item x="3"/>
        <item x="5"/>
        <item x="7"/>
        <item x="6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0"/>
        <item m="1" x="58"/>
        <item m="1" x="54"/>
        <item m="1" x="55"/>
        <item m="1" x="56"/>
        <item m="1" x="57"/>
        <item m="1" x="59"/>
        <item m="1" x="53"/>
        <item t="default"/>
      </items>
    </pivotField>
    <pivotField axis="axisRow" showAll="0">
      <items count="6">
        <item x="2"/>
        <item sd="0" x="0"/>
        <item m="1" x="4"/>
        <item m="1" x="3"/>
        <item x="1"/>
        <item t="default"/>
      </items>
    </pivotField>
    <pivotField showAll="0"/>
  </pivotFields>
  <rowFields count="2">
    <field x="13"/>
    <field x="1"/>
  </rowFields>
  <rowItems count="7">
    <i>
      <x/>
    </i>
    <i r="1">
      <x v="4"/>
    </i>
    <i r="1">
      <x v="5"/>
    </i>
    <i>
      <x v="4"/>
    </i>
    <i r="1">
      <x v="4"/>
    </i>
    <i r="1">
      <x v="5"/>
    </i>
    <i t="grand">
      <x/>
    </i>
  </rowItems>
  <colFields count="1">
    <field x="12"/>
  </colFields>
  <col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colItems>
  <pageFields count="1">
    <pageField fld="7" hier="-1"/>
  </pageFields>
  <dataFields count="1">
    <dataField name="Somme de Total TTC" fld="8" baseField="1" baseItem="0"/>
  </dataFields>
  <formats count="3">
    <format dxfId="2">
      <pivotArea dataOnly="0" labelOnly="1" fieldPosition="0">
        <references count="1">
          <reference field="1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">
      <pivotArea dataOnly="0" labelOnly="1" fieldPosition="0">
        <references count="1">
          <reference field="12" count="3">
            <x v="50"/>
            <x v="51"/>
            <x v="52"/>
          </reference>
        </references>
      </pivotArea>
    </format>
    <format dxfId="0">
      <pivotArea dataOnly="0" labelOnly="1" grandCol="1" outline="0" fieldPosition="0"/>
    </format>
  </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1"/>
  <sheetViews>
    <sheetView zoomScale="66" zoomScaleNormal="66" zoomScaleSheetLayoutView="75" workbookViewId="0">
      <pane ySplit="1" topLeftCell="A2" activePane="bottomLeft" state="frozen"/>
      <selection pane="bottomLeft" activeCell="D63" sqref="D63:D66"/>
    </sheetView>
  </sheetViews>
  <sheetFormatPr baseColWidth="10" defaultColWidth="11.5546875" defaultRowHeight="18"/>
  <cols>
    <col min="1" max="1" width="31.21875" style="1" customWidth="1"/>
    <col min="2" max="2" width="14.33203125" style="1" customWidth="1"/>
    <col min="3" max="3" width="8" style="1" customWidth="1"/>
    <col min="4" max="4" width="61.44140625" style="1" customWidth="1"/>
    <col min="5" max="5" width="26.6640625" style="5" customWidth="1"/>
    <col min="6" max="6" width="18.33203125" style="6" customWidth="1"/>
    <col min="7" max="7" width="20.21875" style="6" customWidth="1"/>
    <col min="8" max="8" width="18.109375" style="1" bestFit="1" customWidth="1"/>
    <col min="9" max="9" width="18.44140625" style="1" customWidth="1"/>
    <col min="10" max="10" width="21.21875" style="1" customWidth="1"/>
    <col min="11" max="11" width="17.88671875" style="5" customWidth="1"/>
    <col min="12" max="12" width="25.33203125" style="5" bestFit="1" customWidth="1"/>
    <col min="13" max="13" width="18.21875" style="5" customWidth="1"/>
    <col min="14" max="14" width="17.5546875" style="52" bestFit="1" customWidth="1"/>
    <col min="15" max="15" width="17.5546875" style="35" customWidth="1"/>
    <col min="16" max="16" width="18.77734375" style="5" customWidth="1"/>
    <col min="17" max="17" width="15.77734375" style="5" customWidth="1"/>
    <col min="18" max="18" width="13.109375" style="28" bestFit="1" customWidth="1"/>
    <col min="19" max="19" width="13.109375" style="30" customWidth="1"/>
    <col min="20" max="20" width="13.109375" style="72" customWidth="1"/>
    <col min="21" max="21" width="11.6640625" style="1" bestFit="1" customWidth="1"/>
    <col min="22" max="22" width="6" style="1" bestFit="1" customWidth="1"/>
    <col min="23" max="16384" width="11.5546875" style="1"/>
  </cols>
  <sheetData>
    <row r="1" spans="1:20" s="3" customFormat="1" ht="21.75" thickTop="1">
      <c r="A1" s="11" t="s">
        <v>1</v>
      </c>
      <c r="B1" s="11" t="s">
        <v>8</v>
      </c>
      <c r="C1" s="11" t="s">
        <v>11</v>
      </c>
      <c r="D1" s="11" t="s">
        <v>2</v>
      </c>
      <c r="E1" s="12" t="s">
        <v>0</v>
      </c>
      <c r="F1" s="36" t="s">
        <v>25</v>
      </c>
      <c r="G1" s="44" t="s">
        <v>34</v>
      </c>
      <c r="H1" s="50" t="s">
        <v>15</v>
      </c>
      <c r="I1" s="50" t="s">
        <v>16</v>
      </c>
      <c r="J1" s="12" t="s">
        <v>5</v>
      </c>
      <c r="K1" s="76" t="s">
        <v>6</v>
      </c>
      <c r="L1" s="12" t="s">
        <v>4</v>
      </c>
      <c r="M1" s="12" t="s">
        <v>37</v>
      </c>
      <c r="N1" s="31" t="s">
        <v>35</v>
      </c>
      <c r="O1" s="31" t="s">
        <v>14</v>
      </c>
      <c r="P1" s="12" t="s">
        <v>7</v>
      </c>
      <c r="Q1" s="12" t="s">
        <v>12</v>
      </c>
      <c r="R1" s="23" t="s">
        <v>3</v>
      </c>
      <c r="S1" s="64" t="s">
        <v>18</v>
      </c>
      <c r="T1" s="65" t="s">
        <v>19</v>
      </c>
    </row>
    <row r="2" spans="1:20" s="17" customFormat="1" ht="18" customHeight="1">
      <c r="A2" s="10" t="s">
        <v>23</v>
      </c>
      <c r="B2" s="10" t="s">
        <v>52</v>
      </c>
      <c r="C2" s="10"/>
      <c r="D2" s="10"/>
      <c r="E2" s="14"/>
      <c r="F2" s="37">
        <f>243.54*8</f>
        <v>1948.32</v>
      </c>
      <c r="G2" s="45"/>
      <c r="H2" s="46"/>
      <c r="I2" s="46"/>
      <c r="J2" s="14"/>
      <c r="K2" s="14"/>
      <c r="L2" s="14"/>
      <c r="M2" s="14"/>
      <c r="N2" s="14"/>
      <c r="O2" s="14"/>
      <c r="P2" s="14"/>
      <c r="Q2" s="14"/>
      <c r="R2" s="24"/>
      <c r="S2" s="66"/>
      <c r="T2" s="66"/>
    </row>
    <row r="3" spans="1:20" s="4" customFormat="1" ht="18" customHeight="1">
      <c r="A3" s="9" t="str">
        <f>+A2</f>
        <v>1 -Charges fixes</v>
      </c>
      <c r="B3" s="21" t="str">
        <f>+B2</f>
        <v>A-ELECTRICITE</v>
      </c>
      <c r="C3" s="21"/>
      <c r="D3" s="57" t="s">
        <v>26</v>
      </c>
      <c r="E3" s="61" t="s">
        <v>24</v>
      </c>
      <c r="F3" s="43"/>
      <c r="G3" s="60">
        <v>243.54</v>
      </c>
      <c r="H3" s="56">
        <f>(SUM(G3:G3))</f>
        <v>243.54</v>
      </c>
      <c r="I3" s="47">
        <f>+H3</f>
        <v>243.54</v>
      </c>
      <c r="J3" s="39" t="s">
        <v>21</v>
      </c>
      <c r="K3" s="19"/>
      <c r="L3" s="79">
        <v>42370</v>
      </c>
      <c r="M3" s="19" t="s">
        <v>38</v>
      </c>
      <c r="N3" s="78">
        <v>1</v>
      </c>
      <c r="O3" s="33" t="s">
        <v>36</v>
      </c>
      <c r="P3" s="19"/>
      <c r="Q3" s="19"/>
      <c r="R3" s="25"/>
      <c r="S3" s="67"/>
      <c r="T3" s="67"/>
    </row>
    <row r="4" spans="1:20" s="4" customFormat="1" ht="18" customHeight="1">
      <c r="A4" s="9" t="str">
        <f>+A3</f>
        <v>1 -Charges fixes</v>
      </c>
      <c r="B4" s="21" t="str">
        <f t="shared" ref="B4:B10" si="0">+B3</f>
        <v>A-ELECTRICITE</v>
      </c>
      <c r="C4" s="21"/>
      <c r="D4" s="57" t="s">
        <v>27</v>
      </c>
      <c r="E4" s="41" t="s">
        <v>24</v>
      </c>
      <c r="F4" s="43"/>
      <c r="G4" s="60">
        <v>243.54</v>
      </c>
      <c r="H4" s="56">
        <f>(SUM(G4:G4))</f>
        <v>243.54</v>
      </c>
      <c r="I4" s="47">
        <f>+H4</f>
        <v>243.54</v>
      </c>
      <c r="J4" s="39" t="s">
        <v>21</v>
      </c>
      <c r="K4" s="19"/>
      <c r="L4" s="79">
        <v>42401</v>
      </c>
      <c r="M4" s="19" t="s">
        <v>38</v>
      </c>
      <c r="N4" s="78">
        <v>5</v>
      </c>
      <c r="O4" s="33" t="s">
        <v>36</v>
      </c>
      <c r="P4" s="19"/>
      <c r="Q4" s="19"/>
      <c r="R4" s="25"/>
      <c r="S4" s="67"/>
      <c r="T4" s="67"/>
    </row>
    <row r="5" spans="1:20" s="4" customFormat="1" ht="18" customHeight="1">
      <c r="A5" s="9" t="str">
        <f t="shared" ref="A5:A10" si="1">+A4</f>
        <v>1 -Charges fixes</v>
      </c>
      <c r="B5" s="21" t="str">
        <f t="shared" si="0"/>
        <v>A-ELECTRICITE</v>
      </c>
      <c r="C5" s="21"/>
      <c r="D5" s="57" t="s">
        <v>28</v>
      </c>
      <c r="E5" s="41" t="s">
        <v>24</v>
      </c>
      <c r="F5" s="43"/>
      <c r="G5" s="60">
        <v>243.54</v>
      </c>
      <c r="H5" s="56">
        <v>243.54</v>
      </c>
      <c r="I5" s="47">
        <f>+H5</f>
        <v>243.54</v>
      </c>
      <c r="J5" s="39" t="s">
        <v>21</v>
      </c>
      <c r="K5" s="19"/>
      <c r="L5" s="79">
        <v>42430</v>
      </c>
      <c r="M5" s="19" t="s">
        <v>38</v>
      </c>
      <c r="N5" s="78">
        <v>9</v>
      </c>
      <c r="O5" s="33" t="s">
        <v>36</v>
      </c>
      <c r="P5" s="19"/>
      <c r="Q5" s="20"/>
      <c r="R5" s="25"/>
      <c r="S5" s="67"/>
      <c r="T5" s="67"/>
    </row>
    <row r="6" spans="1:20" s="4" customFormat="1" ht="18" customHeight="1">
      <c r="A6" s="9" t="str">
        <f t="shared" si="1"/>
        <v>1 -Charges fixes</v>
      </c>
      <c r="B6" s="21" t="str">
        <f t="shared" si="0"/>
        <v>A-ELECTRICITE</v>
      </c>
      <c r="C6" s="21"/>
      <c r="D6" s="57" t="s">
        <v>29</v>
      </c>
      <c r="E6" s="41" t="s">
        <v>24</v>
      </c>
      <c r="F6" s="43"/>
      <c r="G6" s="60">
        <v>243.54</v>
      </c>
      <c r="H6" s="56">
        <f t="shared" ref="H6:H10" si="2">+IF(K6="ENGAGE A CE JOUR",G6,"ERREUR")</f>
        <v>243.54</v>
      </c>
      <c r="I6" s="47">
        <f t="shared" ref="I6:I10" si="3">+H6</f>
        <v>243.54</v>
      </c>
      <c r="J6" s="80"/>
      <c r="K6" s="77" t="s">
        <v>22</v>
      </c>
      <c r="L6" s="79">
        <v>42461</v>
      </c>
      <c r="M6" s="19" t="s">
        <v>38</v>
      </c>
      <c r="N6" s="78">
        <v>13</v>
      </c>
      <c r="O6" s="33" t="s">
        <v>36</v>
      </c>
      <c r="P6" s="19"/>
      <c r="Q6" s="20"/>
      <c r="R6" s="25"/>
      <c r="S6" s="67"/>
      <c r="T6" s="67"/>
    </row>
    <row r="7" spans="1:20" s="4" customFormat="1" ht="18" customHeight="1">
      <c r="A7" s="9" t="str">
        <f t="shared" si="1"/>
        <v>1 -Charges fixes</v>
      </c>
      <c r="B7" s="21" t="str">
        <f t="shared" si="0"/>
        <v>A-ELECTRICITE</v>
      </c>
      <c r="C7" s="21"/>
      <c r="D7" s="57" t="s">
        <v>30</v>
      </c>
      <c r="E7" s="41" t="s">
        <v>24</v>
      </c>
      <c r="F7" s="43"/>
      <c r="G7" s="60">
        <v>243.54</v>
      </c>
      <c r="H7" s="56">
        <f t="shared" si="2"/>
        <v>243.54</v>
      </c>
      <c r="I7" s="47">
        <f t="shared" si="3"/>
        <v>243.54</v>
      </c>
      <c r="J7" s="80"/>
      <c r="K7" s="77" t="s">
        <v>22</v>
      </c>
      <c r="L7" s="79">
        <v>42491</v>
      </c>
      <c r="M7" s="19" t="s">
        <v>38</v>
      </c>
      <c r="N7" s="78">
        <v>17</v>
      </c>
      <c r="O7" s="33" t="s">
        <v>36</v>
      </c>
      <c r="P7" s="19"/>
      <c r="Q7" s="20"/>
      <c r="R7" s="25"/>
      <c r="S7" s="67"/>
      <c r="T7" s="67"/>
    </row>
    <row r="8" spans="1:20" s="4" customFormat="1" ht="18" customHeight="1">
      <c r="A8" s="9" t="str">
        <f t="shared" si="1"/>
        <v>1 -Charges fixes</v>
      </c>
      <c r="B8" s="21" t="str">
        <f t="shared" si="0"/>
        <v>A-ELECTRICITE</v>
      </c>
      <c r="C8" s="21"/>
      <c r="D8" s="57" t="s">
        <v>31</v>
      </c>
      <c r="E8" s="41" t="s">
        <v>24</v>
      </c>
      <c r="F8" s="43"/>
      <c r="G8" s="60">
        <v>243.54</v>
      </c>
      <c r="H8" s="56">
        <f t="shared" si="2"/>
        <v>243.54</v>
      </c>
      <c r="I8" s="47">
        <f t="shared" si="3"/>
        <v>243.54</v>
      </c>
      <c r="J8" s="80"/>
      <c r="K8" s="77" t="s">
        <v>22</v>
      </c>
      <c r="L8" s="79">
        <v>42522</v>
      </c>
      <c r="M8" s="19" t="s">
        <v>38</v>
      </c>
      <c r="N8" s="78">
        <v>22</v>
      </c>
      <c r="O8" s="33" t="s">
        <v>36</v>
      </c>
      <c r="P8" s="19"/>
      <c r="Q8" s="20"/>
      <c r="R8" s="25"/>
      <c r="S8" s="67"/>
      <c r="T8" s="67"/>
    </row>
    <row r="9" spans="1:20" s="4" customFormat="1" ht="18" customHeight="1">
      <c r="A9" s="9" t="str">
        <f t="shared" si="1"/>
        <v>1 -Charges fixes</v>
      </c>
      <c r="B9" s="21" t="str">
        <f t="shared" si="0"/>
        <v>A-ELECTRICITE</v>
      </c>
      <c r="C9" s="21"/>
      <c r="D9" s="57" t="s">
        <v>32</v>
      </c>
      <c r="E9" s="41" t="s">
        <v>24</v>
      </c>
      <c r="F9" s="43"/>
      <c r="G9" s="60">
        <v>243.54</v>
      </c>
      <c r="H9" s="56">
        <f t="shared" si="2"/>
        <v>243.54</v>
      </c>
      <c r="I9" s="47">
        <f t="shared" si="3"/>
        <v>243.54</v>
      </c>
      <c r="J9" s="80"/>
      <c r="K9" s="77" t="s">
        <v>22</v>
      </c>
      <c r="L9" s="79">
        <v>42552</v>
      </c>
      <c r="M9" s="19" t="s">
        <v>38</v>
      </c>
      <c r="N9" s="78">
        <v>26</v>
      </c>
      <c r="O9" s="33" t="s">
        <v>36</v>
      </c>
      <c r="P9" s="19"/>
      <c r="Q9" s="19"/>
      <c r="R9" s="25"/>
      <c r="S9" s="67"/>
      <c r="T9" s="67"/>
    </row>
    <row r="10" spans="1:20" s="4" customFormat="1" ht="18" customHeight="1">
      <c r="A10" s="9" t="str">
        <f t="shared" si="1"/>
        <v>1 -Charges fixes</v>
      </c>
      <c r="B10" s="21" t="str">
        <f t="shared" si="0"/>
        <v>A-ELECTRICITE</v>
      </c>
      <c r="C10" s="21"/>
      <c r="D10" s="57" t="s">
        <v>33</v>
      </c>
      <c r="E10" s="41" t="s">
        <v>24</v>
      </c>
      <c r="F10" s="43"/>
      <c r="G10" s="60">
        <v>243.54</v>
      </c>
      <c r="H10" s="56">
        <f t="shared" si="2"/>
        <v>243.54</v>
      </c>
      <c r="I10" s="47">
        <f t="shared" si="3"/>
        <v>243.54</v>
      </c>
      <c r="J10" s="80"/>
      <c r="K10" s="77" t="s">
        <v>22</v>
      </c>
      <c r="L10" s="79">
        <v>42583</v>
      </c>
      <c r="M10" s="19" t="s">
        <v>38</v>
      </c>
      <c r="N10" s="78">
        <v>31</v>
      </c>
      <c r="O10" s="33" t="s">
        <v>36</v>
      </c>
      <c r="P10" s="13"/>
      <c r="Q10" s="16"/>
      <c r="R10" s="26"/>
      <c r="S10" s="68"/>
      <c r="T10" s="68"/>
    </row>
    <row r="11" spans="1:20" s="4" customFormat="1" ht="18" customHeight="1">
      <c r="A11" s="10" t="str">
        <f>+A10</f>
        <v>1 -Charges fixes</v>
      </c>
      <c r="B11" s="10" t="s">
        <v>96</v>
      </c>
      <c r="C11" s="10"/>
      <c r="D11" s="10"/>
      <c r="E11" s="14"/>
      <c r="F11" s="38">
        <f>548.2*12</f>
        <v>6578.4000000000005</v>
      </c>
      <c r="G11" s="45"/>
      <c r="H11" s="48"/>
      <c r="I11" s="48"/>
      <c r="J11" s="14"/>
      <c r="K11" s="14"/>
      <c r="L11" s="14"/>
      <c r="M11" s="14"/>
      <c r="N11" s="14"/>
      <c r="O11" s="14"/>
      <c r="P11" s="14"/>
      <c r="Q11" s="14"/>
      <c r="R11" s="24"/>
      <c r="S11" s="66"/>
      <c r="T11" s="66"/>
    </row>
    <row r="12" spans="1:20" s="4" customFormat="1" ht="18" customHeight="1">
      <c r="A12" s="9" t="str">
        <f>+A11</f>
        <v>1 -Charges fixes</v>
      </c>
      <c r="B12" s="21" t="str">
        <f>+B11</f>
        <v>B-ASSURANCE RC PRO</v>
      </c>
      <c r="C12" s="21"/>
      <c r="D12" s="57" t="s">
        <v>39</v>
      </c>
      <c r="E12" s="19" t="s">
        <v>51</v>
      </c>
      <c r="F12" s="43"/>
      <c r="G12" s="54">
        <v>542.19000000000005</v>
      </c>
      <c r="H12" s="56">
        <v>548.20000000000005</v>
      </c>
      <c r="I12" s="47">
        <f>+H12</f>
        <v>548.20000000000005</v>
      </c>
      <c r="J12" s="39" t="s">
        <v>21</v>
      </c>
      <c r="K12" s="13"/>
      <c r="L12" s="79">
        <v>42373</v>
      </c>
      <c r="M12" s="19" t="s">
        <v>38</v>
      </c>
      <c r="N12" s="78">
        <v>1</v>
      </c>
      <c r="O12" s="33" t="s">
        <v>36</v>
      </c>
      <c r="P12" s="13"/>
      <c r="Q12" s="13"/>
      <c r="R12" s="26"/>
      <c r="S12" s="68"/>
      <c r="T12" s="68"/>
    </row>
    <row r="13" spans="1:20" s="17" customFormat="1" ht="18" customHeight="1">
      <c r="A13" s="9" t="str">
        <f t="shared" ref="A13:A61" si="4">+A12</f>
        <v>1 -Charges fixes</v>
      </c>
      <c r="B13" s="21" t="str">
        <f t="shared" ref="B13:B23" si="5">+B12</f>
        <v>B-ASSURANCE RC PRO</v>
      </c>
      <c r="C13" s="21"/>
      <c r="D13" s="57" t="s">
        <v>40</v>
      </c>
      <c r="E13" s="13" t="str">
        <f>+E12</f>
        <v>MACSF</v>
      </c>
      <c r="F13" s="43"/>
      <c r="G13" s="54">
        <f>+G12</f>
        <v>542.19000000000005</v>
      </c>
      <c r="H13" s="56">
        <v>548.20000000000005</v>
      </c>
      <c r="I13" s="47">
        <f>+H13</f>
        <v>548.20000000000005</v>
      </c>
      <c r="J13" s="39" t="s">
        <v>21</v>
      </c>
      <c r="K13" s="13"/>
      <c r="L13" s="79">
        <v>42404</v>
      </c>
      <c r="M13" s="19" t="s">
        <v>38</v>
      </c>
      <c r="N13" s="78">
        <v>5</v>
      </c>
      <c r="O13" s="33" t="s">
        <v>36</v>
      </c>
      <c r="P13" s="13"/>
      <c r="Q13" s="16"/>
      <c r="R13" s="26"/>
      <c r="S13" s="68"/>
      <c r="T13" s="68"/>
    </row>
    <row r="14" spans="1:20" s="17" customFormat="1" ht="18" customHeight="1">
      <c r="A14" s="9" t="str">
        <f t="shared" si="4"/>
        <v>1 -Charges fixes</v>
      </c>
      <c r="B14" s="21" t="str">
        <f t="shared" si="5"/>
        <v>B-ASSURANCE RC PRO</v>
      </c>
      <c r="C14" s="21"/>
      <c r="D14" s="57" t="s">
        <v>41</v>
      </c>
      <c r="E14" s="13" t="str">
        <f t="shared" ref="E14:E23" si="6">+E13</f>
        <v>MACSF</v>
      </c>
      <c r="F14" s="43"/>
      <c r="G14" s="54">
        <f t="shared" ref="G14:G23" si="7">+G13</f>
        <v>542.19000000000005</v>
      </c>
      <c r="H14" s="56">
        <v>548.20000000000005</v>
      </c>
      <c r="I14" s="47">
        <f>+H14</f>
        <v>548.20000000000005</v>
      </c>
      <c r="J14" s="39" t="s">
        <v>21</v>
      </c>
      <c r="K14" s="13"/>
      <c r="L14" s="79">
        <v>42433</v>
      </c>
      <c r="M14" s="19" t="s">
        <v>38</v>
      </c>
      <c r="N14" s="78">
        <v>9</v>
      </c>
      <c r="O14" s="33" t="s">
        <v>36</v>
      </c>
      <c r="P14" s="13"/>
      <c r="Q14" s="16"/>
      <c r="R14" s="26"/>
      <c r="S14" s="68"/>
      <c r="T14" s="68"/>
    </row>
    <row r="15" spans="1:20" s="17" customFormat="1" ht="18" customHeight="1">
      <c r="A15" s="9" t="str">
        <f t="shared" si="4"/>
        <v>1 -Charges fixes</v>
      </c>
      <c r="B15" s="21" t="str">
        <f t="shared" si="5"/>
        <v>B-ASSURANCE RC PRO</v>
      </c>
      <c r="C15" s="21"/>
      <c r="D15" s="57" t="s">
        <v>42</v>
      </c>
      <c r="E15" s="13" t="s">
        <v>559</v>
      </c>
      <c r="F15" s="43"/>
      <c r="G15" s="54">
        <f t="shared" si="7"/>
        <v>542.19000000000005</v>
      </c>
      <c r="H15" s="56">
        <f t="shared" ref="H15:H23" si="8">+IF(K15="ENGAGE A CE JOUR",G15,"ERREUR")</f>
        <v>542.19000000000005</v>
      </c>
      <c r="I15" s="47">
        <f t="shared" ref="I15:I23" si="9">+H15</f>
        <v>542.19000000000005</v>
      </c>
      <c r="J15" s="80"/>
      <c r="K15" s="77" t="s">
        <v>22</v>
      </c>
      <c r="L15" s="79">
        <v>42464</v>
      </c>
      <c r="M15" s="19" t="s">
        <v>267</v>
      </c>
      <c r="N15" s="78">
        <v>14</v>
      </c>
      <c r="O15" s="33" t="s">
        <v>36</v>
      </c>
      <c r="P15" s="13"/>
      <c r="Q15" s="16"/>
      <c r="R15" s="26"/>
      <c r="S15" s="68"/>
      <c r="T15" s="68"/>
    </row>
    <row r="16" spans="1:20" s="17" customFormat="1" ht="18" customHeight="1">
      <c r="A16" s="9" t="str">
        <f t="shared" si="4"/>
        <v>1 -Charges fixes</v>
      </c>
      <c r="B16" s="21" t="str">
        <f t="shared" si="5"/>
        <v>B-ASSURANCE RC PRO</v>
      </c>
      <c r="C16" s="21"/>
      <c r="D16" s="57" t="s">
        <v>43</v>
      </c>
      <c r="E16" s="13" t="str">
        <f t="shared" si="6"/>
        <v>AXA</v>
      </c>
      <c r="F16" s="43"/>
      <c r="G16" s="54">
        <f t="shared" si="7"/>
        <v>542.19000000000005</v>
      </c>
      <c r="H16" s="56">
        <f t="shared" si="8"/>
        <v>542.19000000000005</v>
      </c>
      <c r="I16" s="47">
        <f t="shared" si="9"/>
        <v>542.19000000000005</v>
      </c>
      <c r="J16" s="80"/>
      <c r="K16" s="77" t="s">
        <v>22</v>
      </c>
      <c r="L16" s="79">
        <v>42494</v>
      </c>
      <c r="M16" s="19" t="s">
        <v>267</v>
      </c>
      <c r="N16" s="78">
        <v>18</v>
      </c>
      <c r="O16" s="33" t="s">
        <v>36</v>
      </c>
      <c r="P16" s="13"/>
      <c r="Q16" s="16"/>
      <c r="R16" s="26"/>
      <c r="S16" s="68"/>
      <c r="T16" s="68"/>
    </row>
    <row r="17" spans="1:20" s="17" customFormat="1" ht="18" customHeight="1">
      <c r="A17" s="9" t="str">
        <f t="shared" si="4"/>
        <v>1 -Charges fixes</v>
      </c>
      <c r="B17" s="21" t="str">
        <f t="shared" si="5"/>
        <v>B-ASSURANCE RC PRO</v>
      </c>
      <c r="C17" s="21"/>
      <c r="D17" s="57" t="s">
        <v>44</v>
      </c>
      <c r="E17" s="13" t="str">
        <f t="shared" si="6"/>
        <v>AXA</v>
      </c>
      <c r="F17" s="43"/>
      <c r="G17" s="54">
        <f t="shared" si="7"/>
        <v>542.19000000000005</v>
      </c>
      <c r="H17" s="56">
        <f t="shared" si="8"/>
        <v>542.19000000000005</v>
      </c>
      <c r="I17" s="47">
        <f t="shared" si="9"/>
        <v>542.19000000000005</v>
      </c>
      <c r="J17" s="80"/>
      <c r="K17" s="77" t="s">
        <v>22</v>
      </c>
      <c r="L17" s="79">
        <v>42525</v>
      </c>
      <c r="M17" s="19" t="s">
        <v>267</v>
      </c>
      <c r="N17" s="78">
        <v>22</v>
      </c>
      <c r="O17" s="33" t="s">
        <v>36</v>
      </c>
      <c r="P17" s="13"/>
      <c r="Q17" s="16"/>
      <c r="R17" s="26"/>
      <c r="S17" s="68"/>
      <c r="T17" s="68"/>
    </row>
    <row r="18" spans="1:20" s="17" customFormat="1" ht="18" customHeight="1">
      <c r="A18" s="9" t="str">
        <f t="shared" si="4"/>
        <v>1 -Charges fixes</v>
      </c>
      <c r="B18" s="21" t="str">
        <f t="shared" si="5"/>
        <v>B-ASSURANCE RC PRO</v>
      </c>
      <c r="C18" s="21"/>
      <c r="D18" s="57" t="s">
        <v>45</v>
      </c>
      <c r="E18" s="13" t="str">
        <f t="shared" si="6"/>
        <v>AXA</v>
      </c>
      <c r="F18" s="43"/>
      <c r="G18" s="54">
        <f t="shared" si="7"/>
        <v>542.19000000000005</v>
      </c>
      <c r="H18" s="56">
        <f t="shared" si="8"/>
        <v>542.19000000000005</v>
      </c>
      <c r="I18" s="47">
        <f t="shared" si="9"/>
        <v>542.19000000000005</v>
      </c>
      <c r="J18" s="80"/>
      <c r="K18" s="77" t="s">
        <v>22</v>
      </c>
      <c r="L18" s="79">
        <v>42555</v>
      </c>
      <c r="M18" s="19" t="s">
        <v>267</v>
      </c>
      <c r="N18" s="78">
        <v>27</v>
      </c>
      <c r="O18" s="33" t="s">
        <v>36</v>
      </c>
      <c r="P18" s="13"/>
      <c r="Q18" s="16"/>
      <c r="R18" s="26"/>
      <c r="S18" s="68"/>
      <c r="T18" s="68"/>
    </row>
    <row r="19" spans="1:20" s="17" customFormat="1" ht="18" customHeight="1">
      <c r="A19" s="9" t="str">
        <f t="shared" si="4"/>
        <v>1 -Charges fixes</v>
      </c>
      <c r="B19" s="21" t="str">
        <f t="shared" si="5"/>
        <v>B-ASSURANCE RC PRO</v>
      </c>
      <c r="C19" s="21"/>
      <c r="D19" s="57" t="s">
        <v>46</v>
      </c>
      <c r="E19" s="13" t="str">
        <f t="shared" si="6"/>
        <v>AXA</v>
      </c>
      <c r="F19" s="43"/>
      <c r="G19" s="54">
        <f t="shared" si="7"/>
        <v>542.19000000000005</v>
      </c>
      <c r="H19" s="56">
        <f t="shared" si="8"/>
        <v>542.19000000000005</v>
      </c>
      <c r="I19" s="47">
        <f t="shared" si="9"/>
        <v>542.19000000000005</v>
      </c>
      <c r="J19" s="80"/>
      <c r="K19" s="77" t="s">
        <v>22</v>
      </c>
      <c r="L19" s="79">
        <v>42586</v>
      </c>
      <c r="M19" s="19" t="s">
        <v>267</v>
      </c>
      <c r="N19" s="78">
        <v>31</v>
      </c>
      <c r="O19" s="33" t="s">
        <v>36</v>
      </c>
      <c r="P19" s="13"/>
      <c r="Q19" s="16"/>
      <c r="R19" s="26"/>
      <c r="S19" s="68"/>
      <c r="T19" s="68"/>
    </row>
    <row r="20" spans="1:20" s="17" customFormat="1" ht="18" customHeight="1">
      <c r="A20" s="9" t="str">
        <f t="shared" si="4"/>
        <v>1 -Charges fixes</v>
      </c>
      <c r="B20" s="21" t="str">
        <f t="shared" si="5"/>
        <v>B-ASSURANCE RC PRO</v>
      </c>
      <c r="C20" s="21"/>
      <c r="D20" s="57" t="s">
        <v>47</v>
      </c>
      <c r="E20" s="13" t="str">
        <f t="shared" si="6"/>
        <v>AXA</v>
      </c>
      <c r="F20" s="43"/>
      <c r="G20" s="54">
        <f t="shared" si="7"/>
        <v>542.19000000000005</v>
      </c>
      <c r="H20" s="56">
        <f t="shared" si="8"/>
        <v>542.19000000000005</v>
      </c>
      <c r="I20" s="47">
        <f t="shared" si="9"/>
        <v>542.19000000000005</v>
      </c>
      <c r="J20" s="80"/>
      <c r="K20" s="77" t="s">
        <v>22</v>
      </c>
      <c r="L20" s="79">
        <v>42617</v>
      </c>
      <c r="M20" s="19" t="s">
        <v>267</v>
      </c>
      <c r="N20" s="78">
        <v>35</v>
      </c>
      <c r="O20" s="33" t="s">
        <v>36</v>
      </c>
      <c r="P20" s="13"/>
      <c r="Q20" s="16"/>
      <c r="R20" s="26"/>
      <c r="S20" s="68"/>
      <c r="T20" s="68"/>
    </row>
    <row r="21" spans="1:20" s="17" customFormat="1" ht="18" customHeight="1">
      <c r="A21" s="9" t="str">
        <f t="shared" si="4"/>
        <v>1 -Charges fixes</v>
      </c>
      <c r="B21" s="21" t="str">
        <f t="shared" si="5"/>
        <v>B-ASSURANCE RC PRO</v>
      </c>
      <c r="C21" s="21"/>
      <c r="D21" s="57" t="s">
        <v>48</v>
      </c>
      <c r="E21" s="13" t="str">
        <f t="shared" si="6"/>
        <v>AXA</v>
      </c>
      <c r="F21" s="43"/>
      <c r="G21" s="54">
        <f t="shared" si="7"/>
        <v>542.19000000000005</v>
      </c>
      <c r="H21" s="56">
        <f t="shared" si="8"/>
        <v>542.19000000000005</v>
      </c>
      <c r="I21" s="47">
        <f t="shared" si="9"/>
        <v>542.19000000000005</v>
      </c>
      <c r="J21" s="80"/>
      <c r="K21" s="77" t="s">
        <v>22</v>
      </c>
      <c r="L21" s="79">
        <v>42647</v>
      </c>
      <c r="M21" s="19" t="s">
        <v>267</v>
      </c>
      <c r="N21" s="78">
        <v>40</v>
      </c>
      <c r="O21" s="33" t="s">
        <v>36</v>
      </c>
      <c r="P21" s="13"/>
      <c r="Q21" s="16"/>
      <c r="R21" s="26"/>
      <c r="S21" s="68"/>
      <c r="T21" s="68"/>
    </row>
    <row r="22" spans="1:20" s="17" customFormat="1" ht="18" customHeight="1">
      <c r="A22" s="9" t="str">
        <f t="shared" si="4"/>
        <v>1 -Charges fixes</v>
      </c>
      <c r="B22" s="21" t="str">
        <f t="shared" si="5"/>
        <v>B-ASSURANCE RC PRO</v>
      </c>
      <c r="C22" s="21"/>
      <c r="D22" s="57" t="s">
        <v>49</v>
      </c>
      <c r="E22" s="13" t="str">
        <f t="shared" si="6"/>
        <v>AXA</v>
      </c>
      <c r="F22" s="43"/>
      <c r="G22" s="54">
        <f t="shared" si="7"/>
        <v>542.19000000000005</v>
      </c>
      <c r="H22" s="56">
        <f t="shared" si="8"/>
        <v>542.19000000000005</v>
      </c>
      <c r="I22" s="47">
        <f t="shared" si="9"/>
        <v>542.19000000000005</v>
      </c>
      <c r="J22" s="80"/>
      <c r="K22" s="77" t="s">
        <v>22</v>
      </c>
      <c r="L22" s="79">
        <v>42678</v>
      </c>
      <c r="M22" s="19" t="s">
        <v>267</v>
      </c>
      <c r="N22" s="78">
        <v>44</v>
      </c>
      <c r="O22" s="33" t="s">
        <v>36</v>
      </c>
      <c r="P22" s="13"/>
      <c r="Q22" s="16"/>
      <c r="R22" s="26"/>
      <c r="S22" s="68"/>
      <c r="T22" s="68"/>
    </row>
    <row r="23" spans="1:20" s="17" customFormat="1" ht="18" customHeight="1">
      <c r="A23" s="9" t="str">
        <f t="shared" si="4"/>
        <v>1 -Charges fixes</v>
      </c>
      <c r="B23" s="21" t="str">
        <f t="shared" si="5"/>
        <v>B-ASSURANCE RC PRO</v>
      </c>
      <c r="C23" s="21"/>
      <c r="D23" s="57" t="s">
        <v>50</v>
      </c>
      <c r="E23" s="13" t="str">
        <f t="shared" si="6"/>
        <v>AXA</v>
      </c>
      <c r="F23" s="43"/>
      <c r="G23" s="54">
        <f t="shared" si="7"/>
        <v>542.19000000000005</v>
      </c>
      <c r="H23" s="56">
        <f t="shared" si="8"/>
        <v>542.19000000000005</v>
      </c>
      <c r="I23" s="47">
        <f t="shared" si="9"/>
        <v>542.19000000000005</v>
      </c>
      <c r="J23" s="80"/>
      <c r="K23" s="77" t="s">
        <v>22</v>
      </c>
      <c r="L23" s="79">
        <v>42708</v>
      </c>
      <c r="M23" s="19" t="s">
        <v>267</v>
      </c>
      <c r="N23" s="78">
        <v>48</v>
      </c>
      <c r="O23" s="33" t="s">
        <v>36</v>
      </c>
      <c r="P23" s="13"/>
      <c r="Q23" s="16"/>
      <c r="R23" s="26"/>
      <c r="S23" s="68"/>
      <c r="T23" s="68"/>
    </row>
    <row r="24" spans="1:20" s="17" customFormat="1" ht="18" customHeight="1">
      <c r="A24" s="10" t="str">
        <f>+A23</f>
        <v>1 -Charges fixes</v>
      </c>
      <c r="B24" s="10" t="s">
        <v>53</v>
      </c>
      <c r="C24" s="10"/>
      <c r="D24" s="10"/>
      <c r="E24" s="14"/>
      <c r="F24" s="38">
        <f>150*12</f>
        <v>1800</v>
      </c>
      <c r="G24" s="45"/>
      <c r="H24" s="48"/>
      <c r="I24" s="48"/>
      <c r="J24" s="14"/>
      <c r="K24" s="14"/>
      <c r="L24" s="14"/>
      <c r="M24" s="14"/>
      <c r="N24" s="14"/>
      <c r="O24" s="14"/>
      <c r="P24" s="14"/>
      <c r="Q24" s="14"/>
      <c r="R24" s="24"/>
      <c r="S24" s="66"/>
      <c r="T24" s="66"/>
    </row>
    <row r="25" spans="1:20" s="17" customFormat="1" ht="18" customHeight="1">
      <c r="A25" s="9" t="str">
        <f t="shared" si="4"/>
        <v>1 -Charges fixes</v>
      </c>
      <c r="B25" s="21" t="str">
        <f>+B24</f>
        <v>C-LOCATION PARKING</v>
      </c>
      <c r="C25" s="21"/>
      <c r="D25" s="57" t="s">
        <v>54</v>
      </c>
      <c r="E25" s="19" t="s">
        <v>66</v>
      </c>
      <c r="F25" s="43"/>
      <c r="G25" s="54">
        <v>150</v>
      </c>
      <c r="H25" s="55">
        <v>150</v>
      </c>
      <c r="I25" s="47">
        <f>+H25</f>
        <v>150</v>
      </c>
      <c r="J25" s="39" t="s">
        <v>21</v>
      </c>
      <c r="K25" s="13"/>
      <c r="L25" s="79">
        <v>42373</v>
      </c>
      <c r="M25" s="19" t="s">
        <v>310</v>
      </c>
      <c r="N25" s="78">
        <v>1</v>
      </c>
      <c r="O25" s="33" t="s">
        <v>36</v>
      </c>
      <c r="P25" s="13"/>
      <c r="Q25" s="16"/>
      <c r="R25" s="26"/>
      <c r="S25" s="68"/>
      <c r="T25" s="68"/>
    </row>
    <row r="26" spans="1:20" s="17" customFormat="1" ht="18" customHeight="1">
      <c r="A26" s="9" t="str">
        <f t="shared" si="4"/>
        <v>1 -Charges fixes</v>
      </c>
      <c r="B26" s="21" t="str">
        <f t="shared" ref="B26:B61" si="10">+B25</f>
        <v>C-LOCATION PARKING</v>
      </c>
      <c r="C26" s="21"/>
      <c r="D26" s="57" t="s">
        <v>55</v>
      </c>
      <c r="E26" s="19" t="s">
        <v>66</v>
      </c>
      <c r="F26" s="43"/>
      <c r="G26" s="54">
        <v>150</v>
      </c>
      <c r="H26" s="55">
        <v>150</v>
      </c>
      <c r="I26" s="47">
        <f>+H26</f>
        <v>150</v>
      </c>
      <c r="J26" s="39" t="s">
        <v>21</v>
      </c>
      <c r="K26" s="13"/>
      <c r="L26" s="79">
        <v>42404</v>
      </c>
      <c r="M26" s="19" t="s">
        <v>310</v>
      </c>
      <c r="N26" s="78">
        <v>5</v>
      </c>
      <c r="O26" s="33" t="s">
        <v>36</v>
      </c>
      <c r="P26" s="13"/>
      <c r="Q26" s="13"/>
      <c r="R26" s="26"/>
      <c r="S26" s="68"/>
      <c r="T26" s="68"/>
    </row>
    <row r="27" spans="1:20" s="17" customFormat="1" ht="18" customHeight="1">
      <c r="A27" s="9" t="str">
        <f t="shared" si="4"/>
        <v>1 -Charges fixes</v>
      </c>
      <c r="B27" s="21" t="str">
        <f t="shared" si="10"/>
        <v>C-LOCATION PARKING</v>
      </c>
      <c r="C27" s="21"/>
      <c r="D27" s="57" t="s">
        <v>56</v>
      </c>
      <c r="E27" s="19" t="s">
        <v>66</v>
      </c>
      <c r="F27" s="43"/>
      <c r="G27" s="54">
        <v>150</v>
      </c>
      <c r="H27" s="56">
        <v>150</v>
      </c>
      <c r="I27" s="47">
        <f t="shared" ref="I27:I36" si="11">+H27</f>
        <v>150</v>
      </c>
      <c r="J27" s="39" t="s">
        <v>21</v>
      </c>
      <c r="K27" s="13"/>
      <c r="L27" s="79">
        <v>42433</v>
      </c>
      <c r="M27" s="19" t="s">
        <v>310</v>
      </c>
      <c r="N27" s="78">
        <v>9</v>
      </c>
      <c r="O27" s="33" t="s">
        <v>36</v>
      </c>
      <c r="P27" s="13"/>
      <c r="Q27" s="13"/>
      <c r="R27" s="26"/>
      <c r="S27" s="68"/>
      <c r="T27" s="68"/>
    </row>
    <row r="28" spans="1:20" s="17" customFormat="1" ht="18" customHeight="1">
      <c r="A28" s="9" t="str">
        <f t="shared" si="4"/>
        <v>1 -Charges fixes</v>
      </c>
      <c r="B28" s="21" t="str">
        <f t="shared" si="10"/>
        <v>C-LOCATION PARKING</v>
      </c>
      <c r="C28" s="21"/>
      <c r="D28" s="57" t="s">
        <v>57</v>
      </c>
      <c r="E28" s="19" t="s">
        <v>66</v>
      </c>
      <c r="F28" s="43"/>
      <c r="G28" s="54">
        <v>150</v>
      </c>
      <c r="H28" s="56">
        <f t="shared" ref="H28:H36" si="12">+IF(K28="ENGAGE A CE JOUR",G28,"ERREUR")</f>
        <v>150</v>
      </c>
      <c r="I28" s="47">
        <f t="shared" si="11"/>
        <v>150</v>
      </c>
      <c r="J28" s="80"/>
      <c r="K28" s="77" t="s">
        <v>22</v>
      </c>
      <c r="L28" s="79">
        <v>42464</v>
      </c>
      <c r="M28" s="19" t="s">
        <v>310</v>
      </c>
      <c r="N28" s="78">
        <v>14</v>
      </c>
      <c r="O28" s="33" t="s">
        <v>36</v>
      </c>
      <c r="P28" s="13"/>
      <c r="Q28" s="13"/>
      <c r="R28" s="26"/>
      <c r="S28" s="68"/>
      <c r="T28" s="68"/>
    </row>
    <row r="29" spans="1:20" s="17" customFormat="1" ht="18" customHeight="1">
      <c r="A29" s="9" t="str">
        <f t="shared" si="4"/>
        <v>1 -Charges fixes</v>
      </c>
      <c r="B29" s="21" t="str">
        <f t="shared" si="10"/>
        <v>C-LOCATION PARKING</v>
      </c>
      <c r="C29" s="21"/>
      <c r="D29" s="57" t="s">
        <v>58</v>
      </c>
      <c r="E29" s="19" t="s">
        <v>66</v>
      </c>
      <c r="F29" s="43"/>
      <c r="G29" s="54">
        <v>150</v>
      </c>
      <c r="H29" s="56">
        <f t="shared" si="12"/>
        <v>150</v>
      </c>
      <c r="I29" s="47">
        <f t="shared" si="11"/>
        <v>150</v>
      </c>
      <c r="J29" s="80"/>
      <c r="K29" s="77" t="s">
        <v>22</v>
      </c>
      <c r="L29" s="79">
        <v>42494</v>
      </c>
      <c r="M29" s="19" t="s">
        <v>310</v>
      </c>
      <c r="N29" s="78">
        <v>18</v>
      </c>
      <c r="O29" s="33" t="s">
        <v>36</v>
      </c>
      <c r="P29" s="13"/>
      <c r="Q29" s="13"/>
      <c r="R29" s="26"/>
      <c r="S29" s="68"/>
      <c r="T29" s="68"/>
    </row>
    <row r="30" spans="1:20" s="17" customFormat="1" ht="18" customHeight="1">
      <c r="A30" s="9" t="str">
        <f t="shared" si="4"/>
        <v>1 -Charges fixes</v>
      </c>
      <c r="B30" s="21" t="str">
        <f t="shared" si="10"/>
        <v>C-LOCATION PARKING</v>
      </c>
      <c r="C30" s="21"/>
      <c r="D30" s="57" t="s">
        <v>59</v>
      </c>
      <c r="E30" s="19" t="s">
        <v>66</v>
      </c>
      <c r="F30" s="43"/>
      <c r="G30" s="54">
        <v>150</v>
      </c>
      <c r="H30" s="56">
        <f t="shared" si="12"/>
        <v>150</v>
      </c>
      <c r="I30" s="47">
        <f t="shared" si="11"/>
        <v>150</v>
      </c>
      <c r="J30" s="80"/>
      <c r="K30" s="77" t="s">
        <v>22</v>
      </c>
      <c r="L30" s="79">
        <v>42525</v>
      </c>
      <c r="M30" s="19" t="s">
        <v>310</v>
      </c>
      <c r="N30" s="78">
        <v>22</v>
      </c>
      <c r="O30" s="33" t="s">
        <v>36</v>
      </c>
      <c r="P30" s="13"/>
      <c r="Q30" s="13"/>
      <c r="R30" s="26"/>
      <c r="S30" s="68"/>
      <c r="T30" s="68"/>
    </row>
    <row r="31" spans="1:20" s="17" customFormat="1" ht="18" customHeight="1">
      <c r="A31" s="9" t="str">
        <f t="shared" si="4"/>
        <v>1 -Charges fixes</v>
      </c>
      <c r="B31" s="21" t="str">
        <f t="shared" si="10"/>
        <v>C-LOCATION PARKING</v>
      </c>
      <c r="C31" s="21"/>
      <c r="D31" s="57" t="s">
        <v>60</v>
      </c>
      <c r="E31" s="19" t="s">
        <v>66</v>
      </c>
      <c r="F31" s="43"/>
      <c r="G31" s="54">
        <v>150</v>
      </c>
      <c r="H31" s="56">
        <f t="shared" si="12"/>
        <v>150</v>
      </c>
      <c r="I31" s="47">
        <f t="shared" si="11"/>
        <v>150</v>
      </c>
      <c r="J31" s="80"/>
      <c r="K31" s="77" t="s">
        <v>22</v>
      </c>
      <c r="L31" s="79">
        <v>42555</v>
      </c>
      <c r="M31" s="19" t="s">
        <v>310</v>
      </c>
      <c r="N31" s="78">
        <v>27</v>
      </c>
      <c r="O31" s="33" t="s">
        <v>36</v>
      </c>
      <c r="P31" s="13"/>
      <c r="Q31" s="13"/>
      <c r="R31" s="26"/>
      <c r="S31" s="68"/>
      <c r="T31" s="68"/>
    </row>
    <row r="32" spans="1:20" s="17" customFormat="1" ht="18" customHeight="1">
      <c r="A32" s="9" t="str">
        <f t="shared" si="4"/>
        <v>1 -Charges fixes</v>
      </c>
      <c r="B32" s="21" t="str">
        <f t="shared" si="10"/>
        <v>C-LOCATION PARKING</v>
      </c>
      <c r="C32" s="21"/>
      <c r="D32" s="57" t="s">
        <v>61</v>
      </c>
      <c r="E32" s="19" t="s">
        <v>66</v>
      </c>
      <c r="F32" s="43"/>
      <c r="G32" s="54">
        <v>150</v>
      </c>
      <c r="H32" s="56">
        <f t="shared" si="12"/>
        <v>150</v>
      </c>
      <c r="I32" s="47">
        <f t="shared" si="11"/>
        <v>150</v>
      </c>
      <c r="J32" s="80"/>
      <c r="K32" s="77" t="s">
        <v>22</v>
      </c>
      <c r="L32" s="79">
        <v>42586</v>
      </c>
      <c r="M32" s="19" t="s">
        <v>310</v>
      </c>
      <c r="N32" s="78">
        <v>31</v>
      </c>
      <c r="O32" s="33" t="s">
        <v>36</v>
      </c>
      <c r="P32" s="13"/>
      <c r="Q32" s="13"/>
      <c r="R32" s="26"/>
      <c r="S32" s="68"/>
      <c r="T32" s="68"/>
    </row>
    <row r="33" spans="1:20" s="17" customFormat="1" ht="18" customHeight="1">
      <c r="A33" s="9" t="str">
        <f t="shared" si="4"/>
        <v>1 -Charges fixes</v>
      </c>
      <c r="B33" s="21" t="str">
        <f t="shared" si="10"/>
        <v>C-LOCATION PARKING</v>
      </c>
      <c r="C33" s="21"/>
      <c r="D33" s="57" t="s">
        <v>62</v>
      </c>
      <c r="E33" s="19" t="s">
        <v>66</v>
      </c>
      <c r="F33" s="43"/>
      <c r="G33" s="54">
        <v>150</v>
      </c>
      <c r="H33" s="56">
        <f t="shared" si="12"/>
        <v>150</v>
      </c>
      <c r="I33" s="47">
        <f t="shared" si="11"/>
        <v>150</v>
      </c>
      <c r="J33" s="80"/>
      <c r="K33" s="77" t="s">
        <v>22</v>
      </c>
      <c r="L33" s="79">
        <v>42617</v>
      </c>
      <c r="M33" s="19" t="s">
        <v>310</v>
      </c>
      <c r="N33" s="78">
        <v>35</v>
      </c>
      <c r="O33" s="33" t="s">
        <v>36</v>
      </c>
      <c r="P33" s="13"/>
      <c r="Q33" s="13"/>
      <c r="R33" s="26"/>
      <c r="S33" s="68"/>
      <c r="T33" s="68"/>
    </row>
    <row r="34" spans="1:20" s="17" customFormat="1" ht="18" customHeight="1">
      <c r="A34" s="9" t="str">
        <f t="shared" si="4"/>
        <v>1 -Charges fixes</v>
      </c>
      <c r="B34" s="21" t="str">
        <f t="shared" si="10"/>
        <v>C-LOCATION PARKING</v>
      </c>
      <c r="C34" s="21"/>
      <c r="D34" s="57" t="s">
        <v>63</v>
      </c>
      <c r="E34" s="19" t="s">
        <v>66</v>
      </c>
      <c r="F34" s="43"/>
      <c r="G34" s="54">
        <v>150</v>
      </c>
      <c r="H34" s="56">
        <f t="shared" si="12"/>
        <v>150</v>
      </c>
      <c r="I34" s="47">
        <f t="shared" si="11"/>
        <v>150</v>
      </c>
      <c r="J34" s="80"/>
      <c r="K34" s="77" t="s">
        <v>22</v>
      </c>
      <c r="L34" s="79">
        <v>42647</v>
      </c>
      <c r="M34" s="19" t="s">
        <v>310</v>
      </c>
      <c r="N34" s="78">
        <v>40</v>
      </c>
      <c r="O34" s="33" t="s">
        <v>36</v>
      </c>
      <c r="P34" s="13"/>
      <c r="Q34" s="13"/>
      <c r="R34" s="26"/>
      <c r="S34" s="68"/>
      <c r="T34" s="68"/>
    </row>
    <row r="35" spans="1:20" s="17" customFormat="1" ht="18" customHeight="1">
      <c r="A35" s="9" t="str">
        <f t="shared" si="4"/>
        <v>1 -Charges fixes</v>
      </c>
      <c r="B35" s="21" t="str">
        <f t="shared" si="10"/>
        <v>C-LOCATION PARKING</v>
      </c>
      <c r="C35" s="21"/>
      <c r="D35" s="57" t="s">
        <v>64</v>
      </c>
      <c r="E35" s="19" t="s">
        <v>66</v>
      </c>
      <c r="F35" s="43"/>
      <c r="G35" s="54">
        <v>150</v>
      </c>
      <c r="H35" s="56">
        <f t="shared" si="12"/>
        <v>150</v>
      </c>
      <c r="I35" s="47">
        <f t="shared" si="11"/>
        <v>150</v>
      </c>
      <c r="J35" s="80"/>
      <c r="K35" s="77" t="s">
        <v>22</v>
      </c>
      <c r="L35" s="79">
        <v>42678</v>
      </c>
      <c r="M35" s="19" t="s">
        <v>310</v>
      </c>
      <c r="N35" s="78">
        <v>44</v>
      </c>
      <c r="O35" s="33" t="s">
        <v>36</v>
      </c>
      <c r="P35" s="13"/>
      <c r="Q35" s="13"/>
      <c r="R35" s="26"/>
      <c r="S35" s="68"/>
      <c r="T35" s="68"/>
    </row>
    <row r="36" spans="1:20" s="17" customFormat="1" ht="18" customHeight="1">
      <c r="A36" s="9" t="str">
        <f t="shared" si="4"/>
        <v>1 -Charges fixes</v>
      </c>
      <c r="B36" s="21" t="str">
        <f t="shared" si="10"/>
        <v>C-LOCATION PARKING</v>
      </c>
      <c r="C36" s="21"/>
      <c r="D36" s="57" t="s">
        <v>65</v>
      </c>
      <c r="E36" s="19" t="s">
        <v>66</v>
      </c>
      <c r="F36" s="43"/>
      <c r="G36" s="54">
        <v>150</v>
      </c>
      <c r="H36" s="56">
        <f t="shared" si="12"/>
        <v>150</v>
      </c>
      <c r="I36" s="47">
        <f t="shared" si="11"/>
        <v>150</v>
      </c>
      <c r="J36" s="80"/>
      <c r="K36" s="77" t="s">
        <v>22</v>
      </c>
      <c r="L36" s="79">
        <v>42708</v>
      </c>
      <c r="M36" s="19" t="s">
        <v>310</v>
      </c>
      <c r="N36" s="78">
        <v>48</v>
      </c>
      <c r="O36" s="33" t="s">
        <v>36</v>
      </c>
      <c r="P36" s="13"/>
      <c r="Q36" s="13"/>
      <c r="R36" s="26"/>
      <c r="S36" s="68"/>
      <c r="T36" s="68"/>
    </row>
    <row r="37" spans="1:20" s="4" customFormat="1" ht="18" customHeight="1">
      <c r="A37" s="10" t="str">
        <f>+A36</f>
        <v>1 -Charges fixes</v>
      </c>
      <c r="B37" s="10" t="s">
        <v>67</v>
      </c>
      <c r="C37" s="10"/>
      <c r="D37" s="10"/>
      <c r="E37" s="14"/>
      <c r="F37" s="38">
        <f>39.9*12+8*12</f>
        <v>574.79999999999995</v>
      </c>
      <c r="G37" s="45"/>
      <c r="H37" s="48"/>
      <c r="I37" s="48"/>
      <c r="J37" s="14"/>
      <c r="K37" s="14"/>
      <c r="L37" s="14"/>
      <c r="M37" s="14"/>
      <c r="N37" s="14"/>
      <c r="O37" s="14"/>
      <c r="P37" s="14"/>
      <c r="Q37" s="14"/>
      <c r="R37" s="24"/>
      <c r="S37" s="66"/>
      <c r="T37" s="66"/>
    </row>
    <row r="38" spans="1:20" s="4" customFormat="1" ht="18" customHeight="1">
      <c r="A38" s="9" t="str">
        <f t="shared" si="4"/>
        <v>1 -Charges fixes</v>
      </c>
      <c r="B38" s="21" t="str">
        <f t="shared" si="10"/>
        <v>C-CHAINES TV</v>
      </c>
      <c r="C38" s="21"/>
      <c r="D38" s="18" t="s">
        <v>69</v>
      </c>
      <c r="E38" s="13" t="s">
        <v>68</v>
      </c>
      <c r="F38" s="43"/>
      <c r="G38" s="54">
        <v>39.9</v>
      </c>
      <c r="H38" s="55">
        <f>(SUM(G38:G38))</f>
        <v>39.9</v>
      </c>
      <c r="I38" s="47">
        <f>+H38</f>
        <v>39.9</v>
      </c>
      <c r="J38" s="39" t="s">
        <v>21</v>
      </c>
      <c r="K38" s="13"/>
      <c r="L38" s="79">
        <v>42373</v>
      </c>
      <c r="M38" s="13" t="s">
        <v>38</v>
      </c>
      <c r="N38" s="78">
        <v>1</v>
      </c>
      <c r="O38" s="33" t="s">
        <v>36</v>
      </c>
      <c r="P38" s="13"/>
      <c r="Q38" s="13"/>
      <c r="R38" s="26"/>
      <c r="S38" s="70"/>
      <c r="T38" s="70"/>
    </row>
    <row r="39" spans="1:20" s="4" customFormat="1" ht="18" customHeight="1">
      <c r="A39" s="9" t="str">
        <f t="shared" si="4"/>
        <v>1 -Charges fixes</v>
      </c>
      <c r="B39" s="21" t="str">
        <f t="shared" si="10"/>
        <v>C-CHAINES TV</v>
      </c>
      <c r="C39" s="21"/>
      <c r="D39" s="18" t="s">
        <v>70</v>
      </c>
      <c r="E39" s="13" t="s">
        <v>68</v>
      </c>
      <c r="F39" s="43"/>
      <c r="G39" s="54">
        <v>39.9</v>
      </c>
      <c r="H39" s="55">
        <f>(SUM(G39:G39))</f>
        <v>39.9</v>
      </c>
      <c r="I39" s="47">
        <f>+H39</f>
        <v>39.9</v>
      </c>
      <c r="J39" s="39" t="s">
        <v>21</v>
      </c>
      <c r="K39" s="13"/>
      <c r="L39" s="79">
        <v>42404</v>
      </c>
      <c r="M39" s="13" t="str">
        <f>+M38</f>
        <v>Société Générale</v>
      </c>
      <c r="N39" s="78">
        <v>5</v>
      </c>
      <c r="O39" s="33" t="s">
        <v>36</v>
      </c>
      <c r="P39" s="13"/>
      <c r="Q39" s="13"/>
      <c r="R39" s="26"/>
      <c r="S39" s="70"/>
      <c r="T39" s="70"/>
    </row>
    <row r="40" spans="1:20" s="4" customFormat="1" ht="18" customHeight="1">
      <c r="A40" s="9" t="str">
        <f t="shared" si="4"/>
        <v>1 -Charges fixes</v>
      </c>
      <c r="B40" s="21" t="str">
        <f t="shared" si="10"/>
        <v>C-CHAINES TV</v>
      </c>
      <c r="C40" s="21"/>
      <c r="D40" s="18" t="s">
        <v>71</v>
      </c>
      <c r="E40" s="13" t="s">
        <v>68</v>
      </c>
      <c r="F40" s="43"/>
      <c r="G40" s="54">
        <v>39.9</v>
      </c>
      <c r="H40" s="56">
        <v>39.9</v>
      </c>
      <c r="I40" s="47">
        <f t="shared" ref="I40:I48" si="13">+H40</f>
        <v>39.9</v>
      </c>
      <c r="J40" s="39" t="s">
        <v>21</v>
      </c>
      <c r="K40" s="13"/>
      <c r="L40" s="79">
        <v>42433</v>
      </c>
      <c r="M40" s="13" t="str">
        <f t="shared" ref="M40:M61" si="14">+M39</f>
        <v>Société Générale</v>
      </c>
      <c r="N40" s="78">
        <v>9</v>
      </c>
      <c r="O40" s="33" t="s">
        <v>36</v>
      </c>
      <c r="P40" s="13"/>
      <c r="Q40" s="13"/>
      <c r="R40" s="26"/>
      <c r="S40" s="70"/>
      <c r="T40" s="70"/>
    </row>
    <row r="41" spans="1:20" s="4" customFormat="1" ht="18" customHeight="1">
      <c r="A41" s="9" t="str">
        <f t="shared" si="4"/>
        <v>1 -Charges fixes</v>
      </c>
      <c r="B41" s="21" t="str">
        <f t="shared" si="10"/>
        <v>C-CHAINES TV</v>
      </c>
      <c r="C41" s="21"/>
      <c r="D41" s="18" t="s">
        <v>72</v>
      </c>
      <c r="E41" s="13" t="s">
        <v>68</v>
      </c>
      <c r="F41" s="43"/>
      <c r="G41" s="54">
        <v>39.9</v>
      </c>
      <c r="H41" s="56">
        <f t="shared" ref="H41:H49" si="15">+IF(K41="ENGAGE A CE JOUR",G41,"ERREUR")</f>
        <v>39.9</v>
      </c>
      <c r="I41" s="47">
        <f t="shared" si="13"/>
        <v>39.9</v>
      </c>
      <c r="J41" s="80"/>
      <c r="K41" s="77" t="s">
        <v>22</v>
      </c>
      <c r="L41" s="79">
        <v>42464</v>
      </c>
      <c r="M41" s="13" t="str">
        <f t="shared" si="14"/>
        <v>Société Générale</v>
      </c>
      <c r="N41" s="78">
        <v>14</v>
      </c>
      <c r="O41" s="33" t="s">
        <v>36</v>
      </c>
      <c r="P41" s="13"/>
      <c r="Q41" s="13"/>
      <c r="R41" s="26"/>
      <c r="S41" s="70"/>
      <c r="T41" s="70"/>
    </row>
    <row r="42" spans="1:20" s="4" customFormat="1" ht="18" customHeight="1">
      <c r="A42" s="9" t="str">
        <f t="shared" si="4"/>
        <v>1 -Charges fixes</v>
      </c>
      <c r="B42" s="21" t="str">
        <f t="shared" si="10"/>
        <v>C-CHAINES TV</v>
      </c>
      <c r="C42" s="21"/>
      <c r="D42" s="18" t="s">
        <v>73</v>
      </c>
      <c r="E42" s="13" t="s">
        <v>68</v>
      </c>
      <c r="F42" s="43"/>
      <c r="G42" s="54">
        <v>39.9</v>
      </c>
      <c r="H42" s="56">
        <f t="shared" si="15"/>
        <v>39.9</v>
      </c>
      <c r="I42" s="47">
        <f t="shared" si="13"/>
        <v>39.9</v>
      </c>
      <c r="J42" s="80"/>
      <c r="K42" s="77" t="s">
        <v>22</v>
      </c>
      <c r="L42" s="79">
        <v>42494</v>
      </c>
      <c r="M42" s="13" t="str">
        <f t="shared" si="14"/>
        <v>Société Générale</v>
      </c>
      <c r="N42" s="78">
        <v>18</v>
      </c>
      <c r="O42" s="33" t="s">
        <v>36</v>
      </c>
      <c r="P42" s="13"/>
      <c r="Q42" s="13"/>
      <c r="R42" s="26"/>
      <c r="S42" s="70"/>
      <c r="T42" s="70"/>
    </row>
    <row r="43" spans="1:20" s="4" customFormat="1" ht="18" customHeight="1">
      <c r="A43" s="9" t="str">
        <f t="shared" si="4"/>
        <v>1 -Charges fixes</v>
      </c>
      <c r="B43" s="21" t="str">
        <f t="shared" si="10"/>
        <v>C-CHAINES TV</v>
      </c>
      <c r="C43" s="21"/>
      <c r="D43" s="18" t="s">
        <v>74</v>
      </c>
      <c r="E43" s="13" t="s">
        <v>68</v>
      </c>
      <c r="F43" s="43"/>
      <c r="G43" s="54">
        <v>39.9</v>
      </c>
      <c r="H43" s="56">
        <f t="shared" si="15"/>
        <v>39.9</v>
      </c>
      <c r="I43" s="47">
        <f t="shared" si="13"/>
        <v>39.9</v>
      </c>
      <c r="J43" s="80"/>
      <c r="K43" s="77" t="s">
        <v>22</v>
      </c>
      <c r="L43" s="79">
        <v>42525</v>
      </c>
      <c r="M43" s="13" t="str">
        <f t="shared" si="14"/>
        <v>Société Générale</v>
      </c>
      <c r="N43" s="78">
        <v>22</v>
      </c>
      <c r="O43" s="33" t="s">
        <v>36</v>
      </c>
      <c r="P43" s="13"/>
      <c r="Q43" s="13"/>
      <c r="R43" s="26"/>
      <c r="S43" s="70"/>
      <c r="T43" s="70"/>
    </row>
    <row r="44" spans="1:20" s="4" customFormat="1" ht="18" customHeight="1">
      <c r="A44" s="9" t="str">
        <f t="shared" si="4"/>
        <v>1 -Charges fixes</v>
      </c>
      <c r="B44" s="21" t="str">
        <f t="shared" si="10"/>
        <v>C-CHAINES TV</v>
      </c>
      <c r="C44" s="21"/>
      <c r="D44" s="18" t="s">
        <v>75</v>
      </c>
      <c r="E44" s="13" t="s">
        <v>68</v>
      </c>
      <c r="F44" s="43"/>
      <c r="G44" s="54">
        <v>39.9</v>
      </c>
      <c r="H44" s="56">
        <f t="shared" si="15"/>
        <v>39.9</v>
      </c>
      <c r="I44" s="47">
        <f t="shared" si="13"/>
        <v>39.9</v>
      </c>
      <c r="J44" s="80"/>
      <c r="K44" s="77" t="s">
        <v>22</v>
      </c>
      <c r="L44" s="79">
        <v>42555</v>
      </c>
      <c r="M44" s="13" t="str">
        <f t="shared" si="14"/>
        <v>Société Générale</v>
      </c>
      <c r="N44" s="78">
        <v>27</v>
      </c>
      <c r="O44" s="33" t="s">
        <v>36</v>
      </c>
      <c r="P44" s="13"/>
      <c r="Q44" s="13"/>
      <c r="R44" s="26"/>
      <c r="S44" s="70"/>
      <c r="T44" s="70"/>
    </row>
    <row r="45" spans="1:20" s="4" customFormat="1" ht="18" customHeight="1">
      <c r="A45" s="9" t="str">
        <f t="shared" si="4"/>
        <v>1 -Charges fixes</v>
      </c>
      <c r="B45" s="21" t="str">
        <f t="shared" si="10"/>
        <v>C-CHAINES TV</v>
      </c>
      <c r="C45" s="21"/>
      <c r="D45" s="18" t="s">
        <v>76</v>
      </c>
      <c r="E45" s="13" t="s">
        <v>68</v>
      </c>
      <c r="F45" s="43"/>
      <c r="G45" s="54">
        <v>39.9</v>
      </c>
      <c r="H45" s="56">
        <f t="shared" si="15"/>
        <v>39.9</v>
      </c>
      <c r="I45" s="47">
        <f t="shared" si="13"/>
        <v>39.9</v>
      </c>
      <c r="J45" s="80"/>
      <c r="K45" s="77" t="s">
        <v>22</v>
      </c>
      <c r="L45" s="79">
        <v>42586</v>
      </c>
      <c r="M45" s="13" t="str">
        <f t="shared" si="14"/>
        <v>Société Générale</v>
      </c>
      <c r="N45" s="78">
        <v>31</v>
      </c>
      <c r="O45" s="33" t="s">
        <v>36</v>
      </c>
      <c r="P45" s="13"/>
      <c r="Q45" s="13"/>
      <c r="R45" s="26"/>
      <c r="S45" s="70"/>
      <c r="T45" s="70"/>
    </row>
    <row r="46" spans="1:20" s="4" customFormat="1" ht="18" customHeight="1">
      <c r="A46" s="9" t="str">
        <f t="shared" si="4"/>
        <v>1 -Charges fixes</v>
      </c>
      <c r="B46" s="21" t="str">
        <f t="shared" si="10"/>
        <v>C-CHAINES TV</v>
      </c>
      <c r="C46" s="21"/>
      <c r="D46" s="18" t="s">
        <v>77</v>
      </c>
      <c r="E46" s="13" t="s">
        <v>68</v>
      </c>
      <c r="F46" s="43"/>
      <c r="G46" s="54">
        <v>39.9</v>
      </c>
      <c r="H46" s="56">
        <f t="shared" si="15"/>
        <v>39.9</v>
      </c>
      <c r="I46" s="47">
        <f t="shared" si="13"/>
        <v>39.9</v>
      </c>
      <c r="J46" s="80"/>
      <c r="K46" s="77" t="s">
        <v>22</v>
      </c>
      <c r="L46" s="79">
        <v>42617</v>
      </c>
      <c r="M46" s="13" t="str">
        <f t="shared" si="14"/>
        <v>Société Générale</v>
      </c>
      <c r="N46" s="78">
        <v>35</v>
      </c>
      <c r="O46" s="33" t="s">
        <v>36</v>
      </c>
      <c r="P46" s="13"/>
      <c r="Q46" s="13"/>
      <c r="R46" s="26"/>
      <c r="S46" s="70"/>
      <c r="T46" s="70"/>
    </row>
    <row r="47" spans="1:20" s="63" customFormat="1" ht="18" customHeight="1">
      <c r="A47" s="9" t="str">
        <f t="shared" si="4"/>
        <v>1 -Charges fixes</v>
      </c>
      <c r="B47" s="21" t="str">
        <f t="shared" si="10"/>
        <v>C-CHAINES TV</v>
      </c>
      <c r="C47" s="21"/>
      <c r="D47" s="18" t="s">
        <v>78</v>
      </c>
      <c r="E47" s="13" t="s">
        <v>68</v>
      </c>
      <c r="F47" s="59"/>
      <c r="G47" s="54">
        <v>39.9</v>
      </c>
      <c r="H47" s="56">
        <f t="shared" si="15"/>
        <v>39.9</v>
      </c>
      <c r="I47" s="47">
        <f t="shared" si="13"/>
        <v>39.9</v>
      </c>
      <c r="J47" s="80"/>
      <c r="K47" s="77" t="s">
        <v>22</v>
      </c>
      <c r="L47" s="79">
        <v>42647</v>
      </c>
      <c r="M47" s="13" t="str">
        <f t="shared" si="14"/>
        <v>Société Générale</v>
      </c>
      <c r="N47" s="78">
        <v>40</v>
      </c>
      <c r="O47" s="33" t="s">
        <v>36</v>
      </c>
      <c r="P47" s="58"/>
      <c r="Q47" s="13"/>
      <c r="R47" s="62"/>
      <c r="S47" s="70"/>
      <c r="T47" s="70"/>
    </row>
    <row r="48" spans="1:20" s="4" customFormat="1" ht="18" customHeight="1">
      <c r="A48" s="9" t="str">
        <f t="shared" si="4"/>
        <v>1 -Charges fixes</v>
      </c>
      <c r="B48" s="21" t="str">
        <f t="shared" si="10"/>
        <v>C-CHAINES TV</v>
      </c>
      <c r="C48" s="21"/>
      <c r="D48" s="18" t="s">
        <v>79</v>
      </c>
      <c r="E48" s="13" t="s">
        <v>68</v>
      </c>
      <c r="F48" s="43"/>
      <c r="G48" s="54">
        <v>39.9</v>
      </c>
      <c r="H48" s="56">
        <f t="shared" si="15"/>
        <v>39.9</v>
      </c>
      <c r="I48" s="47">
        <f t="shared" si="13"/>
        <v>39.9</v>
      </c>
      <c r="J48" s="80"/>
      <c r="K48" s="77" t="s">
        <v>22</v>
      </c>
      <c r="L48" s="79">
        <v>42678</v>
      </c>
      <c r="M48" s="13" t="str">
        <f t="shared" si="14"/>
        <v>Société Générale</v>
      </c>
      <c r="N48" s="78">
        <v>44</v>
      </c>
      <c r="O48" s="33" t="s">
        <v>36</v>
      </c>
      <c r="P48" s="13"/>
      <c r="Q48" s="13"/>
      <c r="R48" s="26"/>
      <c r="S48" s="70"/>
      <c r="T48" s="70"/>
    </row>
    <row r="49" spans="1:20" s="4" customFormat="1" ht="18" customHeight="1">
      <c r="A49" s="9" t="str">
        <f t="shared" si="4"/>
        <v>1 -Charges fixes</v>
      </c>
      <c r="B49" s="21" t="str">
        <f t="shared" si="10"/>
        <v>C-CHAINES TV</v>
      </c>
      <c r="C49" s="21"/>
      <c r="D49" s="18" t="s">
        <v>80</v>
      </c>
      <c r="E49" s="13" t="s">
        <v>68</v>
      </c>
      <c r="F49" s="43"/>
      <c r="G49" s="54">
        <v>39.9</v>
      </c>
      <c r="H49" s="56">
        <f t="shared" si="15"/>
        <v>39.9</v>
      </c>
      <c r="I49" s="47">
        <f>+H49</f>
        <v>39.9</v>
      </c>
      <c r="J49" s="80"/>
      <c r="K49" s="77" t="s">
        <v>22</v>
      </c>
      <c r="L49" s="79">
        <v>42708</v>
      </c>
      <c r="M49" s="13" t="str">
        <f t="shared" si="14"/>
        <v>Société Générale</v>
      </c>
      <c r="N49" s="78">
        <v>48</v>
      </c>
      <c r="O49" s="33" t="s">
        <v>36</v>
      </c>
      <c r="P49" s="13"/>
      <c r="Q49" s="13"/>
      <c r="R49" s="26"/>
      <c r="S49" s="70"/>
      <c r="T49" s="70"/>
    </row>
    <row r="50" spans="1:20" s="4" customFormat="1" ht="18" customHeight="1">
      <c r="A50" s="9" t="str">
        <f t="shared" si="4"/>
        <v>1 -Charges fixes</v>
      </c>
      <c r="B50" s="21" t="str">
        <f t="shared" si="10"/>
        <v>C-CHAINES TV</v>
      </c>
      <c r="C50" s="21"/>
      <c r="D50" s="18" t="s">
        <v>81</v>
      </c>
      <c r="E50" s="13" t="s">
        <v>68</v>
      </c>
      <c r="F50" s="43"/>
      <c r="G50" s="54">
        <v>8</v>
      </c>
      <c r="H50" s="55">
        <f>(SUM(G50:G50))</f>
        <v>8</v>
      </c>
      <c r="I50" s="47">
        <f>+H50</f>
        <v>8</v>
      </c>
      <c r="J50" s="39" t="s">
        <v>21</v>
      </c>
      <c r="K50" s="13"/>
      <c r="L50" s="79">
        <v>42373</v>
      </c>
      <c r="M50" s="13" t="str">
        <f t="shared" si="14"/>
        <v>Société Générale</v>
      </c>
      <c r="N50" s="78">
        <v>1</v>
      </c>
      <c r="O50" s="33" t="s">
        <v>36</v>
      </c>
      <c r="P50" s="13"/>
      <c r="Q50" s="13"/>
      <c r="R50" s="26"/>
      <c r="S50" s="70"/>
      <c r="T50" s="70"/>
    </row>
    <row r="51" spans="1:20" s="4" customFormat="1" ht="18" customHeight="1">
      <c r="A51" s="9" t="str">
        <f t="shared" si="4"/>
        <v>1 -Charges fixes</v>
      </c>
      <c r="B51" s="21" t="str">
        <f t="shared" si="10"/>
        <v>C-CHAINES TV</v>
      </c>
      <c r="C51" s="21"/>
      <c r="D51" s="18" t="s">
        <v>82</v>
      </c>
      <c r="E51" s="13" t="s">
        <v>68</v>
      </c>
      <c r="F51" s="43"/>
      <c r="G51" s="54">
        <v>8</v>
      </c>
      <c r="H51" s="55">
        <v>8</v>
      </c>
      <c r="I51" s="47">
        <f t="shared" ref="I51:I60" si="16">+H51</f>
        <v>8</v>
      </c>
      <c r="J51" s="39" t="s">
        <v>21</v>
      </c>
      <c r="K51" s="13"/>
      <c r="L51" s="79">
        <v>42404</v>
      </c>
      <c r="M51" s="13" t="str">
        <f t="shared" si="14"/>
        <v>Société Générale</v>
      </c>
      <c r="N51" s="78">
        <v>5</v>
      </c>
      <c r="O51" s="33" t="s">
        <v>36</v>
      </c>
      <c r="P51" s="13"/>
      <c r="Q51" s="13"/>
      <c r="R51" s="26"/>
      <c r="S51" s="70"/>
      <c r="T51" s="70"/>
    </row>
    <row r="52" spans="1:20" s="4" customFormat="1" ht="18" customHeight="1">
      <c r="A52" s="9" t="str">
        <f t="shared" si="4"/>
        <v>1 -Charges fixes</v>
      </c>
      <c r="B52" s="21" t="str">
        <f t="shared" si="10"/>
        <v>C-CHAINES TV</v>
      </c>
      <c r="C52" s="21"/>
      <c r="D52" s="18" t="s">
        <v>83</v>
      </c>
      <c r="E52" s="13" t="s">
        <v>68</v>
      </c>
      <c r="F52" s="43"/>
      <c r="G52" s="54">
        <v>8</v>
      </c>
      <c r="H52" s="56">
        <v>8</v>
      </c>
      <c r="I52" s="47">
        <f t="shared" si="16"/>
        <v>8</v>
      </c>
      <c r="J52" s="39" t="s">
        <v>21</v>
      </c>
      <c r="K52" s="13"/>
      <c r="L52" s="79">
        <v>42433</v>
      </c>
      <c r="M52" s="13" t="str">
        <f t="shared" si="14"/>
        <v>Société Générale</v>
      </c>
      <c r="N52" s="78">
        <v>9</v>
      </c>
      <c r="O52" s="33" t="s">
        <v>36</v>
      </c>
      <c r="P52" s="13"/>
      <c r="Q52" s="13"/>
      <c r="R52" s="26"/>
      <c r="S52" s="70"/>
      <c r="T52" s="70"/>
    </row>
    <row r="53" spans="1:20" s="4" customFormat="1" ht="18" customHeight="1">
      <c r="A53" s="9" t="str">
        <f t="shared" si="4"/>
        <v>1 -Charges fixes</v>
      </c>
      <c r="B53" s="21" t="str">
        <f t="shared" si="10"/>
        <v>C-CHAINES TV</v>
      </c>
      <c r="C53" s="21"/>
      <c r="D53" s="18" t="s">
        <v>84</v>
      </c>
      <c r="E53" s="13" t="s">
        <v>68</v>
      </c>
      <c r="F53" s="43"/>
      <c r="G53" s="54">
        <v>8</v>
      </c>
      <c r="H53" s="56">
        <f t="shared" ref="H53:H61" si="17">+IF(K53="ENGAGE A CE JOUR",G53,"ERREUR")</f>
        <v>8</v>
      </c>
      <c r="I53" s="47">
        <f t="shared" si="16"/>
        <v>8</v>
      </c>
      <c r="J53" s="80"/>
      <c r="K53" s="77" t="s">
        <v>22</v>
      </c>
      <c r="L53" s="79">
        <v>42464</v>
      </c>
      <c r="M53" s="13" t="str">
        <f t="shared" si="14"/>
        <v>Société Générale</v>
      </c>
      <c r="N53" s="78">
        <v>14</v>
      </c>
      <c r="O53" s="33" t="s">
        <v>36</v>
      </c>
      <c r="P53" s="13"/>
      <c r="Q53" s="13"/>
      <c r="R53" s="26"/>
      <c r="S53" s="70"/>
      <c r="T53" s="70"/>
    </row>
    <row r="54" spans="1:20" s="4" customFormat="1" ht="18" customHeight="1">
      <c r="A54" s="9" t="str">
        <f t="shared" si="4"/>
        <v>1 -Charges fixes</v>
      </c>
      <c r="B54" s="21" t="str">
        <f t="shared" si="10"/>
        <v>C-CHAINES TV</v>
      </c>
      <c r="C54" s="21"/>
      <c r="D54" s="18" t="s">
        <v>85</v>
      </c>
      <c r="E54" s="13" t="s">
        <v>68</v>
      </c>
      <c r="F54" s="43"/>
      <c r="G54" s="54">
        <v>8</v>
      </c>
      <c r="H54" s="56">
        <f t="shared" si="17"/>
        <v>8</v>
      </c>
      <c r="I54" s="47">
        <f t="shared" si="16"/>
        <v>8</v>
      </c>
      <c r="J54" s="80"/>
      <c r="K54" s="77" t="s">
        <v>22</v>
      </c>
      <c r="L54" s="79">
        <v>42494</v>
      </c>
      <c r="M54" s="13" t="str">
        <f t="shared" si="14"/>
        <v>Société Générale</v>
      </c>
      <c r="N54" s="78">
        <v>18</v>
      </c>
      <c r="O54" s="33" t="s">
        <v>36</v>
      </c>
      <c r="P54" s="13"/>
      <c r="Q54" s="13"/>
      <c r="R54" s="26"/>
      <c r="S54" s="70"/>
      <c r="T54" s="70"/>
    </row>
    <row r="55" spans="1:20" s="4" customFormat="1" ht="18" customHeight="1">
      <c r="A55" s="9" t="str">
        <f t="shared" si="4"/>
        <v>1 -Charges fixes</v>
      </c>
      <c r="B55" s="21" t="str">
        <f t="shared" si="10"/>
        <v>C-CHAINES TV</v>
      </c>
      <c r="C55" s="21"/>
      <c r="D55" s="18" t="s">
        <v>86</v>
      </c>
      <c r="E55" s="13" t="s">
        <v>68</v>
      </c>
      <c r="F55" s="43"/>
      <c r="G55" s="54">
        <v>8</v>
      </c>
      <c r="H55" s="56">
        <f t="shared" si="17"/>
        <v>8</v>
      </c>
      <c r="I55" s="47">
        <f t="shared" si="16"/>
        <v>8</v>
      </c>
      <c r="J55" s="80"/>
      <c r="K55" s="77" t="s">
        <v>22</v>
      </c>
      <c r="L55" s="79">
        <v>42525</v>
      </c>
      <c r="M55" s="13" t="str">
        <f t="shared" si="14"/>
        <v>Société Générale</v>
      </c>
      <c r="N55" s="78">
        <v>22</v>
      </c>
      <c r="O55" s="33" t="s">
        <v>36</v>
      </c>
      <c r="P55" s="13"/>
      <c r="Q55" s="13"/>
      <c r="R55" s="26"/>
      <c r="S55" s="70"/>
      <c r="T55" s="70"/>
    </row>
    <row r="56" spans="1:20" s="4" customFormat="1" ht="18" customHeight="1">
      <c r="A56" s="9" t="str">
        <f t="shared" si="4"/>
        <v>1 -Charges fixes</v>
      </c>
      <c r="B56" s="21" t="str">
        <f t="shared" si="10"/>
        <v>C-CHAINES TV</v>
      </c>
      <c r="C56" s="21"/>
      <c r="D56" s="18" t="s">
        <v>87</v>
      </c>
      <c r="E56" s="13" t="s">
        <v>68</v>
      </c>
      <c r="F56" s="43"/>
      <c r="G56" s="54">
        <v>8</v>
      </c>
      <c r="H56" s="56">
        <f t="shared" si="17"/>
        <v>8</v>
      </c>
      <c r="I56" s="47">
        <f t="shared" si="16"/>
        <v>8</v>
      </c>
      <c r="J56" s="80"/>
      <c r="K56" s="77" t="s">
        <v>22</v>
      </c>
      <c r="L56" s="79">
        <v>42555</v>
      </c>
      <c r="M56" s="13" t="str">
        <f t="shared" si="14"/>
        <v>Société Générale</v>
      </c>
      <c r="N56" s="78">
        <v>27</v>
      </c>
      <c r="O56" s="33" t="s">
        <v>36</v>
      </c>
      <c r="P56" s="13"/>
      <c r="Q56" s="13"/>
      <c r="R56" s="26"/>
      <c r="S56" s="70"/>
      <c r="T56" s="70"/>
    </row>
    <row r="57" spans="1:20" s="4" customFormat="1" ht="18" customHeight="1">
      <c r="A57" s="9" t="str">
        <f t="shared" si="4"/>
        <v>1 -Charges fixes</v>
      </c>
      <c r="B57" s="21" t="str">
        <f t="shared" si="10"/>
        <v>C-CHAINES TV</v>
      </c>
      <c r="C57" s="21"/>
      <c r="D57" s="18" t="s">
        <v>88</v>
      </c>
      <c r="E57" s="13" t="s">
        <v>68</v>
      </c>
      <c r="F57" s="43"/>
      <c r="G57" s="54">
        <v>8</v>
      </c>
      <c r="H57" s="56">
        <f t="shared" si="17"/>
        <v>8</v>
      </c>
      <c r="I57" s="47">
        <f t="shared" si="16"/>
        <v>8</v>
      </c>
      <c r="J57" s="80"/>
      <c r="K57" s="77" t="s">
        <v>22</v>
      </c>
      <c r="L57" s="79">
        <v>42586</v>
      </c>
      <c r="M57" s="13" t="str">
        <f t="shared" si="14"/>
        <v>Société Générale</v>
      </c>
      <c r="N57" s="78">
        <v>31</v>
      </c>
      <c r="O57" s="33" t="s">
        <v>36</v>
      </c>
      <c r="P57" s="13"/>
      <c r="Q57" s="13"/>
      <c r="R57" s="26"/>
      <c r="S57" s="70"/>
      <c r="T57" s="70"/>
    </row>
    <row r="58" spans="1:20" s="4" customFormat="1" ht="18" customHeight="1">
      <c r="A58" s="9" t="str">
        <f t="shared" si="4"/>
        <v>1 -Charges fixes</v>
      </c>
      <c r="B58" s="21" t="str">
        <f t="shared" si="10"/>
        <v>C-CHAINES TV</v>
      </c>
      <c r="C58" s="21"/>
      <c r="D58" s="18" t="s">
        <v>89</v>
      </c>
      <c r="E58" s="13" t="s">
        <v>68</v>
      </c>
      <c r="F58" s="43"/>
      <c r="G58" s="54">
        <v>8</v>
      </c>
      <c r="H58" s="56">
        <f t="shared" si="17"/>
        <v>8</v>
      </c>
      <c r="I58" s="47">
        <f t="shared" si="16"/>
        <v>8</v>
      </c>
      <c r="J58" s="80"/>
      <c r="K58" s="77" t="s">
        <v>22</v>
      </c>
      <c r="L58" s="79">
        <v>42617</v>
      </c>
      <c r="M58" s="13" t="str">
        <f t="shared" si="14"/>
        <v>Société Générale</v>
      </c>
      <c r="N58" s="78">
        <v>35</v>
      </c>
      <c r="O58" s="33" t="s">
        <v>36</v>
      </c>
      <c r="P58" s="13"/>
      <c r="Q58" s="13"/>
      <c r="R58" s="26"/>
      <c r="S58" s="70"/>
      <c r="T58" s="70"/>
    </row>
    <row r="59" spans="1:20" s="4" customFormat="1" ht="18" customHeight="1">
      <c r="A59" s="9" t="str">
        <f t="shared" si="4"/>
        <v>1 -Charges fixes</v>
      </c>
      <c r="B59" s="21" t="str">
        <f t="shared" si="10"/>
        <v>C-CHAINES TV</v>
      </c>
      <c r="C59" s="21"/>
      <c r="D59" s="18" t="s">
        <v>90</v>
      </c>
      <c r="E59" s="13" t="s">
        <v>68</v>
      </c>
      <c r="F59" s="43"/>
      <c r="G59" s="54">
        <v>8</v>
      </c>
      <c r="H59" s="56">
        <f t="shared" si="17"/>
        <v>8</v>
      </c>
      <c r="I59" s="47">
        <f t="shared" si="16"/>
        <v>8</v>
      </c>
      <c r="J59" s="80"/>
      <c r="K59" s="77" t="s">
        <v>22</v>
      </c>
      <c r="L59" s="79">
        <v>42647</v>
      </c>
      <c r="M59" s="13" t="str">
        <f t="shared" si="14"/>
        <v>Société Générale</v>
      </c>
      <c r="N59" s="78">
        <v>40</v>
      </c>
      <c r="O59" s="33" t="s">
        <v>36</v>
      </c>
      <c r="P59" s="13"/>
      <c r="Q59" s="13"/>
      <c r="R59" s="26"/>
      <c r="S59" s="70"/>
      <c r="T59" s="70"/>
    </row>
    <row r="60" spans="1:20" s="4" customFormat="1" ht="18" customHeight="1">
      <c r="A60" s="9" t="str">
        <f t="shared" si="4"/>
        <v>1 -Charges fixes</v>
      </c>
      <c r="B60" s="21" t="str">
        <f t="shared" si="10"/>
        <v>C-CHAINES TV</v>
      </c>
      <c r="C60" s="21"/>
      <c r="D60" s="18" t="s">
        <v>91</v>
      </c>
      <c r="E60" s="13" t="s">
        <v>68</v>
      </c>
      <c r="F60" s="43"/>
      <c r="G60" s="54">
        <v>8</v>
      </c>
      <c r="H60" s="56">
        <f t="shared" si="17"/>
        <v>8</v>
      </c>
      <c r="I60" s="47">
        <f t="shared" si="16"/>
        <v>8</v>
      </c>
      <c r="J60" s="80"/>
      <c r="K60" s="77" t="s">
        <v>22</v>
      </c>
      <c r="L60" s="79">
        <v>42678</v>
      </c>
      <c r="M60" s="13" t="str">
        <f t="shared" si="14"/>
        <v>Société Générale</v>
      </c>
      <c r="N60" s="78">
        <v>44</v>
      </c>
      <c r="O60" s="33" t="s">
        <v>36</v>
      </c>
      <c r="P60" s="13"/>
      <c r="Q60" s="13"/>
      <c r="R60" s="26"/>
      <c r="S60" s="70"/>
      <c r="T60" s="70"/>
    </row>
    <row r="61" spans="1:20" s="4" customFormat="1" ht="18" customHeight="1">
      <c r="A61" s="9" t="str">
        <f t="shared" si="4"/>
        <v>1 -Charges fixes</v>
      </c>
      <c r="B61" s="21" t="str">
        <f t="shared" si="10"/>
        <v>C-CHAINES TV</v>
      </c>
      <c r="C61" s="21"/>
      <c r="D61" s="18" t="s">
        <v>92</v>
      </c>
      <c r="E61" s="13" t="s">
        <v>68</v>
      </c>
      <c r="F61" s="43"/>
      <c r="G61" s="54">
        <v>8</v>
      </c>
      <c r="H61" s="56">
        <f t="shared" si="17"/>
        <v>8</v>
      </c>
      <c r="I61" s="47" t="e">
        <f>SUM(G61:G61)-#REF!-#REF!</f>
        <v>#REF!</v>
      </c>
      <c r="J61" s="80"/>
      <c r="K61" s="77" t="s">
        <v>22</v>
      </c>
      <c r="L61" s="79">
        <v>42708</v>
      </c>
      <c r="M61" s="13" t="str">
        <f t="shared" si="14"/>
        <v>Société Générale</v>
      </c>
      <c r="N61" s="78">
        <v>48</v>
      </c>
      <c r="O61" s="33" t="s">
        <v>36</v>
      </c>
      <c r="P61" s="13"/>
      <c r="Q61" s="13"/>
      <c r="R61" s="26"/>
      <c r="S61" s="70"/>
      <c r="T61" s="70"/>
    </row>
    <row r="62" spans="1:20" s="4" customFormat="1" ht="18" customHeight="1">
      <c r="A62" s="10" t="str">
        <f t="shared" ref="A62:A68" si="18">+A61</f>
        <v>1 -Charges fixes</v>
      </c>
      <c r="B62" s="10" t="s">
        <v>562</v>
      </c>
      <c r="C62" s="10"/>
      <c r="D62" s="10"/>
      <c r="E62" s="14"/>
      <c r="F62" s="38">
        <f>1342*4</f>
        <v>5368</v>
      </c>
      <c r="G62" s="45"/>
      <c r="H62" s="48"/>
      <c r="I62" s="48"/>
      <c r="J62" s="14"/>
      <c r="K62" s="14"/>
      <c r="L62" s="14"/>
      <c r="M62" s="14"/>
      <c r="N62" s="14"/>
      <c r="O62" s="14"/>
      <c r="P62" s="14"/>
      <c r="Q62" s="14"/>
      <c r="R62" s="24"/>
      <c r="S62" s="66"/>
      <c r="T62" s="66"/>
    </row>
    <row r="63" spans="1:20" s="4" customFormat="1" ht="18" customHeight="1">
      <c r="A63" s="9" t="str">
        <f t="shared" si="18"/>
        <v>1 -Charges fixes</v>
      </c>
      <c r="B63" s="21" t="str">
        <f>+B62</f>
        <v>D-CHARGES SOCIALES</v>
      </c>
      <c r="C63" s="21"/>
      <c r="D63" s="9" t="s">
        <v>576</v>
      </c>
      <c r="E63" s="13" t="s">
        <v>94</v>
      </c>
      <c r="F63" s="43"/>
      <c r="G63" s="54">
        <v>1389</v>
      </c>
      <c r="H63" s="55">
        <v>1389</v>
      </c>
      <c r="I63" s="47">
        <f>+H63</f>
        <v>1389</v>
      </c>
      <c r="J63" s="39" t="s">
        <v>21</v>
      </c>
      <c r="K63" s="13"/>
      <c r="L63" s="79">
        <v>42405</v>
      </c>
      <c r="M63" s="19" t="s">
        <v>38</v>
      </c>
      <c r="N63" s="78">
        <v>5</v>
      </c>
      <c r="O63" s="33" t="s">
        <v>36</v>
      </c>
      <c r="P63" s="13"/>
      <c r="Q63" s="13"/>
      <c r="R63" s="26">
        <v>42370</v>
      </c>
      <c r="S63" s="70"/>
      <c r="T63" s="73">
        <v>1389</v>
      </c>
    </row>
    <row r="64" spans="1:20" s="4" customFormat="1" ht="18" customHeight="1">
      <c r="A64" s="9" t="str">
        <f t="shared" si="18"/>
        <v>1 -Charges fixes</v>
      </c>
      <c r="B64" s="21" t="str">
        <f>+B63</f>
        <v>D-CHARGES SOCIALES</v>
      </c>
      <c r="C64" s="21"/>
      <c r="D64" s="9" t="s">
        <v>577</v>
      </c>
      <c r="E64" s="13" t="str">
        <f>+E63</f>
        <v>URSSAF</v>
      </c>
      <c r="F64" s="43"/>
      <c r="G64" s="54">
        <v>1389</v>
      </c>
      <c r="H64" s="56">
        <f t="shared" ref="H64:H66" si="19">+IF(K64="ENGAGE A CE JOUR",G64,"ERREUR")</f>
        <v>1389</v>
      </c>
      <c r="I64" s="47">
        <f t="shared" ref="I64:I66" si="20">+H64</f>
        <v>1389</v>
      </c>
      <c r="J64" s="80"/>
      <c r="K64" s="77" t="s">
        <v>22</v>
      </c>
      <c r="L64" s="79">
        <v>42495</v>
      </c>
      <c r="M64" s="107"/>
      <c r="N64" s="78">
        <v>18</v>
      </c>
      <c r="O64" s="33" t="s">
        <v>36</v>
      </c>
      <c r="P64" s="13"/>
      <c r="Q64" s="13"/>
      <c r="R64" s="26">
        <v>42461</v>
      </c>
      <c r="S64" s="70"/>
      <c r="T64" s="73">
        <v>1389</v>
      </c>
    </row>
    <row r="65" spans="1:20" s="63" customFormat="1" ht="18" customHeight="1">
      <c r="A65" s="9" t="str">
        <f t="shared" si="18"/>
        <v>1 -Charges fixes</v>
      </c>
      <c r="B65" s="21" t="str">
        <f>+B64</f>
        <v>D-CHARGES SOCIALES</v>
      </c>
      <c r="C65" s="21"/>
      <c r="D65" s="9" t="s">
        <v>578</v>
      </c>
      <c r="E65" s="13" t="str">
        <f>+E64</f>
        <v>URSSAF</v>
      </c>
      <c r="F65" s="59"/>
      <c r="G65" s="54">
        <v>1389</v>
      </c>
      <c r="H65" s="56">
        <f t="shared" si="19"/>
        <v>1389</v>
      </c>
      <c r="I65" s="47">
        <f t="shared" si="20"/>
        <v>1389</v>
      </c>
      <c r="J65" s="80"/>
      <c r="K65" s="77" t="s">
        <v>22</v>
      </c>
      <c r="L65" s="79">
        <v>42587</v>
      </c>
      <c r="M65" s="107"/>
      <c r="N65" s="78">
        <v>31</v>
      </c>
      <c r="O65" s="33" t="s">
        <v>36</v>
      </c>
      <c r="P65" s="58"/>
      <c r="Q65" s="58"/>
      <c r="R65" s="62">
        <v>42552</v>
      </c>
      <c r="S65" s="70"/>
      <c r="T65" s="74">
        <v>1389</v>
      </c>
    </row>
    <row r="66" spans="1:20" s="4" customFormat="1" ht="18" customHeight="1">
      <c r="A66" s="9" t="str">
        <f t="shared" si="18"/>
        <v>1 -Charges fixes</v>
      </c>
      <c r="B66" s="21" t="str">
        <f>+B65</f>
        <v>D-CHARGES SOCIALES</v>
      </c>
      <c r="C66" s="21"/>
      <c r="D66" s="9" t="s">
        <v>579</v>
      </c>
      <c r="E66" s="13" t="str">
        <f>+E65</f>
        <v>URSSAF</v>
      </c>
      <c r="F66" s="43"/>
      <c r="G66" s="54">
        <v>1389</v>
      </c>
      <c r="H66" s="56">
        <f t="shared" si="19"/>
        <v>1389</v>
      </c>
      <c r="I66" s="47">
        <f t="shared" si="20"/>
        <v>1389</v>
      </c>
      <c r="J66" s="80"/>
      <c r="K66" s="77" t="s">
        <v>22</v>
      </c>
      <c r="L66" s="79">
        <v>42679</v>
      </c>
      <c r="M66" s="107"/>
      <c r="N66" s="78">
        <v>44</v>
      </c>
      <c r="O66" s="33" t="s">
        <v>36</v>
      </c>
      <c r="P66" s="13"/>
      <c r="Q66" s="13"/>
      <c r="R66" s="26">
        <v>42644</v>
      </c>
      <c r="S66" s="70"/>
      <c r="T66" s="69">
        <v>1389</v>
      </c>
    </row>
    <row r="67" spans="1:20" s="4" customFormat="1" ht="18" customHeight="1">
      <c r="A67" s="10" t="str">
        <f t="shared" si="18"/>
        <v>1 -Charges fixes</v>
      </c>
      <c r="B67" s="10" t="s">
        <v>95</v>
      </c>
      <c r="C67" s="10"/>
      <c r="D67" s="10"/>
      <c r="E67" s="14"/>
      <c r="F67" s="38">
        <f>103.09*12</f>
        <v>1237.08</v>
      </c>
      <c r="G67" s="45"/>
      <c r="H67" s="48"/>
      <c r="I67" s="48"/>
      <c r="J67" s="14"/>
      <c r="K67" s="14"/>
      <c r="L67" s="14"/>
      <c r="M67" s="14"/>
      <c r="N67" s="14"/>
      <c r="O67" s="14"/>
      <c r="P67" s="14"/>
      <c r="Q67" s="14"/>
      <c r="R67" s="24"/>
      <c r="S67" s="66"/>
      <c r="T67" s="66"/>
    </row>
    <row r="68" spans="1:20" s="4" customFormat="1" ht="18" customHeight="1">
      <c r="A68" s="9" t="str">
        <f t="shared" si="18"/>
        <v>1 -Charges fixes</v>
      </c>
      <c r="B68" s="21" t="str">
        <f>+B67</f>
        <v>E-ASSURANCE LOCAUX</v>
      </c>
      <c r="C68" s="21"/>
      <c r="D68" s="9" t="s">
        <v>98</v>
      </c>
      <c r="E68" s="40" t="s">
        <v>97</v>
      </c>
      <c r="F68" s="43"/>
      <c r="G68" s="54">
        <v>103.09</v>
      </c>
      <c r="H68" s="55">
        <v>103.09</v>
      </c>
      <c r="I68" s="47">
        <f>+H68</f>
        <v>103.09</v>
      </c>
      <c r="J68" s="39" t="s">
        <v>21</v>
      </c>
      <c r="K68" s="13"/>
      <c r="L68" s="79">
        <v>42377</v>
      </c>
      <c r="M68" s="13" t="s">
        <v>38</v>
      </c>
      <c r="N68" s="78">
        <v>1</v>
      </c>
      <c r="O68" s="33" t="s">
        <v>36</v>
      </c>
      <c r="P68" s="13"/>
      <c r="Q68" s="13"/>
      <c r="R68" s="26"/>
      <c r="S68" s="70"/>
      <c r="T68" s="70"/>
    </row>
    <row r="69" spans="1:20" s="4" customFormat="1" ht="18" customHeight="1">
      <c r="A69" s="9" t="str">
        <f t="shared" ref="A69:B142" si="21">+A68</f>
        <v>1 -Charges fixes</v>
      </c>
      <c r="B69" s="21" t="str">
        <f t="shared" ref="B69:B79" si="22">+B68</f>
        <v>E-ASSURANCE LOCAUX</v>
      </c>
      <c r="C69" s="21"/>
      <c r="D69" s="9" t="s">
        <v>99</v>
      </c>
      <c r="E69" s="40" t="s">
        <v>97</v>
      </c>
      <c r="F69" s="43"/>
      <c r="G69" s="54">
        <v>103.09</v>
      </c>
      <c r="H69" s="55">
        <v>103.09</v>
      </c>
      <c r="I69" s="47">
        <f>+H69</f>
        <v>103.09</v>
      </c>
      <c r="J69" s="39" t="s">
        <v>21</v>
      </c>
      <c r="K69" s="13"/>
      <c r="L69" s="79">
        <v>42408</v>
      </c>
      <c r="M69" s="13" t="s">
        <v>38</v>
      </c>
      <c r="N69" s="78">
        <v>6</v>
      </c>
      <c r="O69" s="33" t="s">
        <v>36</v>
      </c>
      <c r="P69" s="13"/>
      <c r="Q69" s="13"/>
      <c r="R69" s="26"/>
      <c r="S69" s="70"/>
      <c r="T69" s="70"/>
    </row>
    <row r="70" spans="1:20" s="4" customFormat="1" ht="18" customHeight="1">
      <c r="A70" s="9" t="str">
        <f t="shared" si="21"/>
        <v>1 -Charges fixes</v>
      </c>
      <c r="B70" s="21" t="str">
        <f t="shared" si="22"/>
        <v>E-ASSURANCE LOCAUX</v>
      </c>
      <c r="C70" s="21"/>
      <c r="D70" s="9" t="s">
        <v>100</v>
      </c>
      <c r="E70" s="40" t="s">
        <v>97</v>
      </c>
      <c r="F70" s="43"/>
      <c r="G70" s="54">
        <v>103.09</v>
      </c>
      <c r="H70" s="56">
        <v>103.09</v>
      </c>
      <c r="I70" s="47">
        <f t="shared" ref="I70:I79" si="23">+H70</f>
        <v>103.09</v>
      </c>
      <c r="J70" s="39" t="s">
        <v>21</v>
      </c>
      <c r="K70" s="13"/>
      <c r="L70" s="79">
        <v>42437</v>
      </c>
      <c r="M70" s="13" t="s">
        <v>38</v>
      </c>
      <c r="N70" s="78">
        <v>10</v>
      </c>
      <c r="O70" s="33" t="s">
        <v>36</v>
      </c>
      <c r="P70" s="13"/>
      <c r="Q70" s="13"/>
      <c r="R70" s="26"/>
      <c r="S70" s="70"/>
      <c r="T70" s="70"/>
    </row>
    <row r="71" spans="1:20" s="4" customFormat="1" ht="18" customHeight="1">
      <c r="A71" s="9" t="str">
        <f t="shared" si="21"/>
        <v>1 -Charges fixes</v>
      </c>
      <c r="B71" s="21" t="str">
        <f t="shared" si="22"/>
        <v>E-ASSURANCE LOCAUX</v>
      </c>
      <c r="C71" s="21"/>
      <c r="D71" s="9" t="s">
        <v>101</v>
      </c>
      <c r="E71" s="40" t="s">
        <v>97</v>
      </c>
      <c r="F71" s="43"/>
      <c r="G71" s="54">
        <v>103.09</v>
      </c>
      <c r="H71" s="56">
        <f t="shared" ref="H71:H79" si="24">+IF(K71="ENGAGE A CE JOUR",G71,"ERREUR")</f>
        <v>103.09</v>
      </c>
      <c r="I71" s="47">
        <f t="shared" si="23"/>
        <v>103.09</v>
      </c>
      <c r="J71" s="80"/>
      <c r="K71" s="77" t="s">
        <v>22</v>
      </c>
      <c r="L71" s="79">
        <v>42468</v>
      </c>
      <c r="M71" s="13" t="s">
        <v>38</v>
      </c>
      <c r="N71" s="78">
        <v>14</v>
      </c>
      <c r="O71" s="33" t="s">
        <v>36</v>
      </c>
      <c r="P71" s="13"/>
      <c r="Q71" s="13"/>
      <c r="R71" s="26"/>
      <c r="S71" s="70"/>
      <c r="T71" s="70"/>
    </row>
    <row r="72" spans="1:20" s="4" customFormat="1" ht="18" customHeight="1">
      <c r="A72" s="9" t="str">
        <f t="shared" si="21"/>
        <v>1 -Charges fixes</v>
      </c>
      <c r="B72" s="21" t="str">
        <f t="shared" si="22"/>
        <v>E-ASSURANCE LOCAUX</v>
      </c>
      <c r="C72" s="21"/>
      <c r="D72" s="9" t="s">
        <v>102</v>
      </c>
      <c r="E72" s="40" t="s">
        <v>97</v>
      </c>
      <c r="F72" s="43"/>
      <c r="G72" s="54">
        <v>103.09</v>
      </c>
      <c r="H72" s="56">
        <f t="shared" si="24"/>
        <v>103.09</v>
      </c>
      <c r="I72" s="47">
        <f t="shared" si="23"/>
        <v>103.09</v>
      </c>
      <c r="J72" s="80"/>
      <c r="K72" s="77" t="s">
        <v>22</v>
      </c>
      <c r="L72" s="79">
        <v>42498</v>
      </c>
      <c r="M72" s="13" t="s">
        <v>38</v>
      </c>
      <c r="N72" s="78">
        <v>18</v>
      </c>
      <c r="O72" s="33" t="s">
        <v>36</v>
      </c>
      <c r="P72" s="13"/>
      <c r="Q72" s="13"/>
      <c r="R72" s="26"/>
      <c r="S72" s="70"/>
      <c r="T72" s="70"/>
    </row>
    <row r="73" spans="1:20" s="4" customFormat="1" ht="18" customHeight="1">
      <c r="A73" s="9" t="str">
        <f t="shared" si="21"/>
        <v>1 -Charges fixes</v>
      </c>
      <c r="B73" s="21" t="str">
        <f t="shared" si="22"/>
        <v>E-ASSURANCE LOCAUX</v>
      </c>
      <c r="C73" s="21"/>
      <c r="D73" s="9" t="s">
        <v>103</v>
      </c>
      <c r="E73" s="40" t="s">
        <v>97</v>
      </c>
      <c r="F73" s="43"/>
      <c r="G73" s="54">
        <v>103.09</v>
      </c>
      <c r="H73" s="56">
        <f t="shared" si="24"/>
        <v>103.09</v>
      </c>
      <c r="I73" s="47">
        <f t="shared" si="23"/>
        <v>103.09</v>
      </c>
      <c r="J73" s="80"/>
      <c r="K73" s="77" t="s">
        <v>22</v>
      </c>
      <c r="L73" s="79">
        <v>42529</v>
      </c>
      <c r="M73" s="13" t="s">
        <v>38</v>
      </c>
      <c r="N73" s="78">
        <v>23</v>
      </c>
      <c r="O73" s="33" t="s">
        <v>36</v>
      </c>
      <c r="P73" s="13"/>
      <c r="Q73" s="13"/>
      <c r="R73" s="26"/>
      <c r="S73" s="70"/>
      <c r="T73" s="70"/>
    </row>
    <row r="74" spans="1:20" s="4" customFormat="1" ht="18" customHeight="1">
      <c r="A74" s="9" t="str">
        <f t="shared" si="21"/>
        <v>1 -Charges fixes</v>
      </c>
      <c r="B74" s="21" t="str">
        <f t="shared" si="22"/>
        <v>E-ASSURANCE LOCAUX</v>
      </c>
      <c r="C74" s="21"/>
      <c r="D74" s="9" t="s">
        <v>104</v>
      </c>
      <c r="E74" s="40" t="s">
        <v>97</v>
      </c>
      <c r="F74" s="43"/>
      <c r="G74" s="54">
        <v>103.09</v>
      </c>
      <c r="H74" s="56">
        <f t="shared" si="24"/>
        <v>103.09</v>
      </c>
      <c r="I74" s="47">
        <f t="shared" si="23"/>
        <v>103.09</v>
      </c>
      <c r="J74" s="80"/>
      <c r="K74" s="77" t="s">
        <v>22</v>
      </c>
      <c r="L74" s="79">
        <v>42559</v>
      </c>
      <c r="M74" s="13" t="s">
        <v>38</v>
      </c>
      <c r="N74" s="78">
        <v>27</v>
      </c>
      <c r="O74" s="33" t="s">
        <v>36</v>
      </c>
      <c r="P74" s="13"/>
      <c r="Q74" s="13"/>
      <c r="R74" s="26"/>
      <c r="S74" s="70"/>
      <c r="T74" s="70"/>
    </row>
    <row r="75" spans="1:20" s="4" customFormat="1" ht="18" customHeight="1">
      <c r="A75" s="9" t="str">
        <f t="shared" si="21"/>
        <v>1 -Charges fixes</v>
      </c>
      <c r="B75" s="21" t="str">
        <f t="shared" si="22"/>
        <v>E-ASSURANCE LOCAUX</v>
      </c>
      <c r="C75" s="21"/>
      <c r="D75" s="9" t="s">
        <v>105</v>
      </c>
      <c r="E75" s="40" t="s">
        <v>97</v>
      </c>
      <c r="F75" s="43"/>
      <c r="G75" s="54">
        <v>103.09</v>
      </c>
      <c r="H75" s="56">
        <f t="shared" si="24"/>
        <v>103.09</v>
      </c>
      <c r="I75" s="47">
        <f t="shared" si="23"/>
        <v>103.09</v>
      </c>
      <c r="J75" s="80"/>
      <c r="K75" s="77" t="s">
        <v>22</v>
      </c>
      <c r="L75" s="79">
        <v>42590</v>
      </c>
      <c r="M75" s="13" t="s">
        <v>38</v>
      </c>
      <c r="N75" s="78">
        <v>32</v>
      </c>
      <c r="O75" s="33" t="s">
        <v>36</v>
      </c>
      <c r="P75" s="13"/>
      <c r="Q75" s="13"/>
      <c r="R75" s="26"/>
      <c r="S75" s="70"/>
      <c r="T75" s="70"/>
    </row>
    <row r="76" spans="1:20" s="4" customFormat="1" ht="18" customHeight="1">
      <c r="A76" s="9" t="str">
        <f t="shared" si="21"/>
        <v>1 -Charges fixes</v>
      </c>
      <c r="B76" s="21" t="str">
        <f t="shared" si="22"/>
        <v>E-ASSURANCE LOCAUX</v>
      </c>
      <c r="C76" s="21"/>
      <c r="D76" s="9" t="s">
        <v>107</v>
      </c>
      <c r="E76" s="40" t="s">
        <v>97</v>
      </c>
      <c r="F76" s="43"/>
      <c r="G76" s="54">
        <v>103.09</v>
      </c>
      <c r="H76" s="56">
        <f t="shared" si="24"/>
        <v>103.09</v>
      </c>
      <c r="I76" s="47">
        <f t="shared" si="23"/>
        <v>103.09</v>
      </c>
      <c r="J76" s="80"/>
      <c r="K76" s="77" t="s">
        <v>22</v>
      </c>
      <c r="L76" s="79">
        <v>42621</v>
      </c>
      <c r="M76" s="13" t="s">
        <v>38</v>
      </c>
      <c r="N76" s="78">
        <v>36</v>
      </c>
      <c r="O76" s="33" t="s">
        <v>36</v>
      </c>
      <c r="P76" s="13"/>
      <c r="Q76" s="13"/>
      <c r="R76" s="26"/>
      <c r="S76" s="70"/>
      <c r="T76" s="70"/>
    </row>
    <row r="77" spans="1:20" s="4" customFormat="1" ht="18" customHeight="1">
      <c r="A77" s="9" t="str">
        <f t="shared" si="21"/>
        <v>1 -Charges fixes</v>
      </c>
      <c r="B77" s="21" t="str">
        <f t="shared" si="22"/>
        <v>E-ASSURANCE LOCAUX</v>
      </c>
      <c r="C77" s="21"/>
      <c r="D77" s="9" t="s">
        <v>108</v>
      </c>
      <c r="E77" s="40" t="s">
        <v>97</v>
      </c>
      <c r="F77" s="43"/>
      <c r="G77" s="54">
        <v>103.09</v>
      </c>
      <c r="H77" s="56">
        <f t="shared" si="24"/>
        <v>103.09</v>
      </c>
      <c r="I77" s="47">
        <f t="shared" si="23"/>
        <v>103.09</v>
      </c>
      <c r="J77" s="80"/>
      <c r="K77" s="77" t="s">
        <v>22</v>
      </c>
      <c r="L77" s="79">
        <v>42651</v>
      </c>
      <c r="M77" s="13" t="s">
        <v>38</v>
      </c>
      <c r="N77" s="78">
        <v>40</v>
      </c>
      <c r="O77" s="33" t="s">
        <v>36</v>
      </c>
      <c r="P77" s="13"/>
      <c r="Q77" s="13"/>
      <c r="R77" s="26"/>
      <c r="S77" s="70"/>
      <c r="T77" s="70"/>
    </row>
    <row r="78" spans="1:20" s="4" customFormat="1" ht="18" customHeight="1">
      <c r="A78" s="9" t="str">
        <f t="shared" si="21"/>
        <v>1 -Charges fixes</v>
      </c>
      <c r="B78" s="21" t="str">
        <f t="shared" si="22"/>
        <v>E-ASSURANCE LOCAUX</v>
      </c>
      <c r="C78" s="21"/>
      <c r="D78" s="9" t="s">
        <v>106</v>
      </c>
      <c r="E78" s="40" t="s">
        <v>97</v>
      </c>
      <c r="F78" s="43"/>
      <c r="G78" s="54">
        <v>103.09</v>
      </c>
      <c r="H78" s="56">
        <f t="shared" si="24"/>
        <v>103.09</v>
      </c>
      <c r="I78" s="47">
        <f t="shared" si="23"/>
        <v>103.09</v>
      </c>
      <c r="J78" s="80"/>
      <c r="K78" s="77" t="s">
        <v>22</v>
      </c>
      <c r="L78" s="79">
        <v>42682</v>
      </c>
      <c r="M78" s="13" t="s">
        <v>38</v>
      </c>
      <c r="N78" s="78">
        <v>45</v>
      </c>
      <c r="O78" s="33" t="s">
        <v>36</v>
      </c>
      <c r="P78" s="13"/>
      <c r="Q78" s="13"/>
      <c r="R78" s="26"/>
      <c r="S78" s="70"/>
      <c r="T78" s="70"/>
    </row>
    <row r="79" spans="1:20" s="4" customFormat="1">
      <c r="A79" s="9" t="str">
        <f t="shared" si="21"/>
        <v>1 -Charges fixes</v>
      </c>
      <c r="B79" s="21" t="str">
        <f t="shared" si="22"/>
        <v>E-ASSURANCE LOCAUX</v>
      </c>
      <c r="C79" s="21"/>
      <c r="D79" s="9" t="s">
        <v>109</v>
      </c>
      <c r="E79" s="40" t="s">
        <v>97</v>
      </c>
      <c r="F79" s="43"/>
      <c r="G79" s="54">
        <v>103.09</v>
      </c>
      <c r="H79" s="56">
        <f t="shared" si="24"/>
        <v>103.09</v>
      </c>
      <c r="I79" s="47">
        <f t="shared" si="23"/>
        <v>103.09</v>
      </c>
      <c r="J79" s="80"/>
      <c r="K79" s="77" t="s">
        <v>22</v>
      </c>
      <c r="L79" s="79">
        <v>42712</v>
      </c>
      <c r="M79" s="13" t="s">
        <v>38</v>
      </c>
      <c r="N79" s="78">
        <v>49</v>
      </c>
      <c r="O79" s="33" t="s">
        <v>36</v>
      </c>
      <c r="P79" s="13"/>
      <c r="Q79" s="13"/>
      <c r="R79" s="26"/>
      <c r="S79" s="70"/>
      <c r="T79" s="70"/>
    </row>
    <row r="80" spans="1:20" s="4" customFormat="1">
      <c r="A80" s="10" t="str">
        <f>+A79</f>
        <v>1 -Charges fixes</v>
      </c>
      <c r="B80" s="10" t="s">
        <v>110</v>
      </c>
      <c r="C80" s="10"/>
      <c r="D80" s="10"/>
      <c r="E80" s="14"/>
      <c r="F80" s="38">
        <f>100*12+32.98*12</f>
        <v>1595.76</v>
      </c>
      <c r="G80" s="45"/>
      <c r="H80" s="48"/>
      <c r="I80" s="48"/>
      <c r="J80" s="14"/>
      <c r="K80" s="14"/>
      <c r="L80" s="14"/>
      <c r="M80" s="14"/>
      <c r="N80" s="14"/>
      <c r="O80" s="14"/>
      <c r="P80" s="14"/>
      <c r="Q80" s="14"/>
      <c r="R80" s="24"/>
      <c r="S80" s="66"/>
      <c r="T80" s="66"/>
    </row>
    <row r="81" spans="1:20" s="4" customFormat="1">
      <c r="A81" s="9" t="str">
        <f t="shared" si="21"/>
        <v>1 -Charges fixes</v>
      </c>
      <c r="B81" s="21" t="str">
        <f>+B80</f>
        <v>F-TELEPHONE ET INTERNET ADSL</v>
      </c>
      <c r="C81" s="21"/>
      <c r="D81" s="18" t="s">
        <v>112</v>
      </c>
      <c r="E81" s="13" t="s">
        <v>111</v>
      </c>
      <c r="F81" s="43"/>
      <c r="G81" s="54">
        <v>100</v>
      </c>
      <c r="H81" s="55">
        <v>131.12</v>
      </c>
      <c r="I81" s="47">
        <f>+H81</f>
        <v>131.12</v>
      </c>
      <c r="J81" s="39" t="s">
        <v>21</v>
      </c>
      <c r="K81" s="13"/>
      <c r="L81" s="79">
        <v>42377</v>
      </c>
      <c r="M81" s="13" t="s">
        <v>38</v>
      </c>
      <c r="N81" s="78">
        <v>1</v>
      </c>
      <c r="O81" s="33" t="s">
        <v>36</v>
      </c>
      <c r="P81" s="13"/>
      <c r="Q81" s="13"/>
      <c r="R81" s="26"/>
      <c r="S81" s="70"/>
      <c r="T81" s="70"/>
    </row>
    <row r="82" spans="1:20" s="4" customFormat="1">
      <c r="A82" s="9" t="str">
        <f t="shared" si="21"/>
        <v>1 -Charges fixes</v>
      </c>
      <c r="B82" s="21" t="str">
        <f t="shared" ref="B82:B142" si="25">+B81</f>
        <v>F-TELEPHONE ET INTERNET ADSL</v>
      </c>
      <c r="C82" s="21"/>
      <c r="D82" s="18" t="s">
        <v>113</v>
      </c>
      <c r="E82" s="13" t="s">
        <v>111</v>
      </c>
      <c r="F82" s="43"/>
      <c r="G82" s="54">
        <v>100</v>
      </c>
      <c r="H82" s="55">
        <v>85.83</v>
      </c>
      <c r="I82" s="47">
        <f>+H82</f>
        <v>85.83</v>
      </c>
      <c r="J82" s="39" t="s">
        <v>21</v>
      </c>
      <c r="K82" s="13"/>
      <c r="L82" s="79">
        <v>42408</v>
      </c>
      <c r="M82" s="13" t="s">
        <v>38</v>
      </c>
      <c r="N82" s="78">
        <v>6</v>
      </c>
      <c r="O82" s="33" t="s">
        <v>36</v>
      </c>
      <c r="P82" s="13"/>
      <c r="Q82" s="13"/>
      <c r="R82" s="26"/>
      <c r="S82" s="70"/>
      <c r="T82" s="70"/>
    </row>
    <row r="83" spans="1:20" s="4" customFormat="1">
      <c r="A83" s="9" t="str">
        <f t="shared" si="21"/>
        <v>1 -Charges fixes</v>
      </c>
      <c r="B83" s="21" t="str">
        <f t="shared" si="25"/>
        <v>F-TELEPHONE ET INTERNET ADSL</v>
      </c>
      <c r="C83" s="21"/>
      <c r="D83" s="18" t="s">
        <v>114</v>
      </c>
      <c r="E83" s="13" t="s">
        <v>111</v>
      </c>
      <c r="F83" s="43"/>
      <c r="G83" s="54">
        <v>100</v>
      </c>
      <c r="H83" s="56">
        <v>68.400000000000006</v>
      </c>
      <c r="I83" s="47">
        <f t="shared" ref="I83:I92" si="26">+H83</f>
        <v>68.400000000000006</v>
      </c>
      <c r="J83" s="39" t="s">
        <v>21</v>
      </c>
      <c r="K83" s="13"/>
      <c r="L83" s="79">
        <v>42437</v>
      </c>
      <c r="M83" s="13" t="s">
        <v>38</v>
      </c>
      <c r="N83" s="78">
        <v>10</v>
      </c>
      <c r="O83" s="33" t="s">
        <v>36</v>
      </c>
      <c r="P83" s="13"/>
      <c r="Q83" s="13"/>
      <c r="R83" s="26"/>
      <c r="S83" s="70"/>
      <c r="T83" s="70"/>
    </row>
    <row r="84" spans="1:20" s="4" customFormat="1">
      <c r="A84" s="9" t="str">
        <f t="shared" si="21"/>
        <v>1 -Charges fixes</v>
      </c>
      <c r="B84" s="21" t="str">
        <f t="shared" si="25"/>
        <v>F-TELEPHONE ET INTERNET ADSL</v>
      </c>
      <c r="C84" s="21"/>
      <c r="D84" s="18" t="s">
        <v>117</v>
      </c>
      <c r="E84" s="13" t="s">
        <v>111</v>
      </c>
      <c r="F84" s="43"/>
      <c r="G84" s="54">
        <v>100</v>
      </c>
      <c r="H84" s="56">
        <f t="shared" ref="H84:H92" si="27">+IF(K84="ENGAGE A CE JOUR",G84,"ERREUR")</f>
        <v>100</v>
      </c>
      <c r="I84" s="47">
        <f t="shared" si="26"/>
        <v>100</v>
      </c>
      <c r="J84" s="80"/>
      <c r="K84" s="77" t="s">
        <v>22</v>
      </c>
      <c r="L84" s="79">
        <v>42468</v>
      </c>
      <c r="M84" s="13" t="s">
        <v>38</v>
      </c>
      <c r="N84" s="78">
        <v>14</v>
      </c>
      <c r="O84" s="33" t="s">
        <v>36</v>
      </c>
      <c r="P84" s="13"/>
      <c r="Q84" s="13"/>
      <c r="R84" s="26"/>
      <c r="S84" s="70"/>
      <c r="T84" s="70"/>
    </row>
    <row r="85" spans="1:20" s="63" customFormat="1">
      <c r="A85" s="9" t="str">
        <f t="shared" si="21"/>
        <v>1 -Charges fixes</v>
      </c>
      <c r="B85" s="21" t="str">
        <f t="shared" si="25"/>
        <v>F-TELEPHONE ET INTERNET ADSL</v>
      </c>
      <c r="C85" s="21"/>
      <c r="D85" s="18" t="s">
        <v>119</v>
      </c>
      <c r="E85" s="13" t="s">
        <v>111</v>
      </c>
      <c r="F85" s="59"/>
      <c r="G85" s="54">
        <v>100</v>
      </c>
      <c r="H85" s="56">
        <f t="shared" si="27"/>
        <v>100</v>
      </c>
      <c r="I85" s="47">
        <f t="shared" si="26"/>
        <v>100</v>
      </c>
      <c r="J85" s="80"/>
      <c r="K85" s="77" t="s">
        <v>22</v>
      </c>
      <c r="L85" s="79">
        <v>42498</v>
      </c>
      <c r="M85" s="13" t="s">
        <v>38</v>
      </c>
      <c r="N85" s="78">
        <v>18</v>
      </c>
      <c r="O85" s="33" t="s">
        <v>36</v>
      </c>
      <c r="P85" s="58"/>
      <c r="Q85" s="58"/>
      <c r="R85" s="62"/>
      <c r="S85" s="70"/>
      <c r="T85" s="70"/>
    </row>
    <row r="86" spans="1:20" s="4" customFormat="1">
      <c r="A86" s="9" t="str">
        <f t="shared" si="21"/>
        <v>1 -Charges fixes</v>
      </c>
      <c r="B86" s="21" t="str">
        <f t="shared" si="25"/>
        <v>F-TELEPHONE ET INTERNET ADSL</v>
      </c>
      <c r="C86" s="21"/>
      <c r="D86" s="18" t="s">
        <v>118</v>
      </c>
      <c r="E86" s="13" t="s">
        <v>111</v>
      </c>
      <c r="F86" s="43"/>
      <c r="G86" s="54">
        <v>100</v>
      </c>
      <c r="H86" s="56">
        <f t="shared" si="27"/>
        <v>100</v>
      </c>
      <c r="I86" s="47">
        <f t="shared" si="26"/>
        <v>100</v>
      </c>
      <c r="J86" s="80"/>
      <c r="K86" s="77" t="s">
        <v>22</v>
      </c>
      <c r="L86" s="79">
        <v>42529</v>
      </c>
      <c r="M86" s="13" t="s">
        <v>38</v>
      </c>
      <c r="N86" s="78">
        <v>23</v>
      </c>
      <c r="O86" s="33" t="s">
        <v>36</v>
      </c>
      <c r="P86" s="13"/>
      <c r="Q86" s="13"/>
      <c r="R86" s="26"/>
      <c r="S86" s="70"/>
      <c r="T86" s="70"/>
    </row>
    <row r="87" spans="1:20" s="4" customFormat="1">
      <c r="A87" s="9" t="str">
        <f t="shared" si="21"/>
        <v>1 -Charges fixes</v>
      </c>
      <c r="B87" s="21" t="str">
        <f t="shared" si="25"/>
        <v>F-TELEPHONE ET INTERNET ADSL</v>
      </c>
      <c r="C87" s="21"/>
      <c r="D87" s="18" t="s">
        <v>120</v>
      </c>
      <c r="E87" s="13" t="s">
        <v>111</v>
      </c>
      <c r="F87" s="43"/>
      <c r="G87" s="54">
        <v>100</v>
      </c>
      <c r="H87" s="56">
        <f t="shared" si="27"/>
        <v>100</v>
      </c>
      <c r="I87" s="47">
        <f t="shared" si="26"/>
        <v>100</v>
      </c>
      <c r="J87" s="80"/>
      <c r="K87" s="77" t="s">
        <v>22</v>
      </c>
      <c r="L87" s="79">
        <v>42559</v>
      </c>
      <c r="M87" s="13" t="s">
        <v>38</v>
      </c>
      <c r="N87" s="78">
        <v>27</v>
      </c>
      <c r="O87" s="33" t="s">
        <v>36</v>
      </c>
      <c r="P87" s="13"/>
      <c r="Q87" s="13"/>
      <c r="R87" s="26"/>
      <c r="S87" s="70"/>
      <c r="T87" s="70"/>
    </row>
    <row r="88" spans="1:20" s="4" customFormat="1">
      <c r="A88" s="9" t="str">
        <f t="shared" si="21"/>
        <v>1 -Charges fixes</v>
      </c>
      <c r="B88" s="21" t="str">
        <f t="shared" si="25"/>
        <v>F-TELEPHONE ET INTERNET ADSL</v>
      </c>
      <c r="C88" s="21"/>
      <c r="D88" s="18" t="s">
        <v>121</v>
      </c>
      <c r="E88" s="13" t="s">
        <v>111</v>
      </c>
      <c r="F88" s="43"/>
      <c r="G88" s="54">
        <v>100</v>
      </c>
      <c r="H88" s="56">
        <f t="shared" si="27"/>
        <v>100</v>
      </c>
      <c r="I88" s="47">
        <f t="shared" si="26"/>
        <v>100</v>
      </c>
      <c r="J88" s="80"/>
      <c r="K88" s="77" t="s">
        <v>22</v>
      </c>
      <c r="L88" s="79">
        <v>42590</v>
      </c>
      <c r="M88" s="13" t="s">
        <v>38</v>
      </c>
      <c r="N88" s="78">
        <v>32</v>
      </c>
      <c r="O88" s="33" t="s">
        <v>36</v>
      </c>
      <c r="P88" s="13"/>
      <c r="Q88" s="13"/>
      <c r="R88" s="26"/>
      <c r="S88" s="70"/>
      <c r="T88" s="70"/>
    </row>
    <row r="89" spans="1:20" s="4" customFormat="1">
      <c r="A89" s="9" t="str">
        <f t="shared" si="21"/>
        <v>1 -Charges fixes</v>
      </c>
      <c r="B89" s="21" t="str">
        <f t="shared" si="25"/>
        <v>F-TELEPHONE ET INTERNET ADSL</v>
      </c>
      <c r="C89" s="21"/>
      <c r="D89" s="18" t="s">
        <v>122</v>
      </c>
      <c r="E89" s="13" t="s">
        <v>111</v>
      </c>
      <c r="F89" s="43"/>
      <c r="G89" s="54">
        <v>100</v>
      </c>
      <c r="H89" s="56">
        <f t="shared" si="27"/>
        <v>100</v>
      </c>
      <c r="I89" s="47">
        <f t="shared" si="26"/>
        <v>100</v>
      </c>
      <c r="J89" s="80"/>
      <c r="K89" s="77" t="s">
        <v>22</v>
      </c>
      <c r="L89" s="79">
        <v>42621</v>
      </c>
      <c r="M89" s="13" t="s">
        <v>38</v>
      </c>
      <c r="N89" s="78">
        <v>36</v>
      </c>
      <c r="O89" s="33" t="s">
        <v>36</v>
      </c>
      <c r="P89" s="13"/>
      <c r="Q89" s="13"/>
      <c r="R89" s="26"/>
      <c r="S89" s="70"/>
      <c r="T89" s="70"/>
    </row>
    <row r="90" spans="1:20" s="4" customFormat="1">
      <c r="A90" s="9" t="str">
        <f t="shared" si="21"/>
        <v>1 -Charges fixes</v>
      </c>
      <c r="B90" s="21" t="str">
        <f t="shared" si="25"/>
        <v>F-TELEPHONE ET INTERNET ADSL</v>
      </c>
      <c r="C90" s="21"/>
      <c r="D90" s="18" t="s">
        <v>123</v>
      </c>
      <c r="E90" s="13" t="s">
        <v>111</v>
      </c>
      <c r="F90" s="43"/>
      <c r="G90" s="54">
        <v>100</v>
      </c>
      <c r="H90" s="56">
        <f t="shared" si="27"/>
        <v>100</v>
      </c>
      <c r="I90" s="47">
        <f t="shared" si="26"/>
        <v>100</v>
      </c>
      <c r="J90" s="80"/>
      <c r="K90" s="77" t="s">
        <v>22</v>
      </c>
      <c r="L90" s="79">
        <v>42651</v>
      </c>
      <c r="M90" s="13" t="s">
        <v>38</v>
      </c>
      <c r="N90" s="78">
        <v>40</v>
      </c>
      <c r="O90" s="33" t="s">
        <v>36</v>
      </c>
      <c r="P90" s="13"/>
      <c r="Q90" s="13"/>
      <c r="R90" s="26"/>
      <c r="S90" s="70"/>
      <c r="T90" s="70"/>
    </row>
    <row r="91" spans="1:20" s="4" customFormat="1">
      <c r="A91" s="9" t="str">
        <f t="shared" si="21"/>
        <v>1 -Charges fixes</v>
      </c>
      <c r="B91" s="21" t="str">
        <f t="shared" si="25"/>
        <v>F-TELEPHONE ET INTERNET ADSL</v>
      </c>
      <c r="C91" s="21"/>
      <c r="D91" s="18" t="s">
        <v>124</v>
      </c>
      <c r="E91" s="13" t="s">
        <v>111</v>
      </c>
      <c r="F91" s="43"/>
      <c r="G91" s="54">
        <v>100</v>
      </c>
      <c r="H91" s="56">
        <f t="shared" si="27"/>
        <v>100</v>
      </c>
      <c r="I91" s="47">
        <f t="shared" si="26"/>
        <v>100</v>
      </c>
      <c r="J91" s="80"/>
      <c r="K91" s="77" t="s">
        <v>22</v>
      </c>
      <c r="L91" s="79">
        <v>42682</v>
      </c>
      <c r="M91" s="13" t="s">
        <v>38</v>
      </c>
      <c r="N91" s="78">
        <v>45</v>
      </c>
      <c r="O91" s="33" t="s">
        <v>36</v>
      </c>
      <c r="P91" s="13"/>
      <c r="Q91" s="13"/>
      <c r="R91" s="26"/>
      <c r="S91" s="70"/>
      <c r="T91" s="70"/>
    </row>
    <row r="92" spans="1:20" s="4" customFormat="1">
      <c r="A92" s="9" t="str">
        <f t="shared" si="21"/>
        <v>1 -Charges fixes</v>
      </c>
      <c r="B92" s="21" t="str">
        <f t="shared" si="25"/>
        <v>F-TELEPHONE ET INTERNET ADSL</v>
      </c>
      <c r="C92" s="21"/>
      <c r="D92" s="18" t="s">
        <v>125</v>
      </c>
      <c r="E92" s="13" t="s">
        <v>111</v>
      </c>
      <c r="F92" s="43"/>
      <c r="G92" s="54">
        <v>100</v>
      </c>
      <c r="H92" s="56">
        <f t="shared" si="27"/>
        <v>100</v>
      </c>
      <c r="I92" s="47">
        <f t="shared" si="26"/>
        <v>100</v>
      </c>
      <c r="J92" s="80"/>
      <c r="K92" s="77" t="s">
        <v>22</v>
      </c>
      <c r="L92" s="79">
        <v>42712</v>
      </c>
      <c r="M92" s="13" t="s">
        <v>38</v>
      </c>
      <c r="N92" s="78">
        <v>49</v>
      </c>
      <c r="O92" s="33" t="s">
        <v>36</v>
      </c>
      <c r="P92" s="13"/>
      <c r="Q92" s="13"/>
      <c r="R92" s="26"/>
      <c r="S92" s="70"/>
      <c r="T92" s="70"/>
    </row>
    <row r="93" spans="1:20" s="4" customFormat="1" ht="18" customHeight="1">
      <c r="A93" s="9" t="str">
        <f t="shared" si="21"/>
        <v>1 -Charges fixes</v>
      </c>
      <c r="B93" s="21" t="str">
        <f t="shared" si="25"/>
        <v>F-TELEPHONE ET INTERNET ADSL</v>
      </c>
      <c r="C93" s="21"/>
      <c r="D93" s="18" t="s">
        <v>112</v>
      </c>
      <c r="E93" s="13" t="s">
        <v>111</v>
      </c>
      <c r="F93" s="43"/>
      <c r="G93" s="54">
        <v>32.979999999999997</v>
      </c>
      <c r="H93" s="55">
        <v>32.979999999999997</v>
      </c>
      <c r="I93" s="47">
        <f>+H93</f>
        <v>32.979999999999997</v>
      </c>
      <c r="J93" s="39" t="s">
        <v>21</v>
      </c>
      <c r="K93" s="13"/>
      <c r="L93" s="79">
        <v>42377</v>
      </c>
      <c r="M93" s="13" t="s">
        <v>38</v>
      </c>
      <c r="N93" s="78">
        <v>1</v>
      </c>
      <c r="O93" s="33" t="s">
        <v>36</v>
      </c>
      <c r="P93" s="13"/>
      <c r="Q93" s="13"/>
      <c r="R93" s="26"/>
      <c r="S93" s="70"/>
      <c r="T93" s="70"/>
    </row>
    <row r="94" spans="1:20" s="4" customFormat="1" ht="18" customHeight="1">
      <c r="A94" s="9" t="str">
        <f t="shared" si="21"/>
        <v>1 -Charges fixes</v>
      </c>
      <c r="B94" s="21" t="str">
        <f t="shared" si="25"/>
        <v>F-TELEPHONE ET INTERNET ADSL</v>
      </c>
      <c r="C94" s="21"/>
      <c r="D94" s="18" t="s">
        <v>113</v>
      </c>
      <c r="E94" s="13" t="s">
        <v>111</v>
      </c>
      <c r="F94" s="43"/>
      <c r="G94" s="54">
        <v>32.979999999999997</v>
      </c>
      <c r="H94" s="55">
        <v>32.979999999999997</v>
      </c>
      <c r="I94" s="47">
        <f>+H94</f>
        <v>32.979999999999997</v>
      </c>
      <c r="J94" s="39" t="s">
        <v>21</v>
      </c>
      <c r="K94" s="13"/>
      <c r="L94" s="79">
        <v>42408</v>
      </c>
      <c r="M94" s="13" t="s">
        <v>38</v>
      </c>
      <c r="N94" s="78">
        <v>6</v>
      </c>
      <c r="O94" s="33" t="s">
        <v>36</v>
      </c>
      <c r="P94" s="13"/>
      <c r="Q94" s="13"/>
      <c r="R94" s="26"/>
      <c r="S94" s="70"/>
      <c r="T94" s="70"/>
    </row>
    <row r="95" spans="1:20" s="4" customFormat="1" ht="18" customHeight="1">
      <c r="A95" s="9" t="str">
        <f t="shared" si="21"/>
        <v>1 -Charges fixes</v>
      </c>
      <c r="B95" s="21" t="str">
        <f t="shared" si="25"/>
        <v>F-TELEPHONE ET INTERNET ADSL</v>
      </c>
      <c r="C95" s="21"/>
      <c r="D95" s="18" t="s">
        <v>114</v>
      </c>
      <c r="E95" s="13" t="s">
        <v>111</v>
      </c>
      <c r="F95" s="43"/>
      <c r="G95" s="54">
        <v>32.979999999999997</v>
      </c>
      <c r="H95" s="56">
        <v>32.979999999999997</v>
      </c>
      <c r="I95" s="47">
        <f t="shared" ref="I95:I104" si="28">+H95</f>
        <v>32.979999999999997</v>
      </c>
      <c r="J95" s="39" t="s">
        <v>21</v>
      </c>
      <c r="K95" s="13"/>
      <c r="L95" s="79">
        <v>42437</v>
      </c>
      <c r="M95" s="13" t="s">
        <v>38</v>
      </c>
      <c r="N95" s="78">
        <v>10</v>
      </c>
      <c r="O95" s="33" t="s">
        <v>36</v>
      </c>
      <c r="P95" s="13"/>
      <c r="Q95" s="13"/>
      <c r="R95" s="26"/>
      <c r="S95" s="70"/>
      <c r="T95" s="70"/>
    </row>
    <row r="96" spans="1:20" s="4" customFormat="1" ht="18" customHeight="1">
      <c r="A96" s="9" t="str">
        <f t="shared" si="21"/>
        <v>1 -Charges fixes</v>
      </c>
      <c r="B96" s="21" t="str">
        <f t="shared" si="25"/>
        <v>F-TELEPHONE ET INTERNET ADSL</v>
      </c>
      <c r="C96" s="21"/>
      <c r="D96" s="18" t="s">
        <v>117</v>
      </c>
      <c r="E96" s="13" t="s">
        <v>111</v>
      </c>
      <c r="F96" s="43"/>
      <c r="G96" s="54">
        <v>32.979999999999997</v>
      </c>
      <c r="H96" s="56">
        <f t="shared" ref="H96:H104" si="29">+IF(K96="ENGAGE A CE JOUR",G96,"ERREUR")</f>
        <v>32.979999999999997</v>
      </c>
      <c r="I96" s="47">
        <f t="shared" si="28"/>
        <v>32.979999999999997</v>
      </c>
      <c r="J96" s="80"/>
      <c r="K96" s="77" t="s">
        <v>22</v>
      </c>
      <c r="L96" s="79">
        <v>42468</v>
      </c>
      <c r="M96" s="13" t="s">
        <v>38</v>
      </c>
      <c r="N96" s="78">
        <v>14</v>
      </c>
      <c r="O96" s="33" t="s">
        <v>36</v>
      </c>
      <c r="P96" s="13"/>
      <c r="Q96" s="13"/>
      <c r="R96" s="26"/>
      <c r="S96" s="70"/>
      <c r="T96" s="70"/>
    </row>
    <row r="97" spans="1:22" s="4" customFormat="1" ht="18" customHeight="1">
      <c r="A97" s="9" t="str">
        <f t="shared" si="21"/>
        <v>1 -Charges fixes</v>
      </c>
      <c r="B97" s="21" t="str">
        <f t="shared" si="25"/>
        <v>F-TELEPHONE ET INTERNET ADSL</v>
      </c>
      <c r="C97" s="21"/>
      <c r="D97" s="18" t="s">
        <v>119</v>
      </c>
      <c r="E97" s="13" t="s">
        <v>111</v>
      </c>
      <c r="F97" s="43"/>
      <c r="G97" s="54">
        <v>32.979999999999997</v>
      </c>
      <c r="H97" s="56">
        <f t="shared" si="29"/>
        <v>32.979999999999997</v>
      </c>
      <c r="I97" s="47">
        <f t="shared" si="28"/>
        <v>32.979999999999997</v>
      </c>
      <c r="J97" s="80"/>
      <c r="K97" s="77" t="s">
        <v>22</v>
      </c>
      <c r="L97" s="79">
        <v>42498</v>
      </c>
      <c r="M97" s="13" t="s">
        <v>38</v>
      </c>
      <c r="N97" s="78">
        <v>18</v>
      </c>
      <c r="O97" s="33" t="s">
        <v>36</v>
      </c>
      <c r="P97" s="13"/>
      <c r="Q97" s="13"/>
      <c r="R97" s="26"/>
      <c r="S97" s="70"/>
      <c r="T97" s="70"/>
    </row>
    <row r="98" spans="1:22" s="4" customFormat="1" ht="18" customHeight="1">
      <c r="A98" s="9" t="str">
        <f t="shared" si="21"/>
        <v>1 -Charges fixes</v>
      </c>
      <c r="B98" s="21" t="str">
        <f t="shared" si="25"/>
        <v>F-TELEPHONE ET INTERNET ADSL</v>
      </c>
      <c r="C98" s="21"/>
      <c r="D98" s="18" t="s">
        <v>118</v>
      </c>
      <c r="E98" s="13" t="s">
        <v>111</v>
      </c>
      <c r="F98" s="43"/>
      <c r="G98" s="54">
        <v>32.979999999999997</v>
      </c>
      <c r="H98" s="56">
        <f t="shared" si="29"/>
        <v>32.979999999999997</v>
      </c>
      <c r="I98" s="47">
        <f t="shared" si="28"/>
        <v>32.979999999999997</v>
      </c>
      <c r="J98" s="80"/>
      <c r="K98" s="77" t="s">
        <v>22</v>
      </c>
      <c r="L98" s="79">
        <v>42529</v>
      </c>
      <c r="M98" s="13" t="s">
        <v>38</v>
      </c>
      <c r="N98" s="78">
        <v>23</v>
      </c>
      <c r="O98" s="33" t="s">
        <v>36</v>
      </c>
      <c r="P98" s="13"/>
      <c r="Q98" s="13"/>
      <c r="R98" s="26"/>
      <c r="S98" s="70"/>
      <c r="T98" s="70"/>
    </row>
    <row r="99" spans="1:22" s="4" customFormat="1" ht="18" customHeight="1">
      <c r="A99" s="9" t="str">
        <f t="shared" si="21"/>
        <v>1 -Charges fixes</v>
      </c>
      <c r="B99" s="21" t="str">
        <f t="shared" si="25"/>
        <v>F-TELEPHONE ET INTERNET ADSL</v>
      </c>
      <c r="C99" s="21"/>
      <c r="D99" s="18" t="s">
        <v>120</v>
      </c>
      <c r="E99" s="13" t="s">
        <v>111</v>
      </c>
      <c r="F99" s="43"/>
      <c r="G99" s="54">
        <v>32.979999999999997</v>
      </c>
      <c r="H99" s="56">
        <f t="shared" si="29"/>
        <v>32.979999999999997</v>
      </c>
      <c r="I99" s="47">
        <f t="shared" si="28"/>
        <v>32.979999999999997</v>
      </c>
      <c r="J99" s="80"/>
      <c r="K99" s="77" t="s">
        <v>22</v>
      </c>
      <c r="L99" s="79">
        <v>42559</v>
      </c>
      <c r="M99" s="13" t="s">
        <v>38</v>
      </c>
      <c r="N99" s="78">
        <v>27</v>
      </c>
      <c r="O99" s="33" t="s">
        <v>36</v>
      </c>
      <c r="P99" s="13"/>
      <c r="Q99" s="13"/>
      <c r="R99" s="26"/>
      <c r="S99" s="70"/>
      <c r="T99" s="70"/>
    </row>
    <row r="100" spans="1:22" s="4" customFormat="1" ht="18" customHeight="1">
      <c r="A100" s="9" t="str">
        <f t="shared" si="21"/>
        <v>1 -Charges fixes</v>
      </c>
      <c r="B100" s="21" t="str">
        <f t="shared" si="25"/>
        <v>F-TELEPHONE ET INTERNET ADSL</v>
      </c>
      <c r="C100" s="21"/>
      <c r="D100" s="18" t="s">
        <v>121</v>
      </c>
      <c r="E100" s="13" t="s">
        <v>111</v>
      </c>
      <c r="F100" s="43"/>
      <c r="G100" s="54">
        <v>32.979999999999997</v>
      </c>
      <c r="H100" s="56">
        <f t="shared" si="29"/>
        <v>32.979999999999997</v>
      </c>
      <c r="I100" s="47">
        <f t="shared" si="28"/>
        <v>32.979999999999997</v>
      </c>
      <c r="J100" s="80"/>
      <c r="K100" s="77" t="s">
        <v>22</v>
      </c>
      <c r="L100" s="79">
        <v>42590</v>
      </c>
      <c r="M100" s="13" t="s">
        <v>38</v>
      </c>
      <c r="N100" s="78">
        <v>32</v>
      </c>
      <c r="O100" s="33" t="s">
        <v>36</v>
      </c>
      <c r="P100" s="13"/>
      <c r="Q100" s="13"/>
      <c r="R100" s="26"/>
      <c r="S100" s="70"/>
      <c r="T100" s="70"/>
    </row>
    <row r="101" spans="1:22" s="4" customFormat="1" ht="18" customHeight="1">
      <c r="A101" s="9" t="str">
        <f t="shared" si="21"/>
        <v>1 -Charges fixes</v>
      </c>
      <c r="B101" s="21" t="str">
        <f t="shared" si="25"/>
        <v>F-TELEPHONE ET INTERNET ADSL</v>
      </c>
      <c r="C101" s="21"/>
      <c r="D101" s="18" t="s">
        <v>122</v>
      </c>
      <c r="E101" s="13" t="s">
        <v>111</v>
      </c>
      <c r="F101" s="43"/>
      <c r="G101" s="54">
        <v>32.979999999999997</v>
      </c>
      <c r="H101" s="56">
        <f t="shared" si="29"/>
        <v>32.979999999999997</v>
      </c>
      <c r="I101" s="47">
        <f t="shared" si="28"/>
        <v>32.979999999999997</v>
      </c>
      <c r="J101" s="80"/>
      <c r="K101" s="77" t="s">
        <v>22</v>
      </c>
      <c r="L101" s="79">
        <v>42621</v>
      </c>
      <c r="M101" s="13" t="s">
        <v>38</v>
      </c>
      <c r="N101" s="78">
        <v>36</v>
      </c>
      <c r="O101" s="33" t="s">
        <v>36</v>
      </c>
      <c r="P101" s="13"/>
      <c r="Q101" s="13"/>
      <c r="R101" s="26"/>
      <c r="S101" s="70"/>
      <c r="T101" s="70"/>
    </row>
    <row r="102" spans="1:22" s="4" customFormat="1" ht="18" customHeight="1">
      <c r="A102" s="9" t="str">
        <f t="shared" si="21"/>
        <v>1 -Charges fixes</v>
      </c>
      <c r="B102" s="21" t="str">
        <f t="shared" si="25"/>
        <v>F-TELEPHONE ET INTERNET ADSL</v>
      </c>
      <c r="C102" s="21"/>
      <c r="D102" s="18" t="s">
        <v>123</v>
      </c>
      <c r="E102" s="13" t="s">
        <v>111</v>
      </c>
      <c r="F102" s="43"/>
      <c r="G102" s="54">
        <v>32.979999999999997</v>
      </c>
      <c r="H102" s="56">
        <f t="shared" si="29"/>
        <v>32.979999999999997</v>
      </c>
      <c r="I102" s="47">
        <f t="shared" si="28"/>
        <v>32.979999999999997</v>
      </c>
      <c r="J102" s="80"/>
      <c r="K102" s="77" t="s">
        <v>22</v>
      </c>
      <c r="L102" s="79">
        <v>42651</v>
      </c>
      <c r="M102" s="13" t="s">
        <v>38</v>
      </c>
      <c r="N102" s="78">
        <v>40</v>
      </c>
      <c r="O102" s="33" t="s">
        <v>36</v>
      </c>
      <c r="P102" s="13"/>
      <c r="Q102" s="13"/>
      <c r="R102" s="26"/>
      <c r="S102" s="70"/>
      <c r="T102" s="70"/>
    </row>
    <row r="103" spans="1:22" s="4" customFormat="1" ht="18" customHeight="1">
      <c r="A103" s="9" t="str">
        <f t="shared" si="21"/>
        <v>1 -Charges fixes</v>
      </c>
      <c r="B103" s="21" t="str">
        <f t="shared" si="25"/>
        <v>F-TELEPHONE ET INTERNET ADSL</v>
      </c>
      <c r="C103" s="21"/>
      <c r="D103" s="18" t="s">
        <v>124</v>
      </c>
      <c r="E103" s="13" t="s">
        <v>111</v>
      </c>
      <c r="F103" s="43"/>
      <c r="G103" s="54">
        <v>32.979999999999997</v>
      </c>
      <c r="H103" s="56">
        <f t="shared" si="29"/>
        <v>32.979999999999997</v>
      </c>
      <c r="I103" s="47">
        <f t="shared" si="28"/>
        <v>32.979999999999997</v>
      </c>
      <c r="J103" s="80"/>
      <c r="K103" s="77" t="s">
        <v>22</v>
      </c>
      <c r="L103" s="79">
        <v>42682</v>
      </c>
      <c r="M103" s="13" t="s">
        <v>38</v>
      </c>
      <c r="N103" s="78">
        <v>45</v>
      </c>
      <c r="O103" s="33" t="s">
        <v>36</v>
      </c>
      <c r="P103" s="13"/>
      <c r="Q103" s="13"/>
      <c r="R103" s="26"/>
      <c r="S103" s="70"/>
      <c r="T103" s="70"/>
    </row>
    <row r="104" spans="1:22" s="4" customFormat="1" ht="18" customHeight="1">
      <c r="A104" s="9" t="str">
        <f t="shared" si="21"/>
        <v>1 -Charges fixes</v>
      </c>
      <c r="B104" s="21" t="str">
        <f t="shared" si="25"/>
        <v>F-TELEPHONE ET INTERNET ADSL</v>
      </c>
      <c r="C104" s="21"/>
      <c r="D104" s="18" t="s">
        <v>125</v>
      </c>
      <c r="E104" s="13" t="s">
        <v>111</v>
      </c>
      <c r="F104" s="43"/>
      <c r="G104" s="54">
        <v>32.979999999999997</v>
      </c>
      <c r="H104" s="56">
        <f t="shared" si="29"/>
        <v>32.979999999999997</v>
      </c>
      <c r="I104" s="47">
        <f t="shared" si="28"/>
        <v>32.979999999999997</v>
      </c>
      <c r="J104" s="80"/>
      <c r="K104" s="77" t="s">
        <v>22</v>
      </c>
      <c r="L104" s="79">
        <v>42712</v>
      </c>
      <c r="M104" s="13" t="s">
        <v>38</v>
      </c>
      <c r="N104" s="78">
        <v>49</v>
      </c>
      <c r="O104" s="33" t="s">
        <v>36</v>
      </c>
      <c r="P104" s="13"/>
      <c r="Q104" s="13"/>
      <c r="R104" s="26"/>
      <c r="S104" s="70"/>
      <c r="T104" s="70"/>
    </row>
    <row r="105" spans="1:22" s="4" customFormat="1" ht="18" customHeight="1">
      <c r="A105" s="10" t="str">
        <f>+A104</f>
        <v>1 -Charges fixes</v>
      </c>
      <c r="B105" s="10" t="s">
        <v>163</v>
      </c>
      <c r="C105" s="10"/>
      <c r="D105" s="10"/>
      <c r="E105" s="14"/>
      <c r="F105" s="38">
        <f>202.84*12+29.99*12</f>
        <v>2793.96</v>
      </c>
      <c r="G105" s="45"/>
      <c r="H105" s="48"/>
      <c r="I105" s="48"/>
      <c r="J105" s="14"/>
      <c r="K105" s="14"/>
      <c r="L105" s="14"/>
      <c r="M105" s="14"/>
      <c r="N105" s="14"/>
      <c r="O105" s="14"/>
      <c r="P105" s="14"/>
      <c r="Q105" s="14"/>
      <c r="R105" s="24"/>
      <c r="S105" s="66"/>
      <c r="T105" s="66"/>
    </row>
    <row r="106" spans="1:22" s="4" customFormat="1" ht="18" customHeight="1">
      <c r="A106" s="9" t="str">
        <f t="shared" si="21"/>
        <v>1 -Charges fixes</v>
      </c>
      <c r="B106" s="21" t="s">
        <v>164</v>
      </c>
      <c r="C106" s="21"/>
      <c r="D106" s="18" t="s">
        <v>115</v>
      </c>
      <c r="E106" s="13" t="s">
        <v>136</v>
      </c>
      <c r="F106" s="43"/>
      <c r="G106" s="54">
        <v>202.84</v>
      </c>
      <c r="H106" s="55">
        <v>202.84</v>
      </c>
      <c r="I106" s="47">
        <f>+H106</f>
        <v>202.84</v>
      </c>
      <c r="J106" s="39" t="s">
        <v>21</v>
      </c>
      <c r="K106" s="13"/>
      <c r="L106" s="79">
        <v>42378</v>
      </c>
      <c r="M106" s="13" t="str">
        <f t="shared" ref="M106:M117" si="30">+M91</f>
        <v>Société Générale</v>
      </c>
      <c r="N106" s="78">
        <v>1</v>
      </c>
      <c r="O106" s="33" t="s">
        <v>36</v>
      </c>
      <c r="P106" s="13"/>
      <c r="Q106" s="13"/>
      <c r="R106" s="26"/>
      <c r="S106" s="68"/>
      <c r="T106" s="68"/>
    </row>
    <row r="107" spans="1:22" s="4" customFormat="1" ht="18" customHeight="1">
      <c r="A107" s="9" t="str">
        <f t="shared" si="21"/>
        <v>1 -Charges fixes</v>
      </c>
      <c r="B107" s="21" t="str">
        <f t="shared" si="25"/>
        <v>G-TELEPHONE FIXE</v>
      </c>
      <c r="C107" s="21"/>
      <c r="D107" s="18" t="s">
        <v>116</v>
      </c>
      <c r="E107" s="13" t="str">
        <f>+E106</f>
        <v>ORANGE</v>
      </c>
      <c r="F107" s="43"/>
      <c r="G107" s="54">
        <v>215.06</v>
      </c>
      <c r="H107" s="55">
        <v>215.06</v>
      </c>
      <c r="I107" s="47">
        <f>+H107</f>
        <v>215.06</v>
      </c>
      <c r="J107" s="39" t="s">
        <v>21</v>
      </c>
      <c r="K107" s="13"/>
      <c r="L107" s="79">
        <v>42409</v>
      </c>
      <c r="M107" s="13" t="str">
        <f t="shared" si="30"/>
        <v>Société Générale</v>
      </c>
      <c r="N107" s="78">
        <v>6</v>
      </c>
      <c r="O107" s="33" t="s">
        <v>36</v>
      </c>
      <c r="P107" s="13"/>
      <c r="Q107" s="13"/>
      <c r="R107" s="26"/>
      <c r="S107" s="68"/>
      <c r="T107" s="68"/>
    </row>
    <row r="108" spans="1:22" s="4" customFormat="1" ht="18" customHeight="1">
      <c r="A108" s="9" t="str">
        <f t="shared" si="21"/>
        <v>1 -Charges fixes</v>
      </c>
      <c r="B108" s="21" t="str">
        <f t="shared" si="25"/>
        <v>G-TELEPHONE FIXE</v>
      </c>
      <c r="C108" s="21"/>
      <c r="D108" s="18" t="s">
        <v>126</v>
      </c>
      <c r="E108" s="13" t="str">
        <f t="shared" ref="E108:E117" si="31">+E107</f>
        <v>ORANGE</v>
      </c>
      <c r="F108" s="43"/>
      <c r="G108" s="54">
        <f>+G107</f>
        <v>215.06</v>
      </c>
      <c r="H108" s="56">
        <v>216.56</v>
      </c>
      <c r="I108" s="47">
        <f>+H108</f>
        <v>216.56</v>
      </c>
      <c r="J108" s="39" t="s">
        <v>21</v>
      </c>
      <c r="K108" s="13"/>
      <c r="L108" s="79">
        <v>42438</v>
      </c>
      <c r="M108" s="13" t="str">
        <f t="shared" si="30"/>
        <v>Société Générale</v>
      </c>
      <c r="N108" s="78">
        <v>10</v>
      </c>
      <c r="O108" s="33" t="s">
        <v>36</v>
      </c>
      <c r="P108" s="13"/>
      <c r="Q108" s="13"/>
      <c r="R108" s="26"/>
      <c r="S108" s="68"/>
      <c r="T108" s="68"/>
      <c r="V108" s="2"/>
    </row>
    <row r="109" spans="1:22" s="4" customFormat="1" ht="18" customHeight="1">
      <c r="A109" s="9" t="str">
        <f t="shared" si="21"/>
        <v>1 -Charges fixes</v>
      </c>
      <c r="B109" s="21" t="str">
        <f t="shared" si="25"/>
        <v>G-TELEPHONE FIXE</v>
      </c>
      <c r="C109" s="21"/>
      <c r="D109" s="18" t="s">
        <v>127</v>
      </c>
      <c r="E109" s="13" t="str">
        <f t="shared" si="31"/>
        <v>ORANGE</v>
      </c>
      <c r="F109" s="43"/>
      <c r="G109" s="54">
        <f t="shared" ref="G109:G117" si="32">+G108</f>
        <v>215.06</v>
      </c>
      <c r="H109" s="56">
        <f t="shared" ref="H109:H117" si="33">+IF(K109="ENGAGE A CE JOUR",G109,"ERREUR")</f>
        <v>215.06</v>
      </c>
      <c r="I109" s="47">
        <f t="shared" ref="I109:I117" si="34">+H109</f>
        <v>215.06</v>
      </c>
      <c r="J109" s="80"/>
      <c r="K109" s="77" t="s">
        <v>22</v>
      </c>
      <c r="L109" s="79">
        <v>42469</v>
      </c>
      <c r="M109" s="13" t="str">
        <f t="shared" si="30"/>
        <v>Société Générale</v>
      </c>
      <c r="N109" s="78">
        <v>14</v>
      </c>
      <c r="O109" s="33" t="s">
        <v>36</v>
      </c>
      <c r="P109" s="13"/>
      <c r="Q109" s="13"/>
      <c r="R109" s="26"/>
      <c r="S109" s="68"/>
      <c r="T109" s="68"/>
      <c r="V109" s="2"/>
    </row>
    <row r="110" spans="1:22" s="4" customFormat="1" ht="18" customHeight="1">
      <c r="A110" s="9" t="str">
        <f t="shared" si="21"/>
        <v>1 -Charges fixes</v>
      </c>
      <c r="B110" s="21" t="str">
        <f t="shared" si="25"/>
        <v>G-TELEPHONE FIXE</v>
      </c>
      <c r="C110" s="21"/>
      <c r="D110" s="18" t="s">
        <v>128</v>
      </c>
      <c r="E110" s="13" t="str">
        <f t="shared" si="31"/>
        <v>ORANGE</v>
      </c>
      <c r="F110" s="43"/>
      <c r="G110" s="54">
        <f t="shared" si="32"/>
        <v>215.06</v>
      </c>
      <c r="H110" s="56">
        <f t="shared" si="33"/>
        <v>215.06</v>
      </c>
      <c r="I110" s="47">
        <f t="shared" si="34"/>
        <v>215.06</v>
      </c>
      <c r="J110" s="80"/>
      <c r="K110" s="77" t="s">
        <v>22</v>
      </c>
      <c r="L110" s="79">
        <v>42499</v>
      </c>
      <c r="M110" s="13" t="str">
        <f t="shared" si="30"/>
        <v>Société Générale</v>
      </c>
      <c r="N110" s="78">
        <v>19</v>
      </c>
      <c r="O110" s="33" t="s">
        <v>36</v>
      </c>
      <c r="P110" s="13"/>
      <c r="Q110" s="13"/>
      <c r="R110" s="26"/>
      <c r="S110" s="68"/>
      <c r="T110" s="68"/>
    </row>
    <row r="111" spans="1:22" s="4" customFormat="1" ht="18" customHeight="1">
      <c r="A111" s="9" t="str">
        <f t="shared" si="21"/>
        <v>1 -Charges fixes</v>
      </c>
      <c r="B111" s="21" t="str">
        <f t="shared" si="25"/>
        <v>G-TELEPHONE FIXE</v>
      </c>
      <c r="C111" s="21"/>
      <c r="D111" s="18" t="s">
        <v>129</v>
      </c>
      <c r="E111" s="13" t="str">
        <f t="shared" si="31"/>
        <v>ORANGE</v>
      </c>
      <c r="F111" s="43"/>
      <c r="G111" s="54">
        <f t="shared" si="32"/>
        <v>215.06</v>
      </c>
      <c r="H111" s="56">
        <f t="shared" si="33"/>
        <v>215.06</v>
      </c>
      <c r="I111" s="47">
        <f t="shared" si="34"/>
        <v>215.06</v>
      </c>
      <c r="J111" s="80"/>
      <c r="K111" s="77" t="s">
        <v>22</v>
      </c>
      <c r="L111" s="79">
        <v>42530</v>
      </c>
      <c r="M111" s="13" t="str">
        <f t="shared" si="30"/>
        <v>Société Générale</v>
      </c>
      <c r="N111" s="78">
        <v>23</v>
      </c>
      <c r="O111" s="33" t="s">
        <v>36</v>
      </c>
      <c r="P111" s="13"/>
      <c r="Q111" s="13"/>
      <c r="R111" s="26"/>
      <c r="S111" s="68"/>
      <c r="T111" s="68"/>
    </row>
    <row r="112" spans="1:22" s="4" customFormat="1" ht="18" customHeight="1">
      <c r="A112" s="9" t="str">
        <f t="shared" si="21"/>
        <v>1 -Charges fixes</v>
      </c>
      <c r="B112" s="21" t="str">
        <f t="shared" si="25"/>
        <v>G-TELEPHONE FIXE</v>
      </c>
      <c r="C112" s="21"/>
      <c r="D112" s="18" t="s">
        <v>130</v>
      </c>
      <c r="E112" s="13" t="str">
        <f t="shared" si="31"/>
        <v>ORANGE</v>
      </c>
      <c r="F112" s="43"/>
      <c r="G112" s="54">
        <f t="shared" si="32"/>
        <v>215.06</v>
      </c>
      <c r="H112" s="56">
        <f t="shared" si="33"/>
        <v>215.06</v>
      </c>
      <c r="I112" s="47">
        <f t="shared" si="34"/>
        <v>215.06</v>
      </c>
      <c r="J112" s="80"/>
      <c r="K112" s="77" t="s">
        <v>22</v>
      </c>
      <c r="L112" s="79">
        <v>42560</v>
      </c>
      <c r="M112" s="13" t="str">
        <f t="shared" si="30"/>
        <v>Société Générale</v>
      </c>
      <c r="N112" s="78">
        <v>27</v>
      </c>
      <c r="O112" s="33" t="s">
        <v>36</v>
      </c>
      <c r="P112" s="13"/>
      <c r="Q112" s="13"/>
      <c r="R112" s="26"/>
      <c r="S112" s="68"/>
      <c r="T112" s="68"/>
    </row>
    <row r="113" spans="1:20" s="4" customFormat="1" ht="18" customHeight="1">
      <c r="A113" s="9" t="str">
        <f t="shared" si="21"/>
        <v>1 -Charges fixes</v>
      </c>
      <c r="B113" s="21" t="str">
        <f t="shared" si="25"/>
        <v>G-TELEPHONE FIXE</v>
      </c>
      <c r="C113" s="21"/>
      <c r="D113" s="18" t="s">
        <v>131</v>
      </c>
      <c r="E113" s="13" t="str">
        <f t="shared" si="31"/>
        <v>ORANGE</v>
      </c>
      <c r="F113" s="43"/>
      <c r="G113" s="54">
        <f t="shared" si="32"/>
        <v>215.06</v>
      </c>
      <c r="H113" s="56">
        <f t="shared" si="33"/>
        <v>215.06</v>
      </c>
      <c r="I113" s="47">
        <f t="shared" si="34"/>
        <v>215.06</v>
      </c>
      <c r="J113" s="80"/>
      <c r="K113" s="77" t="s">
        <v>22</v>
      </c>
      <c r="L113" s="79">
        <v>42591</v>
      </c>
      <c r="M113" s="13" t="str">
        <f t="shared" si="30"/>
        <v>Société Générale</v>
      </c>
      <c r="N113" s="78">
        <v>32</v>
      </c>
      <c r="O113" s="33" t="s">
        <v>36</v>
      </c>
      <c r="P113" s="13"/>
      <c r="Q113" s="13"/>
      <c r="R113" s="26"/>
      <c r="S113" s="68"/>
      <c r="T113" s="68"/>
    </row>
    <row r="114" spans="1:20" s="4" customFormat="1" ht="18" customHeight="1">
      <c r="A114" s="9" t="str">
        <f t="shared" si="21"/>
        <v>1 -Charges fixes</v>
      </c>
      <c r="B114" s="21" t="str">
        <f t="shared" si="25"/>
        <v>G-TELEPHONE FIXE</v>
      </c>
      <c r="C114" s="21"/>
      <c r="D114" s="18" t="s">
        <v>132</v>
      </c>
      <c r="E114" s="13" t="str">
        <f t="shared" si="31"/>
        <v>ORANGE</v>
      </c>
      <c r="F114" s="43"/>
      <c r="G114" s="54">
        <f t="shared" si="32"/>
        <v>215.06</v>
      </c>
      <c r="H114" s="56">
        <f t="shared" si="33"/>
        <v>215.06</v>
      </c>
      <c r="I114" s="47">
        <f t="shared" si="34"/>
        <v>215.06</v>
      </c>
      <c r="J114" s="80"/>
      <c r="K114" s="77" t="s">
        <v>22</v>
      </c>
      <c r="L114" s="79">
        <v>42622</v>
      </c>
      <c r="M114" s="13" t="str">
        <f t="shared" si="30"/>
        <v>Société Générale</v>
      </c>
      <c r="N114" s="78">
        <v>36</v>
      </c>
      <c r="O114" s="33" t="s">
        <v>36</v>
      </c>
      <c r="P114" s="13"/>
      <c r="Q114" s="13"/>
      <c r="R114" s="26"/>
      <c r="S114" s="68"/>
      <c r="T114" s="68"/>
    </row>
    <row r="115" spans="1:20" s="4" customFormat="1" ht="18" customHeight="1">
      <c r="A115" s="9" t="str">
        <f t="shared" si="21"/>
        <v>1 -Charges fixes</v>
      </c>
      <c r="B115" s="21" t="str">
        <f t="shared" si="25"/>
        <v>G-TELEPHONE FIXE</v>
      </c>
      <c r="C115" s="21"/>
      <c r="D115" s="18" t="s">
        <v>133</v>
      </c>
      <c r="E115" s="13" t="str">
        <f t="shared" si="31"/>
        <v>ORANGE</v>
      </c>
      <c r="F115" s="43"/>
      <c r="G115" s="54">
        <f t="shared" si="32"/>
        <v>215.06</v>
      </c>
      <c r="H115" s="56">
        <f t="shared" si="33"/>
        <v>215.06</v>
      </c>
      <c r="I115" s="47">
        <f t="shared" si="34"/>
        <v>215.06</v>
      </c>
      <c r="J115" s="80"/>
      <c r="K115" s="77" t="s">
        <v>22</v>
      </c>
      <c r="L115" s="79">
        <v>42652</v>
      </c>
      <c r="M115" s="13" t="str">
        <f t="shared" si="30"/>
        <v>Société Générale</v>
      </c>
      <c r="N115" s="78">
        <v>40</v>
      </c>
      <c r="O115" s="33" t="s">
        <v>36</v>
      </c>
      <c r="P115" s="13"/>
      <c r="Q115" s="13"/>
      <c r="R115" s="26"/>
      <c r="S115" s="68"/>
      <c r="T115" s="68"/>
    </row>
    <row r="116" spans="1:20" s="4" customFormat="1" ht="18" customHeight="1">
      <c r="A116" s="9" t="str">
        <f t="shared" si="21"/>
        <v>1 -Charges fixes</v>
      </c>
      <c r="B116" s="21" t="str">
        <f t="shared" si="25"/>
        <v>G-TELEPHONE FIXE</v>
      </c>
      <c r="C116" s="21"/>
      <c r="D116" s="18" t="s">
        <v>134</v>
      </c>
      <c r="E116" s="13" t="str">
        <f t="shared" si="31"/>
        <v>ORANGE</v>
      </c>
      <c r="F116" s="43"/>
      <c r="G116" s="54">
        <f t="shared" si="32"/>
        <v>215.06</v>
      </c>
      <c r="H116" s="56">
        <f t="shared" si="33"/>
        <v>215.06</v>
      </c>
      <c r="I116" s="47">
        <f t="shared" si="34"/>
        <v>215.06</v>
      </c>
      <c r="J116" s="80"/>
      <c r="K116" s="77" t="s">
        <v>22</v>
      </c>
      <c r="L116" s="79">
        <v>42683</v>
      </c>
      <c r="M116" s="13" t="str">
        <f t="shared" si="30"/>
        <v>Société Générale</v>
      </c>
      <c r="N116" s="78">
        <v>45</v>
      </c>
      <c r="O116" s="33" t="s">
        <v>36</v>
      </c>
      <c r="P116" s="13"/>
      <c r="Q116" s="13"/>
      <c r="R116" s="26"/>
      <c r="S116" s="68"/>
      <c r="T116" s="68"/>
    </row>
    <row r="117" spans="1:20" s="4" customFormat="1" ht="18" customHeight="1">
      <c r="A117" s="9" t="str">
        <f t="shared" si="21"/>
        <v>1 -Charges fixes</v>
      </c>
      <c r="B117" s="21" t="str">
        <f t="shared" si="25"/>
        <v>G-TELEPHONE FIXE</v>
      </c>
      <c r="C117" s="21"/>
      <c r="D117" s="18" t="s">
        <v>135</v>
      </c>
      <c r="E117" s="13" t="str">
        <f t="shared" si="31"/>
        <v>ORANGE</v>
      </c>
      <c r="F117" s="43"/>
      <c r="G117" s="54">
        <f t="shared" si="32"/>
        <v>215.06</v>
      </c>
      <c r="H117" s="56">
        <f t="shared" si="33"/>
        <v>215.06</v>
      </c>
      <c r="I117" s="47">
        <f t="shared" si="34"/>
        <v>215.06</v>
      </c>
      <c r="J117" s="80"/>
      <c r="K117" s="77" t="s">
        <v>22</v>
      </c>
      <c r="L117" s="79">
        <v>42713</v>
      </c>
      <c r="M117" s="13" t="str">
        <f t="shared" si="30"/>
        <v>Société Générale</v>
      </c>
      <c r="N117" s="78">
        <v>49</v>
      </c>
      <c r="O117" s="33" t="s">
        <v>36</v>
      </c>
      <c r="P117" s="13"/>
      <c r="Q117" s="13"/>
      <c r="R117" s="26"/>
      <c r="S117" s="68"/>
      <c r="T117" s="68"/>
    </row>
    <row r="118" spans="1:20" s="4" customFormat="1" ht="18" customHeight="1">
      <c r="A118" s="9" t="str">
        <f t="shared" si="21"/>
        <v>1 -Charges fixes</v>
      </c>
      <c r="B118" s="21" t="s">
        <v>165</v>
      </c>
      <c r="C118" s="21"/>
      <c r="D118" s="18" t="s">
        <v>166</v>
      </c>
      <c r="E118" s="13" t="s">
        <v>178</v>
      </c>
      <c r="F118" s="43"/>
      <c r="G118" s="54">
        <v>29.99</v>
      </c>
      <c r="H118" s="55">
        <v>33.42</v>
      </c>
      <c r="I118" s="47">
        <f>+H118</f>
        <v>33.42</v>
      </c>
      <c r="J118" s="39" t="s">
        <v>21</v>
      </c>
      <c r="K118" s="13"/>
      <c r="L118" s="79">
        <v>42381</v>
      </c>
      <c r="M118" s="13" t="str">
        <f>+M103</f>
        <v>Société Générale</v>
      </c>
      <c r="N118" s="78">
        <v>2</v>
      </c>
      <c r="O118" s="33" t="s">
        <v>36</v>
      </c>
      <c r="P118" s="13"/>
      <c r="Q118" s="13"/>
      <c r="R118" s="26"/>
      <c r="S118" s="68"/>
      <c r="T118" s="68"/>
    </row>
    <row r="119" spans="1:20" s="4" customFormat="1" ht="18" customHeight="1">
      <c r="A119" s="9" t="str">
        <f t="shared" si="21"/>
        <v>1 -Charges fixes</v>
      </c>
      <c r="B119" s="21" t="str">
        <f>+B118</f>
        <v>H-TELEPHONE MOBILE</v>
      </c>
      <c r="C119" s="21"/>
      <c r="D119" s="18" t="s">
        <v>167</v>
      </c>
      <c r="E119" s="13" t="str">
        <f>+E118</f>
        <v>FREE MOBILE</v>
      </c>
      <c r="F119" s="43"/>
      <c r="G119" s="54">
        <f>+G118</f>
        <v>29.99</v>
      </c>
      <c r="H119" s="55">
        <v>32.979999999999997</v>
      </c>
      <c r="I119" s="47">
        <f>+H119</f>
        <v>32.979999999999997</v>
      </c>
      <c r="J119" s="39" t="s">
        <v>21</v>
      </c>
      <c r="K119" s="13"/>
      <c r="L119" s="79">
        <v>42412</v>
      </c>
      <c r="M119" s="13" t="str">
        <f t="shared" ref="M119" si="35">+M104</f>
        <v>Société Générale</v>
      </c>
      <c r="N119" s="78">
        <v>6</v>
      </c>
      <c r="O119" s="33" t="s">
        <v>36</v>
      </c>
      <c r="P119" s="13"/>
      <c r="Q119" s="13"/>
      <c r="R119" s="26"/>
      <c r="S119" s="68"/>
      <c r="T119" s="68"/>
    </row>
    <row r="120" spans="1:20" s="4" customFormat="1" ht="18" customHeight="1">
      <c r="A120" s="9" t="str">
        <f t="shared" si="21"/>
        <v>1 -Charges fixes</v>
      </c>
      <c r="B120" s="21" t="str">
        <f t="shared" si="21"/>
        <v>H-TELEPHONE MOBILE</v>
      </c>
      <c r="C120" s="21"/>
      <c r="D120" s="18" t="s">
        <v>168</v>
      </c>
      <c r="E120" s="13" t="str">
        <f t="shared" ref="E120:E129" si="36">+E119</f>
        <v>FREE MOBILE</v>
      </c>
      <c r="F120" s="43"/>
      <c r="G120" s="54">
        <f t="shared" ref="G120:G129" si="37">+G119</f>
        <v>29.99</v>
      </c>
      <c r="H120" s="56">
        <v>38.33</v>
      </c>
      <c r="I120" s="47">
        <f t="shared" ref="I120:I129" si="38">+H120</f>
        <v>38.33</v>
      </c>
      <c r="J120" s="39" t="s">
        <v>21</v>
      </c>
      <c r="K120" s="13"/>
      <c r="L120" s="79">
        <v>42441</v>
      </c>
      <c r="M120" s="13" t="str">
        <f>+M119</f>
        <v>Société Générale</v>
      </c>
      <c r="N120" s="78">
        <v>10</v>
      </c>
      <c r="O120" s="33" t="s">
        <v>36</v>
      </c>
      <c r="P120" s="13"/>
      <c r="Q120" s="13"/>
      <c r="R120" s="26"/>
      <c r="S120" s="68"/>
      <c r="T120" s="68"/>
    </row>
    <row r="121" spans="1:20" s="4" customFormat="1" ht="18" customHeight="1">
      <c r="A121" s="9" t="str">
        <f t="shared" si="21"/>
        <v>1 -Charges fixes</v>
      </c>
      <c r="B121" s="21" t="str">
        <f t="shared" si="21"/>
        <v>H-TELEPHONE MOBILE</v>
      </c>
      <c r="C121" s="21"/>
      <c r="D121" s="18" t="s">
        <v>169</v>
      </c>
      <c r="E121" s="13" t="str">
        <f t="shared" si="36"/>
        <v>FREE MOBILE</v>
      </c>
      <c r="F121" s="43"/>
      <c r="G121" s="54">
        <f t="shared" si="37"/>
        <v>29.99</v>
      </c>
      <c r="H121" s="56">
        <f t="shared" ref="H121:H129" si="39">+IF(K121="ENGAGE A CE JOUR",G121,"ERREUR")</f>
        <v>29.99</v>
      </c>
      <c r="I121" s="47">
        <f t="shared" si="38"/>
        <v>29.99</v>
      </c>
      <c r="J121" s="80"/>
      <c r="K121" s="77" t="s">
        <v>22</v>
      </c>
      <c r="L121" s="79">
        <v>42472</v>
      </c>
      <c r="M121" s="13" t="str">
        <f t="shared" ref="M121:M129" si="40">+M120</f>
        <v>Société Générale</v>
      </c>
      <c r="N121" s="78">
        <v>15</v>
      </c>
      <c r="O121" s="33" t="s">
        <v>36</v>
      </c>
      <c r="P121" s="13"/>
      <c r="Q121" s="13"/>
      <c r="R121" s="26"/>
      <c r="S121" s="68"/>
      <c r="T121" s="68"/>
    </row>
    <row r="122" spans="1:20" s="4" customFormat="1" ht="18" customHeight="1">
      <c r="A122" s="9" t="str">
        <f t="shared" si="21"/>
        <v>1 -Charges fixes</v>
      </c>
      <c r="B122" s="21" t="str">
        <f t="shared" si="21"/>
        <v>H-TELEPHONE MOBILE</v>
      </c>
      <c r="C122" s="21"/>
      <c r="D122" s="18" t="s">
        <v>170</v>
      </c>
      <c r="E122" s="13" t="str">
        <f t="shared" si="36"/>
        <v>FREE MOBILE</v>
      </c>
      <c r="F122" s="43"/>
      <c r="G122" s="54">
        <f t="shared" si="37"/>
        <v>29.99</v>
      </c>
      <c r="H122" s="56">
        <f t="shared" si="39"/>
        <v>29.99</v>
      </c>
      <c r="I122" s="47">
        <f t="shared" si="38"/>
        <v>29.99</v>
      </c>
      <c r="J122" s="80"/>
      <c r="K122" s="77" t="s">
        <v>22</v>
      </c>
      <c r="L122" s="79">
        <v>42502</v>
      </c>
      <c r="M122" s="13" t="str">
        <f t="shared" si="40"/>
        <v>Société Générale</v>
      </c>
      <c r="N122" s="78">
        <v>19</v>
      </c>
      <c r="O122" s="33" t="s">
        <v>36</v>
      </c>
      <c r="P122" s="13"/>
      <c r="Q122" s="13"/>
      <c r="R122" s="26"/>
      <c r="S122" s="68"/>
      <c r="T122" s="68"/>
    </row>
    <row r="123" spans="1:20" s="4" customFormat="1" ht="18" customHeight="1">
      <c r="A123" s="9" t="str">
        <f t="shared" si="21"/>
        <v>1 -Charges fixes</v>
      </c>
      <c r="B123" s="21" t="str">
        <f t="shared" si="21"/>
        <v>H-TELEPHONE MOBILE</v>
      </c>
      <c r="C123" s="21"/>
      <c r="D123" s="18" t="s">
        <v>171</v>
      </c>
      <c r="E123" s="13" t="str">
        <f t="shared" si="36"/>
        <v>FREE MOBILE</v>
      </c>
      <c r="F123" s="43"/>
      <c r="G123" s="54">
        <f t="shared" si="37"/>
        <v>29.99</v>
      </c>
      <c r="H123" s="56">
        <f t="shared" si="39"/>
        <v>29.99</v>
      </c>
      <c r="I123" s="47">
        <f t="shared" si="38"/>
        <v>29.99</v>
      </c>
      <c r="J123" s="80"/>
      <c r="K123" s="77" t="s">
        <v>22</v>
      </c>
      <c r="L123" s="79">
        <v>42533</v>
      </c>
      <c r="M123" s="13" t="str">
        <f t="shared" si="40"/>
        <v>Société Générale</v>
      </c>
      <c r="N123" s="78">
        <v>23</v>
      </c>
      <c r="O123" s="33" t="s">
        <v>36</v>
      </c>
      <c r="P123" s="13"/>
      <c r="Q123" s="13"/>
      <c r="R123" s="26"/>
      <c r="S123" s="68"/>
      <c r="T123" s="68"/>
    </row>
    <row r="124" spans="1:20" s="4" customFormat="1" ht="18" customHeight="1">
      <c r="A124" s="9" t="str">
        <f t="shared" si="21"/>
        <v>1 -Charges fixes</v>
      </c>
      <c r="B124" s="21" t="str">
        <f t="shared" si="21"/>
        <v>H-TELEPHONE MOBILE</v>
      </c>
      <c r="C124" s="21"/>
      <c r="D124" s="18" t="s">
        <v>172</v>
      </c>
      <c r="E124" s="13" t="str">
        <f t="shared" si="36"/>
        <v>FREE MOBILE</v>
      </c>
      <c r="F124" s="43"/>
      <c r="G124" s="54">
        <f t="shared" si="37"/>
        <v>29.99</v>
      </c>
      <c r="H124" s="56">
        <f t="shared" si="39"/>
        <v>29.99</v>
      </c>
      <c r="I124" s="47">
        <f t="shared" si="38"/>
        <v>29.99</v>
      </c>
      <c r="J124" s="80"/>
      <c r="K124" s="77" t="s">
        <v>22</v>
      </c>
      <c r="L124" s="79">
        <v>42563</v>
      </c>
      <c r="M124" s="13" t="str">
        <f t="shared" si="40"/>
        <v>Société Générale</v>
      </c>
      <c r="N124" s="78">
        <v>28</v>
      </c>
      <c r="O124" s="33" t="s">
        <v>36</v>
      </c>
      <c r="P124" s="13"/>
      <c r="Q124" s="13"/>
      <c r="R124" s="26"/>
      <c r="S124" s="68"/>
      <c r="T124" s="68"/>
    </row>
    <row r="125" spans="1:20" s="4" customFormat="1" ht="18" customHeight="1">
      <c r="A125" s="9" t="str">
        <f t="shared" si="21"/>
        <v>1 -Charges fixes</v>
      </c>
      <c r="B125" s="21" t="str">
        <f t="shared" si="21"/>
        <v>H-TELEPHONE MOBILE</v>
      </c>
      <c r="C125" s="21"/>
      <c r="D125" s="18" t="s">
        <v>173</v>
      </c>
      <c r="E125" s="13" t="str">
        <f t="shared" si="36"/>
        <v>FREE MOBILE</v>
      </c>
      <c r="F125" s="43"/>
      <c r="G125" s="54">
        <f t="shared" si="37"/>
        <v>29.99</v>
      </c>
      <c r="H125" s="56">
        <f t="shared" si="39"/>
        <v>29.99</v>
      </c>
      <c r="I125" s="47">
        <f t="shared" si="38"/>
        <v>29.99</v>
      </c>
      <c r="J125" s="80"/>
      <c r="K125" s="77" t="s">
        <v>22</v>
      </c>
      <c r="L125" s="79">
        <v>42594</v>
      </c>
      <c r="M125" s="13" t="str">
        <f t="shared" si="40"/>
        <v>Société Générale</v>
      </c>
      <c r="N125" s="78">
        <v>32</v>
      </c>
      <c r="O125" s="33" t="s">
        <v>36</v>
      </c>
      <c r="P125" s="13"/>
      <c r="Q125" s="13"/>
      <c r="R125" s="26"/>
      <c r="S125" s="68"/>
      <c r="T125" s="68"/>
    </row>
    <row r="126" spans="1:20" s="4" customFormat="1" ht="18" customHeight="1">
      <c r="A126" s="9" t="str">
        <f t="shared" si="21"/>
        <v>1 -Charges fixes</v>
      </c>
      <c r="B126" s="21" t="str">
        <f t="shared" si="21"/>
        <v>H-TELEPHONE MOBILE</v>
      </c>
      <c r="C126" s="21"/>
      <c r="D126" s="18" t="s">
        <v>174</v>
      </c>
      <c r="E126" s="13" t="str">
        <f t="shared" si="36"/>
        <v>FREE MOBILE</v>
      </c>
      <c r="F126" s="43"/>
      <c r="G126" s="54">
        <f t="shared" si="37"/>
        <v>29.99</v>
      </c>
      <c r="H126" s="56">
        <f t="shared" si="39"/>
        <v>29.99</v>
      </c>
      <c r="I126" s="47">
        <f t="shared" si="38"/>
        <v>29.99</v>
      </c>
      <c r="J126" s="80"/>
      <c r="K126" s="77" t="s">
        <v>22</v>
      </c>
      <c r="L126" s="79">
        <v>42625</v>
      </c>
      <c r="M126" s="13" t="str">
        <f t="shared" si="40"/>
        <v>Société Générale</v>
      </c>
      <c r="N126" s="78">
        <v>37</v>
      </c>
      <c r="O126" s="33" t="s">
        <v>36</v>
      </c>
      <c r="P126" s="13"/>
      <c r="Q126" s="13"/>
      <c r="R126" s="26"/>
      <c r="S126" s="68"/>
      <c r="T126" s="68"/>
    </row>
    <row r="127" spans="1:20" s="4" customFormat="1" ht="18" customHeight="1">
      <c r="A127" s="9" t="str">
        <f t="shared" si="21"/>
        <v>1 -Charges fixes</v>
      </c>
      <c r="B127" s="21" t="str">
        <f t="shared" si="21"/>
        <v>H-TELEPHONE MOBILE</v>
      </c>
      <c r="C127" s="21"/>
      <c r="D127" s="18" t="s">
        <v>175</v>
      </c>
      <c r="E127" s="13" t="str">
        <f t="shared" si="36"/>
        <v>FREE MOBILE</v>
      </c>
      <c r="F127" s="43"/>
      <c r="G127" s="54">
        <f t="shared" si="37"/>
        <v>29.99</v>
      </c>
      <c r="H127" s="56">
        <f t="shared" si="39"/>
        <v>29.99</v>
      </c>
      <c r="I127" s="47">
        <f t="shared" si="38"/>
        <v>29.99</v>
      </c>
      <c r="J127" s="80"/>
      <c r="K127" s="77" t="s">
        <v>22</v>
      </c>
      <c r="L127" s="79">
        <v>42655</v>
      </c>
      <c r="M127" s="13" t="str">
        <f t="shared" si="40"/>
        <v>Société Générale</v>
      </c>
      <c r="N127" s="78">
        <v>41</v>
      </c>
      <c r="O127" s="33" t="s">
        <v>36</v>
      </c>
      <c r="P127" s="13"/>
      <c r="Q127" s="13"/>
      <c r="R127" s="26"/>
      <c r="S127" s="68"/>
      <c r="T127" s="68"/>
    </row>
    <row r="128" spans="1:20" s="4" customFormat="1" ht="18" customHeight="1">
      <c r="A128" s="9" t="str">
        <f t="shared" si="21"/>
        <v>1 -Charges fixes</v>
      </c>
      <c r="B128" s="21" t="str">
        <f t="shared" si="21"/>
        <v>H-TELEPHONE MOBILE</v>
      </c>
      <c r="C128" s="21"/>
      <c r="D128" s="18" t="s">
        <v>176</v>
      </c>
      <c r="E128" s="13" t="str">
        <f t="shared" si="36"/>
        <v>FREE MOBILE</v>
      </c>
      <c r="F128" s="43"/>
      <c r="G128" s="54">
        <f t="shared" si="37"/>
        <v>29.99</v>
      </c>
      <c r="H128" s="56">
        <f t="shared" si="39"/>
        <v>29.99</v>
      </c>
      <c r="I128" s="47">
        <f t="shared" si="38"/>
        <v>29.99</v>
      </c>
      <c r="J128" s="80"/>
      <c r="K128" s="77" t="s">
        <v>22</v>
      </c>
      <c r="L128" s="79">
        <v>42686</v>
      </c>
      <c r="M128" s="13" t="str">
        <f t="shared" si="40"/>
        <v>Société Générale</v>
      </c>
      <c r="N128" s="78">
        <v>45</v>
      </c>
      <c r="O128" s="33" t="s">
        <v>36</v>
      </c>
      <c r="P128" s="13"/>
      <c r="Q128" s="13"/>
      <c r="R128" s="26"/>
      <c r="S128" s="68"/>
      <c r="T128" s="68"/>
    </row>
    <row r="129" spans="1:20" s="4" customFormat="1" ht="18" customHeight="1">
      <c r="A129" s="9" t="str">
        <f t="shared" si="21"/>
        <v>1 -Charges fixes</v>
      </c>
      <c r="B129" s="21" t="str">
        <f t="shared" si="21"/>
        <v>H-TELEPHONE MOBILE</v>
      </c>
      <c r="C129" s="21"/>
      <c r="D129" s="18" t="s">
        <v>177</v>
      </c>
      <c r="E129" s="13" t="str">
        <f t="shared" si="36"/>
        <v>FREE MOBILE</v>
      </c>
      <c r="F129" s="43"/>
      <c r="G129" s="54">
        <f t="shared" si="37"/>
        <v>29.99</v>
      </c>
      <c r="H129" s="56">
        <f t="shared" si="39"/>
        <v>29.99</v>
      </c>
      <c r="I129" s="47">
        <f t="shared" si="38"/>
        <v>29.99</v>
      </c>
      <c r="J129" s="80"/>
      <c r="K129" s="77" t="s">
        <v>22</v>
      </c>
      <c r="L129" s="79">
        <v>42716</v>
      </c>
      <c r="M129" s="13" t="str">
        <f t="shared" si="40"/>
        <v>Société Générale</v>
      </c>
      <c r="N129" s="78">
        <v>50</v>
      </c>
      <c r="O129" s="33" t="s">
        <v>36</v>
      </c>
      <c r="P129" s="13"/>
      <c r="Q129" s="13"/>
      <c r="R129" s="26"/>
      <c r="S129" s="68"/>
      <c r="T129" s="68"/>
    </row>
    <row r="130" spans="1:20" s="4" customFormat="1" ht="18" customHeight="1">
      <c r="A130" s="10" t="str">
        <f>+A117</f>
        <v>1 -Charges fixes</v>
      </c>
      <c r="B130" s="10" t="s">
        <v>179</v>
      </c>
      <c r="C130" s="10"/>
      <c r="D130" s="10"/>
      <c r="E130" s="14"/>
      <c r="F130" s="38">
        <f>95.95*12</f>
        <v>1151.4000000000001</v>
      </c>
      <c r="G130" s="45"/>
      <c r="H130" s="48"/>
      <c r="I130" s="48"/>
      <c r="J130" s="14"/>
      <c r="K130" s="14"/>
      <c r="L130" s="14"/>
      <c r="M130" s="14"/>
      <c r="N130" s="14"/>
      <c r="O130" s="14"/>
      <c r="P130" s="14"/>
      <c r="Q130" s="14"/>
      <c r="R130" s="24"/>
      <c r="S130" s="66"/>
      <c r="T130" s="66"/>
    </row>
    <row r="131" spans="1:20" s="4" customFormat="1" ht="18" customHeight="1">
      <c r="A131" s="9" t="str">
        <f t="shared" si="21"/>
        <v>1 -Charges fixes</v>
      </c>
      <c r="B131" s="21" t="str">
        <f t="shared" si="25"/>
        <v>I-ELOGIE PARK</v>
      </c>
      <c r="C131" s="21"/>
      <c r="D131" s="18" t="s">
        <v>138</v>
      </c>
      <c r="E131" s="13" t="s">
        <v>137</v>
      </c>
      <c r="F131" s="43"/>
      <c r="G131" s="54">
        <v>95.95</v>
      </c>
      <c r="H131" s="55">
        <v>95.95</v>
      </c>
      <c r="I131" s="47">
        <f>+H131</f>
        <v>95.95</v>
      </c>
      <c r="J131" s="39" t="s">
        <v>21</v>
      </c>
      <c r="K131" s="13"/>
      <c r="L131" s="79">
        <v>42379</v>
      </c>
      <c r="M131" s="13" t="s">
        <v>38</v>
      </c>
      <c r="N131" s="78">
        <v>1</v>
      </c>
      <c r="O131" s="33" t="s">
        <v>36</v>
      </c>
      <c r="P131" s="13"/>
      <c r="Q131" s="13"/>
      <c r="R131" s="26"/>
      <c r="S131" s="68"/>
      <c r="T131" s="68"/>
    </row>
    <row r="132" spans="1:20" s="4" customFormat="1" ht="18" customHeight="1">
      <c r="A132" s="9" t="str">
        <f t="shared" si="21"/>
        <v>1 -Charges fixes</v>
      </c>
      <c r="B132" s="21" t="str">
        <f t="shared" si="25"/>
        <v>I-ELOGIE PARK</v>
      </c>
      <c r="C132" s="21"/>
      <c r="D132" s="18" t="s">
        <v>139</v>
      </c>
      <c r="E132" s="13" t="str">
        <f>+E131</f>
        <v>ELOGIE/PARK</v>
      </c>
      <c r="F132" s="43"/>
      <c r="G132" s="54">
        <f>+G131</f>
        <v>95.95</v>
      </c>
      <c r="H132" s="55">
        <v>95.95</v>
      </c>
      <c r="I132" s="47">
        <f>+H132</f>
        <v>95.95</v>
      </c>
      <c r="J132" s="39" t="s">
        <v>21</v>
      </c>
      <c r="K132" s="13"/>
      <c r="L132" s="79">
        <v>42410</v>
      </c>
      <c r="M132" s="13" t="s">
        <v>38</v>
      </c>
      <c r="N132" s="78">
        <v>6</v>
      </c>
      <c r="O132" s="33" t="s">
        <v>36</v>
      </c>
      <c r="P132" s="13"/>
      <c r="Q132" s="13"/>
      <c r="R132" s="26"/>
      <c r="S132" s="68"/>
      <c r="T132" s="68"/>
    </row>
    <row r="133" spans="1:20" s="4" customFormat="1" ht="18" customHeight="1">
      <c r="A133" s="9" t="str">
        <f t="shared" si="21"/>
        <v>1 -Charges fixes</v>
      </c>
      <c r="B133" s="21" t="str">
        <f t="shared" si="25"/>
        <v>I-ELOGIE PARK</v>
      </c>
      <c r="C133" s="21"/>
      <c r="D133" s="18" t="s">
        <v>140</v>
      </c>
      <c r="E133" s="13" t="str">
        <f t="shared" ref="E133:E167" si="41">+E132</f>
        <v>ELOGIE/PARK</v>
      </c>
      <c r="F133" s="43"/>
      <c r="G133" s="54">
        <f>+G132</f>
        <v>95.95</v>
      </c>
      <c r="H133" s="56">
        <v>95.95</v>
      </c>
      <c r="I133" s="47">
        <f t="shared" ref="I133:I142" si="42">+H133</f>
        <v>95.95</v>
      </c>
      <c r="J133" s="39" t="s">
        <v>21</v>
      </c>
      <c r="K133" s="13"/>
      <c r="L133" s="79">
        <v>42439</v>
      </c>
      <c r="M133" s="13" t="s">
        <v>38</v>
      </c>
      <c r="N133" s="78">
        <v>10</v>
      </c>
      <c r="O133" s="33" t="s">
        <v>36</v>
      </c>
      <c r="P133" s="13"/>
      <c r="Q133" s="13"/>
      <c r="R133" s="26"/>
      <c r="S133" s="68"/>
      <c r="T133" s="68"/>
    </row>
    <row r="134" spans="1:20" s="4" customFormat="1" ht="18" customHeight="1">
      <c r="A134" s="9" t="str">
        <f t="shared" si="21"/>
        <v>1 -Charges fixes</v>
      </c>
      <c r="B134" s="21" t="str">
        <f t="shared" si="25"/>
        <v>I-ELOGIE PARK</v>
      </c>
      <c r="C134" s="21"/>
      <c r="D134" s="18" t="s">
        <v>141</v>
      </c>
      <c r="E134" s="13" t="str">
        <f t="shared" si="41"/>
        <v>ELOGIE/PARK</v>
      </c>
      <c r="F134" s="43"/>
      <c r="G134" s="54">
        <f t="shared" ref="G134:G142" si="43">+G133</f>
        <v>95.95</v>
      </c>
      <c r="H134" s="56">
        <f t="shared" ref="H134:H142" si="44">+IF(K134="ENGAGE A CE JOUR",G134,"ERREUR")</f>
        <v>95.95</v>
      </c>
      <c r="I134" s="47">
        <f t="shared" si="42"/>
        <v>95.95</v>
      </c>
      <c r="J134" s="80"/>
      <c r="K134" s="77" t="s">
        <v>22</v>
      </c>
      <c r="L134" s="79">
        <v>42470</v>
      </c>
      <c r="M134" s="13" t="s">
        <v>38</v>
      </c>
      <c r="N134" s="78">
        <v>14</v>
      </c>
      <c r="O134" s="33" t="s">
        <v>36</v>
      </c>
      <c r="P134" s="13"/>
      <c r="Q134" s="13"/>
      <c r="R134" s="26"/>
      <c r="S134" s="68"/>
      <c r="T134" s="68"/>
    </row>
    <row r="135" spans="1:20" s="4" customFormat="1" ht="18" customHeight="1">
      <c r="A135" s="9" t="str">
        <f t="shared" si="21"/>
        <v>1 -Charges fixes</v>
      </c>
      <c r="B135" s="21" t="str">
        <f t="shared" si="25"/>
        <v>I-ELOGIE PARK</v>
      </c>
      <c r="C135" s="21"/>
      <c r="D135" s="18" t="s">
        <v>142</v>
      </c>
      <c r="E135" s="13" t="str">
        <f t="shared" si="41"/>
        <v>ELOGIE/PARK</v>
      </c>
      <c r="F135" s="43"/>
      <c r="G135" s="54">
        <f t="shared" si="43"/>
        <v>95.95</v>
      </c>
      <c r="H135" s="56">
        <f t="shared" si="44"/>
        <v>95.95</v>
      </c>
      <c r="I135" s="47">
        <f t="shared" si="42"/>
        <v>95.95</v>
      </c>
      <c r="J135" s="80"/>
      <c r="K135" s="77" t="s">
        <v>22</v>
      </c>
      <c r="L135" s="79">
        <v>42500</v>
      </c>
      <c r="M135" s="13" t="s">
        <v>38</v>
      </c>
      <c r="N135" s="78">
        <v>19</v>
      </c>
      <c r="O135" s="33" t="s">
        <v>36</v>
      </c>
      <c r="P135" s="13"/>
      <c r="Q135" s="13"/>
      <c r="R135" s="26"/>
      <c r="S135" s="68"/>
      <c r="T135" s="68"/>
    </row>
    <row r="136" spans="1:20" s="4" customFormat="1" ht="18" customHeight="1">
      <c r="A136" s="9" t="str">
        <f t="shared" si="21"/>
        <v>1 -Charges fixes</v>
      </c>
      <c r="B136" s="21" t="str">
        <f t="shared" si="25"/>
        <v>I-ELOGIE PARK</v>
      </c>
      <c r="C136" s="21"/>
      <c r="D136" s="18" t="s">
        <v>143</v>
      </c>
      <c r="E136" s="13" t="str">
        <f t="shared" si="41"/>
        <v>ELOGIE/PARK</v>
      </c>
      <c r="F136" s="43"/>
      <c r="G136" s="54">
        <f t="shared" si="43"/>
        <v>95.95</v>
      </c>
      <c r="H136" s="56">
        <f t="shared" si="44"/>
        <v>95.95</v>
      </c>
      <c r="I136" s="47">
        <f t="shared" si="42"/>
        <v>95.95</v>
      </c>
      <c r="J136" s="80"/>
      <c r="K136" s="77" t="s">
        <v>22</v>
      </c>
      <c r="L136" s="79">
        <v>42531</v>
      </c>
      <c r="M136" s="13" t="s">
        <v>38</v>
      </c>
      <c r="N136" s="78">
        <v>23</v>
      </c>
      <c r="O136" s="33" t="s">
        <v>36</v>
      </c>
      <c r="P136" s="13"/>
      <c r="Q136" s="13"/>
      <c r="R136" s="26"/>
      <c r="S136" s="68"/>
      <c r="T136" s="68"/>
    </row>
    <row r="137" spans="1:20" s="4" customFormat="1" ht="18" customHeight="1">
      <c r="A137" s="9" t="str">
        <f t="shared" si="21"/>
        <v>1 -Charges fixes</v>
      </c>
      <c r="B137" s="21" t="str">
        <f t="shared" si="25"/>
        <v>I-ELOGIE PARK</v>
      </c>
      <c r="C137" s="21"/>
      <c r="D137" s="18" t="s">
        <v>144</v>
      </c>
      <c r="E137" s="13" t="str">
        <f t="shared" si="41"/>
        <v>ELOGIE/PARK</v>
      </c>
      <c r="F137" s="43"/>
      <c r="G137" s="54">
        <f t="shared" si="43"/>
        <v>95.95</v>
      </c>
      <c r="H137" s="56">
        <f t="shared" si="44"/>
        <v>95.95</v>
      </c>
      <c r="I137" s="47">
        <f t="shared" si="42"/>
        <v>95.95</v>
      </c>
      <c r="J137" s="80"/>
      <c r="K137" s="77" t="s">
        <v>22</v>
      </c>
      <c r="L137" s="79">
        <v>42561</v>
      </c>
      <c r="M137" s="13" t="s">
        <v>38</v>
      </c>
      <c r="N137" s="78">
        <v>27</v>
      </c>
      <c r="O137" s="33" t="s">
        <v>36</v>
      </c>
      <c r="P137" s="13"/>
      <c r="Q137" s="13"/>
      <c r="R137" s="26"/>
      <c r="S137" s="68"/>
      <c r="T137" s="68"/>
    </row>
    <row r="138" spans="1:20" s="4" customFormat="1" ht="18" customHeight="1">
      <c r="A138" s="9" t="str">
        <f t="shared" si="21"/>
        <v>1 -Charges fixes</v>
      </c>
      <c r="B138" s="21" t="str">
        <f t="shared" si="25"/>
        <v>I-ELOGIE PARK</v>
      </c>
      <c r="C138" s="21"/>
      <c r="D138" s="18" t="s">
        <v>145</v>
      </c>
      <c r="E138" s="13" t="str">
        <f t="shared" si="41"/>
        <v>ELOGIE/PARK</v>
      </c>
      <c r="F138" s="43"/>
      <c r="G138" s="54">
        <f t="shared" si="43"/>
        <v>95.95</v>
      </c>
      <c r="H138" s="56">
        <f t="shared" si="44"/>
        <v>95.95</v>
      </c>
      <c r="I138" s="47">
        <f t="shared" si="42"/>
        <v>95.95</v>
      </c>
      <c r="J138" s="80"/>
      <c r="K138" s="77" t="s">
        <v>22</v>
      </c>
      <c r="L138" s="79">
        <v>42592</v>
      </c>
      <c r="M138" s="13" t="s">
        <v>38</v>
      </c>
      <c r="N138" s="78">
        <v>32</v>
      </c>
      <c r="O138" s="33" t="s">
        <v>36</v>
      </c>
      <c r="P138" s="13"/>
      <c r="Q138" s="13"/>
      <c r="R138" s="26"/>
      <c r="S138" s="68"/>
      <c r="T138" s="68"/>
    </row>
    <row r="139" spans="1:20" s="4" customFormat="1" ht="18" customHeight="1">
      <c r="A139" s="9" t="str">
        <f t="shared" si="21"/>
        <v>1 -Charges fixes</v>
      </c>
      <c r="B139" s="21" t="str">
        <f t="shared" si="25"/>
        <v>I-ELOGIE PARK</v>
      </c>
      <c r="C139" s="21"/>
      <c r="D139" s="18" t="s">
        <v>146</v>
      </c>
      <c r="E139" s="13" t="str">
        <f t="shared" si="41"/>
        <v>ELOGIE/PARK</v>
      </c>
      <c r="F139" s="43"/>
      <c r="G139" s="54">
        <f t="shared" si="43"/>
        <v>95.95</v>
      </c>
      <c r="H139" s="56">
        <f t="shared" si="44"/>
        <v>95.95</v>
      </c>
      <c r="I139" s="47">
        <f t="shared" si="42"/>
        <v>95.95</v>
      </c>
      <c r="J139" s="80"/>
      <c r="K139" s="77" t="s">
        <v>22</v>
      </c>
      <c r="L139" s="79">
        <v>42623</v>
      </c>
      <c r="M139" s="13" t="s">
        <v>38</v>
      </c>
      <c r="N139" s="78">
        <v>36</v>
      </c>
      <c r="O139" s="33" t="s">
        <v>36</v>
      </c>
      <c r="P139" s="13"/>
      <c r="Q139" s="13"/>
      <c r="R139" s="26"/>
      <c r="S139" s="68"/>
      <c r="T139" s="68"/>
    </row>
    <row r="140" spans="1:20" s="4" customFormat="1" ht="18" customHeight="1">
      <c r="A140" s="9" t="str">
        <f t="shared" si="21"/>
        <v>1 -Charges fixes</v>
      </c>
      <c r="B140" s="21" t="str">
        <f t="shared" si="25"/>
        <v>I-ELOGIE PARK</v>
      </c>
      <c r="C140" s="21"/>
      <c r="D140" s="18" t="s">
        <v>147</v>
      </c>
      <c r="E140" s="13" t="str">
        <f t="shared" si="41"/>
        <v>ELOGIE/PARK</v>
      </c>
      <c r="F140" s="43"/>
      <c r="G140" s="54">
        <f t="shared" si="43"/>
        <v>95.95</v>
      </c>
      <c r="H140" s="56">
        <f t="shared" si="44"/>
        <v>95.95</v>
      </c>
      <c r="I140" s="47">
        <f t="shared" si="42"/>
        <v>95.95</v>
      </c>
      <c r="J140" s="80"/>
      <c r="K140" s="77" t="s">
        <v>22</v>
      </c>
      <c r="L140" s="79">
        <v>42653</v>
      </c>
      <c r="M140" s="13" t="s">
        <v>38</v>
      </c>
      <c r="N140" s="78">
        <v>41</v>
      </c>
      <c r="O140" s="33" t="s">
        <v>36</v>
      </c>
      <c r="P140" s="13"/>
      <c r="Q140" s="13"/>
      <c r="R140" s="26"/>
      <c r="S140" s="68"/>
      <c r="T140" s="68"/>
    </row>
    <row r="141" spans="1:20" s="4" customFormat="1" ht="18" customHeight="1">
      <c r="A141" s="9" t="str">
        <f t="shared" si="21"/>
        <v>1 -Charges fixes</v>
      </c>
      <c r="B141" s="21" t="str">
        <f t="shared" si="25"/>
        <v>I-ELOGIE PARK</v>
      </c>
      <c r="C141" s="21"/>
      <c r="D141" s="18" t="s">
        <v>148</v>
      </c>
      <c r="E141" s="13" t="str">
        <f t="shared" si="41"/>
        <v>ELOGIE/PARK</v>
      </c>
      <c r="F141" s="43"/>
      <c r="G141" s="54">
        <f t="shared" si="43"/>
        <v>95.95</v>
      </c>
      <c r="H141" s="56">
        <f t="shared" si="44"/>
        <v>95.95</v>
      </c>
      <c r="I141" s="47">
        <f t="shared" si="42"/>
        <v>95.95</v>
      </c>
      <c r="J141" s="80"/>
      <c r="K141" s="77" t="s">
        <v>22</v>
      </c>
      <c r="L141" s="79">
        <v>42684</v>
      </c>
      <c r="M141" s="13" t="s">
        <v>38</v>
      </c>
      <c r="N141" s="78">
        <v>45</v>
      </c>
      <c r="O141" s="33" t="s">
        <v>36</v>
      </c>
      <c r="P141" s="13"/>
      <c r="Q141" s="13"/>
      <c r="R141" s="26"/>
      <c r="S141" s="68"/>
      <c r="T141" s="68"/>
    </row>
    <row r="142" spans="1:20" s="4" customFormat="1" ht="18" customHeight="1">
      <c r="A142" s="9" t="str">
        <f t="shared" si="21"/>
        <v>1 -Charges fixes</v>
      </c>
      <c r="B142" s="21" t="str">
        <f t="shared" si="25"/>
        <v>I-ELOGIE PARK</v>
      </c>
      <c r="C142" s="21"/>
      <c r="D142" s="18" t="s">
        <v>149</v>
      </c>
      <c r="E142" s="13" t="str">
        <f t="shared" si="41"/>
        <v>ELOGIE/PARK</v>
      </c>
      <c r="F142" s="43"/>
      <c r="G142" s="54">
        <f t="shared" si="43"/>
        <v>95.95</v>
      </c>
      <c r="H142" s="56">
        <f t="shared" si="44"/>
        <v>95.95</v>
      </c>
      <c r="I142" s="47">
        <f t="shared" si="42"/>
        <v>95.95</v>
      </c>
      <c r="J142" s="80"/>
      <c r="K142" s="77" t="s">
        <v>22</v>
      </c>
      <c r="L142" s="79">
        <v>42714</v>
      </c>
      <c r="M142" s="13" t="s">
        <v>38</v>
      </c>
      <c r="N142" s="78">
        <v>49</v>
      </c>
      <c r="O142" s="33" t="s">
        <v>36</v>
      </c>
      <c r="P142" s="13"/>
      <c r="Q142" s="13"/>
      <c r="R142" s="26"/>
      <c r="S142" s="68"/>
      <c r="T142" s="68"/>
    </row>
    <row r="143" spans="1:20" s="4" customFormat="1" ht="18" customHeight="1">
      <c r="A143" s="10" t="str">
        <f>+A142</f>
        <v>1 -Charges fixes</v>
      </c>
      <c r="B143" s="10" t="s">
        <v>180</v>
      </c>
      <c r="C143" s="10"/>
      <c r="D143" s="10"/>
      <c r="E143" s="14"/>
      <c r="F143" s="38">
        <f>+(192.03+104.58)*12</f>
        <v>3559.32</v>
      </c>
      <c r="G143" s="45"/>
      <c r="H143" s="48"/>
      <c r="I143" s="48"/>
      <c r="J143" s="14"/>
      <c r="K143" s="14"/>
      <c r="L143" s="14"/>
      <c r="M143" s="14"/>
      <c r="N143" s="14"/>
      <c r="O143" s="14"/>
      <c r="P143" s="14"/>
      <c r="Q143" s="14"/>
      <c r="R143" s="24"/>
      <c r="S143" s="66"/>
      <c r="T143" s="66"/>
    </row>
    <row r="144" spans="1:20" s="4" customFormat="1" ht="18" customHeight="1">
      <c r="A144" s="9" t="str">
        <f>+A143</f>
        <v>1 -Charges fixes</v>
      </c>
      <c r="B144" s="42" t="str">
        <f>+B143</f>
        <v>J-PREVOYANCE</v>
      </c>
      <c r="C144" s="42"/>
      <c r="D144" s="18" t="s">
        <v>151</v>
      </c>
      <c r="E144" s="13" t="s">
        <v>150</v>
      </c>
      <c r="F144" s="43"/>
      <c r="G144" s="54">
        <v>192.03</v>
      </c>
      <c r="H144" s="55">
        <v>192.03</v>
      </c>
      <c r="I144" s="47">
        <f>+H144</f>
        <v>192.03</v>
      </c>
      <c r="J144" s="39" t="s">
        <v>21</v>
      </c>
      <c r="K144" s="13"/>
      <c r="L144" s="79">
        <v>42379</v>
      </c>
      <c r="M144" s="19" t="s">
        <v>38</v>
      </c>
      <c r="N144" s="78">
        <v>1</v>
      </c>
      <c r="O144" s="33" t="s">
        <v>36</v>
      </c>
      <c r="P144" s="13"/>
      <c r="Q144" s="13"/>
      <c r="R144" s="26"/>
      <c r="S144" s="68"/>
      <c r="T144" s="68"/>
    </row>
    <row r="145" spans="1:20" s="4" customFormat="1" ht="18" customHeight="1">
      <c r="A145" s="9" t="str">
        <f t="shared" ref="A145:A155" si="45">+A144</f>
        <v>1 -Charges fixes</v>
      </c>
      <c r="B145" s="42" t="str">
        <f t="shared" ref="B145:B155" si="46">+B144</f>
        <v>J-PREVOYANCE</v>
      </c>
      <c r="C145" s="42"/>
      <c r="D145" s="18" t="s">
        <v>152</v>
      </c>
      <c r="E145" s="13" t="str">
        <f t="shared" si="41"/>
        <v>GENERALI</v>
      </c>
      <c r="F145" s="43"/>
      <c r="G145" s="54">
        <f>+G144</f>
        <v>192.03</v>
      </c>
      <c r="H145" s="55">
        <v>0</v>
      </c>
      <c r="I145" s="47">
        <f>+H145</f>
        <v>0</v>
      </c>
      <c r="J145" s="13"/>
      <c r="K145" s="13"/>
      <c r="L145" s="79"/>
      <c r="M145" s="19"/>
      <c r="N145" s="78">
        <v>6</v>
      </c>
      <c r="O145" s="33" t="s">
        <v>36</v>
      </c>
      <c r="P145" s="13"/>
      <c r="Q145" s="13"/>
      <c r="R145" s="26"/>
      <c r="S145" s="68"/>
      <c r="T145" s="68"/>
    </row>
    <row r="146" spans="1:20" s="4" customFormat="1" ht="18" customHeight="1">
      <c r="A146" s="9" t="str">
        <f t="shared" si="45"/>
        <v>1 -Charges fixes</v>
      </c>
      <c r="B146" s="42" t="str">
        <f t="shared" si="46"/>
        <v>J-PREVOYANCE</v>
      </c>
      <c r="C146" s="42"/>
      <c r="D146" s="18" t="s">
        <v>153</v>
      </c>
      <c r="E146" s="13" t="str">
        <f t="shared" si="41"/>
        <v>GENERALI</v>
      </c>
      <c r="F146" s="43"/>
      <c r="G146" s="54">
        <f>+G145</f>
        <v>192.03</v>
      </c>
      <c r="H146" s="56">
        <v>0</v>
      </c>
      <c r="I146" s="47">
        <f t="shared" ref="I146:I155" si="47">+H146</f>
        <v>0</v>
      </c>
      <c r="J146" s="13"/>
      <c r="K146" s="13"/>
      <c r="L146" s="79"/>
      <c r="M146" s="19"/>
      <c r="N146" s="78">
        <v>10</v>
      </c>
      <c r="O146" s="33" t="s">
        <v>36</v>
      </c>
      <c r="P146" s="13"/>
      <c r="Q146" s="13"/>
      <c r="R146" s="26"/>
      <c r="S146" s="68"/>
      <c r="T146" s="68"/>
    </row>
    <row r="147" spans="1:20" s="4" customFormat="1" ht="18" customHeight="1">
      <c r="A147" s="9" t="str">
        <f t="shared" si="45"/>
        <v>1 -Charges fixes</v>
      </c>
      <c r="B147" s="42" t="str">
        <f t="shared" si="46"/>
        <v>J-PREVOYANCE</v>
      </c>
      <c r="C147" s="42"/>
      <c r="D147" s="18" t="s">
        <v>154</v>
      </c>
      <c r="E147" s="13" t="str">
        <f t="shared" si="41"/>
        <v>GENERALI</v>
      </c>
      <c r="F147" s="43"/>
      <c r="G147" s="54">
        <f t="shared" ref="G147:G155" si="48">+G146</f>
        <v>192.03</v>
      </c>
      <c r="H147" s="56">
        <v>0</v>
      </c>
      <c r="I147" s="47">
        <f t="shared" si="47"/>
        <v>0</v>
      </c>
      <c r="J147" s="13"/>
      <c r="K147" s="13"/>
      <c r="L147" s="79"/>
      <c r="M147" s="19"/>
      <c r="N147" s="78">
        <v>14</v>
      </c>
      <c r="O147" s="33" t="s">
        <v>36</v>
      </c>
      <c r="P147" s="13"/>
      <c r="Q147" s="13"/>
      <c r="R147" s="26"/>
      <c r="S147" s="68"/>
      <c r="T147" s="68"/>
    </row>
    <row r="148" spans="1:20" s="4" customFormat="1" ht="18" customHeight="1">
      <c r="A148" s="9" t="str">
        <f t="shared" si="45"/>
        <v>1 -Charges fixes</v>
      </c>
      <c r="B148" s="42" t="str">
        <f t="shared" si="46"/>
        <v>J-PREVOYANCE</v>
      </c>
      <c r="C148" s="42"/>
      <c r="D148" s="18" t="s">
        <v>155</v>
      </c>
      <c r="E148" s="13" t="str">
        <f t="shared" si="41"/>
        <v>GENERALI</v>
      </c>
      <c r="F148" s="43"/>
      <c r="G148" s="54">
        <f t="shared" si="48"/>
        <v>192.03</v>
      </c>
      <c r="H148" s="56">
        <v>0</v>
      </c>
      <c r="I148" s="47">
        <f t="shared" si="47"/>
        <v>0</v>
      </c>
      <c r="J148" s="13"/>
      <c r="K148" s="13"/>
      <c r="L148" s="79"/>
      <c r="M148" s="19"/>
      <c r="N148" s="78">
        <v>19</v>
      </c>
      <c r="O148" s="33" t="s">
        <v>36</v>
      </c>
      <c r="P148" s="13"/>
      <c r="Q148" s="13"/>
      <c r="R148" s="26"/>
      <c r="S148" s="68"/>
      <c r="T148" s="68"/>
    </row>
    <row r="149" spans="1:20" s="4" customFormat="1" ht="18" customHeight="1">
      <c r="A149" s="9" t="str">
        <f t="shared" si="45"/>
        <v>1 -Charges fixes</v>
      </c>
      <c r="B149" s="42" t="str">
        <f t="shared" si="46"/>
        <v>J-PREVOYANCE</v>
      </c>
      <c r="C149" s="42"/>
      <c r="D149" s="18" t="s">
        <v>156</v>
      </c>
      <c r="E149" s="13" t="str">
        <f t="shared" si="41"/>
        <v>GENERALI</v>
      </c>
      <c r="F149" s="43"/>
      <c r="G149" s="54">
        <f t="shared" si="48"/>
        <v>192.03</v>
      </c>
      <c r="H149" s="56">
        <v>0</v>
      </c>
      <c r="I149" s="47">
        <f t="shared" si="47"/>
        <v>0</v>
      </c>
      <c r="J149" s="13"/>
      <c r="K149" s="13"/>
      <c r="L149" s="79"/>
      <c r="M149" s="19"/>
      <c r="N149" s="78">
        <v>23</v>
      </c>
      <c r="O149" s="33" t="s">
        <v>36</v>
      </c>
      <c r="P149" s="13"/>
      <c r="Q149" s="13"/>
      <c r="R149" s="26"/>
      <c r="S149" s="68"/>
      <c r="T149" s="68"/>
    </row>
    <row r="150" spans="1:20" s="4" customFormat="1" ht="18" customHeight="1">
      <c r="A150" s="9" t="str">
        <f t="shared" si="45"/>
        <v>1 -Charges fixes</v>
      </c>
      <c r="B150" s="42" t="str">
        <f t="shared" si="46"/>
        <v>J-PREVOYANCE</v>
      </c>
      <c r="C150" s="42"/>
      <c r="D150" s="18" t="s">
        <v>157</v>
      </c>
      <c r="E150" s="13" t="str">
        <f t="shared" si="41"/>
        <v>GENERALI</v>
      </c>
      <c r="F150" s="43"/>
      <c r="G150" s="54">
        <f t="shared" si="48"/>
        <v>192.03</v>
      </c>
      <c r="H150" s="56">
        <v>0</v>
      </c>
      <c r="I150" s="47">
        <f t="shared" si="47"/>
        <v>0</v>
      </c>
      <c r="J150" s="13"/>
      <c r="K150" s="13"/>
      <c r="L150" s="79"/>
      <c r="M150" s="19"/>
      <c r="N150" s="78">
        <v>27</v>
      </c>
      <c r="O150" s="33" t="s">
        <v>36</v>
      </c>
      <c r="P150" s="13"/>
      <c r="Q150" s="13"/>
      <c r="R150" s="26"/>
      <c r="S150" s="68"/>
      <c r="T150" s="68"/>
    </row>
    <row r="151" spans="1:20" s="4" customFormat="1" ht="18" customHeight="1">
      <c r="A151" s="9" t="str">
        <f t="shared" si="45"/>
        <v>1 -Charges fixes</v>
      </c>
      <c r="B151" s="42" t="str">
        <f t="shared" si="46"/>
        <v>J-PREVOYANCE</v>
      </c>
      <c r="C151" s="42"/>
      <c r="D151" s="18" t="s">
        <v>158</v>
      </c>
      <c r="E151" s="13" t="str">
        <f t="shared" si="41"/>
        <v>GENERALI</v>
      </c>
      <c r="F151" s="43"/>
      <c r="G151" s="54">
        <f t="shared" si="48"/>
        <v>192.03</v>
      </c>
      <c r="H151" s="56">
        <v>0</v>
      </c>
      <c r="I151" s="47">
        <f t="shared" si="47"/>
        <v>0</v>
      </c>
      <c r="J151" s="13"/>
      <c r="K151" s="13"/>
      <c r="L151" s="79"/>
      <c r="M151" s="19"/>
      <c r="N151" s="78">
        <v>32</v>
      </c>
      <c r="O151" s="33" t="s">
        <v>36</v>
      </c>
      <c r="P151" s="13"/>
      <c r="Q151" s="13"/>
      <c r="R151" s="26"/>
      <c r="S151" s="68"/>
      <c r="T151" s="68"/>
    </row>
    <row r="152" spans="1:20" s="4" customFormat="1" ht="18" customHeight="1">
      <c r="A152" s="9" t="str">
        <f t="shared" si="45"/>
        <v>1 -Charges fixes</v>
      </c>
      <c r="B152" s="42" t="str">
        <f t="shared" si="46"/>
        <v>J-PREVOYANCE</v>
      </c>
      <c r="C152" s="42"/>
      <c r="D152" s="18" t="s">
        <v>159</v>
      </c>
      <c r="E152" s="13" t="str">
        <f t="shared" si="41"/>
        <v>GENERALI</v>
      </c>
      <c r="F152" s="43"/>
      <c r="G152" s="54">
        <f t="shared" si="48"/>
        <v>192.03</v>
      </c>
      <c r="H152" s="56">
        <v>0</v>
      </c>
      <c r="I152" s="47">
        <f t="shared" si="47"/>
        <v>0</v>
      </c>
      <c r="J152" s="13"/>
      <c r="K152" s="13"/>
      <c r="L152" s="79"/>
      <c r="M152" s="19"/>
      <c r="N152" s="78">
        <v>36</v>
      </c>
      <c r="O152" s="33" t="s">
        <v>36</v>
      </c>
      <c r="P152" s="13"/>
      <c r="Q152" s="13"/>
      <c r="R152" s="26"/>
      <c r="S152" s="68"/>
      <c r="T152" s="68"/>
    </row>
    <row r="153" spans="1:20" s="4" customFormat="1" ht="18" customHeight="1">
      <c r="A153" s="9" t="str">
        <f t="shared" si="45"/>
        <v>1 -Charges fixes</v>
      </c>
      <c r="B153" s="42" t="str">
        <f t="shared" si="46"/>
        <v>J-PREVOYANCE</v>
      </c>
      <c r="C153" s="42"/>
      <c r="D153" s="18" t="s">
        <v>160</v>
      </c>
      <c r="E153" s="13" t="str">
        <f t="shared" si="41"/>
        <v>GENERALI</v>
      </c>
      <c r="F153" s="43"/>
      <c r="G153" s="54">
        <f t="shared" si="48"/>
        <v>192.03</v>
      </c>
      <c r="H153" s="56">
        <v>0</v>
      </c>
      <c r="I153" s="47">
        <f t="shared" si="47"/>
        <v>0</v>
      </c>
      <c r="J153" s="13"/>
      <c r="K153" s="13"/>
      <c r="L153" s="79"/>
      <c r="M153" s="19"/>
      <c r="N153" s="78">
        <v>41</v>
      </c>
      <c r="O153" s="33" t="s">
        <v>36</v>
      </c>
      <c r="P153" s="13"/>
      <c r="Q153" s="13"/>
      <c r="R153" s="26"/>
      <c r="S153" s="68"/>
      <c r="T153" s="68"/>
    </row>
    <row r="154" spans="1:20" s="4" customFormat="1" ht="18" customHeight="1">
      <c r="A154" s="9" t="str">
        <f t="shared" si="45"/>
        <v>1 -Charges fixes</v>
      </c>
      <c r="B154" s="42" t="str">
        <f t="shared" si="46"/>
        <v>J-PREVOYANCE</v>
      </c>
      <c r="C154" s="42"/>
      <c r="D154" s="18" t="s">
        <v>161</v>
      </c>
      <c r="E154" s="13" t="str">
        <f t="shared" si="41"/>
        <v>GENERALI</v>
      </c>
      <c r="F154" s="43"/>
      <c r="G154" s="54">
        <f t="shared" si="48"/>
        <v>192.03</v>
      </c>
      <c r="H154" s="56">
        <v>0</v>
      </c>
      <c r="I154" s="47">
        <f t="shared" si="47"/>
        <v>0</v>
      </c>
      <c r="J154" s="13"/>
      <c r="K154" s="13"/>
      <c r="L154" s="79"/>
      <c r="M154" s="19"/>
      <c r="N154" s="78">
        <v>45</v>
      </c>
      <c r="O154" s="33" t="s">
        <v>36</v>
      </c>
      <c r="P154" s="13"/>
      <c r="Q154" s="13"/>
      <c r="R154" s="26"/>
      <c r="S154" s="68"/>
      <c r="T154" s="68"/>
    </row>
    <row r="155" spans="1:20" s="4" customFormat="1" ht="18" customHeight="1">
      <c r="A155" s="9" t="str">
        <f t="shared" si="45"/>
        <v>1 -Charges fixes</v>
      </c>
      <c r="B155" s="42" t="str">
        <f t="shared" si="46"/>
        <v>J-PREVOYANCE</v>
      </c>
      <c r="C155" s="42"/>
      <c r="D155" s="18" t="s">
        <v>162</v>
      </c>
      <c r="E155" s="13" t="str">
        <f t="shared" si="41"/>
        <v>GENERALI</v>
      </c>
      <c r="F155" s="43"/>
      <c r="G155" s="54">
        <f t="shared" si="48"/>
        <v>192.03</v>
      </c>
      <c r="H155" s="56">
        <v>0</v>
      </c>
      <c r="I155" s="47">
        <f t="shared" si="47"/>
        <v>0</v>
      </c>
      <c r="J155" s="13"/>
      <c r="K155" s="13"/>
      <c r="L155" s="79"/>
      <c r="M155" s="19"/>
      <c r="N155" s="78">
        <v>49</v>
      </c>
      <c r="O155" s="33" t="s">
        <v>36</v>
      </c>
      <c r="P155" s="13"/>
      <c r="Q155" s="13"/>
      <c r="R155" s="26"/>
      <c r="S155" s="68"/>
      <c r="T155" s="68"/>
    </row>
    <row r="156" spans="1:20" s="4" customFormat="1" ht="18" customHeight="1">
      <c r="A156" s="9" t="str">
        <f>+A155</f>
        <v>1 -Charges fixes</v>
      </c>
      <c r="B156" s="42" t="s">
        <v>181</v>
      </c>
      <c r="C156" s="42"/>
      <c r="D156" s="18" t="s">
        <v>151</v>
      </c>
      <c r="E156" s="13" t="s">
        <v>150</v>
      </c>
      <c r="F156" s="43"/>
      <c r="G156" s="54">
        <v>104.58</v>
      </c>
      <c r="H156" s="55">
        <v>104.58</v>
      </c>
      <c r="I156" s="47">
        <f>+H156</f>
        <v>104.58</v>
      </c>
      <c r="J156" s="39" t="s">
        <v>21</v>
      </c>
      <c r="K156" s="13"/>
      <c r="L156" s="79">
        <v>42379</v>
      </c>
      <c r="M156" s="13" t="s">
        <v>310</v>
      </c>
      <c r="N156" s="78">
        <v>1</v>
      </c>
      <c r="O156" s="33" t="s">
        <v>36</v>
      </c>
      <c r="P156" s="13"/>
      <c r="Q156" s="13"/>
      <c r="R156" s="26"/>
      <c r="S156" s="68"/>
      <c r="T156" s="68"/>
    </row>
    <row r="157" spans="1:20" s="4" customFormat="1" ht="18" customHeight="1">
      <c r="A157" s="9" t="str">
        <f t="shared" ref="A157:A167" si="49">+A156</f>
        <v>1 -Charges fixes</v>
      </c>
      <c r="B157" s="42" t="str">
        <f t="shared" ref="B157:B167" si="50">+B156</f>
        <v>K-PREVOYANCE VIE</v>
      </c>
      <c r="C157" s="42"/>
      <c r="D157" s="18" t="s">
        <v>152</v>
      </c>
      <c r="E157" s="13" t="str">
        <f t="shared" si="41"/>
        <v>GENERALI</v>
      </c>
      <c r="F157" s="43"/>
      <c r="G157" s="54">
        <f>+G156</f>
        <v>104.58</v>
      </c>
      <c r="H157" s="55">
        <f>+H156</f>
        <v>104.58</v>
      </c>
      <c r="I157" s="47">
        <f>+H157</f>
        <v>104.58</v>
      </c>
      <c r="J157" s="39" t="s">
        <v>21</v>
      </c>
      <c r="K157" s="13"/>
      <c r="L157" s="79">
        <v>42410</v>
      </c>
      <c r="M157" s="13" t="s">
        <v>310</v>
      </c>
      <c r="N157" s="78">
        <v>6</v>
      </c>
      <c r="O157" s="33" t="s">
        <v>36</v>
      </c>
      <c r="P157" s="13"/>
      <c r="Q157" s="13"/>
      <c r="R157" s="26"/>
      <c r="S157" s="68"/>
      <c r="T157" s="68"/>
    </row>
    <row r="158" spans="1:20" s="4" customFormat="1" ht="18" customHeight="1">
      <c r="A158" s="9" t="str">
        <f t="shared" si="49"/>
        <v>1 -Charges fixes</v>
      </c>
      <c r="B158" s="42" t="str">
        <f t="shared" si="50"/>
        <v>K-PREVOYANCE VIE</v>
      </c>
      <c r="C158" s="42"/>
      <c r="D158" s="18" t="s">
        <v>153</v>
      </c>
      <c r="E158" s="13" t="str">
        <f t="shared" si="41"/>
        <v>GENERALI</v>
      </c>
      <c r="F158" s="43"/>
      <c r="G158" s="54">
        <f>+G157</f>
        <v>104.58</v>
      </c>
      <c r="H158" s="56">
        <v>104.58</v>
      </c>
      <c r="I158" s="47">
        <f t="shared" ref="I158:I167" si="51">+H158</f>
        <v>104.58</v>
      </c>
      <c r="J158" s="39" t="s">
        <v>21</v>
      </c>
      <c r="K158" s="13"/>
      <c r="L158" s="79">
        <v>42439</v>
      </c>
      <c r="M158" s="13" t="s">
        <v>310</v>
      </c>
      <c r="N158" s="78">
        <v>10</v>
      </c>
      <c r="O158" s="33" t="s">
        <v>36</v>
      </c>
      <c r="P158" s="13"/>
      <c r="Q158" s="13"/>
      <c r="R158" s="26"/>
      <c r="S158" s="68"/>
      <c r="T158" s="68"/>
    </row>
    <row r="159" spans="1:20" s="4" customFormat="1" ht="18" customHeight="1">
      <c r="A159" s="9" t="str">
        <f t="shared" si="49"/>
        <v>1 -Charges fixes</v>
      </c>
      <c r="B159" s="42" t="str">
        <f t="shared" si="50"/>
        <v>K-PREVOYANCE VIE</v>
      </c>
      <c r="C159" s="42"/>
      <c r="D159" s="18" t="s">
        <v>154</v>
      </c>
      <c r="E159" s="13" t="str">
        <f t="shared" si="41"/>
        <v>GENERALI</v>
      </c>
      <c r="F159" s="43"/>
      <c r="G159" s="54">
        <f t="shared" ref="G159:G167" si="52">+G158</f>
        <v>104.58</v>
      </c>
      <c r="H159" s="56">
        <f t="shared" ref="H159:H167" si="53">+IF(K159="ENGAGE A CE JOUR",G159,"ERREUR")</f>
        <v>104.58</v>
      </c>
      <c r="I159" s="47">
        <f t="shared" si="51"/>
        <v>104.58</v>
      </c>
      <c r="J159" s="80"/>
      <c r="K159" s="77" t="s">
        <v>22</v>
      </c>
      <c r="L159" s="79">
        <v>42470</v>
      </c>
      <c r="M159" s="13" t="s">
        <v>310</v>
      </c>
      <c r="N159" s="78">
        <v>14</v>
      </c>
      <c r="O159" s="33" t="s">
        <v>36</v>
      </c>
      <c r="P159" s="13"/>
      <c r="Q159" s="13"/>
      <c r="R159" s="26"/>
      <c r="S159" s="68"/>
      <c r="T159" s="68"/>
    </row>
    <row r="160" spans="1:20" s="4" customFormat="1" ht="18" customHeight="1">
      <c r="A160" s="9" t="str">
        <f t="shared" si="49"/>
        <v>1 -Charges fixes</v>
      </c>
      <c r="B160" s="42" t="str">
        <f t="shared" si="50"/>
        <v>K-PREVOYANCE VIE</v>
      </c>
      <c r="C160" s="42"/>
      <c r="D160" s="18" t="s">
        <v>155</v>
      </c>
      <c r="E160" s="13" t="str">
        <f t="shared" si="41"/>
        <v>GENERALI</v>
      </c>
      <c r="F160" s="43"/>
      <c r="G160" s="54">
        <f t="shared" si="52"/>
        <v>104.58</v>
      </c>
      <c r="H160" s="56">
        <f t="shared" si="53"/>
        <v>104.58</v>
      </c>
      <c r="I160" s="47">
        <f t="shared" si="51"/>
        <v>104.58</v>
      </c>
      <c r="J160" s="80"/>
      <c r="K160" s="77" t="s">
        <v>22</v>
      </c>
      <c r="L160" s="79">
        <v>42500</v>
      </c>
      <c r="M160" s="13" t="s">
        <v>310</v>
      </c>
      <c r="N160" s="78">
        <v>19</v>
      </c>
      <c r="O160" s="33" t="s">
        <v>36</v>
      </c>
      <c r="P160" s="13"/>
      <c r="Q160" s="13"/>
      <c r="R160" s="26"/>
      <c r="S160" s="68"/>
      <c r="T160" s="68"/>
    </row>
    <row r="161" spans="1:20" s="4" customFormat="1" ht="18" customHeight="1">
      <c r="A161" s="9" t="str">
        <f t="shared" si="49"/>
        <v>1 -Charges fixes</v>
      </c>
      <c r="B161" s="42" t="str">
        <f t="shared" si="50"/>
        <v>K-PREVOYANCE VIE</v>
      </c>
      <c r="C161" s="42"/>
      <c r="D161" s="18" t="s">
        <v>156</v>
      </c>
      <c r="E161" s="13" t="str">
        <f t="shared" si="41"/>
        <v>GENERALI</v>
      </c>
      <c r="F161" s="43"/>
      <c r="G161" s="54">
        <f t="shared" si="52"/>
        <v>104.58</v>
      </c>
      <c r="H161" s="56">
        <f t="shared" si="53"/>
        <v>104.58</v>
      </c>
      <c r="I161" s="47">
        <f t="shared" si="51"/>
        <v>104.58</v>
      </c>
      <c r="J161" s="80"/>
      <c r="K161" s="77" t="s">
        <v>22</v>
      </c>
      <c r="L161" s="79">
        <v>42531</v>
      </c>
      <c r="M161" s="13" t="s">
        <v>310</v>
      </c>
      <c r="N161" s="78">
        <v>23</v>
      </c>
      <c r="O161" s="33" t="s">
        <v>36</v>
      </c>
      <c r="P161" s="13"/>
      <c r="Q161" s="13"/>
      <c r="R161" s="26"/>
      <c r="S161" s="68"/>
      <c r="T161" s="68"/>
    </row>
    <row r="162" spans="1:20" s="4" customFormat="1" ht="18" customHeight="1">
      <c r="A162" s="9" t="str">
        <f t="shared" si="49"/>
        <v>1 -Charges fixes</v>
      </c>
      <c r="B162" s="42" t="str">
        <f t="shared" si="50"/>
        <v>K-PREVOYANCE VIE</v>
      </c>
      <c r="C162" s="42"/>
      <c r="D162" s="18" t="s">
        <v>157</v>
      </c>
      <c r="E162" s="13" t="str">
        <f t="shared" si="41"/>
        <v>GENERALI</v>
      </c>
      <c r="F162" s="43"/>
      <c r="G162" s="54">
        <f t="shared" si="52"/>
        <v>104.58</v>
      </c>
      <c r="H162" s="56">
        <f t="shared" si="53"/>
        <v>104.58</v>
      </c>
      <c r="I162" s="47">
        <f t="shared" si="51"/>
        <v>104.58</v>
      </c>
      <c r="J162" s="80"/>
      <c r="K162" s="77" t="s">
        <v>22</v>
      </c>
      <c r="L162" s="79">
        <v>42561</v>
      </c>
      <c r="M162" s="13" t="s">
        <v>310</v>
      </c>
      <c r="N162" s="78">
        <v>27</v>
      </c>
      <c r="O162" s="33" t="s">
        <v>36</v>
      </c>
      <c r="P162" s="13"/>
      <c r="Q162" s="13"/>
      <c r="R162" s="26"/>
      <c r="S162" s="68"/>
      <c r="T162" s="68"/>
    </row>
    <row r="163" spans="1:20" s="4" customFormat="1" ht="18" customHeight="1">
      <c r="A163" s="9" t="str">
        <f t="shared" si="49"/>
        <v>1 -Charges fixes</v>
      </c>
      <c r="B163" s="42" t="str">
        <f t="shared" si="50"/>
        <v>K-PREVOYANCE VIE</v>
      </c>
      <c r="C163" s="42"/>
      <c r="D163" s="18" t="s">
        <v>158</v>
      </c>
      <c r="E163" s="13" t="str">
        <f t="shared" si="41"/>
        <v>GENERALI</v>
      </c>
      <c r="F163" s="43"/>
      <c r="G163" s="54">
        <f t="shared" si="52"/>
        <v>104.58</v>
      </c>
      <c r="H163" s="56">
        <f t="shared" si="53"/>
        <v>104.58</v>
      </c>
      <c r="I163" s="47">
        <f t="shared" si="51"/>
        <v>104.58</v>
      </c>
      <c r="J163" s="80"/>
      <c r="K163" s="77" t="s">
        <v>22</v>
      </c>
      <c r="L163" s="79">
        <v>42592</v>
      </c>
      <c r="M163" s="13" t="s">
        <v>310</v>
      </c>
      <c r="N163" s="78">
        <v>32</v>
      </c>
      <c r="O163" s="33" t="s">
        <v>36</v>
      </c>
      <c r="P163" s="13"/>
      <c r="Q163" s="13"/>
      <c r="R163" s="26"/>
      <c r="S163" s="68"/>
      <c r="T163" s="68"/>
    </row>
    <row r="164" spans="1:20" s="4" customFormat="1" ht="18" customHeight="1">
      <c r="A164" s="9" t="str">
        <f t="shared" si="49"/>
        <v>1 -Charges fixes</v>
      </c>
      <c r="B164" s="42" t="str">
        <f t="shared" si="50"/>
        <v>K-PREVOYANCE VIE</v>
      </c>
      <c r="C164" s="42"/>
      <c r="D164" s="18" t="s">
        <v>159</v>
      </c>
      <c r="E164" s="13" t="str">
        <f t="shared" si="41"/>
        <v>GENERALI</v>
      </c>
      <c r="F164" s="43"/>
      <c r="G164" s="54">
        <f t="shared" si="52"/>
        <v>104.58</v>
      </c>
      <c r="H164" s="56">
        <f t="shared" si="53"/>
        <v>104.58</v>
      </c>
      <c r="I164" s="47">
        <f t="shared" si="51"/>
        <v>104.58</v>
      </c>
      <c r="J164" s="80"/>
      <c r="K164" s="77" t="s">
        <v>22</v>
      </c>
      <c r="L164" s="79">
        <v>42623</v>
      </c>
      <c r="M164" s="13" t="s">
        <v>310</v>
      </c>
      <c r="N164" s="78">
        <v>36</v>
      </c>
      <c r="O164" s="33" t="s">
        <v>36</v>
      </c>
      <c r="P164" s="13"/>
      <c r="Q164" s="13"/>
      <c r="R164" s="26"/>
      <c r="S164" s="68"/>
      <c r="T164" s="68"/>
    </row>
    <row r="165" spans="1:20" s="4" customFormat="1" ht="18" customHeight="1">
      <c r="A165" s="9" t="str">
        <f t="shared" si="49"/>
        <v>1 -Charges fixes</v>
      </c>
      <c r="B165" s="42" t="str">
        <f t="shared" si="50"/>
        <v>K-PREVOYANCE VIE</v>
      </c>
      <c r="C165" s="42"/>
      <c r="D165" s="18" t="s">
        <v>160</v>
      </c>
      <c r="E165" s="13" t="str">
        <f t="shared" si="41"/>
        <v>GENERALI</v>
      </c>
      <c r="F165" s="43"/>
      <c r="G165" s="54">
        <f t="shared" si="52"/>
        <v>104.58</v>
      </c>
      <c r="H165" s="56">
        <f t="shared" si="53"/>
        <v>104.58</v>
      </c>
      <c r="I165" s="47">
        <f t="shared" si="51"/>
        <v>104.58</v>
      </c>
      <c r="J165" s="80"/>
      <c r="K165" s="77" t="s">
        <v>22</v>
      </c>
      <c r="L165" s="79">
        <v>42653</v>
      </c>
      <c r="M165" s="13" t="s">
        <v>310</v>
      </c>
      <c r="N165" s="78">
        <v>41</v>
      </c>
      <c r="O165" s="33" t="s">
        <v>36</v>
      </c>
      <c r="P165" s="13"/>
      <c r="Q165" s="13"/>
      <c r="R165" s="26"/>
      <c r="S165" s="68"/>
      <c r="T165" s="68"/>
    </row>
    <row r="166" spans="1:20" s="4" customFormat="1" ht="18" customHeight="1">
      <c r="A166" s="9" t="str">
        <f t="shared" si="49"/>
        <v>1 -Charges fixes</v>
      </c>
      <c r="B166" s="42" t="str">
        <f t="shared" si="50"/>
        <v>K-PREVOYANCE VIE</v>
      </c>
      <c r="C166" s="42"/>
      <c r="D166" s="18" t="s">
        <v>161</v>
      </c>
      <c r="E166" s="13" t="str">
        <f t="shared" si="41"/>
        <v>GENERALI</v>
      </c>
      <c r="F166" s="43"/>
      <c r="G166" s="54">
        <f t="shared" si="52"/>
        <v>104.58</v>
      </c>
      <c r="H166" s="56">
        <f t="shared" si="53"/>
        <v>104.58</v>
      </c>
      <c r="I166" s="47">
        <f t="shared" si="51"/>
        <v>104.58</v>
      </c>
      <c r="J166" s="80"/>
      <c r="K166" s="77" t="s">
        <v>22</v>
      </c>
      <c r="L166" s="79">
        <v>42684</v>
      </c>
      <c r="M166" s="13" t="s">
        <v>310</v>
      </c>
      <c r="N166" s="78">
        <v>45</v>
      </c>
      <c r="O166" s="33" t="s">
        <v>36</v>
      </c>
      <c r="P166" s="13"/>
      <c r="Q166" s="13"/>
      <c r="R166" s="26"/>
      <c r="S166" s="68"/>
      <c r="T166" s="68"/>
    </row>
    <row r="167" spans="1:20" s="4" customFormat="1" ht="18" customHeight="1">
      <c r="A167" s="9" t="str">
        <f t="shared" si="49"/>
        <v>1 -Charges fixes</v>
      </c>
      <c r="B167" s="42" t="str">
        <f t="shared" si="50"/>
        <v>K-PREVOYANCE VIE</v>
      </c>
      <c r="C167" s="42"/>
      <c r="D167" s="18" t="s">
        <v>162</v>
      </c>
      <c r="E167" s="13" t="str">
        <f t="shared" si="41"/>
        <v>GENERALI</v>
      </c>
      <c r="F167" s="43"/>
      <c r="G167" s="54">
        <f t="shared" si="52"/>
        <v>104.58</v>
      </c>
      <c r="H167" s="56">
        <f t="shared" si="53"/>
        <v>104.58</v>
      </c>
      <c r="I167" s="47">
        <f t="shared" si="51"/>
        <v>104.58</v>
      </c>
      <c r="J167" s="80"/>
      <c r="K167" s="77" t="s">
        <v>22</v>
      </c>
      <c r="L167" s="79">
        <v>42714</v>
      </c>
      <c r="M167" s="13" t="s">
        <v>310</v>
      </c>
      <c r="N167" s="78">
        <v>49</v>
      </c>
      <c r="O167" s="33" t="s">
        <v>36</v>
      </c>
      <c r="P167" s="13"/>
      <c r="Q167" s="13"/>
      <c r="R167" s="26"/>
      <c r="S167" s="68"/>
      <c r="T167" s="68"/>
    </row>
    <row r="168" spans="1:20" s="4" customFormat="1" ht="18" customHeight="1">
      <c r="A168" s="10" t="str">
        <f>+A167</f>
        <v>1 -Charges fixes</v>
      </c>
      <c r="B168" s="10" t="s">
        <v>563</v>
      </c>
      <c r="C168" s="10"/>
      <c r="D168" s="10"/>
      <c r="E168" s="14"/>
      <c r="F168" s="38">
        <f>1500.91*12</f>
        <v>18010.920000000002</v>
      </c>
      <c r="G168" s="45"/>
      <c r="H168" s="48"/>
      <c r="I168" s="48"/>
      <c r="J168" s="14"/>
      <c r="K168" s="14"/>
      <c r="L168" s="14"/>
      <c r="M168" s="14"/>
      <c r="N168" s="14"/>
      <c r="O168" s="14"/>
      <c r="P168" s="14"/>
      <c r="Q168" s="14"/>
      <c r="R168" s="24"/>
      <c r="S168" s="66"/>
      <c r="T168" s="66"/>
    </row>
    <row r="169" spans="1:20" s="4" customFormat="1" ht="18" customHeight="1">
      <c r="A169" s="9" t="str">
        <f>+A168</f>
        <v>1 -Charges fixes</v>
      </c>
      <c r="B169" s="42" t="str">
        <f>+B168</f>
        <v>L-RETRAITE</v>
      </c>
      <c r="C169" s="42"/>
      <c r="D169" s="18" t="s">
        <v>564</v>
      </c>
      <c r="E169" s="13" t="s">
        <v>183</v>
      </c>
      <c r="F169" s="43"/>
      <c r="G169" s="54">
        <v>1500.91</v>
      </c>
      <c r="H169" s="55">
        <v>1500.91</v>
      </c>
      <c r="I169" s="47">
        <f>+H169</f>
        <v>1500.91</v>
      </c>
      <c r="J169" s="39" t="s">
        <v>21</v>
      </c>
      <c r="K169" s="13"/>
      <c r="L169" s="79">
        <v>42384</v>
      </c>
      <c r="M169" s="13" t="s">
        <v>38</v>
      </c>
      <c r="N169" s="78">
        <v>2</v>
      </c>
      <c r="O169" s="33" t="s">
        <v>36</v>
      </c>
      <c r="P169" s="13"/>
      <c r="Q169" s="16"/>
      <c r="R169" s="26">
        <v>42370</v>
      </c>
      <c r="S169" s="70"/>
      <c r="T169" s="67">
        <f t="shared" ref="T169:T180" si="54">+G169</f>
        <v>1500.91</v>
      </c>
    </row>
    <row r="170" spans="1:20" s="4" customFormat="1" ht="18" customHeight="1">
      <c r="A170" s="9" t="str">
        <f t="shared" ref="A170:A212" si="55">+A169</f>
        <v>1 -Charges fixes</v>
      </c>
      <c r="B170" s="42" t="str">
        <f t="shared" ref="B170:B212" si="56">+B169</f>
        <v>L-RETRAITE</v>
      </c>
      <c r="C170" s="42"/>
      <c r="D170" s="18" t="s">
        <v>565</v>
      </c>
      <c r="E170" s="13" t="s">
        <v>183</v>
      </c>
      <c r="F170" s="43"/>
      <c r="G170" s="54">
        <f>+G169</f>
        <v>1500.91</v>
      </c>
      <c r="H170" s="55">
        <f>+H169</f>
        <v>1500.91</v>
      </c>
      <c r="I170" s="47">
        <f>+H170</f>
        <v>1500.91</v>
      </c>
      <c r="J170" s="39" t="s">
        <v>21</v>
      </c>
      <c r="K170" s="13"/>
      <c r="L170" s="79">
        <v>42415</v>
      </c>
      <c r="M170" s="13" t="s">
        <v>38</v>
      </c>
      <c r="N170" s="78">
        <v>7</v>
      </c>
      <c r="O170" s="33" t="s">
        <v>36</v>
      </c>
      <c r="P170" s="13"/>
      <c r="Q170" s="13"/>
      <c r="R170" s="26">
        <v>42401</v>
      </c>
      <c r="S170" s="70"/>
      <c r="T170" s="67">
        <f t="shared" si="54"/>
        <v>1500.91</v>
      </c>
    </row>
    <row r="171" spans="1:20" s="4" customFormat="1" ht="18" customHeight="1">
      <c r="A171" s="9" t="str">
        <f t="shared" si="55"/>
        <v>1 -Charges fixes</v>
      </c>
      <c r="B171" s="42" t="str">
        <f t="shared" si="56"/>
        <v>L-RETRAITE</v>
      </c>
      <c r="C171" s="42"/>
      <c r="D171" s="18" t="s">
        <v>566</v>
      </c>
      <c r="E171" s="13" t="s">
        <v>183</v>
      </c>
      <c r="F171" s="43"/>
      <c r="G171" s="54">
        <f>+G170</f>
        <v>1500.91</v>
      </c>
      <c r="H171" s="56">
        <v>1500.91</v>
      </c>
      <c r="I171" s="47">
        <f t="shared" ref="I171:I180" si="57">+H171</f>
        <v>1500.91</v>
      </c>
      <c r="J171" s="39" t="s">
        <v>21</v>
      </c>
      <c r="K171" s="13"/>
      <c r="L171" s="79">
        <v>42444</v>
      </c>
      <c r="M171" s="13" t="s">
        <v>38</v>
      </c>
      <c r="N171" s="78">
        <v>11</v>
      </c>
      <c r="O171" s="33" t="s">
        <v>36</v>
      </c>
      <c r="P171" s="13"/>
      <c r="Q171" s="13"/>
      <c r="R171" s="26">
        <v>42430</v>
      </c>
      <c r="S171" s="70"/>
      <c r="T171" s="67">
        <f t="shared" si="54"/>
        <v>1500.91</v>
      </c>
    </row>
    <row r="172" spans="1:20" s="4" customFormat="1" ht="18" customHeight="1">
      <c r="A172" s="9" t="str">
        <f t="shared" si="55"/>
        <v>1 -Charges fixes</v>
      </c>
      <c r="B172" s="42" t="str">
        <f t="shared" si="56"/>
        <v>L-RETRAITE</v>
      </c>
      <c r="C172" s="42"/>
      <c r="D172" s="18" t="s">
        <v>567</v>
      </c>
      <c r="E172" s="13" t="s">
        <v>183</v>
      </c>
      <c r="F172" s="43"/>
      <c r="G172" s="54">
        <f t="shared" ref="G172:G180" si="58">+G171</f>
        <v>1500.91</v>
      </c>
      <c r="H172" s="56">
        <f t="shared" ref="H172:H180" si="59">+IF(K172="ENGAGE A CE JOUR",G172,"ERREUR")</f>
        <v>1500.91</v>
      </c>
      <c r="I172" s="47">
        <f t="shared" si="57"/>
        <v>1500.91</v>
      </c>
      <c r="J172" s="80"/>
      <c r="K172" s="77" t="s">
        <v>22</v>
      </c>
      <c r="L172" s="79">
        <v>42475</v>
      </c>
      <c r="M172" s="13" t="s">
        <v>38</v>
      </c>
      <c r="N172" s="78">
        <v>15</v>
      </c>
      <c r="O172" s="33" t="s">
        <v>36</v>
      </c>
      <c r="P172" s="13"/>
      <c r="Q172" s="13"/>
      <c r="R172" s="26">
        <v>42461</v>
      </c>
      <c r="S172" s="70"/>
      <c r="T172" s="67">
        <f t="shared" si="54"/>
        <v>1500.91</v>
      </c>
    </row>
    <row r="173" spans="1:20" s="4" customFormat="1" ht="18" customHeight="1">
      <c r="A173" s="9" t="str">
        <f t="shared" si="55"/>
        <v>1 -Charges fixes</v>
      </c>
      <c r="B173" s="42" t="str">
        <f t="shared" si="56"/>
        <v>L-RETRAITE</v>
      </c>
      <c r="C173" s="42"/>
      <c r="D173" s="18" t="s">
        <v>568</v>
      </c>
      <c r="E173" s="13" t="s">
        <v>183</v>
      </c>
      <c r="F173" s="43"/>
      <c r="G173" s="54">
        <f t="shared" si="58"/>
        <v>1500.91</v>
      </c>
      <c r="H173" s="56">
        <f t="shared" si="59"/>
        <v>1500.91</v>
      </c>
      <c r="I173" s="47">
        <f t="shared" si="57"/>
        <v>1500.91</v>
      </c>
      <c r="J173" s="80"/>
      <c r="K173" s="77" t="s">
        <v>22</v>
      </c>
      <c r="L173" s="79">
        <v>42505</v>
      </c>
      <c r="M173" s="13" t="s">
        <v>38</v>
      </c>
      <c r="N173" s="78">
        <v>19</v>
      </c>
      <c r="O173" s="33" t="s">
        <v>36</v>
      </c>
      <c r="P173" s="13"/>
      <c r="Q173" s="13"/>
      <c r="R173" s="26">
        <v>42491</v>
      </c>
      <c r="S173" s="70"/>
      <c r="T173" s="67">
        <f t="shared" si="54"/>
        <v>1500.91</v>
      </c>
    </row>
    <row r="174" spans="1:20" s="4" customFormat="1" ht="18" customHeight="1">
      <c r="A174" s="9" t="str">
        <f t="shared" si="55"/>
        <v>1 -Charges fixes</v>
      </c>
      <c r="B174" s="42" t="str">
        <f t="shared" si="56"/>
        <v>L-RETRAITE</v>
      </c>
      <c r="C174" s="42"/>
      <c r="D174" s="18" t="s">
        <v>569</v>
      </c>
      <c r="E174" s="13" t="s">
        <v>183</v>
      </c>
      <c r="F174" s="43"/>
      <c r="G174" s="54">
        <f t="shared" si="58"/>
        <v>1500.91</v>
      </c>
      <c r="H174" s="56">
        <f t="shared" si="59"/>
        <v>1500.91</v>
      </c>
      <c r="I174" s="47">
        <f t="shared" si="57"/>
        <v>1500.91</v>
      </c>
      <c r="J174" s="80"/>
      <c r="K174" s="77" t="s">
        <v>22</v>
      </c>
      <c r="L174" s="79">
        <v>42536</v>
      </c>
      <c r="M174" s="13" t="s">
        <v>38</v>
      </c>
      <c r="N174" s="78">
        <v>24</v>
      </c>
      <c r="O174" s="33" t="s">
        <v>36</v>
      </c>
      <c r="P174" s="13"/>
      <c r="Q174" s="13"/>
      <c r="R174" s="26">
        <v>42522</v>
      </c>
      <c r="S174" s="70"/>
      <c r="T174" s="67">
        <f t="shared" si="54"/>
        <v>1500.91</v>
      </c>
    </row>
    <row r="175" spans="1:20" s="4" customFormat="1" ht="18" customHeight="1">
      <c r="A175" s="9" t="str">
        <f t="shared" si="55"/>
        <v>1 -Charges fixes</v>
      </c>
      <c r="B175" s="42" t="str">
        <f t="shared" si="56"/>
        <v>L-RETRAITE</v>
      </c>
      <c r="C175" s="42"/>
      <c r="D175" s="18" t="s">
        <v>570</v>
      </c>
      <c r="E175" s="13" t="s">
        <v>183</v>
      </c>
      <c r="F175" s="43"/>
      <c r="G175" s="54">
        <f t="shared" si="58"/>
        <v>1500.91</v>
      </c>
      <c r="H175" s="56">
        <f t="shared" si="59"/>
        <v>1500.91</v>
      </c>
      <c r="I175" s="47">
        <f t="shared" si="57"/>
        <v>1500.91</v>
      </c>
      <c r="J175" s="80"/>
      <c r="K175" s="77" t="s">
        <v>22</v>
      </c>
      <c r="L175" s="79">
        <v>42566</v>
      </c>
      <c r="M175" s="13" t="s">
        <v>38</v>
      </c>
      <c r="N175" s="78">
        <v>28</v>
      </c>
      <c r="O175" s="33" t="s">
        <v>36</v>
      </c>
      <c r="P175" s="13"/>
      <c r="Q175" s="13"/>
      <c r="R175" s="26">
        <v>42552</v>
      </c>
      <c r="S175" s="70"/>
      <c r="T175" s="67">
        <f t="shared" si="54"/>
        <v>1500.91</v>
      </c>
    </row>
    <row r="176" spans="1:20" s="63" customFormat="1" ht="18" customHeight="1">
      <c r="A176" s="9" t="str">
        <f t="shared" si="55"/>
        <v>1 -Charges fixes</v>
      </c>
      <c r="B176" s="42" t="str">
        <f t="shared" si="56"/>
        <v>L-RETRAITE</v>
      </c>
      <c r="C176" s="42"/>
      <c r="D176" s="18" t="s">
        <v>571</v>
      </c>
      <c r="E176" s="13" t="s">
        <v>183</v>
      </c>
      <c r="F176" s="59"/>
      <c r="G176" s="54">
        <f t="shared" si="58"/>
        <v>1500.91</v>
      </c>
      <c r="H176" s="56">
        <f t="shared" si="59"/>
        <v>1500.91</v>
      </c>
      <c r="I176" s="47">
        <f t="shared" si="57"/>
        <v>1500.91</v>
      </c>
      <c r="J176" s="80"/>
      <c r="K176" s="77" t="s">
        <v>22</v>
      </c>
      <c r="L176" s="81">
        <v>42597</v>
      </c>
      <c r="M176" s="13" t="s">
        <v>38</v>
      </c>
      <c r="N176" s="78">
        <v>33</v>
      </c>
      <c r="O176" s="33" t="s">
        <v>36</v>
      </c>
      <c r="P176" s="58"/>
      <c r="Q176" s="58"/>
      <c r="R176" s="26">
        <v>42583</v>
      </c>
      <c r="S176" s="70"/>
      <c r="T176" s="67">
        <f t="shared" si="54"/>
        <v>1500.91</v>
      </c>
    </row>
    <row r="177" spans="1:20" s="4" customFormat="1" ht="18" customHeight="1">
      <c r="A177" s="9" t="str">
        <f t="shared" si="55"/>
        <v>1 -Charges fixes</v>
      </c>
      <c r="B177" s="42" t="str">
        <f t="shared" si="56"/>
        <v>L-RETRAITE</v>
      </c>
      <c r="C177" s="42"/>
      <c r="D177" s="18" t="s">
        <v>572</v>
      </c>
      <c r="E177" s="13" t="s">
        <v>183</v>
      </c>
      <c r="F177" s="43"/>
      <c r="G177" s="54">
        <f t="shared" si="58"/>
        <v>1500.91</v>
      </c>
      <c r="H177" s="56">
        <f t="shared" si="59"/>
        <v>1500.91</v>
      </c>
      <c r="I177" s="47">
        <f t="shared" si="57"/>
        <v>1500.91</v>
      </c>
      <c r="J177" s="80"/>
      <c r="K177" s="77" t="s">
        <v>22</v>
      </c>
      <c r="L177" s="79">
        <v>42628</v>
      </c>
      <c r="M177" s="13" t="s">
        <v>38</v>
      </c>
      <c r="N177" s="78">
        <v>37</v>
      </c>
      <c r="O177" s="33" t="s">
        <v>36</v>
      </c>
      <c r="P177" s="13"/>
      <c r="Q177" s="13"/>
      <c r="R177" s="26">
        <v>42614</v>
      </c>
      <c r="S177" s="70"/>
      <c r="T177" s="67">
        <f t="shared" si="54"/>
        <v>1500.91</v>
      </c>
    </row>
    <row r="178" spans="1:20" s="4" customFormat="1" ht="18" customHeight="1">
      <c r="A178" s="9" t="str">
        <f t="shared" si="55"/>
        <v>1 -Charges fixes</v>
      </c>
      <c r="B178" s="42" t="str">
        <f t="shared" si="56"/>
        <v>L-RETRAITE</v>
      </c>
      <c r="C178" s="42"/>
      <c r="D178" s="18" t="s">
        <v>573</v>
      </c>
      <c r="E178" s="13" t="s">
        <v>183</v>
      </c>
      <c r="F178" s="43"/>
      <c r="G178" s="54">
        <f t="shared" si="58"/>
        <v>1500.91</v>
      </c>
      <c r="H178" s="56">
        <f t="shared" si="59"/>
        <v>1500.91</v>
      </c>
      <c r="I178" s="47">
        <f t="shared" si="57"/>
        <v>1500.91</v>
      </c>
      <c r="J178" s="80"/>
      <c r="K178" s="77" t="s">
        <v>22</v>
      </c>
      <c r="L178" s="79">
        <v>42658</v>
      </c>
      <c r="M178" s="13" t="s">
        <v>38</v>
      </c>
      <c r="N178" s="78">
        <v>41</v>
      </c>
      <c r="O178" s="33" t="s">
        <v>36</v>
      </c>
      <c r="P178" s="13"/>
      <c r="Q178" s="13"/>
      <c r="R178" s="26">
        <v>42644</v>
      </c>
      <c r="S178" s="70"/>
      <c r="T178" s="67">
        <f t="shared" si="54"/>
        <v>1500.91</v>
      </c>
    </row>
    <row r="179" spans="1:20" s="4" customFormat="1" ht="18" customHeight="1">
      <c r="A179" s="9" t="str">
        <f t="shared" si="55"/>
        <v>1 -Charges fixes</v>
      </c>
      <c r="B179" s="42" t="str">
        <f t="shared" si="56"/>
        <v>L-RETRAITE</v>
      </c>
      <c r="C179" s="42"/>
      <c r="D179" s="18" t="s">
        <v>574</v>
      </c>
      <c r="E179" s="13" t="s">
        <v>183</v>
      </c>
      <c r="F179" s="43"/>
      <c r="G179" s="54">
        <f t="shared" si="58"/>
        <v>1500.91</v>
      </c>
      <c r="H179" s="56">
        <f t="shared" si="59"/>
        <v>1500.91</v>
      </c>
      <c r="I179" s="47">
        <f t="shared" si="57"/>
        <v>1500.91</v>
      </c>
      <c r="J179" s="80"/>
      <c r="K179" s="77" t="s">
        <v>22</v>
      </c>
      <c r="L179" s="79">
        <v>42689</v>
      </c>
      <c r="M179" s="13" t="s">
        <v>38</v>
      </c>
      <c r="N179" s="78">
        <v>46</v>
      </c>
      <c r="O179" s="33" t="s">
        <v>36</v>
      </c>
      <c r="P179" s="13"/>
      <c r="Q179" s="13"/>
      <c r="R179" s="26">
        <v>42675</v>
      </c>
      <c r="S179" s="70"/>
      <c r="T179" s="67">
        <f t="shared" si="54"/>
        <v>1500.91</v>
      </c>
    </row>
    <row r="180" spans="1:20" s="4" customFormat="1" ht="18" customHeight="1">
      <c r="A180" s="9" t="str">
        <f t="shared" si="55"/>
        <v>1 -Charges fixes</v>
      </c>
      <c r="B180" s="42" t="str">
        <f t="shared" si="56"/>
        <v>L-RETRAITE</v>
      </c>
      <c r="C180" s="42"/>
      <c r="D180" s="18" t="s">
        <v>575</v>
      </c>
      <c r="E180" s="13" t="s">
        <v>183</v>
      </c>
      <c r="F180" s="43"/>
      <c r="G180" s="54">
        <f t="shared" si="58"/>
        <v>1500.91</v>
      </c>
      <c r="H180" s="56">
        <f t="shared" si="59"/>
        <v>1500.91</v>
      </c>
      <c r="I180" s="47">
        <f t="shared" si="57"/>
        <v>1500.91</v>
      </c>
      <c r="J180" s="80"/>
      <c r="K180" s="77" t="s">
        <v>22</v>
      </c>
      <c r="L180" s="79">
        <v>42719</v>
      </c>
      <c r="M180" s="13" t="s">
        <v>38</v>
      </c>
      <c r="N180" s="78">
        <v>50</v>
      </c>
      <c r="O180" s="33" t="s">
        <v>36</v>
      </c>
      <c r="P180" s="13"/>
      <c r="Q180" s="13"/>
      <c r="R180" s="26">
        <v>42705</v>
      </c>
      <c r="S180" s="70"/>
      <c r="T180" s="67">
        <f t="shared" si="54"/>
        <v>1500.91</v>
      </c>
    </row>
    <row r="181" spans="1:20" s="4" customFormat="1" ht="18" customHeight="1">
      <c r="A181" s="10" t="str">
        <f>+A180</f>
        <v>1 -Charges fixes</v>
      </c>
      <c r="B181" s="10" t="s">
        <v>184</v>
      </c>
      <c r="C181" s="10"/>
      <c r="D181" s="10"/>
      <c r="E181" s="14"/>
      <c r="F181" s="38">
        <f>(41.47+676.65)*12</f>
        <v>8617.44</v>
      </c>
      <c r="G181" s="45"/>
      <c r="H181" s="48"/>
      <c r="I181" s="48"/>
      <c r="J181" s="14"/>
      <c r="K181" s="14"/>
      <c r="L181" s="14"/>
      <c r="M181" s="14"/>
      <c r="N181" s="14"/>
      <c r="O181" s="14"/>
      <c r="P181" s="14"/>
      <c r="Q181" s="14"/>
      <c r="R181" s="24"/>
      <c r="S181" s="66"/>
      <c r="T181" s="66"/>
    </row>
    <row r="182" spans="1:20" s="4" customFormat="1" ht="18" customHeight="1">
      <c r="A182" s="9" t="str">
        <f t="shared" si="55"/>
        <v>1 -Charges fixes</v>
      </c>
      <c r="B182" s="42" t="str">
        <f t="shared" si="56"/>
        <v>L-CREDIT BAILS (LOCATIONS)</v>
      </c>
      <c r="C182" s="42"/>
      <c r="D182" s="18" t="s">
        <v>186</v>
      </c>
      <c r="E182" s="13" t="s">
        <v>185</v>
      </c>
      <c r="F182" s="43"/>
      <c r="G182" s="54">
        <v>41.47</v>
      </c>
      <c r="H182" s="55">
        <v>41.47</v>
      </c>
      <c r="I182" s="47">
        <f>+H182</f>
        <v>41.47</v>
      </c>
      <c r="J182" s="39" t="s">
        <v>21</v>
      </c>
      <c r="K182" s="13"/>
      <c r="L182" s="79">
        <v>42384</v>
      </c>
      <c r="M182" s="13" t="s">
        <v>310</v>
      </c>
      <c r="N182" s="78">
        <v>2</v>
      </c>
      <c r="O182" s="33" t="s">
        <v>36</v>
      </c>
      <c r="P182" s="13"/>
      <c r="Q182" s="13"/>
      <c r="R182" s="26"/>
      <c r="S182" s="70"/>
      <c r="T182" s="67"/>
    </row>
    <row r="183" spans="1:20" s="4" customFormat="1" ht="18" customHeight="1">
      <c r="A183" s="9" t="str">
        <f t="shared" si="55"/>
        <v>1 -Charges fixes</v>
      </c>
      <c r="B183" s="42" t="str">
        <f t="shared" si="56"/>
        <v>L-CREDIT BAILS (LOCATIONS)</v>
      </c>
      <c r="C183" s="42"/>
      <c r="D183" s="18" t="s">
        <v>187</v>
      </c>
      <c r="E183" s="13" t="s">
        <v>185</v>
      </c>
      <c r="F183" s="43"/>
      <c r="G183" s="54">
        <f>+G182</f>
        <v>41.47</v>
      </c>
      <c r="H183" s="55">
        <f>+H182</f>
        <v>41.47</v>
      </c>
      <c r="I183" s="47">
        <f>+H183</f>
        <v>41.47</v>
      </c>
      <c r="J183" s="39" t="s">
        <v>21</v>
      </c>
      <c r="K183" s="13"/>
      <c r="L183" s="79">
        <v>42415</v>
      </c>
      <c r="M183" s="13" t="s">
        <v>310</v>
      </c>
      <c r="N183" s="78">
        <v>7</v>
      </c>
      <c r="O183" s="33" t="s">
        <v>36</v>
      </c>
      <c r="P183" s="13"/>
      <c r="Q183" s="13"/>
      <c r="R183" s="26"/>
      <c r="S183" s="70"/>
      <c r="T183" s="67"/>
    </row>
    <row r="184" spans="1:20" s="4" customFormat="1" ht="18" customHeight="1">
      <c r="A184" s="9" t="str">
        <f t="shared" si="55"/>
        <v>1 -Charges fixes</v>
      </c>
      <c r="B184" s="42" t="str">
        <f t="shared" si="56"/>
        <v>L-CREDIT BAILS (LOCATIONS)</v>
      </c>
      <c r="C184" s="42"/>
      <c r="D184" s="18" t="s">
        <v>188</v>
      </c>
      <c r="E184" s="13" t="s">
        <v>185</v>
      </c>
      <c r="F184" s="43"/>
      <c r="G184" s="54">
        <f>+G183</f>
        <v>41.47</v>
      </c>
      <c r="H184" s="56">
        <v>41.47</v>
      </c>
      <c r="I184" s="47">
        <f t="shared" ref="I184:I193" si="60">+H184</f>
        <v>41.47</v>
      </c>
      <c r="J184" s="39" t="s">
        <v>21</v>
      </c>
      <c r="K184" s="13"/>
      <c r="L184" s="79">
        <v>42444</v>
      </c>
      <c r="M184" s="13" t="s">
        <v>310</v>
      </c>
      <c r="N184" s="78">
        <v>11</v>
      </c>
      <c r="O184" s="33" t="s">
        <v>36</v>
      </c>
      <c r="P184" s="13"/>
      <c r="Q184" s="13"/>
      <c r="R184" s="26"/>
      <c r="S184" s="70"/>
      <c r="T184" s="67"/>
    </row>
    <row r="185" spans="1:20" s="4" customFormat="1" ht="18" customHeight="1">
      <c r="A185" s="9" t="str">
        <f t="shared" si="55"/>
        <v>1 -Charges fixes</v>
      </c>
      <c r="B185" s="42" t="str">
        <f t="shared" si="56"/>
        <v>L-CREDIT BAILS (LOCATIONS)</v>
      </c>
      <c r="C185" s="42"/>
      <c r="D185" s="18" t="s">
        <v>189</v>
      </c>
      <c r="E185" s="13" t="s">
        <v>185</v>
      </c>
      <c r="F185" s="43"/>
      <c r="G185" s="54">
        <f t="shared" ref="G185:G193" si="61">+G184</f>
        <v>41.47</v>
      </c>
      <c r="H185" s="56">
        <f t="shared" ref="H185:H193" si="62">+IF(K185="ENGAGE A CE JOUR",G185,"ERREUR")</f>
        <v>41.47</v>
      </c>
      <c r="I185" s="47">
        <f t="shared" si="60"/>
        <v>41.47</v>
      </c>
      <c r="J185" s="80"/>
      <c r="K185" s="77" t="s">
        <v>22</v>
      </c>
      <c r="L185" s="79">
        <v>42475</v>
      </c>
      <c r="M185" s="13" t="s">
        <v>310</v>
      </c>
      <c r="N185" s="78">
        <v>15</v>
      </c>
      <c r="O185" s="33" t="s">
        <v>36</v>
      </c>
      <c r="P185" s="13"/>
      <c r="Q185" s="13"/>
      <c r="R185" s="26"/>
      <c r="S185" s="70"/>
      <c r="T185" s="67"/>
    </row>
    <row r="186" spans="1:20" s="4" customFormat="1" ht="18" customHeight="1">
      <c r="A186" s="9" t="str">
        <f t="shared" si="55"/>
        <v>1 -Charges fixes</v>
      </c>
      <c r="B186" s="42" t="str">
        <f t="shared" si="56"/>
        <v>L-CREDIT BAILS (LOCATIONS)</v>
      </c>
      <c r="C186" s="42"/>
      <c r="D186" s="18" t="s">
        <v>190</v>
      </c>
      <c r="E186" s="13" t="s">
        <v>185</v>
      </c>
      <c r="F186" s="43"/>
      <c r="G186" s="54">
        <f t="shared" si="61"/>
        <v>41.47</v>
      </c>
      <c r="H186" s="56">
        <f t="shared" si="62"/>
        <v>41.47</v>
      </c>
      <c r="I186" s="47">
        <f t="shared" si="60"/>
        <v>41.47</v>
      </c>
      <c r="J186" s="80"/>
      <c r="K186" s="77" t="s">
        <v>22</v>
      </c>
      <c r="L186" s="79">
        <v>42505</v>
      </c>
      <c r="M186" s="13" t="s">
        <v>310</v>
      </c>
      <c r="N186" s="78">
        <v>19</v>
      </c>
      <c r="O186" s="33" t="s">
        <v>36</v>
      </c>
      <c r="P186" s="13"/>
      <c r="Q186" s="13"/>
      <c r="R186" s="26"/>
      <c r="S186" s="70"/>
      <c r="T186" s="67"/>
    </row>
    <row r="187" spans="1:20" s="4" customFormat="1" ht="18" customHeight="1">
      <c r="A187" s="9" t="str">
        <f t="shared" si="55"/>
        <v>1 -Charges fixes</v>
      </c>
      <c r="B187" s="42" t="str">
        <f t="shared" si="56"/>
        <v>L-CREDIT BAILS (LOCATIONS)</v>
      </c>
      <c r="C187" s="42"/>
      <c r="D187" s="18" t="s">
        <v>191</v>
      </c>
      <c r="E187" s="13" t="s">
        <v>185</v>
      </c>
      <c r="F187" s="43"/>
      <c r="G187" s="54">
        <f t="shared" si="61"/>
        <v>41.47</v>
      </c>
      <c r="H187" s="56">
        <f t="shared" si="62"/>
        <v>41.47</v>
      </c>
      <c r="I187" s="47">
        <f t="shared" si="60"/>
        <v>41.47</v>
      </c>
      <c r="J187" s="80"/>
      <c r="K187" s="77" t="s">
        <v>22</v>
      </c>
      <c r="L187" s="79">
        <v>42536</v>
      </c>
      <c r="M187" s="13" t="s">
        <v>310</v>
      </c>
      <c r="N187" s="78">
        <v>24</v>
      </c>
      <c r="O187" s="33" t="s">
        <v>36</v>
      </c>
      <c r="P187" s="13"/>
      <c r="Q187" s="13"/>
      <c r="R187" s="26"/>
      <c r="S187" s="70"/>
      <c r="T187" s="67"/>
    </row>
    <row r="188" spans="1:20" s="4" customFormat="1" ht="18" customHeight="1">
      <c r="A188" s="9" t="str">
        <f t="shared" si="55"/>
        <v>1 -Charges fixes</v>
      </c>
      <c r="B188" s="42" t="str">
        <f t="shared" si="56"/>
        <v>L-CREDIT BAILS (LOCATIONS)</v>
      </c>
      <c r="C188" s="42"/>
      <c r="D188" s="18" t="s">
        <v>192</v>
      </c>
      <c r="E188" s="13" t="s">
        <v>185</v>
      </c>
      <c r="F188" s="43"/>
      <c r="G188" s="54">
        <f t="shared" si="61"/>
        <v>41.47</v>
      </c>
      <c r="H188" s="56">
        <f t="shared" si="62"/>
        <v>41.47</v>
      </c>
      <c r="I188" s="47">
        <f t="shared" si="60"/>
        <v>41.47</v>
      </c>
      <c r="J188" s="80"/>
      <c r="K188" s="77" t="s">
        <v>22</v>
      </c>
      <c r="L188" s="79">
        <v>42566</v>
      </c>
      <c r="M188" s="13" t="s">
        <v>310</v>
      </c>
      <c r="N188" s="78">
        <v>28</v>
      </c>
      <c r="O188" s="33" t="s">
        <v>36</v>
      </c>
      <c r="P188" s="13"/>
      <c r="Q188" s="13"/>
      <c r="R188" s="26"/>
      <c r="S188" s="70"/>
      <c r="T188" s="67"/>
    </row>
    <row r="189" spans="1:20" s="4" customFormat="1" ht="18" customHeight="1">
      <c r="A189" s="9" t="str">
        <f t="shared" si="55"/>
        <v>1 -Charges fixes</v>
      </c>
      <c r="B189" s="42" t="str">
        <f t="shared" si="56"/>
        <v>L-CREDIT BAILS (LOCATIONS)</v>
      </c>
      <c r="C189" s="42"/>
      <c r="D189" s="18" t="s">
        <v>193</v>
      </c>
      <c r="E189" s="13" t="s">
        <v>185</v>
      </c>
      <c r="F189" s="43"/>
      <c r="G189" s="54">
        <f t="shared" si="61"/>
        <v>41.47</v>
      </c>
      <c r="H189" s="56">
        <f t="shared" si="62"/>
        <v>41.47</v>
      </c>
      <c r="I189" s="47">
        <f t="shared" si="60"/>
        <v>41.47</v>
      </c>
      <c r="J189" s="80"/>
      <c r="K189" s="77" t="s">
        <v>22</v>
      </c>
      <c r="L189" s="81">
        <v>42597</v>
      </c>
      <c r="M189" s="13" t="s">
        <v>310</v>
      </c>
      <c r="N189" s="78">
        <v>33</v>
      </c>
      <c r="O189" s="33" t="s">
        <v>36</v>
      </c>
      <c r="P189" s="13"/>
      <c r="Q189" s="13"/>
      <c r="R189" s="26"/>
      <c r="S189" s="70"/>
      <c r="T189" s="67"/>
    </row>
    <row r="190" spans="1:20" s="4" customFormat="1" ht="18" customHeight="1">
      <c r="A190" s="9" t="str">
        <f t="shared" si="55"/>
        <v>1 -Charges fixes</v>
      </c>
      <c r="B190" s="42" t="str">
        <f t="shared" si="56"/>
        <v>L-CREDIT BAILS (LOCATIONS)</v>
      </c>
      <c r="C190" s="42"/>
      <c r="D190" s="18" t="s">
        <v>194</v>
      </c>
      <c r="E190" s="13" t="s">
        <v>185</v>
      </c>
      <c r="F190" s="43"/>
      <c r="G190" s="54">
        <f t="shared" si="61"/>
        <v>41.47</v>
      </c>
      <c r="H190" s="56">
        <f t="shared" si="62"/>
        <v>41.47</v>
      </c>
      <c r="I190" s="47">
        <f t="shared" si="60"/>
        <v>41.47</v>
      </c>
      <c r="J190" s="80"/>
      <c r="K190" s="77" t="s">
        <v>22</v>
      </c>
      <c r="L190" s="79">
        <v>42628</v>
      </c>
      <c r="M190" s="13" t="s">
        <v>310</v>
      </c>
      <c r="N190" s="78">
        <v>37</v>
      </c>
      <c r="O190" s="33" t="s">
        <v>36</v>
      </c>
      <c r="P190" s="13"/>
      <c r="Q190" s="13"/>
      <c r="R190" s="26"/>
      <c r="S190" s="70"/>
      <c r="T190" s="67"/>
    </row>
    <row r="191" spans="1:20" s="4" customFormat="1" ht="18" customHeight="1">
      <c r="A191" s="9" t="str">
        <f t="shared" si="55"/>
        <v>1 -Charges fixes</v>
      </c>
      <c r="B191" s="42" t="str">
        <f t="shared" si="56"/>
        <v>L-CREDIT BAILS (LOCATIONS)</v>
      </c>
      <c r="C191" s="42"/>
      <c r="D191" s="18" t="s">
        <v>195</v>
      </c>
      <c r="E191" s="13" t="s">
        <v>185</v>
      </c>
      <c r="F191" s="43"/>
      <c r="G191" s="54">
        <f t="shared" si="61"/>
        <v>41.47</v>
      </c>
      <c r="H191" s="56">
        <f t="shared" si="62"/>
        <v>41.47</v>
      </c>
      <c r="I191" s="47">
        <f t="shared" si="60"/>
        <v>41.47</v>
      </c>
      <c r="J191" s="80"/>
      <c r="K191" s="77" t="s">
        <v>22</v>
      </c>
      <c r="L191" s="79">
        <v>42658</v>
      </c>
      <c r="M191" s="13" t="s">
        <v>310</v>
      </c>
      <c r="N191" s="78">
        <v>41</v>
      </c>
      <c r="O191" s="33" t="s">
        <v>36</v>
      </c>
      <c r="P191" s="13"/>
      <c r="Q191" s="13"/>
      <c r="R191" s="26"/>
      <c r="S191" s="70"/>
      <c r="T191" s="67"/>
    </row>
    <row r="192" spans="1:20" s="63" customFormat="1" ht="18" customHeight="1">
      <c r="A192" s="9" t="str">
        <f t="shared" si="55"/>
        <v>1 -Charges fixes</v>
      </c>
      <c r="B192" s="42" t="str">
        <f t="shared" si="56"/>
        <v>L-CREDIT BAILS (LOCATIONS)</v>
      </c>
      <c r="C192" s="42"/>
      <c r="D192" s="18" t="s">
        <v>196</v>
      </c>
      <c r="E192" s="13" t="s">
        <v>185</v>
      </c>
      <c r="F192" s="59"/>
      <c r="G192" s="54">
        <f t="shared" si="61"/>
        <v>41.47</v>
      </c>
      <c r="H192" s="56">
        <f t="shared" si="62"/>
        <v>41.47</v>
      </c>
      <c r="I192" s="47">
        <f t="shared" si="60"/>
        <v>41.47</v>
      </c>
      <c r="J192" s="80"/>
      <c r="K192" s="77" t="s">
        <v>22</v>
      </c>
      <c r="L192" s="79">
        <v>42689</v>
      </c>
      <c r="M192" s="13" t="s">
        <v>310</v>
      </c>
      <c r="N192" s="78">
        <v>46</v>
      </c>
      <c r="O192" s="33" t="s">
        <v>36</v>
      </c>
      <c r="P192" s="58"/>
      <c r="Q192" s="58"/>
      <c r="R192" s="26"/>
      <c r="S192" s="70"/>
      <c r="T192" s="67"/>
    </row>
    <row r="193" spans="1:20" s="4" customFormat="1" ht="18" customHeight="1">
      <c r="A193" s="9" t="str">
        <f t="shared" si="55"/>
        <v>1 -Charges fixes</v>
      </c>
      <c r="B193" s="42" t="str">
        <f t="shared" si="56"/>
        <v>L-CREDIT BAILS (LOCATIONS)</v>
      </c>
      <c r="C193" s="42"/>
      <c r="D193" s="18" t="s">
        <v>197</v>
      </c>
      <c r="E193" s="13" t="s">
        <v>185</v>
      </c>
      <c r="F193" s="43"/>
      <c r="G193" s="54">
        <f t="shared" si="61"/>
        <v>41.47</v>
      </c>
      <c r="H193" s="56">
        <f t="shared" si="62"/>
        <v>41.47</v>
      </c>
      <c r="I193" s="47">
        <f t="shared" si="60"/>
        <v>41.47</v>
      </c>
      <c r="J193" s="80"/>
      <c r="K193" s="77" t="s">
        <v>22</v>
      </c>
      <c r="L193" s="79">
        <v>42719</v>
      </c>
      <c r="M193" s="13" t="s">
        <v>310</v>
      </c>
      <c r="N193" s="78">
        <v>50</v>
      </c>
      <c r="O193" s="33" t="s">
        <v>36</v>
      </c>
      <c r="P193" s="13"/>
      <c r="Q193" s="13"/>
      <c r="R193" s="26"/>
      <c r="S193" s="70"/>
      <c r="T193" s="67"/>
    </row>
    <row r="194" spans="1:20" s="4" customFormat="1" ht="18" customHeight="1">
      <c r="A194" s="9" t="str">
        <f t="shared" si="55"/>
        <v>1 -Charges fixes</v>
      </c>
      <c r="B194" s="42" t="str">
        <f t="shared" si="56"/>
        <v>L-CREDIT BAILS (LOCATIONS)</v>
      </c>
      <c r="C194" s="42"/>
      <c r="D194" s="18" t="s">
        <v>186</v>
      </c>
      <c r="E194" s="13" t="s">
        <v>185</v>
      </c>
      <c r="F194" s="43"/>
      <c r="G194" s="54">
        <v>676.65</v>
      </c>
      <c r="H194" s="55">
        <v>676.65</v>
      </c>
      <c r="I194" s="47">
        <f>+H194</f>
        <v>676.65</v>
      </c>
      <c r="J194" s="39" t="s">
        <v>21</v>
      </c>
      <c r="K194" s="13"/>
      <c r="L194" s="79">
        <v>42384</v>
      </c>
      <c r="M194" s="13" t="s">
        <v>310</v>
      </c>
      <c r="N194" s="78">
        <v>2</v>
      </c>
      <c r="O194" s="33" t="s">
        <v>36</v>
      </c>
      <c r="P194" s="13"/>
      <c r="Q194" s="13"/>
      <c r="R194" s="26"/>
      <c r="S194" s="70"/>
      <c r="T194" s="67"/>
    </row>
    <row r="195" spans="1:20" s="4" customFormat="1" ht="18" customHeight="1">
      <c r="A195" s="9" t="str">
        <f t="shared" si="55"/>
        <v>1 -Charges fixes</v>
      </c>
      <c r="B195" s="42" t="str">
        <f t="shared" si="56"/>
        <v>L-CREDIT BAILS (LOCATIONS)</v>
      </c>
      <c r="C195" s="42"/>
      <c r="D195" s="18" t="s">
        <v>187</v>
      </c>
      <c r="E195" s="13" t="s">
        <v>185</v>
      </c>
      <c r="F195" s="43"/>
      <c r="G195" s="54">
        <f>+G194</f>
        <v>676.65</v>
      </c>
      <c r="H195" s="55">
        <f>+H194</f>
        <v>676.65</v>
      </c>
      <c r="I195" s="47">
        <f>+H195</f>
        <v>676.65</v>
      </c>
      <c r="J195" s="39" t="s">
        <v>21</v>
      </c>
      <c r="K195" s="13"/>
      <c r="L195" s="79">
        <v>42415</v>
      </c>
      <c r="M195" s="13" t="s">
        <v>310</v>
      </c>
      <c r="N195" s="78">
        <v>7</v>
      </c>
      <c r="O195" s="33" t="s">
        <v>36</v>
      </c>
      <c r="P195" s="13"/>
      <c r="Q195" s="13"/>
      <c r="R195" s="26"/>
      <c r="S195" s="70"/>
      <c r="T195" s="67"/>
    </row>
    <row r="196" spans="1:20" s="4" customFormat="1" ht="18" customHeight="1">
      <c r="A196" s="9" t="str">
        <f t="shared" si="55"/>
        <v>1 -Charges fixes</v>
      </c>
      <c r="B196" s="42" t="str">
        <f t="shared" si="56"/>
        <v>L-CREDIT BAILS (LOCATIONS)</v>
      </c>
      <c r="C196" s="42"/>
      <c r="D196" s="18" t="s">
        <v>188</v>
      </c>
      <c r="E196" s="13" t="s">
        <v>185</v>
      </c>
      <c r="F196" s="43"/>
      <c r="G196" s="54">
        <f>+G195</f>
        <v>676.65</v>
      </c>
      <c r="H196" s="56">
        <v>676.65</v>
      </c>
      <c r="I196" s="47">
        <f t="shared" ref="I196:I205" si="63">+H196</f>
        <v>676.65</v>
      </c>
      <c r="J196" s="39" t="s">
        <v>21</v>
      </c>
      <c r="K196" s="13"/>
      <c r="L196" s="79">
        <v>42444</v>
      </c>
      <c r="M196" s="13" t="s">
        <v>310</v>
      </c>
      <c r="N196" s="78">
        <v>11</v>
      </c>
      <c r="O196" s="33" t="s">
        <v>36</v>
      </c>
      <c r="P196" s="13"/>
      <c r="Q196" s="13"/>
      <c r="R196" s="26"/>
      <c r="S196" s="70"/>
      <c r="T196" s="67"/>
    </row>
    <row r="197" spans="1:20" s="4" customFormat="1" ht="18" customHeight="1">
      <c r="A197" s="9" t="str">
        <f t="shared" si="55"/>
        <v>1 -Charges fixes</v>
      </c>
      <c r="B197" s="42" t="str">
        <f t="shared" si="56"/>
        <v>L-CREDIT BAILS (LOCATIONS)</v>
      </c>
      <c r="C197" s="42"/>
      <c r="D197" s="18" t="s">
        <v>189</v>
      </c>
      <c r="E197" s="13" t="s">
        <v>185</v>
      </c>
      <c r="F197" s="43"/>
      <c r="G197" s="54">
        <f t="shared" ref="G197:G205" si="64">+G196</f>
        <v>676.65</v>
      </c>
      <c r="H197" s="56">
        <f t="shared" ref="H197:H205" si="65">+IF(K197="ENGAGE A CE JOUR",G197,"ERREUR")</f>
        <v>676.65</v>
      </c>
      <c r="I197" s="47">
        <f t="shared" si="63"/>
        <v>676.65</v>
      </c>
      <c r="J197" s="80"/>
      <c r="K197" s="77" t="s">
        <v>22</v>
      </c>
      <c r="L197" s="79">
        <v>42475</v>
      </c>
      <c r="M197" s="13" t="s">
        <v>310</v>
      </c>
      <c r="N197" s="78">
        <v>15</v>
      </c>
      <c r="O197" s="33" t="s">
        <v>36</v>
      </c>
      <c r="P197" s="13"/>
      <c r="Q197" s="13"/>
      <c r="R197" s="26"/>
      <c r="S197" s="70"/>
      <c r="T197" s="67"/>
    </row>
    <row r="198" spans="1:20" s="4" customFormat="1" ht="18" customHeight="1">
      <c r="A198" s="9" t="str">
        <f t="shared" si="55"/>
        <v>1 -Charges fixes</v>
      </c>
      <c r="B198" s="42" t="str">
        <f t="shared" si="56"/>
        <v>L-CREDIT BAILS (LOCATIONS)</v>
      </c>
      <c r="C198" s="42"/>
      <c r="D198" s="18" t="s">
        <v>190</v>
      </c>
      <c r="E198" s="13" t="s">
        <v>185</v>
      </c>
      <c r="F198" s="43"/>
      <c r="G198" s="54">
        <f t="shared" si="64"/>
        <v>676.65</v>
      </c>
      <c r="H198" s="56">
        <f t="shared" si="65"/>
        <v>676.65</v>
      </c>
      <c r="I198" s="47">
        <f t="shared" si="63"/>
        <v>676.65</v>
      </c>
      <c r="J198" s="80"/>
      <c r="K198" s="77" t="s">
        <v>22</v>
      </c>
      <c r="L198" s="79">
        <v>42505</v>
      </c>
      <c r="M198" s="13" t="s">
        <v>310</v>
      </c>
      <c r="N198" s="78">
        <v>19</v>
      </c>
      <c r="O198" s="33" t="s">
        <v>36</v>
      </c>
      <c r="P198" s="13"/>
      <c r="Q198" s="13"/>
      <c r="R198" s="26"/>
      <c r="S198" s="70"/>
      <c r="T198" s="67"/>
    </row>
    <row r="199" spans="1:20" s="4" customFormat="1" ht="18" customHeight="1">
      <c r="A199" s="9" t="str">
        <f t="shared" si="55"/>
        <v>1 -Charges fixes</v>
      </c>
      <c r="B199" s="42" t="str">
        <f t="shared" si="56"/>
        <v>L-CREDIT BAILS (LOCATIONS)</v>
      </c>
      <c r="C199" s="42"/>
      <c r="D199" s="18" t="s">
        <v>191</v>
      </c>
      <c r="E199" s="13" t="s">
        <v>185</v>
      </c>
      <c r="F199" s="43"/>
      <c r="G199" s="54">
        <f t="shared" si="64"/>
        <v>676.65</v>
      </c>
      <c r="H199" s="56">
        <f t="shared" si="65"/>
        <v>676.65</v>
      </c>
      <c r="I199" s="47">
        <f t="shared" si="63"/>
        <v>676.65</v>
      </c>
      <c r="J199" s="80"/>
      <c r="K199" s="77" t="s">
        <v>22</v>
      </c>
      <c r="L199" s="79">
        <v>42536</v>
      </c>
      <c r="M199" s="13" t="s">
        <v>310</v>
      </c>
      <c r="N199" s="78">
        <v>24</v>
      </c>
      <c r="O199" s="33" t="s">
        <v>36</v>
      </c>
      <c r="P199" s="13"/>
      <c r="Q199" s="13"/>
      <c r="R199" s="26"/>
      <c r="S199" s="70"/>
      <c r="T199" s="67"/>
    </row>
    <row r="200" spans="1:20" s="4" customFormat="1" ht="18" customHeight="1">
      <c r="A200" s="9" t="str">
        <f t="shared" si="55"/>
        <v>1 -Charges fixes</v>
      </c>
      <c r="B200" s="42" t="str">
        <f t="shared" si="56"/>
        <v>L-CREDIT BAILS (LOCATIONS)</v>
      </c>
      <c r="C200" s="42"/>
      <c r="D200" s="18" t="s">
        <v>192</v>
      </c>
      <c r="E200" s="13" t="s">
        <v>185</v>
      </c>
      <c r="F200" s="43"/>
      <c r="G200" s="54">
        <f t="shared" si="64"/>
        <v>676.65</v>
      </c>
      <c r="H200" s="56">
        <f t="shared" si="65"/>
        <v>676.65</v>
      </c>
      <c r="I200" s="47">
        <f t="shared" si="63"/>
        <v>676.65</v>
      </c>
      <c r="J200" s="80"/>
      <c r="K200" s="77" t="s">
        <v>22</v>
      </c>
      <c r="L200" s="79">
        <v>42566</v>
      </c>
      <c r="M200" s="13" t="s">
        <v>310</v>
      </c>
      <c r="N200" s="78">
        <v>28</v>
      </c>
      <c r="O200" s="33" t="s">
        <v>36</v>
      </c>
      <c r="P200" s="13"/>
      <c r="Q200" s="13"/>
      <c r="R200" s="26"/>
      <c r="S200" s="70"/>
      <c r="T200" s="67"/>
    </row>
    <row r="201" spans="1:20" s="4" customFormat="1" ht="18" customHeight="1">
      <c r="A201" s="9" t="str">
        <f t="shared" si="55"/>
        <v>1 -Charges fixes</v>
      </c>
      <c r="B201" s="42" t="str">
        <f t="shared" si="56"/>
        <v>L-CREDIT BAILS (LOCATIONS)</v>
      </c>
      <c r="C201" s="42"/>
      <c r="D201" s="18" t="s">
        <v>193</v>
      </c>
      <c r="E201" s="13" t="s">
        <v>185</v>
      </c>
      <c r="F201" s="43"/>
      <c r="G201" s="54">
        <f t="shared" si="64"/>
        <v>676.65</v>
      </c>
      <c r="H201" s="56">
        <f t="shared" si="65"/>
        <v>676.65</v>
      </c>
      <c r="I201" s="47">
        <f t="shared" si="63"/>
        <v>676.65</v>
      </c>
      <c r="J201" s="80"/>
      <c r="K201" s="77" t="s">
        <v>22</v>
      </c>
      <c r="L201" s="81">
        <v>42597</v>
      </c>
      <c r="M201" s="13" t="s">
        <v>310</v>
      </c>
      <c r="N201" s="78">
        <v>33</v>
      </c>
      <c r="O201" s="33" t="s">
        <v>36</v>
      </c>
      <c r="P201" s="13"/>
      <c r="Q201" s="13"/>
      <c r="R201" s="26"/>
      <c r="S201" s="70"/>
      <c r="T201" s="67"/>
    </row>
    <row r="202" spans="1:20" s="4" customFormat="1" ht="18" customHeight="1">
      <c r="A202" s="9" t="str">
        <f t="shared" si="55"/>
        <v>1 -Charges fixes</v>
      </c>
      <c r="B202" s="42" t="str">
        <f t="shared" si="56"/>
        <v>L-CREDIT BAILS (LOCATIONS)</v>
      </c>
      <c r="C202" s="42"/>
      <c r="D202" s="18" t="s">
        <v>194</v>
      </c>
      <c r="E202" s="13" t="s">
        <v>185</v>
      </c>
      <c r="F202" s="43"/>
      <c r="G202" s="54">
        <f t="shared" si="64"/>
        <v>676.65</v>
      </c>
      <c r="H202" s="56">
        <f t="shared" si="65"/>
        <v>676.65</v>
      </c>
      <c r="I202" s="47">
        <f t="shared" si="63"/>
        <v>676.65</v>
      </c>
      <c r="J202" s="80"/>
      <c r="K202" s="77" t="s">
        <v>22</v>
      </c>
      <c r="L202" s="79">
        <v>42628</v>
      </c>
      <c r="M202" s="13" t="s">
        <v>310</v>
      </c>
      <c r="N202" s="78">
        <v>37</v>
      </c>
      <c r="O202" s="33" t="s">
        <v>36</v>
      </c>
      <c r="P202" s="13"/>
      <c r="Q202" s="13"/>
      <c r="R202" s="26"/>
      <c r="S202" s="70"/>
      <c r="T202" s="67"/>
    </row>
    <row r="203" spans="1:20" s="4" customFormat="1" ht="18" customHeight="1">
      <c r="A203" s="9" t="str">
        <f t="shared" si="55"/>
        <v>1 -Charges fixes</v>
      </c>
      <c r="B203" s="42" t="str">
        <f t="shared" si="56"/>
        <v>L-CREDIT BAILS (LOCATIONS)</v>
      </c>
      <c r="C203" s="42"/>
      <c r="D203" s="18" t="s">
        <v>195</v>
      </c>
      <c r="E203" s="13" t="s">
        <v>185</v>
      </c>
      <c r="F203" s="43"/>
      <c r="G203" s="54">
        <f t="shared" si="64"/>
        <v>676.65</v>
      </c>
      <c r="H203" s="56">
        <f t="shared" si="65"/>
        <v>676.65</v>
      </c>
      <c r="I203" s="47">
        <f t="shared" si="63"/>
        <v>676.65</v>
      </c>
      <c r="J203" s="80"/>
      <c r="K203" s="77" t="s">
        <v>22</v>
      </c>
      <c r="L203" s="79">
        <v>42658</v>
      </c>
      <c r="M203" s="13" t="s">
        <v>310</v>
      </c>
      <c r="N203" s="78">
        <v>41</v>
      </c>
      <c r="O203" s="33" t="s">
        <v>36</v>
      </c>
      <c r="P203" s="13"/>
      <c r="Q203" s="13"/>
      <c r="R203" s="26"/>
      <c r="S203" s="70"/>
      <c r="T203" s="67"/>
    </row>
    <row r="204" spans="1:20" s="4" customFormat="1" ht="18" customHeight="1">
      <c r="A204" s="9" t="str">
        <f t="shared" si="55"/>
        <v>1 -Charges fixes</v>
      </c>
      <c r="B204" s="42" t="str">
        <f t="shared" si="56"/>
        <v>L-CREDIT BAILS (LOCATIONS)</v>
      </c>
      <c r="C204" s="42"/>
      <c r="D204" s="18" t="s">
        <v>196</v>
      </c>
      <c r="E204" s="13" t="s">
        <v>185</v>
      </c>
      <c r="F204" s="43"/>
      <c r="G204" s="54">
        <f t="shared" si="64"/>
        <v>676.65</v>
      </c>
      <c r="H204" s="56">
        <f t="shared" si="65"/>
        <v>676.65</v>
      </c>
      <c r="I204" s="47">
        <f t="shared" si="63"/>
        <v>676.65</v>
      </c>
      <c r="J204" s="80"/>
      <c r="K204" s="77" t="s">
        <v>22</v>
      </c>
      <c r="L204" s="79">
        <v>42689</v>
      </c>
      <c r="M204" s="13" t="s">
        <v>310</v>
      </c>
      <c r="N204" s="78">
        <v>46</v>
      </c>
      <c r="O204" s="33" t="s">
        <v>36</v>
      </c>
      <c r="P204" s="13"/>
      <c r="Q204" s="13"/>
      <c r="R204" s="26"/>
      <c r="S204" s="70"/>
      <c r="T204" s="67"/>
    </row>
    <row r="205" spans="1:20" s="4" customFormat="1" ht="18" customHeight="1">
      <c r="A205" s="9" t="str">
        <f t="shared" si="55"/>
        <v>1 -Charges fixes</v>
      </c>
      <c r="B205" s="42" t="str">
        <f t="shared" si="56"/>
        <v>L-CREDIT BAILS (LOCATIONS)</v>
      </c>
      <c r="C205" s="42"/>
      <c r="D205" s="18" t="s">
        <v>197</v>
      </c>
      <c r="E205" s="13" t="s">
        <v>185</v>
      </c>
      <c r="F205" s="43"/>
      <c r="G205" s="54">
        <f t="shared" si="64"/>
        <v>676.65</v>
      </c>
      <c r="H205" s="56">
        <f t="shared" si="65"/>
        <v>676.65</v>
      </c>
      <c r="I205" s="47">
        <f t="shared" si="63"/>
        <v>676.65</v>
      </c>
      <c r="J205" s="80"/>
      <c r="K205" s="77" t="s">
        <v>22</v>
      </c>
      <c r="L205" s="79">
        <v>42719</v>
      </c>
      <c r="M205" s="13" t="s">
        <v>310</v>
      </c>
      <c r="N205" s="78">
        <v>50</v>
      </c>
      <c r="O205" s="33" t="s">
        <v>36</v>
      </c>
      <c r="P205" s="13"/>
      <c r="Q205" s="13"/>
      <c r="R205" s="26"/>
      <c r="S205" s="70"/>
      <c r="T205" s="70"/>
    </row>
    <row r="206" spans="1:20" s="4" customFormat="1" ht="18" customHeight="1">
      <c r="A206" s="10" t="str">
        <f>+A205</f>
        <v>1 -Charges fixes</v>
      </c>
      <c r="B206" s="10" t="s">
        <v>198</v>
      </c>
      <c r="C206" s="10"/>
      <c r="D206" s="10"/>
      <c r="E206" s="14"/>
      <c r="F206" s="38">
        <f>45*12</f>
        <v>540</v>
      </c>
      <c r="G206" s="45"/>
      <c r="H206" s="48"/>
      <c r="I206" s="48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s="4" customFormat="1" ht="18" customHeight="1">
      <c r="A207" s="9" t="str">
        <f t="shared" si="55"/>
        <v>1 -Charges fixes</v>
      </c>
      <c r="B207" s="42" t="str">
        <f t="shared" si="56"/>
        <v>M-FRAIS DE PEAGE</v>
      </c>
      <c r="C207" s="42"/>
      <c r="D207" s="18" t="s">
        <v>199</v>
      </c>
      <c r="E207" s="13" t="s">
        <v>211</v>
      </c>
      <c r="F207" s="43"/>
      <c r="G207" s="54">
        <v>40</v>
      </c>
      <c r="H207" s="55">
        <v>53.9</v>
      </c>
      <c r="I207" s="47">
        <f>+H207</f>
        <v>53.9</v>
      </c>
      <c r="J207" s="39" t="s">
        <v>21</v>
      </c>
      <c r="K207" s="13"/>
      <c r="L207" s="79">
        <v>42386</v>
      </c>
      <c r="M207" s="13" t="s">
        <v>38</v>
      </c>
      <c r="N207" s="78">
        <v>2</v>
      </c>
      <c r="O207" s="32">
        <v>2013</v>
      </c>
      <c r="P207" s="13"/>
      <c r="Q207" s="13"/>
      <c r="R207" s="26"/>
      <c r="S207" s="70"/>
      <c r="T207" s="70"/>
    </row>
    <row r="208" spans="1:20" s="4" customFormat="1" ht="18" customHeight="1">
      <c r="A208" s="9" t="str">
        <f t="shared" si="55"/>
        <v>1 -Charges fixes</v>
      </c>
      <c r="B208" s="42" t="str">
        <f t="shared" si="56"/>
        <v>M-FRAIS DE PEAGE</v>
      </c>
      <c r="C208" s="42"/>
      <c r="D208" s="18" t="s">
        <v>200</v>
      </c>
      <c r="E208" s="13" t="s">
        <v>211</v>
      </c>
      <c r="F208" s="43"/>
      <c r="G208" s="54">
        <f>+G207</f>
        <v>40</v>
      </c>
      <c r="H208" s="55">
        <v>78.900000000000006</v>
      </c>
      <c r="I208" s="47">
        <f>+H208</f>
        <v>78.900000000000006</v>
      </c>
      <c r="J208" s="39" t="s">
        <v>21</v>
      </c>
      <c r="K208" s="13"/>
      <c r="L208" s="79">
        <v>42417</v>
      </c>
      <c r="M208" s="13" t="s">
        <v>38</v>
      </c>
      <c r="N208" s="78">
        <v>7</v>
      </c>
      <c r="O208" s="32">
        <v>2013</v>
      </c>
      <c r="P208" s="13"/>
      <c r="Q208" s="13"/>
      <c r="R208" s="26"/>
      <c r="S208" s="70"/>
      <c r="T208" s="70"/>
    </row>
    <row r="209" spans="1:20" s="4" customFormat="1" ht="18" customHeight="1">
      <c r="A209" s="9" t="str">
        <f t="shared" si="55"/>
        <v>1 -Charges fixes</v>
      </c>
      <c r="B209" s="42" t="str">
        <f t="shared" si="56"/>
        <v>M-FRAIS DE PEAGE</v>
      </c>
      <c r="C209" s="42"/>
      <c r="D209" s="18" t="s">
        <v>201</v>
      </c>
      <c r="E209" s="13" t="s">
        <v>211</v>
      </c>
      <c r="F209" s="43"/>
      <c r="G209" s="54">
        <f>+G208</f>
        <v>40</v>
      </c>
      <c r="H209" s="56">
        <f t="shared" ref="H209:H218" si="66">+IF(K209="ENGAGE A CE JOUR",G209,"ERREUR")</f>
        <v>40</v>
      </c>
      <c r="I209" s="47">
        <f t="shared" ref="I209:I218" si="67">+H209</f>
        <v>40</v>
      </c>
      <c r="J209" s="39" t="s">
        <v>21</v>
      </c>
      <c r="K209" s="77" t="s">
        <v>22</v>
      </c>
      <c r="L209" s="79">
        <v>42446</v>
      </c>
      <c r="M209" s="13" t="s">
        <v>38</v>
      </c>
      <c r="N209" s="78">
        <v>11</v>
      </c>
      <c r="O209" s="32">
        <v>2013</v>
      </c>
      <c r="P209" s="13"/>
      <c r="Q209" s="13"/>
      <c r="R209" s="26"/>
      <c r="S209" s="70"/>
      <c r="T209" s="70"/>
    </row>
    <row r="210" spans="1:20" s="4" customFormat="1" ht="18" customHeight="1">
      <c r="A210" s="9" t="str">
        <f t="shared" si="55"/>
        <v>1 -Charges fixes</v>
      </c>
      <c r="B210" s="42" t="str">
        <f t="shared" si="56"/>
        <v>M-FRAIS DE PEAGE</v>
      </c>
      <c r="C210" s="42"/>
      <c r="D210" s="18" t="s">
        <v>202</v>
      </c>
      <c r="E210" s="13" t="s">
        <v>211</v>
      </c>
      <c r="F210" s="43"/>
      <c r="G210" s="54">
        <f t="shared" ref="G210:G218" si="68">+G209</f>
        <v>40</v>
      </c>
      <c r="H210" s="56">
        <f t="shared" si="66"/>
        <v>40</v>
      </c>
      <c r="I210" s="47">
        <f t="shared" si="67"/>
        <v>40</v>
      </c>
      <c r="J210" s="80"/>
      <c r="K210" s="77" t="s">
        <v>22</v>
      </c>
      <c r="L210" s="79">
        <v>42477</v>
      </c>
      <c r="M210" s="13" t="s">
        <v>38</v>
      </c>
      <c r="N210" s="78">
        <v>15</v>
      </c>
      <c r="O210" s="32">
        <v>2013</v>
      </c>
      <c r="P210" s="13"/>
      <c r="Q210" s="13"/>
      <c r="R210" s="26"/>
      <c r="S210" s="70"/>
      <c r="T210" s="70"/>
    </row>
    <row r="211" spans="1:20" s="4" customFormat="1" ht="18" customHeight="1">
      <c r="A211" s="9" t="str">
        <f t="shared" si="55"/>
        <v>1 -Charges fixes</v>
      </c>
      <c r="B211" s="42" t="str">
        <f t="shared" si="56"/>
        <v>M-FRAIS DE PEAGE</v>
      </c>
      <c r="C211" s="42"/>
      <c r="D211" s="18" t="s">
        <v>203</v>
      </c>
      <c r="E211" s="13" t="s">
        <v>211</v>
      </c>
      <c r="F211" s="43"/>
      <c r="G211" s="54">
        <f t="shared" si="68"/>
        <v>40</v>
      </c>
      <c r="H211" s="56">
        <f t="shared" si="66"/>
        <v>40</v>
      </c>
      <c r="I211" s="47">
        <f t="shared" si="67"/>
        <v>40</v>
      </c>
      <c r="J211" s="80"/>
      <c r="K211" s="77" t="s">
        <v>22</v>
      </c>
      <c r="L211" s="79">
        <v>42507</v>
      </c>
      <c r="M211" s="13" t="s">
        <v>38</v>
      </c>
      <c r="N211" s="78">
        <v>20</v>
      </c>
      <c r="O211" s="32">
        <v>2013</v>
      </c>
      <c r="P211" s="13"/>
      <c r="Q211" s="13"/>
      <c r="R211" s="26"/>
      <c r="S211" s="70"/>
      <c r="T211" s="70"/>
    </row>
    <row r="212" spans="1:20" s="4" customFormat="1" ht="18" customHeight="1">
      <c r="A212" s="9" t="str">
        <f t="shared" si="55"/>
        <v>1 -Charges fixes</v>
      </c>
      <c r="B212" s="42" t="str">
        <f t="shared" si="56"/>
        <v>M-FRAIS DE PEAGE</v>
      </c>
      <c r="C212" s="42"/>
      <c r="D212" s="18" t="s">
        <v>204</v>
      </c>
      <c r="E212" s="13" t="s">
        <v>211</v>
      </c>
      <c r="F212" s="43"/>
      <c r="G212" s="54">
        <f t="shared" si="68"/>
        <v>40</v>
      </c>
      <c r="H212" s="56">
        <f t="shared" si="66"/>
        <v>40</v>
      </c>
      <c r="I212" s="47">
        <f t="shared" si="67"/>
        <v>40</v>
      </c>
      <c r="J212" s="80"/>
      <c r="K212" s="77" t="s">
        <v>22</v>
      </c>
      <c r="L212" s="79">
        <v>42538</v>
      </c>
      <c r="M212" s="13" t="s">
        <v>38</v>
      </c>
      <c r="N212" s="78">
        <v>24</v>
      </c>
      <c r="O212" s="32">
        <v>2013</v>
      </c>
      <c r="P212" s="13"/>
      <c r="Q212" s="13"/>
      <c r="R212" s="26"/>
      <c r="S212" s="70"/>
      <c r="T212" s="70"/>
    </row>
    <row r="213" spans="1:20" s="4" customFormat="1" ht="18" customHeight="1">
      <c r="A213" s="9" t="str">
        <f t="shared" ref="A213:A218" si="69">+A212</f>
        <v>1 -Charges fixes</v>
      </c>
      <c r="B213" s="42" t="str">
        <f t="shared" ref="B213:B218" si="70">+B212</f>
        <v>M-FRAIS DE PEAGE</v>
      </c>
      <c r="C213" s="42"/>
      <c r="D213" s="18" t="s">
        <v>205</v>
      </c>
      <c r="E213" s="13" t="s">
        <v>211</v>
      </c>
      <c r="F213" s="43"/>
      <c r="G213" s="54">
        <f t="shared" si="68"/>
        <v>40</v>
      </c>
      <c r="H213" s="56">
        <f t="shared" si="66"/>
        <v>40</v>
      </c>
      <c r="I213" s="47">
        <f t="shared" si="67"/>
        <v>40</v>
      </c>
      <c r="J213" s="80"/>
      <c r="K213" s="77" t="s">
        <v>22</v>
      </c>
      <c r="L213" s="79">
        <v>42568</v>
      </c>
      <c r="M213" s="13" t="s">
        <v>38</v>
      </c>
      <c r="N213" s="78">
        <v>28</v>
      </c>
      <c r="O213" s="32">
        <v>2013</v>
      </c>
      <c r="P213" s="13"/>
      <c r="Q213" s="13"/>
      <c r="R213" s="26"/>
      <c r="S213" s="70"/>
      <c r="T213" s="70"/>
    </row>
    <row r="214" spans="1:20" s="4" customFormat="1" ht="18" customHeight="1">
      <c r="A214" s="9" t="str">
        <f t="shared" si="69"/>
        <v>1 -Charges fixes</v>
      </c>
      <c r="B214" s="42" t="str">
        <f t="shared" si="70"/>
        <v>M-FRAIS DE PEAGE</v>
      </c>
      <c r="C214" s="42"/>
      <c r="D214" s="18" t="s">
        <v>206</v>
      </c>
      <c r="E214" s="13" t="s">
        <v>211</v>
      </c>
      <c r="F214" s="43"/>
      <c r="G214" s="54">
        <f t="shared" si="68"/>
        <v>40</v>
      </c>
      <c r="H214" s="56">
        <f t="shared" si="66"/>
        <v>40</v>
      </c>
      <c r="I214" s="47">
        <f t="shared" si="67"/>
        <v>40</v>
      </c>
      <c r="J214" s="80"/>
      <c r="K214" s="77" t="s">
        <v>22</v>
      </c>
      <c r="L214" s="79">
        <v>42599</v>
      </c>
      <c r="M214" s="13" t="s">
        <v>38</v>
      </c>
      <c r="N214" s="78">
        <v>33</v>
      </c>
      <c r="O214" s="32">
        <v>2013</v>
      </c>
      <c r="P214" s="13"/>
      <c r="Q214" s="13"/>
      <c r="R214" s="26"/>
      <c r="S214" s="70"/>
      <c r="T214" s="70"/>
    </row>
    <row r="215" spans="1:20" s="4" customFormat="1" ht="18" customHeight="1">
      <c r="A215" s="9" t="str">
        <f t="shared" si="69"/>
        <v>1 -Charges fixes</v>
      </c>
      <c r="B215" s="42" t="str">
        <f t="shared" si="70"/>
        <v>M-FRAIS DE PEAGE</v>
      </c>
      <c r="C215" s="42"/>
      <c r="D215" s="18" t="s">
        <v>207</v>
      </c>
      <c r="E215" s="13" t="s">
        <v>211</v>
      </c>
      <c r="F215" s="43"/>
      <c r="G215" s="54">
        <f t="shared" si="68"/>
        <v>40</v>
      </c>
      <c r="H215" s="56">
        <f t="shared" si="66"/>
        <v>40</v>
      </c>
      <c r="I215" s="47">
        <f t="shared" si="67"/>
        <v>40</v>
      </c>
      <c r="J215" s="80"/>
      <c r="K215" s="77" t="s">
        <v>22</v>
      </c>
      <c r="L215" s="79">
        <v>42630</v>
      </c>
      <c r="M215" s="13" t="s">
        <v>38</v>
      </c>
      <c r="N215" s="78">
        <v>37</v>
      </c>
      <c r="O215" s="32">
        <v>2013</v>
      </c>
      <c r="P215" s="13"/>
      <c r="Q215" s="13"/>
      <c r="R215" s="26"/>
      <c r="S215" s="70"/>
      <c r="T215" s="70"/>
    </row>
    <row r="216" spans="1:20" s="4" customFormat="1" ht="18" customHeight="1">
      <c r="A216" s="9" t="str">
        <f t="shared" si="69"/>
        <v>1 -Charges fixes</v>
      </c>
      <c r="B216" s="42" t="str">
        <f t="shared" si="70"/>
        <v>M-FRAIS DE PEAGE</v>
      </c>
      <c r="C216" s="42"/>
      <c r="D216" s="18" t="s">
        <v>208</v>
      </c>
      <c r="E216" s="13" t="s">
        <v>211</v>
      </c>
      <c r="F216" s="43"/>
      <c r="G216" s="54">
        <f t="shared" si="68"/>
        <v>40</v>
      </c>
      <c r="H216" s="56">
        <f t="shared" si="66"/>
        <v>40</v>
      </c>
      <c r="I216" s="47">
        <f t="shared" si="67"/>
        <v>40</v>
      </c>
      <c r="J216" s="80"/>
      <c r="K216" s="77" t="s">
        <v>22</v>
      </c>
      <c r="L216" s="79">
        <v>42660</v>
      </c>
      <c r="M216" s="13" t="s">
        <v>38</v>
      </c>
      <c r="N216" s="78">
        <v>42</v>
      </c>
      <c r="O216" s="32" t="s">
        <v>20</v>
      </c>
      <c r="P216" s="13"/>
      <c r="Q216" s="13"/>
      <c r="R216" s="26"/>
      <c r="S216" s="70"/>
      <c r="T216" s="70"/>
    </row>
    <row r="217" spans="1:20" s="4" customFormat="1" ht="18" customHeight="1">
      <c r="A217" s="9" t="str">
        <f t="shared" si="69"/>
        <v>1 -Charges fixes</v>
      </c>
      <c r="B217" s="42" t="str">
        <f t="shared" si="70"/>
        <v>M-FRAIS DE PEAGE</v>
      </c>
      <c r="C217" s="42"/>
      <c r="D217" s="18" t="s">
        <v>209</v>
      </c>
      <c r="E217" s="13" t="s">
        <v>211</v>
      </c>
      <c r="F217" s="43"/>
      <c r="G217" s="54">
        <f t="shared" si="68"/>
        <v>40</v>
      </c>
      <c r="H217" s="56">
        <f t="shared" si="66"/>
        <v>40</v>
      </c>
      <c r="I217" s="47">
        <f t="shared" si="67"/>
        <v>40</v>
      </c>
      <c r="J217" s="80"/>
      <c r="K217" s="77" t="s">
        <v>22</v>
      </c>
      <c r="L217" s="79">
        <v>42691</v>
      </c>
      <c r="M217" s="13" t="s">
        <v>38</v>
      </c>
      <c r="N217" s="78">
        <v>46</v>
      </c>
      <c r="O217" s="32">
        <v>2013</v>
      </c>
      <c r="P217" s="13"/>
      <c r="Q217" s="13"/>
      <c r="R217" s="26"/>
      <c r="S217" s="70"/>
      <c r="T217" s="70"/>
    </row>
    <row r="218" spans="1:20" s="4" customFormat="1" ht="18" customHeight="1">
      <c r="A218" s="9" t="str">
        <f t="shared" si="69"/>
        <v>1 -Charges fixes</v>
      </c>
      <c r="B218" s="42" t="str">
        <f t="shared" si="70"/>
        <v>M-FRAIS DE PEAGE</v>
      </c>
      <c r="C218" s="42"/>
      <c r="D218" s="18" t="s">
        <v>210</v>
      </c>
      <c r="E218" s="13" t="s">
        <v>211</v>
      </c>
      <c r="F218" s="43"/>
      <c r="G218" s="54">
        <f t="shared" si="68"/>
        <v>40</v>
      </c>
      <c r="H218" s="56">
        <f t="shared" si="66"/>
        <v>40</v>
      </c>
      <c r="I218" s="47">
        <f t="shared" si="67"/>
        <v>40</v>
      </c>
      <c r="J218" s="80"/>
      <c r="K218" s="77" t="s">
        <v>22</v>
      </c>
      <c r="L218" s="79">
        <v>42721</v>
      </c>
      <c r="M218" s="13" t="s">
        <v>38</v>
      </c>
      <c r="N218" s="78">
        <v>50</v>
      </c>
      <c r="O218" s="32">
        <v>2013</v>
      </c>
      <c r="P218" s="13"/>
      <c r="Q218" s="13"/>
      <c r="R218" s="26"/>
      <c r="S218" s="70"/>
      <c r="T218" s="70"/>
    </row>
    <row r="219" spans="1:20" s="4" customFormat="1" ht="18" customHeight="1">
      <c r="A219" s="10" t="str">
        <f>+A218</f>
        <v>1 -Charges fixes</v>
      </c>
      <c r="B219" s="10" t="s">
        <v>212</v>
      </c>
      <c r="C219" s="10"/>
      <c r="D219" s="10"/>
      <c r="E219" s="14"/>
      <c r="F219" s="38">
        <f>1350*12</f>
        <v>16200</v>
      </c>
      <c r="G219" s="45"/>
      <c r="H219" s="48"/>
      <c r="I219" s="48"/>
      <c r="J219" s="14"/>
      <c r="K219" s="14"/>
      <c r="L219" s="14"/>
      <c r="M219" s="14"/>
      <c r="N219" s="14"/>
      <c r="O219" s="14"/>
      <c r="P219" s="14"/>
      <c r="Q219" s="14"/>
      <c r="R219" s="24"/>
      <c r="S219" s="66"/>
      <c r="T219" s="66"/>
    </row>
    <row r="220" spans="1:20" s="4" customFormat="1" ht="18" customHeight="1">
      <c r="A220" s="9" t="str">
        <f>+A219</f>
        <v>1 -Charges fixes</v>
      </c>
      <c r="B220" s="42" t="str">
        <f>+B219</f>
        <v>N-URSSAF CHIRURGIEN</v>
      </c>
      <c r="C220" s="42"/>
      <c r="D220" s="18" t="s">
        <v>213</v>
      </c>
      <c r="E220" s="13" t="s">
        <v>94</v>
      </c>
      <c r="F220" s="43"/>
      <c r="G220" s="54">
        <v>1350</v>
      </c>
      <c r="H220" s="55">
        <v>1313</v>
      </c>
      <c r="I220" s="47">
        <f>+H220</f>
        <v>1313</v>
      </c>
      <c r="J220" s="39" t="s">
        <v>21</v>
      </c>
      <c r="K220" s="13"/>
      <c r="L220" s="79">
        <v>42390</v>
      </c>
      <c r="M220" s="13" t="s">
        <v>38</v>
      </c>
      <c r="N220" s="78">
        <v>3</v>
      </c>
      <c r="O220" s="33" t="s">
        <v>36</v>
      </c>
      <c r="P220" s="13"/>
      <c r="Q220" s="16"/>
      <c r="R220" s="26">
        <v>42370</v>
      </c>
      <c r="S220" s="70"/>
      <c r="T220" s="67">
        <f>+H220</f>
        <v>1313</v>
      </c>
    </row>
    <row r="221" spans="1:20" s="4" customFormat="1" ht="18" customHeight="1">
      <c r="A221" s="9" t="str">
        <f t="shared" ref="A221:A231" si="71">+A220</f>
        <v>1 -Charges fixes</v>
      </c>
      <c r="B221" s="42" t="str">
        <f t="shared" ref="B221:B231" si="72">+B220</f>
        <v>N-URSSAF CHIRURGIEN</v>
      </c>
      <c r="C221" s="42"/>
      <c r="D221" s="18" t="s">
        <v>214</v>
      </c>
      <c r="E221" s="13" t="s">
        <v>94</v>
      </c>
      <c r="F221" s="43"/>
      <c r="G221" s="54">
        <f>+G220</f>
        <v>1350</v>
      </c>
      <c r="H221" s="55">
        <v>1498</v>
      </c>
      <c r="I221" s="47">
        <f>+H221</f>
        <v>1498</v>
      </c>
      <c r="J221" s="39" t="s">
        <v>21</v>
      </c>
      <c r="K221" s="13"/>
      <c r="L221" s="79">
        <v>42421</v>
      </c>
      <c r="M221" s="13" t="s">
        <v>38</v>
      </c>
      <c r="N221" s="78">
        <v>7</v>
      </c>
      <c r="O221" s="33" t="s">
        <v>36</v>
      </c>
      <c r="P221" s="13"/>
      <c r="Q221" s="13"/>
      <c r="R221" s="26">
        <v>42401</v>
      </c>
      <c r="S221" s="70"/>
      <c r="T221" s="67">
        <f>+H221</f>
        <v>1498</v>
      </c>
    </row>
    <row r="222" spans="1:20" s="63" customFormat="1" ht="18" customHeight="1">
      <c r="A222" s="9" t="str">
        <f t="shared" si="71"/>
        <v>1 -Charges fixes</v>
      </c>
      <c r="B222" s="42" t="str">
        <f t="shared" si="72"/>
        <v>N-URSSAF CHIRURGIEN</v>
      </c>
      <c r="C222" s="42"/>
      <c r="D222" s="18" t="s">
        <v>215</v>
      </c>
      <c r="E222" s="13" t="s">
        <v>94</v>
      </c>
      <c r="F222" s="43"/>
      <c r="G222" s="54">
        <f>+G221</f>
        <v>1350</v>
      </c>
      <c r="H222" s="56">
        <v>1313</v>
      </c>
      <c r="I222" s="47">
        <f t="shared" ref="I222:I231" si="73">+H222</f>
        <v>1313</v>
      </c>
      <c r="J222" s="80"/>
      <c r="K222" s="77" t="s">
        <v>22</v>
      </c>
      <c r="L222" s="79">
        <v>42450</v>
      </c>
      <c r="M222" s="13" t="s">
        <v>38</v>
      </c>
      <c r="N222" s="78">
        <v>12</v>
      </c>
      <c r="O222" s="33" t="s">
        <v>36</v>
      </c>
      <c r="P222" s="13"/>
      <c r="Q222" s="13"/>
      <c r="R222" s="26">
        <v>42430</v>
      </c>
      <c r="S222" s="70"/>
      <c r="T222" s="67">
        <f t="shared" ref="T222:T231" si="74">+G222</f>
        <v>1350</v>
      </c>
    </row>
    <row r="223" spans="1:20" s="63" customFormat="1" ht="18" customHeight="1">
      <c r="A223" s="9" t="str">
        <f t="shared" si="71"/>
        <v>1 -Charges fixes</v>
      </c>
      <c r="B223" s="42" t="str">
        <f t="shared" si="72"/>
        <v>N-URSSAF CHIRURGIEN</v>
      </c>
      <c r="C223" s="42"/>
      <c r="D223" s="18" t="s">
        <v>216</v>
      </c>
      <c r="E223" s="13" t="s">
        <v>94</v>
      </c>
      <c r="F223" s="43"/>
      <c r="G223" s="54">
        <f t="shared" ref="G223:G231" si="75">+G222</f>
        <v>1350</v>
      </c>
      <c r="H223" s="56">
        <f t="shared" ref="H223:H231" si="76">+IF(K223="ENGAGE A CE JOUR",G223,"ERREUR")</f>
        <v>1350</v>
      </c>
      <c r="I223" s="47">
        <f t="shared" si="73"/>
        <v>1350</v>
      </c>
      <c r="J223" s="80"/>
      <c r="K223" s="77" t="s">
        <v>22</v>
      </c>
      <c r="L223" s="79">
        <v>42481</v>
      </c>
      <c r="M223" s="13" t="s">
        <v>38</v>
      </c>
      <c r="N223" s="78">
        <v>16</v>
      </c>
      <c r="O223" s="33" t="s">
        <v>36</v>
      </c>
      <c r="P223" s="13"/>
      <c r="Q223" s="13"/>
      <c r="R223" s="26">
        <v>42461</v>
      </c>
      <c r="S223" s="70"/>
      <c r="T223" s="67">
        <f t="shared" si="74"/>
        <v>1350</v>
      </c>
    </row>
    <row r="224" spans="1:20" s="4" customFormat="1" ht="18" customHeight="1">
      <c r="A224" s="9" t="str">
        <f t="shared" si="71"/>
        <v>1 -Charges fixes</v>
      </c>
      <c r="B224" s="42" t="str">
        <f t="shared" si="72"/>
        <v>N-URSSAF CHIRURGIEN</v>
      </c>
      <c r="C224" s="42"/>
      <c r="D224" s="18" t="s">
        <v>217</v>
      </c>
      <c r="E224" s="13" t="s">
        <v>94</v>
      </c>
      <c r="F224" s="43"/>
      <c r="G224" s="54">
        <f t="shared" si="75"/>
        <v>1350</v>
      </c>
      <c r="H224" s="56">
        <f t="shared" si="76"/>
        <v>1350</v>
      </c>
      <c r="I224" s="47">
        <f t="shared" si="73"/>
        <v>1350</v>
      </c>
      <c r="J224" s="80"/>
      <c r="K224" s="77" t="s">
        <v>22</v>
      </c>
      <c r="L224" s="79">
        <v>42511</v>
      </c>
      <c r="M224" s="13" t="s">
        <v>38</v>
      </c>
      <c r="N224" s="78">
        <v>20</v>
      </c>
      <c r="O224" s="33" t="s">
        <v>36</v>
      </c>
      <c r="P224" s="13"/>
      <c r="Q224" s="13"/>
      <c r="R224" s="26">
        <v>42491</v>
      </c>
      <c r="S224" s="70"/>
      <c r="T224" s="67">
        <f t="shared" si="74"/>
        <v>1350</v>
      </c>
    </row>
    <row r="225" spans="1:20" s="4" customFormat="1" ht="18" customHeight="1">
      <c r="A225" s="9" t="str">
        <f t="shared" si="71"/>
        <v>1 -Charges fixes</v>
      </c>
      <c r="B225" s="42" t="str">
        <f t="shared" si="72"/>
        <v>N-URSSAF CHIRURGIEN</v>
      </c>
      <c r="C225" s="42"/>
      <c r="D225" s="18" t="s">
        <v>218</v>
      </c>
      <c r="E225" s="13" t="s">
        <v>94</v>
      </c>
      <c r="F225" s="43"/>
      <c r="G225" s="54">
        <f t="shared" si="75"/>
        <v>1350</v>
      </c>
      <c r="H225" s="56">
        <f t="shared" si="76"/>
        <v>1350</v>
      </c>
      <c r="I225" s="47">
        <f t="shared" si="73"/>
        <v>1350</v>
      </c>
      <c r="J225" s="80"/>
      <c r="K225" s="77" t="s">
        <v>22</v>
      </c>
      <c r="L225" s="79">
        <v>42542</v>
      </c>
      <c r="M225" s="13" t="s">
        <v>38</v>
      </c>
      <c r="N225" s="78">
        <v>25</v>
      </c>
      <c r="O225" s="33" t="s">
        <v>36</v>
      </c>
      <c r="P225" s="13"/>
      <c r="Q225" s="13"/>
      <c r="R225" s="26">
        <v>42522</v>
      </c>
      <c r="S225" s="70"/>
      <c r="T225" s="67">
        <f t="shared" si="74"/>
        <v>1350</v>
      </c>
    </row>
    <row r="226" spans="1:20" s="4" customFormat="1" ht="18" customHeight="1">
      <c r="A226" s="9" t="str">
        <f t="shared" si="71"/>
        <v>1 -Charges fixes</v>
      </c>
      <c r="B226" s="42" t="str">
        <f t="shared" si="72"/>
        <v>N-URSSAF CHIRURGIEN</v>
      </c>
      <c r="C226" s="42"/>
      <c r="D226" s="18" t="s">
        <v>219</v>
      </c>
      <c r="E226" s="13" t="s">
        <v>94</v>
      </c>
      <c r="F226" s="43"/>
      <c r="G226" s="54">
        <f t="shared" si="75"/>
        <v>1350</v>
      </c>
      <c r="H226" s="56">
        <f t="shared" si="76"/>
        <v>1350</v>
      </c>
      <c r="I226" s="47">
        <f t="shared" si="73"/>
        <v>1350</v>
      </c>
      <c r="J226" s="80"/>
      <c r="K226" s="77" t="s">
        <v>22</v>
      </c>
      <c r="L226" s="79">
        <v>42572</v>
      </c>
      <c r="M226" s="13" t="s">
        <v>38</v>
      </c>
      <c r="N226" s="78">
        <v>29</v>
      </c>
      <c r="O226" s="33" t="s">
        <v>36</v>
      </c>
      <c r="P226" s="13"/>
      <c r="Q226" s="13"/>
      <c r="R226" s="26">
        <v>42552</v>
      </c>
      <c r="S226" s="70"/>
      <c r="T226" s="67">
        <f t="shared" si="74"/>
        <v>1350</v>
      </c>
    </row>
    <row r="227" spans="1:20" s="4" customFormat="1" ht="18" customHeight="1">
      <c r="A227" s="9" t="str">
        <f t="shared" si="71"/>
        <v>1 -Charges fixes</v>
      </c>
      <c r="B227" s="42" t="str">
        <f t="shared" si="72"/>
        <v>N-URSSAF CHIRURGIEN</v>
      </c>
      <c r="C227" s="42"/>
      <c r="D227" s="18" t="s">
        <v>220</v>
      </c>
      <c r="E227" s="13" t="s">
        <v>94</v>
      </c>
      <c r="F227" s="59"/>
      <c r="G227" s="54">
        <f t="shared" si="75"/>
        <v>1350</v>
      </c>
      <c r="H227" s="56">
        <f t="shared" si="76"/>
        <v>1350</v>
      </c>
      <c r="I227" s="47">
        <f t="shared" si="73"/>
        <v>1350</v>
      </c>
      <c r="J227" s="80"/>
      <c r="K227" s="77" t="s">
        <v>22</v>
      </c>
      <c r="L227" s="81">
        <v>42603</v>
      </c>
      <c r="M227" s="13" t="s">
        <v>38</v>
      </c>
      <c r="N227" s="78">
        <v>33</v>
      </c>
      <c r="O227" s="33" t="s">
        <v>36</v>
      </c>
      <c r="P227" s="58"/>
      <c r="Q227" s="58"/>
      <c r="R227" s="26">
        <v>42583</v>
      </c>
      <c r="S227" s="70"/>
      <c r="T227" s="67">
        <f t="shared" si="74"/>
        <v>1350</v>
      </c>
    </row>
    <row r="228" spans="1:20" s="4" customFormat="1" ht="18" customHeight="1">
      <c r="A228" s="9" t="str">
        <f t="shared" si="71"/>
        <v>1 -Charges fixes</v>
      </c>
      <c r="B228" s="42" t="str">
        <f t="shared" si="72"/>
        <v>N-URSSAF CHIRURGIEN</v>
      </c>
      <c r="C228" s="42"/>
      <c r="D228" s="18" t="s">
        <v>221</v>
      </c>
      <c r="E228" s="13" t="s">
        <v>94</v>
      </c>
      <c r="F228" s="43"/>
      <c r="G228" s="54">
        <f t="shared" si="75"/>
        <v>1350</v>
      </c>
      <c r="H228" s="56">
        <f t="shared" si="76"/>
        <v>1350</v>
      </c>
      <c r="I228" s="47">
        <f t="shared" si="73"/>
        <v>1350</v>
      </c>
      <c r="J228" s="80"/>
      <c r="K228" s="77" t="s">
        <v>22</v>
      </c>
      <c r="L228" s="79">
        <v>42634</v>
      </c>
      <c r="M228" s="13" t="s">
        <v>38</v>
      </c>
      <c r="N228" s="78">
        <v>38</v>
      </c>
      <c r="O228" s="33" t="s">
        <v>36</v>
      </c>
      <c r="P228" s="13"/>
      <c r="Q228" s="13"/>
      <c r="R228" s="26">
        <v>42614</v>
      </c>
      <c r="S228" s="70"/>
      <c r="T228" s="67">
        <f t="shared" si="74"/>
        <v>1350</v>
      </c>
    </row>
    <row r="229" spans="1:20" s="4" customFormat="1" ht="18" customHeight="1">
      <c r="A229" s="9" t="str">
        <f t="shared" si="71"/>
        <v>1 -Charges fixes</v>
      </c>
      <c r="B229" s="42" t="str">
        <f t="shared" si="72"/>
        <v>N-URSSAF CHIRURGIEN</v>
      </c>
      <c r="C229" s="42"/>
      <c r="D229" s="18" t="s">
        <v>222</v>
      </c>
      <c r="E229" s="13" t="s">
        <v>94</v>
      </c>
      <c r="F229" s="43"/>
      <c r="G229" s="54">
        <f t="shared" si="75"/>
        <v>1350</v>
      </c>
      <c r="H229" s="56">
        <f t="shared" si="76"/>
        <v>1350</v>
      </c>
      <c r="I229" s="47">
        <f t="shared" si="73"/>
        <v>1350</v>
      </c>
      <c r="J229" s="80"/>
      <c r="K229" s="77" t="s">
        <v>22</v>
      </c>
      <c r="L229" s="79">
        <v>42664</v>
      </c>
      <c r="M229" s="13" t="s">
        <v>38</v>
      </c>
      <c r="N229" s="78">
        <v>42</v>
      </c>
      <c r="O229" s="33" t="s">
        <v>36</v>
      </c>
      <c r="P229" s="13"/>
      <c r="Q229" s="13"/>
      <c r="R229" s="26">
        <v>42644</v>
      </c>
      <c r="S229" s="70"/>
      <c r="T229" s="67">
        <f t="shared" si="74"/>
        <v>1350</v>
      </c>
    </row>
    <row r="230" spans="1:20" s="4" customFormat="1" ht="18" customHeight="1">
      <c r="A230" s="9" t="str">
        <f t="shared" si="71"/>
        <v>1 -Charges fixes</v>
      </c>
      <c r="B230" s="42" t="str">
        <f t="shared" si="72"/>
        <v>N-URSSAF CHIRURGIEN</v>
      </c>
      <c r="C230" s="42"/>
      <c r="D230" s="18" t="s">
        <v>223</v>
      </c>
      <c r="E230" s="13" t="s">
        <v>94</v>
      </c>
      <c r="F230" s="43"/>
      <c r="G230" s="54">
        <f t="shared" si="75"/>
        <v>1350</v>
      </c>
      <c r="H230" s="56">
        <f t="shared" si="76"/>
        <v>1350</v>
      </c>
      <c r="I230" s="47">
        <f t="shared" si="73"/>
        <v>1350</v>
      </c>
      <c r="J230" s="80"/>
      <c r="K230" s="77" t="s">
        <v>22</v>
      </c>
      <c r="L230" s="79">
        <v>42695</v>
      </c>
      <c r="M230" s="13" t="s">
        <v>38</v>
      </c>
      <c r="N230" s="78">
        <v>47</v>
      </c>
      <c r="O230" s="33" t="s">
        <v>36</v>
      </c>
      <c r="P230" s="13"/>
      <c r="Q230" s="13"/>
      <c r="R230" s="26">
        <v>42675</v>
      </c>
      <c r="S230" s="70"/>
      <c r="T230" s="67">
        <f t="shared" si="74"/>
        <v>1350</v>
      </c>
    </row>
    <row r="231" spans="1:20" s="4" customFormat="1" ht="18" customHeight="1">
      <c r="A231" s="9" t="str">
        <f t="shared" si="71"/>
        <v>1 -Charges fixes</v>
      </c>
      <c r="B231" s="42" t="str">
        <f t="shared" si="72"/>
        <v>N-URSSAF CHIRURGIEN</v>
      </c>
      <c r="C231" s="42"/>
      <c r="D231" s="18" t="s">
        <v>224</v>
      </c>
      <c r="E231" s="13" t="s">
        <v>94</v>
      </c>
      <c r="F231" s="43"/>
      <c r="G231" s="54">
        <f t="shared" si="75"/>
        <v>1350</v>
      </c>
      <c r="H231" s="56">
        <f t="shared" si="76"/>
        <v>1350</v>
      </c>
      <c r="I231" s="47">
        <f t="shared" si="73"/>
        <v>1350</v>
      </c>
      <c r="J231" s="80"/>
      <c r="K231" s="77" t="s">
        <v>22</v>
      </c>
      <c r="L231" s="79">
        <v>42725</v>
      </c>
      <c r="M231" s="13" t="s">
        <v>38</v>
      </c>
      <c r="N231" s="78">
        <v>51</v>
      </c>
      <c r="O231" s="33" t="s">
        <v>36</v>
      </c>
      <c r="P231" s="13"/>
      <c r="Q231" s="13"/>
      <c r="R231" s="26">
        <v>42705</v>
      </c>
      <c r="S231" s="70"/>
      <c r="T231" s="67">
        <f t="shared" si="74"/>
        <v>1350</v>
      </c>
    </row>
    <row r="232" spans="1:20" s="4" customFormat="1" ht="18" customHeight="1">
      <c r="A232" s="10" t="str">
        <f>+A231</f>
        <v>1 -Charges fixes</v>
      </c>
      <c r="B232" s="10" t="s">
        <v>225</v>
      </c>
      <c r="C232" s="10"/>
      <c r="D232" s="10"/>
      <c r="E232" s="14"/>
      <c r="F232" s="38">
        <f>66.74*12</f>
        <v>800.87999999999988</v>
      </c>
      <c r="G232" s="45"/>
      <c r="H232" s="48"/>
      <c r="I232" s="48"/>
      <c r="J232" s="14"/>
      <c r="K232" s="14"/>
      <c r="L232" s="14"/>
      <c r="M232" s="14"/>
      <c r="N232" s="14"/>
      <c r="O232" s="14"/>
      <c r="P232" s="14"/>
      <c r="Q232" s="14"/>
      <c r="R232" s="24"/>
      <c r="S232" s="66"/>
      <c r="T232" s="66"/>
    </row>
    <row r="233" spans="1:20" s="4" customFormat="1" ht="18" customHeight="1">
      <c r="A233" s="9" t="str">
        <f>+A232</f>
        <v>1 -Charges fixes</v>
      </c>
      <c r="B233" s="42" t="s">
        <v>226</v>
      </c>
      <c r="C233" s="42"/>
      <c r="D233" s="18" t="s">
        <v>115</v>
      </c>
      <c r="E233" s="13" t="s">
        <v>136</v>
      </c>
      <c r="F233" s="43"/>
      <c r="G233" s="54">
        <v>66.739999999999995</v>
      </c>
      <c r="H233" s="55">
        <v>64.38</v>
      </c>
      <c r="I233" s="47">
        <v>64.38</v>
      </c>
      <c r="J233" s="39" t="s">
        <v>21</v>
      </c>
      <c r="K233" s="13"/>
      <c r="L233" s="79">
        <v>42392</v>
      </c>
      <c r="M233" s="13" t="s">
        <v>38</v>
      </c>
      <c r="N233" s="78">
        <v>3</v>
      </c>
      <c r="O233" s="33" t="s">
        <v>36</v>
      </c>
      <c r="P233" s="13"/>
      <c r="Q233" s="13"/>
      <c r="R233" s="26"/>
      <c r="S233" s="68"/>
      <c r="T233" s="68"/>
    </row>
    <row r="234" spans="1:20" s="4" customFormat="1" ht="18" customHeight="1">
      <c r="A234" s="9" t="str">
        <f t="shared" ref="A234:A244" si="77">+A233</f>
        <v>1 -Charges fixes</v>
      </c>
      <c r="B234" s="42" t="str">
        <f>B233</f>
        <v>O-TELEPHONE ORANGE</v>
      </c>
      <c r="C234" s="42"/>
      <c r="D234" s="18" t="s">
        <v>116</v>
      </c>
      <c r="E234" s="13" t="str">
        <f>+E233</f>
        <v>ORANGE</v>
      </c>
      <c r="F234" s="43"/>
      <c r="G234" s="54">
        <f>+G233</f>
        <v>66.739999999999995</v>
      </c>
      <c r="H234" s="56">
        <v>0</v>
      </c>
      <c r="I234" s="47">
        <f>+H234</f>
        <v>0</v>
      </c>
      <c r="J234" s="39" t="s">
        <v>21</v>
      </c>
      <c r="K234" s="13"/>
      <c r="L234" s="79">
        <v>42423</v>
      </c>
      <c r="M234" s="13" t="s">
        <v>38</v>
      </c>
      <c r="N234" s="78">
        <v>8</v>
      </c>
      <c r="O234" s="33" t="s">
        <v>36</v>
      </c>
      <c r="P234" s="13"/>
      <c r="Q234" s="13"/>
      <c r="R234" s="26"/>
      <c r="S234" s="68"/>
      <c r="T234" s="68"/>
    </row>
    <row r="235" spans="1:20" s="4" customFormat="1" ht="18" customHeight="1">
      <c r="A235" s="9" t="str">
        <f t="shared" si="77"/>
        <v>1 -Charges fixes</v>
      </c>
      <c r="B235" s="42" t="str">
        <f t="shared" ref="B235:B247" si="78">B234</f>
        <v>O-TELEPHONE ORANGE</v>
      </c>
      <c r="C235" s="42"/>
      <c r="D235" s="18" t="s">
        <v>126</v>
      </c>
      <c r="E235" s="13" t="str">
        <f t="shared" ref="E235:E244" si="79">+E234</f>
        <v>ORANGE</v>
      </c>
      <c r="F235" s="43"/>
      <c r="G235" s="54">
        <f>+G234</f>
        <v>66.739999999999995</v>
      </c>
      <c r="H235" s="56">
        <f t="shared" ref="H235:H243" si="80">+IF(K235="ENGAGE A CE JOUR",G235,"ERREUR")</f>
        <v>66.739999999999995</v>
      </c>
      <c r="I235" s="47">
        <f t="shared" ref="I235:I244" si="81">+H235</f>
        <v>66.739999999999995</v>
      </c>
      <c r="J235" s="80"/>
      <c r="K235" s="77" t="s">
        <v>22</v>
      </c>
      <c r="L235" s="79">
        <v>42452</v>
      </c>
      <c r="M235" s="13" t="s">
        <v>38</v>
      </c>
      <c r="N235" s="78">
        <v>12</v>
      </c>
      <c r="O235" s="33" t="s">
        <v>36</v>
      </c>
      <c r="P235" s="13"/>
      <c r="Q235" s="13"/>
      <c r="R235" s="26"/>
      <c r="S235" s="68"/>
      <c r="T235" s="68"/>
    </row>
    <row r="236" spans="1:20" s="4" customFormat="1" ht="18" customHeight="1">
      <c r="A236" s="9" t="str">
        <f t="shared" si="77"/>
        <v>1 -Charges fixes</v>
      </c>
      <c r="B236" s="42" t="str">
        <f t="shared" si="78"/>
        <v>O-TELEPHONE ORANGE</v>
      </c>
      <c r="C236" s="42"/>
      <c r="D236" s="18" t="s">
        <v>127</v>
      </c>
      <c r="E236" s="13" t="str">
        <f t="shared" si="79"/>
        <v>ORANGE</v>
      </c>
      <c r="F236" s="43"/>
      <c r="G236" s="54">
        <f t="shared" ref="G236:G244" si="82">+G235</f>
        <v>66.739999999999995</v>
      </c>
      <c r="H236" s="56">
        <v>0</v>
      </c>
      <c r="I236" s="47">
        <f t="shared" si="81"/>
        <v>0</v>
      </c>
      <c r="J236" s="80"/>
      <c r="K236" s="77" t="s">
        <v>22</v>
      </c>
      <c r="L236" s="79">
        <v>42483</v>
      </c>
      <c r="M236" s="13" t="s">
        <v>38</v>
      </c>
      <c r="N236" s="78">
        <v>16</v>
      </c>
      <c r="O236" s="33" t="s">
        <v>36</v>
      </c>
      <c r="P236" s="13"/>
      <c r="Q236" s="13"/>
      <c r="R236" s="26"/>
      <c r="S236" s="68"/>
      <c r="T236" s="68"/>
    </row>
    <row r="237" spans="1:20" s="4" customFormat="1" ht="18" customHeight="1">
      <c r="A237" s="9" t="str">
        <f t="shared" si="77"/>
        <v>1 -Charges fixes</v>
      </c>
      <c r="B237" s="42" t="str">
        <f t="shared" si="78"/>
        <v>O-TELEPHONE ORANGE</v>
      </c>
      <c r="C237" s="42"/>
      <c r="D237" s="18" t="s">
        <v>128</v>
      </c>
      <c r="E237" s="13" t="str">
        <f t="shared" si="79"/>
        <v>ORANGE</v>
      </c>
      <c r="F237" s="43"/>
      <c r="G237" s="54">
        <f t="shared" si="82"/>
        <v>66.739999999999995</v>
      </c>
      <c r="H237" s="56">
        <f t="shared" si="80"/>
        <v>66.739999999999995</v>
      </c>
      <c r="I237" s="47">
        <f t="shared" si="81"/>
        <v>66.739999999999995</v>
      </c>
      <c r="J237" s="80"/>
      <c r="K237" s="77" t="s">
        <v>22</v>
      </c>
      <c r="L237" s="79">
        <v>42513</v>
      </c>
      <c r="M237" s="13" t="s">
        <v>38</v>
      </c>
      <c r="N237" s="78">
        <v>21</v>
      </c>
      <c r="O237" s="33" t="s">
        <v>36</v>
      </c>
      <c r="P237" s="13"/>
      <c r="Q237" s="13"/>
      <c r="R237" s="26"/>
      <c r="S237" s="68"/>
      <c r="T237" s="68"/>
    </row>
    <row r="238" spans="1:20" s="4" customFormat="1" ht="18" customHeight="1">
      <c r="A238" s="9" t="str">
        <f t="shared" si="77"/>
        <v>1 -Charges fixes</v>
      </c>
      <c r="B238" s="42" t="str">
        <f t="shared" si="78"/>
        <v>O-TELEPHONE ORANGE</v>
      </c>
      <c r="C238" s="42"/>
      <c r="D238" s="18" t="s">
        <v>129</v>
      </c>
      <c r="E238" s="13" t="str">
        <f t="shared" si="79"/>
        <v>ORANGE</v>
      </c>
      <c r="F238" s="43"/>
      <c r="G238" s="54">
        <f t="shared" si="82"/>
        <v>66.739999999999995</v>
      </c>
      <c r="H238" s="56">
        <v>0</v>
      </c>
      <c r="I238" s="47">
        <f t="shared" si="81"/>
        <v>0</v>
      </c>
      <c r="J238" s="80"/>
      <c r="K238" s="77" t="s">
        <v>22</v>
      </c>
      <c r="L238" s="79">
        <v>42544</v>
      </c>
      <c r="M238" s="13" t="s">
        <v>38</v>
      </c>
      <c r="N238" s="78">
        <v>25</v>
      </c>
      <c r="O238" s="33" t="s">
        <v>36</v>
      </c>
      <c r="P238" s="13"/>
      <c r="Q238" s="13"/>
      <c r="R238" s="26"/>
      <c r="S238" s="68"/>
      <c r="T238" s="68"/>
    </row>
    <row r="239" spans="1:20" s="4" customFormat="1" ht="18" customHeight="1">
      <c r="A239" s="9" t="str">
        <f t="shared" si="77"/>
        <v>1 -Charges fixes</v>
      </c>
      <c r="B239" s="42" t="str">
        <f t="shared" si="78"/>
        <v>O-TELEPHONE ORANGE</v>
      </c>
      <c r="C239" s="42"/>
      <c r="D239" s="18" t="s">
        <v>130</v>
      </c>
      <c r="E239" s="13" t="str">
        <f t="shared" si="79"/>
        <v>ORANGE</v>
      </c>
      <c r="F239" s="43"/>
      <c r="G239" s="54">
        <f t="shared" si="82"/>
        <v>66.739999999999995</v>
      </c>
      <c r="H239" s="56">
        <f t="shared" si="80"/>
        <v>66.739999999999995</v>
      </c>
      <c r="I239" s="47">
        <f t="shared" si="81"/>
        <v>66.739999999999995</v>
      </c>
      <c r="J239" s="80"/>
      <c r="K239" s="77" t="s">
        <v>22</v>
      </c>
      <c r="L239" s="79">
        <v>42574</v>
      </c>
      <c r="M239" s="13" t="s">
        <v>38</v>
      </c>
      <c r="N239" s="78">
        <v>29</v>
      </c>
      <c r="O239" s="33" t="s">
        <v>36</v>
      </c>
      <c r="P239" s="13"/>
      <c r="Q239" s="13"/>
      <c r="R239" s="26"/>
      <c r="S239" s="68"/>
      <c r="T239" s="68"/>
    </row>
    <row r="240" spans="1:20" s="4" customFormat="1" ht="18" customHeight="1">
      <c r="A240" s="9" t="str">
        <f t="shared" si="77"/>
        <v>1 -Charges fixes</v>
      </c>
      <c r="B240" s="42" t="str">
        <f t="shared" si="78"/>
        <v>O-TELEPHONE ORANGE</v>
      </c>
      <c r="C240" s="42"/>
      <c r="D240" s="18" t="s">
        <v>131</v>
      </c>
      <c r="E240" s="13" t="str">
        <f t="shared" si="79"/>
        <v>ORANGE</v>
      </c>
      <c r="F240" s="43"/>
      <c r="G240" s="54">
        <f t="shared" si="82"/>
        <v>66.739999999999995</v>
      </c>
      <c r="H240" s="56">
        <v>0</v>
      </c>
      <c r="I240" s="47">
        <f t="shared" si="81"/>
        <v>0</v>
      </c>
      <c r="J240" s="80"/>
      <c r="K240" s="77" t="s">
        <v>22</v>
      </c>
      <c r="L240" s="79">
        <v>42605</v>
      </c>
      <c r="M240" s="13" t="s">
        <v>38</v>
      </c>
      <c r="N240" s="78">
        <v>34</v>
      </c>
      <c r="O240" s="33" t="s">
        <v>36</v>
      </c>
      <c r="P240" s="13"/>
      <c r="Q240" s="13"/>
      <c r="R240" s="26"/>
      <c r="S240" s="68"/>
      <c r="T240" s="68"/>
    </row>
    <row r="241" spans="1:20" s="4" customFormat="1" ht="18" customHeight="1">
      <c r="A241" s="9" t="str">
        <f t="shared" si="77"/>
        <v>1 -Charges fixes</v>
      </c>
      <c r="B241" s="42" t="str">
        <f t="shared" si="78"/>
        <v>O-TELEPHONE ORANGE</v>
      </c>
      <c r="C241" s="42"/>
      <c r="D241" s="18" t="s">
        <v>132</v>
      </c>
      <c r="E241" s="13" t="str">
        <f t="shared" si="79"/>
        <v>ORANGE</v>
      </c>
      <c r="F241" s="43"/>
      <c r="G241" s="54">
        <f t="shared" si="82"/>
        <v>66.739999999999995</v>
      </c>
      <c r="H241" s="56">
        <f t="shared" si="80"/>
        <v>66.739999999999995</v>
      </c>
      <c r="I241" s="47">
        <f t="shared" si="81"/>
        <v>66.739999999999995</v>
      </c>
      <c r="J241" s="80"/>
      <c r="K241" s="77" t="s">
        <v>22</v>
      </c>
      <c r="L241" s="79">
        <v>42636</v>
      </c>
      <c r="M241" s="13" t="s">
        <v>38</v>
      </c>
      <c r="N241" s="78">
        <v>38</v>
      </c>
      <c r="O241" s="33" t="s">
        <v>36</v>
      </c>
      <c r="P241" s="13"/>
      <c r="Q241" s="13"/>
      <c r="R241" s="26"/>
      <c r="S241" s="68"/>
      <c r="T241" s="68"/>
    </row>
    <row r="242" spans="1:20" s="4" customFormat="1" ht="18" customHeight="1">
      <c r="A242" s="9" t="str">
        <f t="shared" si="77"/>
        <v>1 -Charges fixes</v>
      </c>
      <c r="B242" s="42" t="str">
        <f t="shared" si="78"/>
        <v>O-TELEPHONE ORANGE</v>
      </c>
      <c r="C242" s="42"/>
      <c r="D242" s="18" t="s">
        <v>133</v>
      </c>
      <c r="E242" s="13" t="str">
        <f t="shared" si="79"/>
        <v>ORANGE</v>
      </c>
      <c r="F242" s="43"/>
      <c r="G242" s="54">
        <f t="shared" si="82"/>
        <v>66.739999999999995</v>
      </c>
      <c r="H242" s="56">
        <v>0</v>
      </c>
      <c r="I242" s="47">
        <f t="shared" si="81"/>
        <v>0</v>
      </c>
      <c r="J242" s="80"/>
      <c r="K242" s="77" t="s">
        <v>22</v>
      </c>
      <c r="L242" s="79">
        <v>42666</v>
      </c>
      <c r="M242" s="13" t="s">
        <v>38</v>
      </c>
      <c r="N242" s="78">
        <v>42</v>
      </c>
      <c r="O242" s="33" t="s">
        <v>36</v>
      </c>
      <c r="P242" s="13"/>
      <c r="Q242" s="13"/>
      <c r="R242" s="26"/>
      <c r="S242" s="68"/>
      <c r="T242" s="68"/>
    </row>
    <row r="243" spans="1:20" s="4" customFormat="1" ht="18" customHeight="1">
      <c r="A243" s="9" t="str">
        <f t="shared" si="77"/>
        <v>1 -Charges fixes</v>
      </c>
      <c r="B243" s="42" t="str">
        <f t="shared" si="78"/>
        <v>O-TELEPHONE ORANGE</v>
      </c>
      <c r="C243" s="42"/>
      <c r="D243" s="18" t="s">
        <v>134</v>
      </c>
      <c r="E243" s="13" t="str">
        <f t="shared" si="79"/>
        <v>ORANGE</v>
      </c>
      <c r="F243" s="43"/>
      <c r="G243" s="54">
        <f t="shared" si="82"/>
        <v>66.739999999999995</v>
      </c>
      <c r="H243" s="56">
        <f t="shared" si="80"/>
        <v>66.739999999999995</v>
      </c>
      <c r="I243" s="47">
        <f t="shared" si="81"/>
        <v>66.739999999999995</v>
      </c>
      <c r="J243" s="80"/>
      <c r="K243" s="77" t="s">
        <v>22</v>
      </c>
      <c r="L243" s="79">
        <v>42697</v>
      </c>
      <c r="M243" s="13" t="s">
        <v>38</v>
      </c>
      <c r="N243" s="78">
        <v>47</v>
      </c>
      <c r="O243" s="33" t="s">
        <v>36</v>
      </c>
      <c r="P243" s="13"/>
      <c r="Q243" s="13"/>
      <c r="R243" s="26"/>
      <c r="S243" s="68"/>
      <c r="T243" s="68"/>
    </row>
    <row r="244" spans="1:20" s="4" customFormat="1" ht="18" customHeight="1">
      <c r="A244" s="9" t="str">
        <f t="shared" si="77"/>
        <v>1 -Charges fixes</v>
      </c>
      <c r="B244" s="42" t="str">
        <f t="shared" si="78"/>
        <v>O-TELEPHONE ORANGE</v>
      </c>
      <c r="C244" s="42"/>
      <c r="D244" s="18" t="s">
        <v>227</v>
      </c>
      <c r="E244" s="13" t="str">
        <f t="shared" si="79"/>
        <v>ORANGE</v>
      </c>
      <c r="F244" s="43"/>
      <c r="G244" s="54">
        <f t="shared" si="82"/>
        <v>66.739999999999995</v>
      </c>
      <c r="H244" s="56">
        <v>0</v>
      </c>
      <c r="I244" s="47">
        <f t="shared" si="81"/>
        <v>0</v>
      </c>
      <c r="J244" s="80"/>
      <c r="K244" s="77" t="s">
        <v>22</v>
      </c>
      <c r="L244" s="79">
        <v>42727</v>
      </c>
      <c r="M244" s="13" t="s">
        <v>38</v>
      </c>
      <c r="N244" s="78">
        <v>51</v>
      </c>
      <c r="O244" s="33" t="s">
        <v>36</v>
      </c>
      <c r="P244" s="13"/>
      <c r="Q244" s="13"/>
      <c r="R244" s="26"/>
      <c r="S244" s="68"/>
      <c r="T244" s="68"/>
    </row>
    <row r="245" spans="1:20" s="4" customFormat="1" ht="18" customHeight="1">
      <c r="A245" s="10" t="str">
        <f>+A244</f>
        <v>1 -Charges fixes</v>
      </c>
      <c r="B245" s="10" t="s">
        <v>228</v>
      </c>
      <c r="C245" s="10"/>
      <c r="D245" s="10"/>
      <c r="E245" s="14"/>
      <c r="F245" s="38">
        <f>1789.51*12+(3106+829+141+93)*4</f>
        <v>38150.119999999995</v>
      </c>
      <c r="G245" s="45"/>
      <c r="H245" s="48"/>
      <c r="I245" s="48"/>
      <c r="J245" s="14"/>
      <c r="K245" s="14"/>
      <c r="L245" s="14"/>
      <c r="M245" s="14"/>
      <c r="N245" s="14"/>
      <c r="O245" s="14"/>
      <c r="P245" s="14"/>
      <c r="Q245" s="14"/>
      <c r="R245" s="24"/>
      <c r="S245" s="66"/>
      <c r="T245" s="66"/>
    </row>
    <row r="246" spans="1:20" s="4" customFormat="1" ht="18" customHeight="1">
      <c r="A246" s="9" t="str">
        <f>+A245</f>
        <v>1 -Charges fixes</v>
      </c>
      <c r="B246" s="42" t="str">
        <f t="shared" si="78"/>
        <v>P-SALAIRE ASSISTANTE</v>
      </c>
      <c r="C246" s="42"/>
      <c r="D246" s="18" t="s">
        <v>229</v>
      </c>
      <c r="E246" s="13" t="s">
        <v>561</v>
      </c>
      <c r="F246" s="43"/>
      <c r="G246" s="54">
        <v>1789.51</v>
      </c>
      <c r="H246" s="55">
        <v>1789.51</v>
      </c>
      <c r="I246" s="47">
        <v>1789.51</v>
      </c>
      <c r="J246" s="39" t="s">
        <v>21</v>
      </c>
      <c r="K246" s="13"/>
      <c r="L246" s="79">
        <v>42392</v>
      </c>
      <c r="M246" s="13" t="s">
        <v>267</v>
      </c>
      <c r="N246" s="78">
        <v>3</v>
      </c>
      <c r="O246" s="33" t="s">
        <v>36</v>
      </c>
      <c r="P246" s="13"/>
      <c r="Q246" s="13"/>
      <c r="R246" s="26">
        <v>42370</v>
      </c>
      <c r="S246" s="70">
        <f t="shared" ref="S246:S257" si="83">+G246</f>
        <v>1789.51</v>
      </c>
      <c r="T246" s="67"/>
    </row>
    <row r="247" spans="1:20" s="4" customFormat="1" ht="18" customHeight="1">
      <c r="A247" s="9" t="str">
        <f t="shared" ref="A247:A257" si="84">+A246</f>
        <v>1 -Charges fixes</v>
      </c>
      <c r="B247" s="42" t="str">
        <f t="shared" si="78"/>
        <v>P-SALAIRE ASSISTANTE</v>
      </c>
      <c r="C247" s="42"/>
      <c r="D247" s="18" t="s">
        <v>230</v>
      </c>
      <c r="E247" s="13" t="str">
        <f>+E246</f>
        <v>x</v>
      </c>
      <c r="F247" s="43"/>
      <c r="G247" s="54">
        <f>+G246</f>
        <v>1789.51</v>
      </c>
      <c r="H247" s="55">
        <v>1789.51</v>
      </c>
      <c r="I247" s="47">
        <f>+H247</f>
        <v>1789.51</v>
      </c>
      <c r="J247" s="39" t="s">
        <v>21</v>
      </c>
      <c r="K247" s="13"/>
      <c r="L247" s="79">
        <v>42423</v>
      </c>
      <c r="M247" s="13" t="s">
        <v>267</v>
      </c>
      <c r="N247" s="78">
        <v>8</v>
      </c>
      <c r="O247" s="33" t="s">
        <v>36</v>
      </c>
      <c r="P247" s="13"/>
      <c r="Q247" s="13"/>
      <c r="R247" s="26">
        <v>42401</v>
      </c>
      <c r="S247" s="70">
        <f t="shared" si="83"/>
        <v>1789.51</v>
      </c>
      <c r="T247" s="67"/>
    </row>
    <row r="248" spans="1:20" s="4" customFormat="1" ht="18" customHeight="1">
      <c r="A248" s="9" t="str">
        <f t="shared" si="84"/>
        <v>1 -Charges fixes</v>
      </c>
      <c r="B248" s="42" t="str">
        <f>+B247</f>
        <v>P-SALAIRE ASSISTANTE</v>
      </c>
      <c r="C248" s="42"/>
      <c r="D248" s="18" t="s">
        <v>231</v>
      </c>
      <c r="E248" s="13" t="str">
        <f t="shared" ref="E248:E257" si="85">+E247</f>
        <v>x</v>
      </c>
      <c r="F248" s="43"/>
      <c r="G248" s="54">
        <f>+G247</f>
        <v>1789.51</v>
      </c>
      <c r="H248" s="56">
        <f t="shared" ref="H248:H257" si="86">+IF(K248="ENGAGE A CE JOUR",G248,"ERREUR")</f>
        <v>1789.51</v>
      </c>
      <c r="I248" s="47">
        <f t="shared" ref="I248:I257" si="87">+H248</f>
        <v>1789.51</v>
      </c>
      <c r="J248" s="80"/>
      <c r="K248" s="77" t="s">
        <v>22</v>
      </c>
      <c r="L248" s="79">
        <v>42452</v>
      </c>
      <c r="M248" s="13" t="s">
        <v>267</v>
      </c>
      <c r="N248" s="78">
        <v>12</v>
      </c>
      <c r="O248" s="33" t="s">
        <v>36</v>
      </c>
      <c r="P248" s="13"/>
      <c r="Q248" s="16"/>
      <c r="R248" s="26">
        <v>42430</v>
      </c>
      <c r="S248" s="70">
        <f t="shared" si="83"/>
        <v>1789.51</v>
      </c>
      <c r="T248" s="67"/>
    </row>
    <row r="249" spans="1:20" s="4" customFormat="1" ht="18" customHeight="1">
      <c r="A249" s="9" t="str">
        <f t="shared" si="84"/>
        <v>1 -Charges fixes</v>
      </c>
      <c r="B249" s="42" t="str">
        <f t="shared" ref="B249:B257" si="88">+B248</f>
        <v>P-SALAIRE ASSISTANTE</v>
      </c>
      <c r="C249" s="42"/>
      <c r="D249" s="18" t="s">
        <v>232</v>
      </c>
      <c r="E249" s="13" t="str">
        <f t="shared" si="85"/>
        <v>x</v>
      </c>
      <c r="F249" s="43"/>
      <c r="G249" s="54">
        <f t="shared" ref="G249:G257" si="89">+G248</f>
        <v>1789.51</v>
      </c>
      <c r="H249" s="56">
        <f t="shared" si="86"/>
        <v>1789.51</v>
      </c>
      <c r="I249" s="47">
        <f t="shared" si="87"/>
        <v>1789.51</v>
      </c>
      <c r="J249" s="80"/>
      <c r="K249" s="77" t="s">
        <v>22</v>
      </c>
      <c r="L249" s="79">
        <v>42483</v>
      </c>
      <c r="M249" s="13" t="s">
        <v>267</v>
      </c>
      <c r="N249" s="78">
        <v>16</v>
      </c>
      <c r="O249" s="33" t="s">
        <v>36</v>
      </c>
      <c r="P249" s="13"/>
      <c r="Q249" s="13"/>
      <c r="R249" s="26">
        <v>42461</v>
      </c>
      <c r="S249" s="70">
        <f t="shared" si="83"/>
        <v>1789.51</v>
      </c>
      <c r="T249" s="67"/>
    </row>
    <row r="250" spans="1:20" s="4" customFormat="1" ht="18" customHeight="1">
      <c r="A250" s="9" t="str">
        <f t="shared" si="84"/>
        <v>1 -Charges fixes</v>
      </c>
      <c r="B250" s="42" t="str">
        <f t="shared" si="88"/>
        <v>P-SALAIRE ASSISTANTE</v>
      </c>
      <c r="C250" s="42"/>
      <c r="D250" s="18" t="s">
        <v>233</v>
      </c>
      <c r="E250" s="13" t="str">
        <f t="shared" si="85"/>
        <v>x</v>
      </c>
      <c r="F250" s="43"/>
      <c r="G250" s="54">
        <f t="shared" si="89"/>
        <v>1789.51</v>
      </c>
      <c r="H250" s="56">
        <f t="shared" si="86"/>
        <v>1789.51</v>
      </c>
      <c r="I250" s="47">
        <f t="shared" si="87"/>
        <v>1789.51</v>
      </c>
      <c r="J250" s="80"/>
      <c r="K250" s="77" t="s">
        <v>22</v>
      </c>
      <c r="L250" s="79">
        <v>42513</v>
      </c>
      <c r="M250" s="13" t="s">
        <v>267</v>
      </c>
      <c r="N250" s="78">
        <v>21</v>
      </c>
      <c r="O250" s="33" t="s">
        <v>36</v>
      </c>
      <c r="P250" s="13"/>
      <c r="Q250" s="13"/>
      <c r="R250" s="26">
        <v>42491</v>
      </c>
      <c r="S250" s="70">
        <f t="shared" si="83"/>
        <v>1789.51</v>
      </c>
      <c r="T250" s="67"/>
    </row>
    <row r="251" spans="1:20" s="4" customFormat="1" ht="18" customHeight="1">
      <c r="A251" s="9" t="str">
        <f t="shared" si="84"/>
        <v>1 -Charges fixes</v>
      </c>
      <c r="B251" s="42" t="str">
        <f t="shared" si="88"/>
        <v>P-SALAIRE ASSISTANTE</v>
      </c>
      <c r="C251" s="42"/>
      <c r="D251" s="18" t="s">
        <v>234</v>
      </c>
      <c r="E251" s="13" t="str">
        <f t="shared" si="85"/>
        <v>x</v>
      </c>
      <c r="F251" s="43"/>
      <c r="G251" s="54">
        <f t="shared" si="89"/>
        <v>1789.51</v>
      </c>
      <c r="H251" s="56">
        <f t="shared" si="86"/>
        <v>1789.51</v>
      </c>
      <c r="I251" s="47">
        <f t="shared" si="87"/>
        <v>1789.51</v>
      </c>
      <c r="J251" s="80"/>
      <c r="K251" s="77" t="s">
        <v>22</v>
      </c>
      <c r="L251" s="79">
        <v>42544</v>
      </c>
      <c r="M251" s="13" t="s">
        <v>267</v>
      </c>
      <c r="N251" s="78">
        <v>25</v>
      </c>
      <c r="O251" s="33" t="s">
        <v>36</v>
      </c>
      <c r="P251" s="13"/>
      <c r="Q251" s="13"/>
      <c r="R251" s="26">
        <v>42522</v>
      </c>
      <c r="S251" s="70">
        <f t="shared" si="83"/>
        <v>1789.51</v>
      </c>
      <c r="T251" s="67"/>
    </row>
    <row r="252" spans="1:20" s="4" customFormat="1" ht="18" customHeight="1">
      <c r="A252" s="9" t="str">
        <f t="shared" si="84"/>
        <v>1 -Charges fixes</v>
      </c>
      <c r="B252" s="42" t="str">
        <f t="shared" si="88"/>
        <v>P-SALAIRE ASSISTANTE</v>
      </c>
      <c r="C252" s="42"/>
      <c r="D252" s="18" t="s">
        <v>235</v>
      </c>
      <c r="E252" s="13" t="str">
        <f t="shared" si="85"/>
        <v>x</v>
      </c>
      <c r="F252" s="43"/>
      <c r="G252" s="54">
        <f t="shared" si="89"/>
        <v>1789.51</v>
      </c>
      <c r="H252" s="56">
        <f t="shared" si="86"/>
        <v>1789.51</v>
      </c>
      <c r="I252" s="47">
        <f t="shared" si="87"/>
        <v>1789.51</v>
      </c>
      <c r="J252" s="80"/>
      <c r="K252" s="77" t="s">
        <v>22</v>
      </c>
      <c r="L252" s="79">
        <v>42574</v>
      </c>
      <c r="M252" s="13" t="s">
        <v>267</v>
      </c>
      <c r="N252" s="78">
        <v>29</v>
      </c>
      <c r="O252" s="33" t="s">
        <v>36</v>
      </c>
      <c r="P252" s="13"/>
      <c r="Q252" s="13"/>
      <c r="R252" s="26">
        <v>42552</v>
      </c>
      <c r="S252" s="70">
        <f t="shared" si="83"/>
        <v>1789.51</v>
      </c>
      <c r="T252" s="67"/>
    </row>
    <row r="253" spans="1:20" s="4" customFormat="1" ht="18" customHeight="1">
      <c r="A253" s="9" t="str">
        <f t="shared" si="84"/>
        <v>1 -Charges fixes</v>
      </c>
      <c r="B253" s="42" t="str">
        <f t="shared" si="88"/>
        <v>P-SALAIRE ASSISTANTE</v>
      </c>
      <c r="C253" s="42"/>
      <c r="D253" s="18" t="s">
        <v>236</v>
      </c>
      <c r="E253" s="13" t="str">
        <f t="shared" si="85"/>
        <v>x</v>
      </c>
      <c r="F253" s="43"/>
      <c r="G253" s="54">
        <f t="shared" si="89"/>
        <v>1789.51</v>
      </c>
      <c r="H253" s="56">
        <f t="shared" si="86"/>
        <v>1789.51</v>
      </c>
      <c r="I253" s="47">
        <f t="shared" si="87"/>
        <v>1789.51</v>
      </c>
      <c r="J253" s="80"/>
      <c r="K253" s="77" t="s">
        <v>22</v>
      </c>
      <c r="L253" s="79">
        <v>42605</v>
      </c>
      <c r="M253" s="13" t="s">
        <v>267</v>
      </c>
      <c r="N253" s="78">
        <v>34</v>
      </c>
      <c r="O253" s="33" t="s">
        <v>36</v>
      </c>
      <c r="P253" s="13"/>
      <c r="Q253" s="13"/>
      <c r="R253" s="26">
        <v>42583</v>
      </c>
      <c r="S253" s="70">
        <f t="shared" si="83"/>
        <v>1789.51</v>
      </c>
      <c r="T253" s="67"/>
    </row>
    <row r="254" spans="1:20" s="4" customFormat="1" ht="18" customHeight="1">
      <c r="A254" s="9" t="str">
        <f t="shared" si="84"/>
        <v>1 -Charges fixes</v>
      </c>
      <c r="B254" s="42" t="str">
        <f t="shared" si="88"/>
        <v>P-SALAIRE ASSISTANTE</v>
      </c>
      <c r="C254" s="42"/>
      <c r="D254" s="18" t="s">
        <v>237</v>
      </c>
      <c r="E254" s="13" t="str">
        <f t="shared" si="85"/>
        <v>x</v>
      </c>
      <c r="F254" s="43"/>
      <c r="G254" s="54">
        <f t="shared" si="89"/>
        <v>1789.51</v>
      </c>
      <c r="H254" s="56">
        <f t="shared" si="86"/>
        <v>1789.51</v>
      </c>
      <c r="I254" s="47">
        <f t="shared" si="87"/>
        <v>1789.51</v>
      </c>
      <c r="J254" s="80"/>
      <c r="K254" s="77" t="s">
        <v>22</v>
      </c>
      <c r="L254" s="79">
        <v>42636</v>
      </c>
      <c r="M254" s="13" t="s">
        <v>267</v>
      </c>
      <c r="N254" s="78">
        <v>38</v>
      </c>
      <c r="O254" s="33" t="s">
        <v>36</v>
      </c>
      <c r="P254" s="13"/>
      <c r="Q254" s="13"/>
      <c r="R254" s="26">
        <v>42614</v>
      </c>
      <c r="S254" s="70">
        <f t="shared" si="83"/>
        <v>1789.51</v>
      </c>
      <c r="T254" s="67"/>
    </row>
    <row r="255" spans="1:20" s="4" customFormat="1" ht="18" customHeight="1">
      <c r="A255" s="9" t="str">
        <f t="shared" si="84"/>
        <v>1 -Charges fixes</v>
      </c>
      <c r="B255" s="42" t="str">
        <f t="shared" si="88"/>
        <v>P-SALAIRE ASSISTANTE</v>
      </c>
      <c r="C255" s="42"/>
      <c r="D255" s="18" t="s">
        <v>238</v>
      </c>
      <c r="E255" s="13" t="str">
        <f t="shared" si="85"/>
        <v>x</v>
      </c>
      <c r="F255" s="43"/>
      <c r="G255" s="54">
        <f t="shared" si="89"/>
        <v>1789.51</v>
      </c>
      <c r="H255" s="56">
        <f t="shared" si="86"/>
        <v>1789.51</v>
      </c>
      <c r="I255" s="47">
        <f t="shared" si="87"/>
        <v>1789.51</v>
      </c>
      <c r="J255" s="80"/>
      <c r="K255" s="77" t="s">
        <v>22</v>
      </c>
      <c r="L255" s="79">
        <v>42666</v>
      </c>
      <c r="M255" s="13" t="s">
        <v>267</v>
      </c>
      <c r="N255" s="78">
        <v>42</v>
      </c>
      <c r="O255" s="33" t="s">
        <v>36</v>
      </c>
      <c r="P255" s="13"/>
      <c r="Q255" s="13"/>
      <c r="R255" s="26">
        <v>42644</v>
      </c>
      <c r="S255" s="70">
        <f t="shared" si="83"/>
        <v>1789.51</v>
      </c>
      <c r="T255" s="67"/>
    </row>
    <row r="256" spans="1:20" s="4" customFormat="1" ht="18" customHeight="1">
      <c r="A256" s="9" t="str">
        <f t="shared" si="84"/>
        <v>1 -Charges fixes</v>
      </c>
      <c r="B256" s="42" t="str">
        <f t="shared" si="88"/>
        <v>P-SALAIRE ASSISTANTE</v>
      </c>
      <c r="C256" s="42"/>
      <c r="D256" s="18" t="s">
        <v>239</v>
      </c>
      <c r="E256" s="13" t="str">
        <f t="shared" si="85"/>
        <v>x</v>
      </c>
      <c r="F256" s="43"/>
      <c r="G256" s="54">
        <f t="shared" si="89"/>
        <v>1789.51</v>
      </c>
      <c r="H256" s="56">
        <f t="shared" si="86"/>
        <v>1789.51</v>
      </c>
      <c r="I256" s="47">
        <f t="shared" si="87"/>
        <v>1789.51</v>
      </c>
      <c r="J256" s="80"/>
      <c r="K256" s="77" t="s">
        <v>22</v>
      </c>
      <c r="L256" s="79">
        <v>42697</v>
      </c>
      <c r="M256" s="13" t="s">
        <v>267</v>
      </c>
      <c r="N256" s="78">
        <v>47</v>
      </c>
      <c r="O256" s="33" t="s">
        <v>36</v>
      </c>
      <c r="P256" s="13"/>
      <c r="Q256" s="13"/>
      <c r="R256" s="26">
        <v>42675</v>
      </c>
      <c r="S256" s="70">
        <f t="shared" si="83"/>
        <v>1789.51</v>
      </c>
      <c r="T256" s="67"/>
    </row>
    <row r="257" spans="1:20" s="4" customFormat="1" ht="18" customHeight="1">
      <c r="A257" s="9" t="str">
        <f t="shared" si="84"/>
        <v>1 -Charges fixes</v>
      </c>
      <c r="B257" s="42" t="str">
        <f t="shared" si="88"/>
        <v>P-SALAIRE ASSISTANTE</v>
      </c>
      <c r="C257" s="42"/>
      <c r="D257" s="18" t="s">
        <v>240</v>
      </c>
      <c r="E257" s="13" t="str">
        <f t="shared" si="85"/>
        <v>x</v>
      </c>
      <c r="F257" s="43"/>
      <c r="G257" s="54">
        <f t="shared" si="89"/>
        <v>1789.51</v>
      </c>
      <c r="H257" s="56">
        <f t="shared" si="86"/>
        <v>1789.51</v>
      </c>
      <c r="I257" s="47">
        <f t="shared" si="87"/>
        <v>1789.51</v>
      </c>
      <c r="J257" s="80"/>
      <c r="K257" s="77" t="s">
        <v>22</v>
      </c>
      <c r="L257" s="79">
        <v>42727</v>
      </c>
      <c r="M257" s="13" t="s">
        <v>267</v>
      </c>
      <c r="N257" s="78">
        <v>51</v>
      </c>
      <c r="O257" s="33" t="s">
        <v>36</v>
      </c>
      <c r="P257" s="13"/>
      <c r="Q257" s="13"/>
      <c r="R257" s="26">
        <v>42705</v>
      </c>
      <c r="S257" s="70">
        <f t="shared" si="83"/>
        <v>1789.51</v>
      </c>
      <c r="T257" s="67"/>
    </row>
    <row r="258" spans="1:20" s="4" customFormat="1" ht="18" customHeight="1">
      <c r="A258" s="9" t="str">
        <f>+A257</f>
        <v>1 -Charges fixes</v>
      </c>
      <c r="B258" s="42" t="str">
        <f t="shared" ref="B258:B259" si="90">B257</f>
        <v>P-SALAIRE ASSISTANTE</v>
      </c>
      <c r="C258" s="42"/>
      <c r="D258" s="18" t="s">
        <v>241</v>
      </c>
      <c r="E258" s="13" t="s">
        <v>561</v>
      </c>
      <c r="F258" s="43"/>
      <c r="G258" s="54">
        <f>3106+829+141+93</f>
        <v>4169</v>
      </c>
      <c r="H258" s="55">
        <v>4169</v>
      </c>
      <c r="I258" s="47">
        <v>4169</v>
      </c>
      <c r="J258" s="39" t="s">
        <v>21</v>
      </c>
      <c r="K258" s="13"/>
      <c r="L258" s="79">
        <v>42392</v>
      </c>
      <c r="M258" s="13" t="s">
        <v>267</v>
      </c>
      <c r="N258" s="78">
        <v>3</v>
      </c>
      <c r="O258" s="33" t="s">
        <v>36</v>
      </c>
      <c r="P258" s="13"/>
      <c r="Q258" s="13"/>
      <c r="R258" s="26">
        <v>42370</v>
      </c>
      <c r="S258" s="70"/>
      <c r="T258" s="67">
        <f>+H258</f>
        <v>4169</v>
      </c>
    </row>
    <row r="259" spans="1:20" s="4" customFormat="1" ht="18" customHeight="1">
      <c r="A259" s="9" t="str">
        <f t="shared" ref="A259:A269" si="91">+A258</f>
        <v>1 -Charges fixes</v>
      </c>
      <c r="B259" s="42" t="str">
        <f t="shared" si="90"/>
        <v>P-SALAIRE ASSISTANTE</v>
      </c>
      <c r="C259" s="42"/>
      <c r="D259" s="18" t="s">
        <v>242</v>
      </c>
      <c r="E259" s="13" t="str">
        <f>+E258</f>
        <v>x</v>
      </c>
      <c r="F259" s="43"/>
      <c r="G259" s="54">
        <v>0</v>
      </c>
      <c r="H259" s="56" t="str">
        <f t="shared" ref="H259:H269" si="92">+IF(K259="ENGAGE A CE JOUR",G259,"ERREUR")</f>
        <v>ERREUR</v>
      </c>
      <c r="I259" s="47" t="str">
        <f>+H259</f>
        <v>ERREUR</v>
      </c>
      <c r="J259" s="39" t="s">
        <v>21</v>
      </c>
      <c r="K259" s="13"/>
      <c r="L259" s="79">
        <v>42423</v>
      </c>
      <c r="M259" s="13" t="s">
        <v>267</v>
      </c>
      <c r="N259" s="78">
        <v>8</v>
      </c>
      <c r="O259" s="33" t="s">
        <v>36</v>
      </c>
      <c r="P259" s="13"/>
      <c r="Q259" s="13"/>
      <c r="R259" s="26">
        <v>42401</v>
      </c>
      <c r="S259" s="70"/>
      <c r="T259" s="67" t="str">
        <f>+H259</f>
        <v>ERREUR</v>
      </c>
    </row>
    <row r="260" spans="1:20" s="4" customFormat="1" ht="18" customHeight="1">
      <c r="A260" s="9" t="str">
        <f t="shared" si="91"/>
        <v>1 -Charges fixes</v>
      </c>
      <c r="B260" s="42" t="str">
        <f>+B259</f>
        <v>P-SALAIRE ASSISTANTE</v>
      </c>
      <c r="C260" s="42"/>
      <c r="D260" s="18" t="s">
        <v>243</v>
      </c>
      <c r="E260" s="13" t="str">
        <f t="shared" ref="E260:E269" si="93">+E259</f>
        <v>x</v>
      </c>
      <c r="F260" s="43"/>
      <c r="G260" s="54">
        <f>+G259</f>
        <v>0</v>
      </c>
      <c r="H260" s="56">
        <f t="shared" si="92"/>
        <v>0</v>
      </c>
      <c r="I260" s="47">
        <f t="shared" ref="I260:I269" si="94">+H260</f>
        <v>0</v>
      </c>
      <c r="J260" s="80"/>
      <c r="K260" s="77" t="s">
        <v>22</v>
      </c>
      <c r="L260" s="79">
        <v>42452</v>
      </c>
      <c r="M260" s="13" t="s">
        <v>267</v>
      </c>
      <c r="N260" s="78">
        <v>12</v>
      </c>
      <c r="O260" s="33" t="s">
        <v>36</v>
      </c>
      <c r="P260" s="13"/>
      <c r="Q260" s="13"/>
      <c r="R260" s="26">
        <v>42430</v>
      </c>
      <c r="S260" s="70"/>
      <c r="T260" s="67">
        <f t="shared" ref="T260:T269" si="95">+G260</f>
        <v>0</v>
      </c>
    </row>
    <row r="261" spans="1:20" s="4" customFormat="1" ht="18" customHeight="1">
      <c r="A261" s="9" t="str">
        <f t="shared" si="91"/>
        <v>1 -Charges fixes</v>
      </c>
      <c r="B261" s="42" t="str">
        <f t="shared" ref="B261:B269" si="96">+B260</f>
        <v>P-SALAIRE ASSISTANTE</v>
      </c>
      <c r="C261" s="42"/>
      <c r="D261" s="18" t="s">
        <v>244</v>
      </c>
      <c r="E261" s="13" t="str">
        <f t="shared" si="93"/>
        <v>x</v>
      </c>
      <c r="F261" s="43"/>
      <c r="G261" s="54">
        <f>3106+829+141+93</f>
        <v>4169</v>
      </c>
      <c r="H261" s="56">
        <f t="shared" si="92"/>
        <v>4169</v>
      </c>
      <c r="I261" s="47">
        <f t="shared" si="94"/>
        <v>4169</v>
      </c>
      <c r="J261" s="80"/>
      <c r="K261" s="77" t="s">
        <v>22</v>
      </c>
      <c r="L261" s="79">
        <v>42483</v>
      </c>
      <c r="M261" s="13" t="s">
        <v>267</v>
      </c>
      <c r="N261" s="78">
        <v>16</v>
      </c>
      <c r="O261" s="33" t="s">
        <v>36</v>
      </c>
      <c r="P261" s="13"/>
      <c r="Q261" s="13"/>
      <c r="R261" s="26">
        <v>42461</v>
      </c>
      <c r="S261" s="70"/>
      <c r="T261" s="67">
        <f t="shared" si="95"/>
        <v>4169</v>
      </c>
    </row>
    <row r="262" spans="1:20" s="4" customFormat="1" ht="18" customHeight="1">
      <c r="A262" s="9" t="str">
        <f t="shared" si="91"/>
        <v>1 -Charges fixes</v>
      </c>
      <c r="B262" s="42" t="str">
        <f t="shared" si="96"/>
        <v>P-SALAIRE ASSISTANTE</v>
      </c>
      <c r="C262" s="42"/>
      <c r="D262" s="18" t="s">
        <v>245</v>
      </c>
      <c r="E262" s="13" t="str">
        <f t="shared" si="93"/>
        <v>x</v>
      </c>
      <c r="F262" s="43"/>
      <c r="G262" s="54">
        <v>0</v>
      </c>
      <c r="H262" s="56">
        <f t="shared" si="92"/>
        <v>0</v>
      </c>
      <c r="I262" s="47">
        <f t="shared" si="94"/>
        <v>0</v>
      </c>
      <c r="J262" s="80"/>
      <c r="K262" s="77" t="s">
        <v>22</v>
      </c>
      <c r="L262" s="79">
        <v>42513</v>
      </c>
      <c r="M262" s="13" t="s">
        <v>267</v>
      </c>
      <c r="N262" s="78">
        <v>21</v>
      </c>
      <c r="O262" s="33" t="s">
        <v>36</v>
      </c>
      <c r="P262" s="13"/>
      <c r="Q262" s="13"/>
      <c r="R262" s="26">
        <v>42491</v>
      </c>
      <c r="S262" s="70"/>
      <c r="T262" s="67">
        <f t="shared" si="95"/>
        <v>0</v>
      </c>
    </row>
    <row r="263" spans="1:20" s="4" customFormat="1" ht="18" customHeight="1">
      <c r="A263" s="9" t="str">
        <f t="shared" si="91"/>
        <v>1 -Charges fixes</v>
      </c>
      <c r="B263" s="42" t="str">
        <f t="shared" si="96"/>
        <v>P-SALAIRE ASSISTANTE</v>
      </c>
      <c r="C263" s="42"/>
      <c r="D263" s="18" t="s">
        <v>246</v>
      </c>
      <c r="E263" s="13" t="str">
        <f t="shared" si="93"/>
        <v>x</v>
      </c>
      <c r="F263" s="43"/>
      <c r="G263" s="54">
        <v>0</v>
      </c>
      <c r="H263" s="56">
        <f t="shared" si="92"/>
        <v>0</v>
      </c>
      <c r="I263" s="47">
        <f t="shared" si="94"/>
        <v>0</v>
      </c>
      <c r="J263" s="80"/>
      <c r="K263" s="77" t="s">
        <v>22</v>
      </c>
      <c r="L263" s="79">
        <v>42544</v>
      </c>
      <c r="M263" s="13" t="s">
        <v>267</v>
      </c>
      <c r="N263" s="78">
        <v>25</v>
      </c>
      <c r="O263" s="33" t="s">
        <v>36</v>
      </c>
      <c r="P263" s="13"/>
      <c r="Q263" s="13"/>
      <c r="R263" s="26">
        <v>42522</v>
      </c>
      <c r="S263" s="70"/>
      <c r="T263" s="67">
        <f t="shared" si="95"/>
        <v>0</v>
      </c>
    </row>
    <row r="264" spans="1:20" s="4" customFormat="1" ht="18" customHeight="1">
      <c r="A264" s="9" t="str">
        <f t="shared" si="91"/>
        <v>1 -Charges fixes</v>
      </c>
      <c r="B264" s="42" t="str">
        <f t="shared" si="96"/>
        <v>P-SALAIRE ASSISTANTE</v>
      </c>
      <c r="C264" s="42"/>
      <c r="D264" s="18" t="s">
        <v>247</v>
      </c>
      <c r="E264" s="13" t="str">
        <f t="shared" si="93"/>
        <v>x</v>
      </c>
      <c r="F264" s="43"/>
      <c r="G264" s="54">
        <f>3106+829+141+93</f>
        <v>4169</v>
      </c>
      <c r="H264" s="56">
        <f t="shared" si="92"/>
        <v>4169</v>
      </c>
      <c r="I264" s="47">
        <f t="shared" si="94"/>
        <v>4169</v>
      </c>
      <c r="J264" s="80"/>
      <c r="K264" s="77" t="s">
        <v>22</v>
      </c>
      <c r="L264" s="79">
        <v>42574</v>
      </c>
      <c r="M264" s="13" t="s">
        <v>267</v>
      </c>
      <c r="N264" s="78">
        <v>29</v>
      </c>
      <c r="O264" s="33" t="s">
        <v>36</v>
      </c>
      <c r="P264" s="13"/>
      <c r="Q264" s="13"/>
      <c r="R264" s="26">
        <v>42552</v>
      </c>
      <c r="S264" s="70"/>
      <c r="T264" s="67">
        <f t="shared" si="95"/>
        <v>4169</v>
      </c>
    </row>
    <row r="265" spans="1:20" s="4" customFormat="1" ht="18" customHeight="1">
      <c r="A265" s="9" t="str">
        <f t="shared" si="91"/>
        <v>1 -Charges fixes</v>
      </c>
      <c r="B265" s="42" t="str">
        <f t="shared" si="96"/>
        <v>P-SALAIRE ASSISTANTE</v>
      </c>
      <c r="C265" s="42"/>
      <c r="D265" s="18" t="s">
        <v>248</v>
      </c>
      <c r="E265" s="13" t="str">
        <f t="shared" si="93"/>
        <v>x</v>
      </c>
      <c r="F265" s="43"/>
      <c r="G265" s="54">
        <v>0</v>
      </c>
      <c r="H265" s="56">
        <f t="shared" si="92"/>
        <v>0</v>
      </c>
      <c r="I265" s="47">
        <f t="shared" si="94"/>
        <v>0</v>
      </c>
      <c r="J265" s="80"/>
      <c r="K265" s="77" t="s">
        <v>22</v>
      </c>
      <c r="L265" s="79">
        <v>42605</v>
      </c>
      <c r="M265" s="13" t="s">
        <v>267</v>
      </c>
      <c r="N265" s="78">
        <v>34</v>
      </c>
      <c r="O265" s="33" t="s">
        <v>36</v>
      </c>
      <c r="P265" s="13"/>
      <c r="Q265" s="13"/>
      <c r="R265" s="26">
        <v>42583</v>
      </c>
      <c r="S265" s="70"/>
      <c r="T265" s="67">
        <f t="shared" si="95"/>
        <v>0</v>
      </c>
    </row>
    <row r="266" spans="1:20" s="4" customFormat="1" ht="18" customHeight="1">
      <c r="A266" s="9" t="str">
        <f t="shared" si="91"/>
        <v>1 -Charges fixes</v>
      </c>
      <c r="B266" s="42" t="str">
        <f t="shared" si="96"/>
        <v>P-SALAIRE ASSISTANTE</v>
      </c>
      <c r="C266" s="42"/>
      <c r="D266" s="18" t="s">
        <v>249</v>
      </c>
      <c r="E266" s="13" t="str">
        <f t="shared" si="93"/>
        <v>x</v>
      </c>
      <c r="F266" s="43"/>
      <c r="G266" s="54">
        <v>0</v>
      </c>
      <c r="H266" s="56">
        <f t="shared" si="92"/>
        <v>0</v>
      </c>
      <c r="I266" s="47">
        <f t="shared" si="94"/>
        <v>0</v>
      </c>
      <c r="J266" s="80"/>
      <c r="K266" s="77" t="s">
        <v>22</v>
      </c>
      <c r="L266" s="79">
        <v>42636</v>
      </c>
      <c r="M266" s="13" t="s">
        <v>267</v>
      </c>
      <c r="N266" s="78">
        <v>38</v>
      </c>
      <c r="O266" s="33" t="s">
        <v>36</v>
      </c>
      <c r="P266" s="13"/>
      <c r="Q266" s="13"/>
      <c r="R266" s="26">
        <v>42614</v>
      </c>
      <c r="S266" s="70"/>
      <c r="T266" s="67">
        <f t="shared" si="95"/>
        <v>0</v>
      </c>
    </row>
    <row r="267" spans="1:20" s="4" customFormat="1" ht="18" customHeight="1">
      <c r="A267" s="9" t="str">
        <f t="shared" si="91"/>
        <v>1 -Charges fixes</v>
      </c>
      <c r="B267" s="42" t="str">
        <f t="shared" si="96"/>
        <v>P-SALAIRE ASSISTANTE</v>
      </c>
      <c r="C267" s="42"/>
      <c r="D267" s="18" t="s">
        <v>250</v>
      </c>
      <c r="E267" s="13" t="str">
        <f t="shared" si="93"/>
        <v>x</v>
      </c>
      <c r="F267" s="43"/>
      <c r="G267" s="54">
        <f>G264</f>
        <v>4169</v>
      </c>
      <c r="H267" s="56">
        <f t="shared" si="92"/>
        <v>4169</v>
      </c>
      <c r="I267" s="47">
        <f t="shared" si="94"/>
        <v>4169</v>
      </c>
      <c r="J267" s="80"/>
      <c r="K267" s="77" t="s">
        <v>22</v>
      </c>
      <c r="L267" s="79">
        <v>42666</v>
      </c>
      <c r="M267" s="13" t="s">
        <v>267</v>
      </c>
      <c r="N267" s="78">
        <v>42</v>
      </c>
      <c r="O267" s="33" t="s">
        <v>36</v>
      </c>
      <c r="P267" s="13"/>
      <c r="Q267" s="13"/>
      <c r="R267" s="26">
        <v>42644</v>
      </c>
      <c r="S267" s="70"/>
      <c r="T267" s="67">
        <f t="shared" si="95"/>
        <v>4169</v>
      </c>
    </row>
    <row r="268" spans="1:20" s="4" customFormat="1" ht="18" customHeight="1">
      <c r="A268" s="9" t="str">
        <f t="shared" si="91"/>
        <v>1 -Charges fixes</v>
      </c>
      <c r="B268" s="42" t="str">
        <f t="shared" si="96"/>
        <v>P-SALAIRE ASSISTANTE</v>
      </c>
      <c r="C268" s="42"/>
      <c r="D268" s="18" t="s">
        <v>251</v>
      </c>
      <c r="E268" s="13" t="str">
        <f t="shared" si="93"/>
        <v>x</v>
      </c>
      <c r="F268" s="43"/>
      <c r="G268" s="54">
        <v>0</v>
      </c>
      <c r="H268" s="56">
        <f t="shared" si="92"/>
        <v>0</v>
      </c>
      <c r="I268" s="47">
        <f t="shared" si="94"/>
        <v>0</v>
      </c>
      <c r="J268" s="80"/>
      <c r="K268" s="77" t="s">
        <v>22</v>
      </c>
      <c r="L268" s="79">
        <v>42697</v>
      </c>
      <c r="M268" s="13" t="s">
        <v>267</v>
      </c>
      <c r="N268" s="78">
        <v>47</v>
      </c>
      <c r="O268" s="33" t="s">
        <v>36</v>
      </c>
      <c r="P268" s="13"/>
      <c r="Q268" s="13"/>
      <c r="R268" s="26">
        <v>42675</v>
      </c>
      <c r="S268" s="70"/>
      <c r="T268" s="67">
        <f t="shared" si="95"/>
        <v>0</v>
      </c>
    </row>
    <row r="269" spans="1:20" s="4" customFormat="1" ht="18" customHeight="1">
      <c r="A269" s="9" t="str">
        <f t="shared" si="91"/>
        <v>1 -Charges fixes</v>
      </c>
      <c r="B269" s="42" t="str">
        <f t="shared" si="96"/>
        <v>P-SALAIRE ASSISTANTE</v>
      </c>
      <c r="C269" s="42"/>
      <c r="D269" s="18" t="s">
        <v>252</v>
      </c>
      <c r="E269" s="13" t="str">
        <f t="shared" si="93"/>
        <v>x</v>
      </c>
      <c r="F269" s="43"/>
      <c r="G269" s="54">
        <v>0</v>
      </c>
      <c r="H269" s="56">
        <f t="shared" si="92"/>
        <v>0</v>
      </c>
      <c r="I269" s="47">
        <f t="shared" si="94"/>
        <v>0</v>
      </c>
      <c r="J269" s="80"/>
      <c r="K269" s="77" t="s">
        <v>22</v>
      </c>
      <c r="L269" s="79">
        <v>42727</v>
      </c>
      <c r="M269" s="13" t="s">
        <v>267</v>
      </c>
      <c r="N269" s="78">
        <v>51</v>
      </c>
      <c r="O269" s="33" t="s">
        <v>36</v>
      </c>
      <c r="P269" s="13"/>
      <c r="Q269" s="13"/>
      <c r="R269" s="26">
        <v>42705</v>
      </c>
      <c r="S269" s="70"/>
      <c r="T269" s="67">
        <f t="shared" si="95"/>
        <v>0</v>
      </c>
    </row>
    <row r="270" spans="1:20" s="4" customFormat="1" ht="18" customHeight="1">
      <c r="A270" s="10" t="str">
        <f>+A269</f>
        <v>1 -Charges fixes</v>
      </c>
      <c r="B270" s="10" t="s">
        <v>253</v>
      </c>
      <c r="C270" s="10"/>
      <c r="D270" s="10"/>
      <c r="E270" s="14"/>
      <c r="F270" s="38">
        <v>24000</v>
      </c>
      <c r="G270" s="45"/>
      <c r="H270" s="48"/>
      <c r="I270" s="48"/>
      <c r="J270" s="14"/>
      <c r="K270" s="14"/>
      <c r="L270" s="14"/>
      <c r="M270" s="14"/>
      <c r="N270" s="14"/>
      <c r="O270" s="14"/>
      <c r="P270" s="14"/>
      <c r="Q270" s="14"/>
      <c r="R270" s="24"/>
      <c r="S270" s="66"/>
      <c r="T270" s="66"/>
    </row>
    <row r="271" spans="1:20" s="4" customFormat="1" ht="18" customHeight="1">
      <c r="A271" s="9" t="str">
        <f>+A270</f>
        <v>1 -Charges fixes</v>
      </c>
      <c r="B271" s="42" t="str">
        <f>+B270</f>
        <v>Q-LOYER LOCAUX</v>
      </c>
      <c r="C271" s="42"/>
      <c r="D271" s="18" t="s">
        <v>255</v>
      </c>
      <c r="E271" s="13" t="s">
        <v>254</v>
      </c>
      <c r="F271" s="43"/>
      <c r="G271" s="54">
        <v>2000</v>
      </c>
      <c r="H271" s="55">
        <v>2000</v>
      </c>
      <c r="I271" s="47">
        <v>1789.51</v>
      </c>
      <c r="J271" s="39" t="s">
        <v>21</v>
      </c>
      <c r="K271" s="13"/>
      <c r="L271" s="82">
        <v>42398</v>
      </c>
      <c r="M271" s="13" t="s">
        <v>267</v>
      </c>
      <c r="N271" s="78">
        <v>4</v>
      </c>
      <c r="O271" s="33" t="s">
        <v>36</v>
      </c>
      <c r="P271" s="13"/>
      <c r="Q271" s="13"/>
      <c r="R271" s="26"/>
      <c r="S271" s="70"/>
      <c r="T271" s="70"/>
    </row>
    <row r="272" spans="1:20" s="4" customFormat="1" ht="18" customHeight="1">
      <c r="A272" s="9" t="str">
        <f t="shared" ref="A272:A320" si="97">+A271</f>
        <v>1 -Charges fixes</v>
      </c>
      <c r="B272" s="42" t="str">
        <f t="shared" ref="B272:B289" si="98">+B271</f>
        <v>Q-LOYER LOCAUX</v>
      </c>
      <c r="C272" s="42"/>
      <c r="D272" s="18" t="s">
        <v>256</v>
      </c>
      <c r="E272" s="13" t="s">
        <v>254</v>
      </c>
      <c r="F272" s="43"/>
      <c r="G272" s="54">
        <f>+G271</f>
        <v>2000</v>
      </c>
      <c r="H272" s="55">
        <v>2000</v>
      </c>
      <c r="I272" s="47">
        <f>+H272</f>
        <v>2000</v>
      </c>
      <c r="J272" s="39" t="s">
        <v>21</v>
      </c>
      <c r="K272" s="13"/>
      <c r="L272" s="82">
        <v>42429</v>
      </c>
      <c r="M272" s="13" t="str">
        <f>+M271</f>
        <v>Crédit Agricole</v>
      </c>
      <c r="N272" s="78">
        <v>9</v>
      </c>
      <c r="O272" s="33" t="s">
        <v>36</v>
      </c>
      <c r="P272" s="13"/>
      <c r="Q272" s="13"/>
      <c r="R272" s="26"/>
      <c r="S272" s="70"/>
      <c r="T272" s="70"/>
    </row>
    <row r="273" spans="1:20" s="4" customFormat="1" ht="18" customHeight="1">
      <c r="A273" s="9" t="str">
        <f t="shared" si="97"/>
        <v>1 -Charges fixes</v>
      </c>
      <c r="B273" s="42" t="str">
        <f t="shared" si="98"/>
        <v>Q-LOYER LOCAUX</v>
      </c>
      <c r="C273" s="42"/>
      <c r="D273" s="18" t="s">
        <v>257</v>
      </c>
      <c r="E273" s="13" t="s">
        <v>254</v>
      </c>
      <c r="F273" s="43"/>
      <c r="G273" s="54">
        <f>+G272</f>
        <v>2000</v>
      </c>
      <c r="H273" s="56">
        <f t="shared" ref="H273:H282" si="99">+IF(K273="ENGAGE A CE JOUR",G273,"ERREUR")</f>
        <v>2000</v>
      </c>
      <c r="I273" s="47">
        <f t="shared" ref="I273:I282" si="100">+H273</f>
        <v>2000</v>
      </c>
      <c r="J273" s="80"/>
      <c r="K273" s="77" t="s">
        <v>22</v>
      </c>
      <c r="L273" s="82">
        <v>42458</v>
      </c>
      <c r="M273" s="13" t="str">
        <f t="shared" ref="M273:M282" si="101">+M272</f>
        <v>Crédit Agricole</v>
      </c>
      <c r="N273" s="78">
        <v>13</v>
      </c>
      <c r="O273" s="33" t="s">
        <v>36</v>
      </c>
      <c r="P273" s="13"/>
      <c r="Q273" s="13"/>
      <c r="R273" s="26"/>
      <c r="S273" s="70"/>
      <c r="T273" s="70"/>
    </row>
    <row r="274" spans="1:20" s="4" customFormat="1" ht="18" customHeight="1">
      <c r="A274" s="9" t="str">
        <f t="shared" si="97"/>
        <v>1 -Charges fixes</v>
      </c>
      <c r="B274" s="42" t="str">
        <f t="shared" si="98"/>
        <v>Q-LOYER LOCAUX</v>
      </c>
      <c r="C274" s="42"/>
      <c r="D274" s="18" t="s">
        <v>258</v>
      </c>
      <c r="E274" s="13" t="s">
        <v>254</v>
      </c>
      <c r="F274" s="43"/>
      <c r="G274" s="54">
        <f t="shared" ref="G274:G282" si="102">+G273</f>
        <v>2000</v>
      </c>
      <c r="H274" s="56">
        <f t="shared" si="99"/>
        <v>2000</v>
      </c>
      <c r="I274" s="47">
        <f t="shared" si="100"/>
        <v>2000</v>
      </c>
      <c r="J274" s="80"/>
      <c r="K274" s="77" t="s">
        <v>22</v>
      </c>
      <c r="L274" s="82">
        <v>42489</v>
      </c>
      <c r="M274" s="13" t="str">
        <f t="shared" si="101"/>
        <v>Crédit Agricole</v>
      </c>
      <c r="N274" s="78">
        <v>17</v>
      </c>
      <c r="O274" s="33" t="s">
        <v>36</v>
      </c>
      <c r="P274" s="13"/>
      <c r="Q274" s="13"/>
      <c r="R274" s="26"/>
      <c r="S274" s="70"/>
      <c r="T274" s="70"/>
    </row>
    <row r="275" spans="1:20" s="4" customFormat="1" ht="18" customHeight="1">
      <c r="A275" s="9" t="str">
        <f t="shared" si="97"/>
        <v>1 -Charges fixes</v>
      </c>
      <c r="B275" s="42" t="str">
        <f t="shared" si="98"/>
        <v>Q-LOYER LOCAUX</v>
      </c>
      <c r="C275" s="42"/>
      <c r="D275" s="18" t="s">
        <v>259</v>
      </c>
      <c r="E275" s="13" t="s">
        <v>254</v>
      </c>
      <c r="F275" s="43"/>
      <c r="G275" s="54">
        <f t="shared" si="102"/>
        <v>2000</v>
      </c>
      <c r="H275" s="56">
        <f t="shared" si="99"/>
        <v>2000</v>
      </c>
      <c r="I275" s="47">
        <f t="shared" si="100"/>
        <v>2000</v>
      </c>
      <c r="J275" s="80"/>
      <c r="K275" s="77" t="s">
        <v>22</v>
      </c>
      <c r="L275" s="82">
        <v>42519</v>
      </c>
      <c r="M275" s="13" t="str">
        <f t="shared" si="101"/>
        <v>Crédit Agricole</v>
      </c>
      <c r="N275" s="78">
        <v>21</v>
      </c>
      <c r="O275" s="33" t="s">
        <v>36</v>
      </c>
      <c r="P275" s="13"/>
      <c r="Q275" s="13"/>
      <c r="R275" s="26"/>
      <c r="S275" s="70"/>
      <c r="T275" s="70"/>
    </row>
    <row r="276" spans="1:20" s="4" customFormat="1" ht="18" customHeight="1">
      <c r="A276" s="9" t="str">
        <f t="shared" si="97"/>
        <v>1 -Charges fixes</v>
      </c>
      <c r="B276" s="42" t="str">
        <f t="shared" si="98"/>
        <v>Q-LOYER LOCAUX</v>
      </c>
      <c r="C276" s="42"/>
      <c r="D276" s="18" t="s">
        <v>260</v>
      </c>
      <c r="E276" s="13" t="s">
        <v>254</v>
      </c>
      <c r="F276" s="43"/>
      <c r="G276" s="54">
        <f t="shared" si="102"/>
        <v>2000</v>
      </c>
      <c r="H276" s="56">
        <f t="shared" si="99"/>
        <v>2000</v>
      </c>
      <c r="I276" s="47">
        <f t="shared" si="100"/>
        <v>2000</v>
      </c>
      <c r="J276" s="80"/>
      <c r="K276" s="77" t="s">
        <v>22</v>
      </c>
      <c r="L276" s="82">
        <v>42550</v>
      </c>
      <c r="M276" s="13" t="str">
        <f t="shared" si="101"/>
        <v>Crédit Agricole</v>
      </c>
      <c r="N276" s="78">
        <v>26</v>
      </c>
      <c r="O276" s="33" t="s">
        <v>36</v>
      </c>
      <c r="P276" s="13"/>
      <c r="Q276" s="13"/>
      <c r="R276" s="26"/>
      <c r="S276" s="70"/>
      <c r="T276" s="70"/>
    </row>
    <row r="277" spans="1:20" s="4" customFormat="1" ht="18" customHeight="1">
      <c r="A277" s="9" t="str">
        <f t="shared" si="97"/>
        <v>1 -Charges fixes</v>
      </c>
      <c r="B277" s="42" t="str">
        <f t="shared" si="98"/>
        <v>Q-LOYER LOCAUX</v>
      </c>
      <c r="C277" s="42"/>
      <c r="D277" s="18" t="s">
        <v>261</v>
      </c>
      <c r="E277" s="13" t="s">
        <v>254</v>
      </c>
      <c r="F277" s="43"/>
      <c r="G277" s="54">
        <f t="shared" si="102"/>
        <v>2000</v>
      </c>
      <c r="H277" s="56">
        <f t="shared" si="99"/>
        <v>2000</v>
      </c>
      <c r="I277" s="47">
        <f t="shared" si="100"/>
        <v>2000</v>
      </c>
      <c r="J277" s="80"/>
      <c r="K277" s="77" t="s">
        <v>22</v>
      </c>
      <c r="L277" s="82">
        <v>42580</v>
      </c>
      <c r="M277" s="13" t="str">
        <f t="shared" si="101"/>
        <v>Crédit Agricole</v>
      </c>
      <c r="N277" s="78">
        <v>30</v>
      </c>
      <c r="O277" s="33" t="s">
        <v>36</v>
      </c>
      <c r="P277" s="13"/>
      <c r="Q277" s="13"/>
      <c r="R277" s="26"/>
      <c r="S277" s="70"/>
      <c r="T277" s="70"/>
    </row>
    <row r="278" spans="1:20" s="4" customFormat="1" ht="18" customHeight="1">
      <c r="A278" s="9" t="str">
        <f t="shared" si="97"/>
        <v>1 -Charges fixes</v>
      </c>
      <c r="B278" s="42" t="str">
        <f t="shared" si="98"/>
        <v>Q-LOYER LOCAUX</v>
      </c>
      <c r="C278" s="42"/>
      <c r="D278" s="18" t="s">
        <v>262</v>
      </c>
      <c r="E278" s="13" t="s">
        <v>254</v>
      </c>
      <c r="F278" s="43"/>
      <c r="G278" s="54">
        <f t="shared" si="102"/>
        <v>2000</v>
      </c>
      <c r="H278" s="56">
        <f t="shared" si="99"/>
        <v>2000</v>
      </c>
      <c r="I278" s="47">
        <f t="shared" si="100"/>
        <v>2000</v>
      </c>
      <c r="J278" s="80"/>
      <c r="K278" s="77" t="s">
        <v>22</v>
      </c>
      <c r="L278" s="82">
        <v>42611</v>
      </c>
      <c r="M278" s="13" t="str">
        <f t="shared" si="101"/>
        <v>Crédit Agricole</v>
      </c>
      <c r="N278" s="78">
        <v>35</v>
      </c>
      <c r="O278" s="33" t="s">
        <v>36</v>
      </c>
      <c r="P278" s="13"/>
      <c r="Q278" s="13"/>
      <c r="R278" s="26"/>
      <c r="S278" s="70"/>
      <c r="T278" s="70"/>
    </row>
    <row r="279" spans="1:20" s="4" customFormat="1" ht="18" customHeight="1">
      <c r="A279" s="9" t="str">
        <f t="shared" si="97"/>
        <v>1 -Charges fixes</v>
      </c>
      <c r="B279" s="42" t="str">
        <f t="shared" si="98"/>
        <v>Q-LOYER LOCAUX</v>
      </c>
      <c r="C279" s="42"/>
      <c r="D279" s="18" t="s">
        <v>263</v>
      </c>
      <c r="E279" s="13" t="s">
        <v>254</v>
      </c>
      <c r="F279" s="43"/>
      <c r="G279" s="54">
        <f t="shared" si="102"/>
        <v>2000</v>
      </c>
      <c r="H279" s="56">
        <f t="shared" si="99"/>
        <v>2000</v>
      </c>
      <c r="I279" s="47">
        <f t="shared" si="100"/>
        <v>2000</v>
      </c>
      <c r="J279" s="80"/>
      <c r="K279" s="77" t="s">
        <v>22</v>
      </c>
      <c r="L279" s="82">
        <v>42642</v>
      </c>
      <c r="M279" s="13" t="str">
        <f t="shared" si="101"/>
        <v>Crédit Agricole</v>
      </c>
      <c r="N279" s="78">
        <v>39</v>
      </c>
      <c r="O279" s="33" t="s">
        <v>36</v>
      </c>
      <c r="P279" s="13"/>
      <c r="Q279" s="13"/>
      <c r="R279" s="26"/>
      <c r="S279" s="70"/>
      <c r="T279" s="70"/>
    </row>
    <row r="280" spans="1:20" s="4" customFormat="1" ht="18" customHeight="1">
      <c r="A280" s="9" t="str">
        <f t="shared" si="97"/>
        <v>1 -Charges fixes</v>
      </c>
      <c r="B280" s="42" t="str">
        <f t="shared" si="98"/>
        <v>Q-LOYER LOCAUX</v>
      </c>
      <c r="C280" s="42"/>
      <c r="D280" s="18" t="s">
        <v>264</v>
      </c>
      <c r="E280" s="13" t="s">
        <v>254</v>
      </c>
      <c r="F280" s="43"/>
      <c r="G280" s="54">
        <f t="shared" si="102"/>
        <v>2000</v>
      </c>
      <c r="H280" s="56">
        <f t="shared" si="99"/>
        <v>2000</v>
      </c>
      <c r="I280" s="47">
        <f t="shared" si="100"/>
        <v>2000</v>
      </c>
      <c r="J280" s="80"/>
      <c r="K280" s="77" t="s">
        <v>22</v>
      </c>
      <c r="L280" s="82">
        <v>42672</v>
      </c>
      <c r="M280" s="13" t="str">
        <f t="shared" si="101"/>
        <v>Crédit Agricole</v>
      </c>
      <c r="N280" s="78">
        <v>43</v>
      </c>
      <c r="O280" s="33" t="s">
        <v>36</v>
      </c>
      <c r="P280" s="13"/>
      <c r="Q280" s="13"/>
      <c r="R280" s="26"/>
      <c r="S280" s="70"/>
      <c r="T280" s="70"/>
    </row>
    <row r="281" spans="1:20" s="4" customFormat="1" ht="18" customHeight="1">
      <c r="A281" s="9" t="str">
        <f t="shared" si="97"/>
        <v>1 -Charges fixes</v>
      </c>
      <c r="B281" s="42" t="str">
        <f t="shared" si="98"/>
        <v>Q-LOYER LOCAUX</v>
      </c>
      <c r="C281" s="42"/>
      <c r="D281" s="18" t="s">
        <v>265</v>
      </c>
      <c r="E281" s="13" t="s">
        <v>254</v>
      </c>
      <c r="F281" s="43"/>
      <c r="G281" s="54">
        <f t="shared" si="102"/>
        <v>2000</v>
      </c>
      <c r="H281" s="56">
        <f t="shared" si="99"/>
        <v>2000</v>
      </c>
      <c r="I281" s="47">
        <f t="shared" si="100"/>
        <v>2000</v>
      </c>
      <c r="J281" s="80"/>
      <c r="K281" s="77" t="s">
        <v>22</v>
      </c>
      <c r="L281" s="82">
        <v>42703</v>
      </c>
      <c r="M281" s="13" t="str">
        <f t="shared" si="101"/>
        <v>Crédit Agricole</v>
      </c>
      <c r="N281" s="78">
        <v>48</v>
      </c>
      <c r="O281" s="33" t="s">
        <v>36</v>
      </c>
      <c r="P281" s="13"/>
      <c r="Q281" s="13"/>
      <c r="R281" s="26"/>
      <c r="S281" s="70"/>
      <c r="T281" s="70"/>
    </row>
    <row r="282" spans="1:20" s="4" customFormat="1" ht="18" customHeight="1">
      <c r="A282" s="9" t="str">
        <f t="shared" si="97"/>
        <v>1 -Charges fixes</v>
      </c>
      <c r="B282" s="42" t="str">
        <f t="shared" si="98"/>
        <v>Q-LOYER LOCAUX</v>
      </c>
      <c r="C282" s="42"/>
      <c r="D282" s="18" t="s">
        <v>266</v>
      </c>
      <c r="E282" s="13" t="s">
        <v>254</v>
      </c>
      <c r="F282" s="43"/>
      <c r="G282" s="54">
        <f t="shared" si="102"/>
        <v>2000</v>
      </c>
      <c r="H282" s="56">
        <f t="shared" si="99"/>
        <v>2000</v>
      </c>
      <c r="I282" s="47">
        <f t="shared" si="100"/>
        <v>2000</v>
      </c>
      <c r="J282" s="80"/>
      <c r="K282" s="77" t="s">
        <v>22</v>
      </c>
      <c r="L282" s="82">
        <v>42733</v>
      </c>
      <c r="M282" s="13" t="str">
        <f t="shared" si="101"/>
        <v>Crédit Agricole</v>
      </c>
      <c r="N282" s="78">
        <v>52</v>
      </c>
      <c r="O282" s="33" t="s">
        <v>36</v>
      </c>
      <c r="P282" s="13"/>
      <c r="Q282" s="13"/>
      <c r="R282" s="26"/>
      <c r="S282" s="70"/>
      <c r="T282" s="70"/>
    </row>
    <row r="283" spans="1:20" s="4" customFormat="1" ht="18" customHeight="1">
      <c r="A283" s="10" t="str">
        <f>+A282</f>
        <v>1 -Charges fixes</v>
      </c>
      <c r="B283" s="10" t="s">
        <v>268</v>
      </c>
      <c r="C283" s="10"/>
      <c r="D283" s="10"/>
      <c r="E283" s="14"/>
      <c r="F283" s="38">
        <f>716.51*12</f>
        <v>8598.119999999999</v>
      </c>
      <c r="G283" s="45"/>
      <c r="H283" s="48"/>
      <c r="I283" s="48"/>
      <c r="J283" s="14"/>
      <c r="K283" s="14"/>
      <c r="L283" s="14"/>
      <c r="M283" s="14"/>
      <c r="N283" s="14"/>
      <c r="O283" s="14"/>
      <c r="P283" s="14"/>
      <c r="Q283" s="14"/>
      <c r="R283" s="24"/>
      <c r="S283" s="66"/>
      <c r="T283" s="66"/>
    </row>
    <row r="284" spans="1:20" s="4" customFormat="1" ht="18" customHeight="1">
      <c r="A284" s="9" t="str">
        <f t="shared" si="97"/>
        <v>1 -Charges fixes</v>
      </c>
      <c r="B284" s="42" t="str">
        <f t="shared" si="98"/>
        <v>R-MATERIEL RADIOLOGIE</v>
      </c>
      <c r="C284" s="42"/>
      <c r="D284" s="18" t="s">
        <v>269</v>
      </c>
      <c r="E284" s="13" t="s">
        <v>281</v>
      </c>
      <c r="F284" s="43"/>
      <c r="G284" s="54">
        <v>716.51</v>
      </c>
      <c r="H284" s="55">
        <v>716.51</v>
      </c>
      <c r="I284" s="47">
        <v>716.51</v>
      </c>
      <c r="J284" s="39" t="s">
        <v>21</v>
      </c>
      <c r="K284" s="13"/>
      <c r="L284" s="79">
        <v>42399</v>
      </c>
      <c r="M284" s="13" t="s">
        <v>38</v>
      </c>
      <c r="N284" s="78">
        <v>4</v>
      </c>
      <c r="O284" s="33" t="s">
        <v>36</v>
      </c>
      <c r="P284" s="13"/>
      <c r="Q284" s="13"/>
      <c r="R284" s="26"/>
      <c r="S284" s="68"/>
      <c r="T284" s="68"/>
    </row>
    <row r="285" spans="1:20" s="4" customFormat="1" ht="18" customHeight="1">
      <c r="A285" s="9" t="str">
        <f t="shared" si="97"/>
        <v>1 -Charges fixes</v>
      </c>
      <c r="B285" s="42" t="str">
        <f t="shared" si="98"/>
        <v>R-MATERIEL RADIOLOGIE</v>
      </c>
      <c r="C285" s="42"/>
      <c r="D285" s="18" t="s">
        <v>270</v>
      </c>
      <c r="E285" s="13" t="s">
        <v>281</v>
      </c>
      <c r="F285" s="43"/>
      <c r="G285" s="54">
        <f>+G284</f>
        <v>716.51</v>
      </c>
      <c r="H285" s="55">
        <v>716.51</v>
      </c>
      <c r="I285" s="47">
        <f>+H285</f>
        <v>716.51</v>
      </c>
      <c r="J285" s="39" t="s">
        <v>21</v>
      </c>
      <c r="K285" s="13"/>
      <c r="L285" s="79">
        <v>42429</v>
      </c>
      <c r="M285" s="13" t="s">
        <v>38</v>
      </c>
      <c r="N285" s="78">
        <v>9</v>
      </c>
      <c r="O285" s="33" t="s">
        <v>36</v>
      </c>
      <c r="P285" s="13"/>
      <c r="Q285" s="13"/>
      <c r="R285" s="26"/>
      <c r="S285" s="68"/>
      <c r="T285" s="68"/>
    </row>
    <row r="286" spans="1:20" s="4" customFormat="1" ht="18" customHeight="1">
      <c r="A286" s="9" t="str">
        <f t="shared" si="97"/>
        <v>1 -Charges fixes</v>
      </c>
      <c r="B286" s="42" t="str">
        <f t="shared" si="98"/>
        <v>R-MATERIEL RADIOLOGIE</v>
      </c>
      <c r="C286" s="42"/>
      <c r="D286" s="18" t="s">
        <v>271</v>
      </c>
      <c r="E286" s="13" t="s">
        <v>281</v>
      </c>
      <c r="F286" s="43"/>
      <c r="G286" s="54">
        <f>+G285</f>
        <v>716.51</v>
      </c>
      <c r="H286" s="56">
        <f t="shared" ref="H286:H295" si="103">+IF(K286="ENGAGE A CE JOUR",G286,"ERREUR")</f>
        <v>716.51</v>
      </c>
      <c r="I286" s="47">
        <f t="shared" ref="I286:I295" si="104">+H286</f>
        <v>716.51</v>
      </c>
      <c r="J286" s="80"/>
      <c r="K286" s="77" t="s">
        <v>22</v>
      </c>
      <c r="L286" s="79">
        <v>42459</v>
      </c>
      <c r="M286" s="13" t="s">
        <v>38</v>
      </c>
      <c r="N286" s="78">
        <v>13</v>
      </c>
      <c r="O286" s="33" t="s">
        <v>36</v>
      </c>
      <c r="P286" s="13"/>
      <c r="Q286" s="13"/>
      <c r="R286" s="26"/>
      <c r="S286" s="68"/>
      <c r="T286" s="68"/>
    </row>
    <row r="287" spans="1:20" s="4" customFormat="1" ht="18" customHeight="1">
      <c r="A287" s="9" t="str">
        <f t="shared" si="97"/>
        <v>1 -Charges fixes</v>
      </c>
      <c r="B287" s="42" t="str">
        <f t="shared" si="98"/>
        <v>R-MATERIEL RADIOLOGIE</v>
      </c>
      <c r="C287" s="42"/>
      <c r="D287" s="18" t="s">
        <v>272</v>
      </c>
      <c r="E287" s="13" t="s">
        <v>281</v>
      </c>
      <c r="F287" s="43"/>
      <c r="G287" s="54">
        <f t="shared" ref="G287:G295" si="105">+G286</f>
        <v>716.51</v>
      </c>
      <c r="H287" s="56">
        <f t="shared" si="103"/>
        <v>716.51</v>
      </c>
      <c r="I287" s="47">
        <f t="shared" si="104"/>
        <v>716.51</v>
      </c>
      <c r="J287" s="80"/>
      <c r="K287" s="77" t="s">
        <v>22</v>
      </c>
      <c r="L287" s="79">
        <v>42490</v>
      </c>
      <c r="M287" s="13" t="s">
        <v>38</v>
      </c>
      <c r="N287" s="78">
        <v>17</v>
      </c>
      <c r="O287" s="33" t="s">
        <v>36</v>
      </c>
      <c r="P287" s="13"/>
      <c r="Q287" s="13"/>
      <c r="R287" s="26"/>
      <c r="S287" s="68"/>
      <c r="T287" s="68"/>
    </row>
    <row r="288" spans="1:20" s="4" customFormat="1" ht="18" customHeight="1">
      <c r="A288" s="9" t="str">
        <f t="shared" si="97"/>
        <v>1 -Charges fixes</v>
      </c>
      <c r="B288" s="42" t="str">
        <f t="shared" si="98"/>
        <v>R-MATERIEL RADIOLOGIE</v>
      </c>
      <c r="C288" s="42"/>
      <c r="D288" s="18" t="s">
        <v>273</v>
      </c>
      <c r="E288" s="13" t="s">
        <v>281</v>
      </c>
      <c r="F288" s="43"/>
      <c r="G288" s="54">
        <f t="shared" si="105"/>
        <v>716.51</v>
      </c>
      <c r="H288" s="56">
        <f t="shared" si="103"/>
        <v>716.51</v>
      </c>
      <c r="I288" s="47">
        <f t="shared" si="104"/>
        <v>716.51</v>
      </c>
      <c r="J288" s="80"/>
      <c r="K288" s="77" t="s">
        <v>22</v>
      </c>
      <c r="L288" s="79">
        <v>42520</v>
      </c>
      <c r="M288" s="13" t="s">
        <v>38</v>
      </c>
      <c r="N288" s="78">
        <v>22</v>
      </c>
      <c r="O288" s="33" t="s">
        <v>36</v>
      </c>
      <c r="P288" s="13"/>
      <c r="Q288" s="16"/>
      <c r="R288" s="26"/>
      <c r="S288" s="68"/>
      <c r="T288" s="68"/>
    </row>
    <row r="289" spans="1:20" s="4" customFormat="1" ht="18" customHeight="1">
      <c r="A289" s="9" t="str">
        <f t="shared" si="97"/>
        <v>1 -Charges fixes</v>
      </c>
      <c r="B289" s="42" t="str">
        <f t="shared" si="98"/>
        <v>R-MATERIEL RADIOLOGIE</v>
      </c>
      <c r="C289" s="42"/>
      <c r="D289" s="18" t="s">
        <v>274</v>
      </c>
      <c r="E289" s="13" t="s">
        <v>281</v>
      </c>
      <c r="F289" s="43"/>
      <c r="G289" s="54">
        <f t="shared" si="105"/>
        <v>716.51</v>
      </c>
      <c r="H289" s="56">
        <f t="shared" si="103"/>
        <v>716.51</v>
      </c>
      <c r="I289" s="47">
        <f t="shared" si="104"/>
        <v>716.51</v>
      </c>
      <c r="J289" s="80"/>
      <c r="K289" s="77" t="s">
        <v>22</v>
      </c>
      <c r="L289" s="79">
        <v>42551</v>
      </c>
      <c r="M289" s="13" t="s">
        <v>38</v>
      </c>
      <c r="N289" s="78">
        <v>26</v>
      </c>
      <c r="O289" s="33" t="s">
        <v>36</v>
      </c>
      <c r="P289" s="13"/>
      <c r="Q289" s="13"/>
      <c r="R289" s="26"/>
      <c r="S289" s="68"/>
      <c r="T289" s="68"/>
    </row>
    <row r="290" spans="1:20" s="4" customFormat="1" ht="18" customHeight="1">
      <c r="A290" s="9" t="str">
        <f t="shared" si="97"/>
        <v>1 -Charges fixes</v>
      </c>
      <c r="B290" s="42" t="str">
        <f t="shared" ref="B290:B295" si="106">+B289</f>
        <v>R-MATERIEL RADIOLOGIE</v>
      </c>
      <c r="C290" s="42"/>
      <c r="D290" s="18" t="s">
        <v>275</v>
      </c>
      <c r="E290" s="13" t="s">
        <v>281</v>
      </c>
      <c r="F290" s="43"/>
      <c r="G290" s="54">
        <f t="shared" si="105"/>
        <v>716.51</v>
      </c>
      <c r="H290" s="56">
        <f t="shared" si="103"/>
        <v>716.51</v>
      </c>
      <c r="I290" s="47">
        <f t="shared" si="104"/>
        <v>716.51</v>
      </c>
      <c r="J290" s="80"/>
      <c r="K290" s="77" t="s">
        <v>22</v>
      </c>
      <c r="L290" s="79">
        <v>42581</v>
      </c>
      <c r="M290" s="13" t="s">
        <v>38</v>
      </c>
      <c r="N290" s="78">
        <v>30</v>
      </c>
      <c r="O290" s="33" t="s">
        <v>36</v>
      </c>
      <c r="P290" s="13"/>
      <c r="Q290" s="16"/>
      <c r="R290" s="26"/>
      <c r="S290" s="68"/>
      <c r="T290" s="68"/>
    </row>
    <row r="291" spans="1:20" s="4" customFormat="1" ht="18" customHeight="1">
      <c r="A291" s="9" t="str">
        <f t="shared" si="97"/>
        <v>1 -Charges fixes</v>
      </c>
      <c r="B291" s="42" t="str">
        <f t="shared" si="106"/>
        <v>R-MATERIEL RADIOLOGIE</v>
      </c>
      <c r="C291" s="42"/>
      <c r="D291" s="18" t="s">
        <v>276</v>
      </c>
      <c r="E291" s="13" t="s">
        <v>281</v>
      </c>
      <c r="F291" s="43"/>
      <c r="G291" s="54">
        <f t="shared" si="105"/>
        <v>716.51</v>
      </c>
      <c r="H291" s="56">
        <f t="shared" si="103"/>
        <v>716.51</v>
      </c>
      <c r="I291" s="47">
        <f t="shared" si="104"/>
        <v>716.51</v>
      </c>
      <c r="J291" s="80"/>
      <c r="K291" s="77" t="s">
        <v>22</v>
      </c>
      <c r="L291" s="79">
        <v>42612</v>
      </c>
      <c r="M291" s="13" t="s">
        <v>38</v>
      </c>
      <c r="N291" s="78">
        <v>35</v>
      </c>
      <c r="O291" s="33" t="s">
        <v>36</v>
      </c>
      <c r="P291" s="13"/>
      <c r="Q291" s="13"/>
      <c r="R291" s="26"/>
      <c r="S291" s="68"/>
      <c r="T291" s="68"/>
    </row>
    <row r="292" spans="1:20" s="4" customFormat="1" ht="18" customHeight="1">
      <c r="A292" s="9" t="str">
        <f t="shared" si="97"/>
        <v>1 -Charges fixes</v>
      </c>
      <c r="B292" s="42" t="str">
        <f t="shared" si="106"/>
        <v>R-MATERIEL RADIOLOGIE</v>
      </c>
      <c r="C292" s="42"/>
      <c r="D292" s="18" t="s">
        <v>277</v>
      </c>
      <c r="E292" s="13" t="s">
        <v>281</v>
      </c>
      <c r="F292" s="43"/>
      <c r="G292" s="54">
        <f t="shared" si="105"/>
        <v>716.51</v>
      </c>
      <c r="H292" s="56">
        <f t="shared" si="103"/>
        <v>716.51</v>
      </c>
      <c r="I292" s="47">
        <f t="shared" si="104"/>
        <v>716.51</v>
      </c>
      <c r="J292" s="80"/>
      <c r="K292" s="77" t="s">
        <v>22</v>
      </c>
      <c r="L292" s="79">
        <v>42643</v>
      </c>
      <c r="M292" s="13" t="s">
        <v>38</v>
      </c>
      <c r="N292" s="78">
        <v>39</v>
      </c>
      <c r="O292" s="33" t="s">
        <v>36</v>
      </c>
      <c r="P292" s="13"/>
      <c r="Q292" s="13"/>
      <c r="R292" s="26"/>
      <c r="S292" s="68"/>
      <c r="T292" s="68"/>
    </row>
    <row r="293" spans="1:20" s="4" customFormat="1" ht="18" customHeight="1">
      <c r="A293" s="9" t="str">
        <f t="shared" si="97"/>
        <v>1 -Charges fixes</v>
      </c>
      <c r="B293" s="42" t="str">
        <f t="shared" si="106"/>
        <v>R-MATERIEL RADIOLOGIE</v>
      </c>
      <c r="C293" s="42"/>
      <c r="D293" s="18" t="s">
        <v>278</v>
      </c>
      <c r="E293" s="13" t="s">
        <v>281</v>
      </c>
      <c r="F293" s="43"/>
      <c r="G293" s="54">
        <f t="shared" si="105"/>
        <v>716.51</v>
      </c>
      <c r="H293" s="56">
        <f t="shared" si="103"/>
        <v>716.51</v>
      </c>
      <c r="I293" s="47">
        <f t="shared" si="104"/>
        <v>716.51</v>
      </c>
      <c r="J293" s="80"/>
      <c r="K293" s="77" t="s">
        <v>22</v>
      </c>
      <c r="L293" s="79">
        <v>42673</v>
      </c>
      <c r="M293" s="13" t="s">
        <v>38</v>
      </c>
      <c r="N293" s="78">
        <v>43</v>
      </c>
      <c r="O293" s="33" t="s">
        <v>36</v>
      </c>
      <c r="P293" s="13"/>
      <c r="Q293" s="13"/>
      <c r="R293" s="26"/>
      <c r="S293" s="68"/>
      <c r="T293" s="68"/>
    </row>
    <row r="294" spans="1:20" s="4" customFormat="1" ht="18" customHeight="1">
      <c r="A294" s="9" t="str">
        <f t="shared" si="97"/>
        <v>1 -Charges fixes</v>
      </c>
      <c r="B294" s="42" t="str">
        <f t="shared" si="106"/>
        <v>R-MATERIEL RADIOLOGIE</v>
      </c>
      <c r="C294" s="42"/>
      <c r="D294" s="18" t="s">
        <v>279</v>
      </c>
      <c r="E294" s="13" t="s">
        <v>281</v>
      </c>
      <c r="F294" s="43"/>
      <c r="G294" s="54">
        <f t="shared" si="105"/>
        <v>716.51</v>
      </c>
      <c r="H294" s="56">
        <f t="shared" si="103"/>
        <v>716.51</v>
      </c>
      <c r="I294" s="47">
        <f t="shared" si="104"/>
        <v>716.51</v>
      </c>
      <c r="J294" s="80"/>
      <c r="K294" s="77" t="s">
        <v>22</v>
      </c>
      <c r="L294" s="79">
        <v>42704</v>
      </c>
      <c r="M294" s="13" t="s">
        <v>38</v>
      </c>
      <c r="N294" s="78">
        <v>48</v>
      </c>
      <c r="O294" s="33" t="s">
        <v>36</v>
      </c>
      <c r="P294" s="13"/>
      <c r="Q294" s="13"/>
      <c r="R294" s="26"/>
      <c r="S294" s="68"/>
      <c r="T294" s="68"/>
    </row>
    <row r="295" spans="1:20" s="4" customFormat="1" ht="18" customHeight="1">
      <c r="A295" s="9" t="str">
        <f t="shared" si="97"/>
        <v>1 -Charges fixes</v>
      </c>
      <c r="B295" s="42" t="str">
        <f t="shared" si="106"/>
        <v>R-MATERIEL RADIOLOGIE</v>
      </c>
      <c r="C295" s="42"/>
      <c r="D295" s="18" t="s">
        <v>280</v>
      </c>
      <c r="E295" s="13" t="s">
        <v>281</v>
      </c>
      <c r="F295" s="43"/>
      <c r="G295" s="54">
        <f t="shared" si="105"/>
        <v>716.51</v>
      </c>
      <c r="H295" s="56">
        <f t="shared" si="103"/>
        <v>716.51</v>
      </c>
      <c r="I295" s="47">
        <f t="shared" si="104"/>
        <v>716.51</v>
      </c>
      <c r="J295" s="80"/>
      <c r="K295" s="77" t="s">
        <v>22</v>
      </c>
      <c r="L295" s="79">
        <v>42734</v>
      </c>
      <c r="M295" s="13" t="s">
        <v>38</v>
      </c>
      <c r="N295" s="78">
        <v>52</v>
      </c>
      <c r="O295" s="33" t="s">
        <v>36</v>
      </c>
      <c r="P295" s="13"/>
      <c r="Q295" s="13"/>
      <c r="R295" s="26"/>
      <c r="S295" s="68"/>
      <c r="T295" s="68"/>
    </row>
    <row r="296" spans="1:20" s="4" customFormat="1" ht="18" customHeight="1">
      <c r="A296" s="10" t="str">
        <f>+A295</f>
        <v>1 -Charges fixes</v>
      </c>
      <c r="B296" s="10" t="s">
        <v>282</v>
      </c>
      <c r="C296" s="10"/>
      <c r="D296" s="10"/>
      <c r="E296" s="14"/>
      <c r="F296" s="38">
        <f>3093.78*12</f>
        <v>37125.360000000001</v>
      </c>
      <c r="G296" s="45"/>
      <c r="H296" s="48"/>
      <c r="I296" s="48"/>
      <c r="J296" s="14"/>
      <c r="K296" s="14"/>
      <c r="L296" s="14"/>
      <c r="M296" s="14"/>
      <c r="N296" s="14"/>
      <c r="O296" s="14"/>
      <c r="P296" s="14"/>
      <c r="Q296" s="14"/>
      <c r="R296" s="24"/>
      <c r="S296" s="66"/>
      <c r="T296" s="66"/>
    </row>
    <row r="297" spans="1:20" s="4" customFormat="1" ht="18" customHeight="1">
      <c r="A297" s="9" t="str">
        <f t="shared" si="97"/>
        <v>1 -Charges fixes</v>
      </c>
      <c r="B297" s="42" t="s">
        <v>283</v>
      </c>
      <c r="C297" s="42"/>
      <c r="D297" s="18" t="s">
        <v>285</v>
      </c>
      <c r="E297" s="13" t="s">
        <v>309</v>
      </c>
      <c r="F297" s="43"/>
      <c r="G297" s="54">
        <v>1921.84</v>
      </c>
      <c r="H297" s="55">
        <v>1921.84</v>
      </c>
      <c r="I297" s="47">
        <f>+H297</f>
        <v>1921.84</v>
      </c>
      <c r="J297" s="39" t="s">
        <v>21</v>
      </c>
      <c r="K297" s="13"/>
      <c r="L297" s="79">
        <v>42399</v>
      </c>
      <c r="M297" s="13" t="s">
        <v>356</v>
      </c>
      <c r="N297" s="78">
        <v>4</v>
      </c>
      <c r="O297" s="33" t="s">
        <v>36</v>
      </c>
      <c r="P297" s="13"/>
      <c r="Q297" s="13"/>
      <c r="R297" s="26"/>
      <c r="S297" s="68"/>
      <c r="T297" s="68"/>
    </row>
    <row r="298" spans="1:20" s="4" customFormat="1" ht="18" customHeight="1">
      <c r="A298" s="9" t="str">
        <f t="shared" si="97"/>
        <v>1 -Charges fixes</v>
      </c>
      <c r="B298" s="42" t="s">
        <v>283</v>
      </c>
      <c r="C298" s="42"/>
      <c r="D298" s="18" t="s">
        <v>286</v>
      </c>
      <c r="E298" s="13" t="s">
        <v>309</v>
      </c>
      <c r="F298" s="43"/>
      <c r="G298" s="54">
        <f>+G297</f>
        <v>1921.84</v>
      </c>
      <c r="H298" s="55">
        <v>1921.84</v>
      </c>
      <c r="I298" s="47">
        <f>+H298</f>
        <v>1921.84</v>
      </c>
      <c r="J298" s="39" t="s">
        <v>21</v>
      </c>
      <c r="K298" s="13"/>
      <c r="L298" s="79">
        <v>42429</v>
      </c>
      <c r="M298" s="13" t="s">
        <v>356</v>
      </c>
      <c r="N298" s="78">
        <v>9</v>
      </c>
      <c r="O298" s="33" t="s">
        <v>36</v>
      </c>
      <c r="P298" s="13"/>
      <c r="Q298" s="13"/>
      <c r="R298" s="26"/>
      <c r="S298" s="68"/>
      <c r="T298" s="68"/>
    </row>
    <row r="299" spans="1:20" s="4" customFormat="1" ht="18" customHeight="1">
      <c r="A299" s="9" t="str">
        <f t="shared" si="97"/>
        <v>1 -Charges fixes</v>
      </c>
      <c r="B299" s="42" t="s">
        <v>283</v>
      </c>
      <c r="C299" s="42"/>
      <c r="D299" s="18" t="s">
        <v>287</v>
      </c>
      <c r="E299" s="13" t="s">
        <v>309</v>
      </c>
      <c r="F299" s="43"/>
      <c r="G299" s="54">
        <f>+G298</f>
        <v>1921.84</v>
      </c>
      <c r="H299" s="56">
        <f t="shared" ref="H299:H308" si="107">+IF(K299="ENGAGE A CE JOUR",G299,"ERREUR")</f>
        <v>1921.84</v>
      </c>
      <c r="I299" s="47">
        <f t="shared" ref="I299:I308" si="108">+H299</f>
        <v>1921.84</v>
      </c>
      <c r="J299" s="80"/>
      <c r="K299" s="77" t="s">
        <v>22</v>
      </c>
      <c r="L299" s="79">
        <v>42459</v>
      </c>
      <c r="M299" s="13" t="s">
        <v>356</v>
      </c>
      <c r="N299" s="78">
        <v>13</v>
      </c>
      <c r="O299" s="33" t="s">
        <v>36</v>
      </c>
      <c r="P299" s="13"/>
      <c r="Q299" s="13"/>
      <c r="R299" s="26"/>
      <c r="S299" s="68"/>
      <c r="T299" s="68"/>
    </row>
    <row r="300" spans="1:20" s="4" customFormat="1" ht="18" customHeight="1">
      <c r="A300" s="9" t="str">
        <f t="shared" si="97"/>
        <v>1 -Charges fixes</v>
      </c>
      <c r="B300" s="42" t="s">
        <v>283</v>
      </c>
      <c r="C300" s="42"/>
      <c r="D300" s="18" t="s">
        <v>288</v>
      </c>
      <c r="E300" s="13" t="s">
        <v>309</v>
      </c>
      <c r="F300" s="43"/>
      <c r="G300" s="54">
        <f t="shared" ref="G300:G308" si="109">+G299</f>
        <v>1921.84</v>
      </c>
      <c r="H300" s="56">
        <f t="shared" si="107"/>
        <v>1921.84</v>
      </c>
      <c r="I300" s="47">
        <f t="shared" si="108"/>
        <v>1921.84</v>
      </c>
      <c r="J300" s="80"/>
      <c r="K300" s="77" t="s">
        <v>22</v>
      </c>
      <c r="L300" s="79">
        <v>42490</v>
      </c>
      <c r="M300" s="13" t="s">
        <v>356</v>
      </c>
      <c r="N300" s="78">
        <v>17</v>
      </c>
      <c r="O300" s="33" t="s">
        <v>36</v>
      </c>
      <c r="P300" s="13"/>
      <c r="Q300" s="13"/>
      <c r="R300" s="26"/>
      <c r="S300" s="68"/>
      <c r="T300" s="68"/>
    </row>
    <row r="301" spans="1:20" s="4" customFormat="1" ht="18" customHeight="1">
      <c r="A301" s="9" t="str">
        <f t="shared" si="97"/>
        <v>1 -Charges fixes</v>
      </c>
      <c r="B301" s="42" t="s">
        <v>283</v>
      </c>
      <c r="C301" s="42"/>
      <c r="D301" s="18" t="s">
        <v>289</v>
      </c>
      <c r="E301" s="13" t="s">
        <v>309</v>
      </c>
      <c r="F301" s="43"/>
      <c r="G301" s="54">
        <f t="shared" si="109"/>
        <v>1921.84</v>
      </c>
      <c r="H301" s="56">
        <f t="shared" si="107"/>
        <v>1921.84</v>
      </c>
      <c r="I301" s="47">
        <f t="shared" si="108"/>
        <v>1921.84</v>
      </c>
      <c r="J301" s="80"/>
      <c r="K301" s="77" t="s">
        <v>22</v>
      </c>
      <c r="L301" s="79">
        <v>42520</v>
      </c>
      <c r="M301" s="13" t="s">
        <v>356</v>
      </c>
      <c r="N301" s="78">
        <v>22</v>
      </c>
      <c r="O301" s="33" t="s">
        <v>36</v>
      </c>
      <c r="P301" s="13"/>
      <c r="Q301" s="13"/>
      <c r="R301" s="26"/>
      <c r="S301" s="68"/>
      <c r="T301" s="68"/>
    </row>
    <row r="302" spans="1:20" s="4" customFormat="1" ht="18" customHeight="1">
      <c r="A302" s="9" t="str">
        <f t="shared" si="97"/>
        <v>1 -Charges fixes</v>
      </c>
      <c r="B302" s="42" t="s">
        <v>283</v>
      </c>
      <c r="C302" s="42"/>
      <c r="D302" s="18" t="s">
        <v>290</v>
      </c>
      <c r="E302" s="13" t="s">
        <v>309</v>
      </c>
      <c r="F302" s="43"/>
      <c r="G302" s="54">
        <f t="shared" si="109"/>
        <v>1921.84</v>
      </c>
      <c r="H302" s="56">
        <f t="shared" si="107"/>
        <v>1921.84</v>
      </c>
      <c r="I302" s="47">
        <f t="shared" si="108"/>
        <v>1921.84</v>
      </c>
      <c r="J302" s="80"/>
      <c r="K302" s="77" t="s">
        <v>22</v>
      </c>
      <c r="L302" s="79">
        <v>42551</v>
      </c>
      <c r="M302" s="13" t="s">
        <v>356</v>
      </c>
      <c r="N302" s="78">
        <v>26</v>
      </c>
      <c r="O302" s="33" t="s">
        <v>36</v>
      </c>
      <c r="P302" s="13"/>
      <c r="Q302" s="13"/>
      <c r="R302" s="26"/>
      <c r="S302" s="68"/>
      <c r="T302" s="68"/>
    </row>
    <row r="303" spans="1:20" s="4" customFormat="1" ht="18" customHeight="1">
      <c r="A303" s="9" t="str">
        <f t="shared" si="97"/>
        <v>1 -Charges fixes</v>
      </c>
      <c r="B303" s="42" t="s">
        <v>283</v>
      </c>
      <c r="C303" s="42"/>
      <c r="D303" s="18" t="s">
        <v>291</v>
      </c>
      <c r="E303" s="13" t="s">
        <v>309</v>
      </c>
      <c r="F303" s="43"/>
      <c r="G303" s="54">
        <f t="shared" si="109"/>
        <v>1921.84</v>
      </c>
      <c r="H303" s="56">
        <f t="shared" si="107"/>
        <v>1921.84</v>
      </c>
      <c r="I303" s="47">
        <f t="shared" si="108"/>
        <v>1921.84</v>
      </c>
      <c r="J303" s="80"/>
      <c r="K303" s="77" t="s">
        <v>22</v>
      </c>
      <c r="L303" s="79">
        <v>42581</v>
      </c>
      <c r="M303" s="13" t="s">
        <v>356</v>
      </c>
      <c r="N303" s="78">
        <v>30</v>
      </c>
      <c r="O303" s="33" t="s">
        <v>36</v>
      </c>
      <c r="P303" s="13"/>
      <c r="Q303" s="16"/>
      <c r="R303" s="26"/>
      <c r="S303" s="68"/>
      <c r="T303" s="68"/>
    </row>
    <row r="304" spans="1:20" s="63" customFormat="1" ht="18" customHeight="1">
      <c r="A304" s="9" t="str">
        <f t="shared" si="97"/>
        <v>1 -Charges fixes</v>
      </c>
      <c r="B304" s="42" t="s">
        <v>283</v>
      </c>
      <c r="C304" s="42"/>
      <c r="D304" s="18" t="s">
        <v>292</v>
      </c>
      <c r="E304" s="13" t="s">
        <v>309</v>
      </c>
      <c r="F304" s="59"/>
      <c r="G304" s="54">
        <f t="shared" si="109"/>
        <v>1921.84</v>
      </c>
      <c r="H304" s="56">
        <f t="shared" si="107"/>
        <v>1921.84</v>
      </c>
      <c r="I304" s="47">
        <f t="shared" si="108"/>
        <v>1921.84</v>
      </c>
      <c r="J304" s="80"/>
      <c r="K304" s="77" t="s">
        <v>22</v>
      </c>
      <c r="L304" s="79">
        <v>42612</v>
      </c>
      <c r="M304" s="13" t="s">
        <v>356</v>
      </c>
      <c r="N304" s="78">
        <v>35</v>
      </c>
      <c r="O304" s="33" t="s">
        <v>36</v>
      </c>
      <c r="P304" s="58"/>
      <c r="Q304" s="58"/>
      <c r="R304" s="26"/>
      <c r="S304" s="68"/>
      <c r="T304" s="68"/>
    </row>
    <row r="305" spans="1:20" s="63" customFormat="1" ht="18" customHeight="1">
      <c r="A305" s="9" t="str">
        <f t="shared" si="97"/>
        <v>1 -Charges fixes</v>
      </c>
      <c r="B305" s="42" t="s">
        <v>283</v>
      </c>
      <c r="C305" s="42"/>
      <c r="D305" s="18" t="s">
        <v>293</v>
      </c>
      <c r="E305" s="13" t="s">
        <v>309</v>
      </c>
      <c r="F305" s="59"/>
      <c r="G305" s="54">
        <f t="shared" si="109"/>
        <v>1921.84</v>
      </c>
      <c r="H305" s="56">
        <f t="shared" si="107"/>
        <v>1921.84</v>
      </c>
      <c r="I305" s="47">
        <f t="shared" si="108"/>
        <v>1921.84</v>
      </c>
      <c r="J305" s="80"/>
      <c r="K305" s="77" t="s">
        <v>22</v>
      </c>
      <c r="L305" s="79">
        <v>42643</v>
      </c>
      <c r="M305" s="13" t="s">
        <v>356</v>
      </c>
      <c r="N305" s="78">
        <v>39</v>
      </c>
      <c r="O305" s="33" t="s">
        <v>36</v>
      </c>
      <c r="P305" s="58"/>
      <c r="Q305" s="58"/>
      <c r="R305" s="26"/>
      <c r="S305" s="68"/>
      <c r="T305" s="68"/>
    </row>
    <row r="306" spans="1:20" s="4" customFormat="1" ht="18" customHeight="1">
      <c r="A306" s="9" t="str">
        <f t="shared" si="97"/>
        <v>1 -Charges fixes</v>
      </c>
      <c r="B306" s="42" t="s">
        <v>283</v>
      </c>
      <c r="C306" s="42"/>
      <c r="D306" s="18" t="s">
        <v>294</v>
      </c>
      <c r="E306" s="13" t="s">
        <v>309</v>
      </c>
      <c r="F306" s="43"/>
      <c r="G306" s="54">
        <f t="shared" si="109"/>
        <v>1921.84</v>
      </c>
      <c r="H306" s="56">
        <f t="shared" si="107"/>
        <v>1921.84</v>
      </c>
      <c r="I306" s="47">
        <f t="shared" si="108"/>
        <v>1921.84</v>
      </c>
      <c r="J306" s="80"/>
      <c r="K306" s="77" t="s">
        <v>22</v>
      </c>
      <c r="L306" s="79">
        <v>42673</v>
      </c>
      <c r="M306" s="13" t="s">
        <v>356</v>
      </c>
      <c r="N306" s="78">
        <v>43</v>
      </c>
      <c r="O306" s="33" t="s">
        <v>36</v>
      </c>
      <c r="P306" s="13"/>
      <c r="Q306" s="13"/>
      <c r="R306" s="26"/>
      <c r="S306" s="68"/>
      <c r="T306" s="68"/>
    </row>
    <row r="307" spans="1:20" s="4" customFormat="1" ht="18" customHeight="1">
      <c r="A307" s="9" t="str">
        <f t="shared" si="97"/>
        <v>1 -Charges fixes</v>
      </c>
      <c r="B307" s="42" t="s">
        <v>283</v>
      </c>
      <c r="C307" s="42"/>
      <c r="D307" s="18" t="s">
        <v>295</v>
      </c>
      <c r="E307" s="13" t="s">
        <v>309</v>
      </c>
      <c r="F307" s="43"/>
      <c r="G307" s="54">
        <f t="shared" si="109"/>
        <v>1921.84</v>
      </c>
      <c r="H307" s="56">
        <f t="shared" si="107"/>
        <v>1921.84</v>
      </c>
      <c r="I307" s="47">
        <f t="shared" si="108"/>
        <v>1921.84</v>
      </c>
      <c r="J307" s="80"/>
      <c r="K307" s="77" t="s">
        <v>22</v>
      </c>
      <c r="L307" s="79">
        <v>42704</v>
      </c>
      <c r="M307" s="13" t="s">
        <v>356</v>
      </c>
      <c r="N307" s="78">
        <v>48</v>
      </c>
      <c r="O307" s="33" t="s">
        <v>36</v>
      </c>
      <c r="P307" s="13"/>
      <c r="Q307" s="13"/>
      <c r="R307" s="26"/>
      <c r="S307" s="68"/>
      <c r="T307" s="68"/>
    </row>
    <row r="308" spans="1:20" s="4" customFormat="1" ht="18" customHeight="1">
      <c r="A308" s="9" t="str">
        <f t="shared" si="97"/>
        <v>1 -Charges fixes</v>
      </c>
      <c r="B308" s="42" t="s">
        <v>283</v>
      </c>
      <c r="C308" s="42"/>
      <c r="D308" s="18" t="s">
        <v>296</v>
      </c>
      <c r="E308" s="13" t="s">
        <v>309</v>
      </c>
      <c r="F308" s="43"/>
      <c r="G308" s="54">
        <f t="shared" si="109"/>
        <v>1921.84</v>
      </c>
      <c r="H308" s="56">
        <f t="shared" si="107"/>
        <v>1921.84</v>
      </c>
      <c r="I308" s="47">
        <f t="shared" si="108"/>
        <v>1921.84</v>
      </c>
      <c r="J308" s="80"/>
      <c r="K308" s="77" t="s">
        <v>22</v>
      </c>
      <c r="L308" s="79">
        <v>42734</v>
      </c>
      <c r="M308" s="13" t="s">
        <v>356</v>
      </c>
      <c r="N308" s="78">
        <v>52</v>
      </c>
      <c r="O308" s="33" t="s">
        <v>36</v>
      </c>
      <c r="P308" s="13"/>
      <c r="Q308" s="13"/>
      <c r="R308" s="26"/>
      <c r="S308" s="68"/>
      <c r="T308" s="68"/>
    </row>
    <row r="309" spans="1:20" s="4" customFormat="1" ht="18" customHeight="1">
      <c r="A309" s="9" t="str">
        <f t="shared" si="97"/>
        <v>1 -Charges fixes</v>
      </c>
      <c r="B309" s="42" t="s">
        <v>284</v>
      </c>
      <c r="C309" s="42"/>
      <c r="D309" s="18" t="s">
        <v>297</v>
      </c>
      <c r="E309" s="13" t="s">
        <v>310</v>
      </c>
      <c r="F309" s="43"/>
      <c r="G309" s="54">
        <v>1171.94</v>
      </c>
      <c r="H309" s="55">
        <v>1171.94</v>
      </c>
      <c r="I309" s="47">
        <f>+H309</f>
        <v>1171.94</v>
      </c>
      <c r="J309" s="39" t="s">
        <v>21</v>
      </c>
      <c r="K309" s="13"/>
      <c r="L309" s="79">
        <v>42399</v>
      </c>
      <c r="M309" s="13" t="s">
        <v>310</v>
      </c>
      <c r="N309" s="78">
        <v>4</v>
      </c>
      <c r="O309" s="33" t="s">
        <v>36</v>
      </c>
      <c r="P309" s="13"/>
      <c r="Q309" s="13"/>
      <c r="R309" s="26"/>
      <c r="S309" s="68"/>
      <c r="T309" s="68"/>
    </row>
    <row r="310" spans="1:20" s="4" customFormat="1" ht="18" customHeight="1">
      <c r="A310" s="9" t="str">
        <f t="shared" si="97"/>
        <v>1 -Charges fixes</v>
      </c>
      <c r="B310" s="42" t="s">
        <v>284</v>
      </c>
      <c r="C310" s="42"/>
      <c r="D310" s="18" t="s">
        <v>298</v>
      </c>
      <c r="E310" s="13" t="s">
        <v>310</v>
      </c>
      <c r="F310" s="43"/>
      <c r="G310" s="54">
        <f>+G309</f>
        <v>1171.94</v>
      </c>
      <c r="H310" s="55">
        <v>1171.94</v>
      </c>
      <c r="I310" s="47">
        <f>+H310</f>
        <v>1171.94</v>
      </c>
      <c r="J310" s="39" t="s">
        <v>21</v>
      </c>
      <c r="K310" s="13"/>
      <c r="L310" s="79">
        <v>42429</v>
      </c>
      <c r="M310" s="13" t="s">
        <v>310</v>
      </c>
      <c r="N310" s="78">
        <v>9</v>
      </c>
      <c r="O310" s="33" t="s">
        <v>36</v>
      </c>
      <c r="P310" s="13"/>
      <c r="Q310" s="13"/>
      <c r="R310" s="26"/>
      <c r="S310" s="68"/>
      <c r="T310" s="68"/>
    </row>
    <row r="311" spans="1:20" s="4" customFormat="1" ht="18" customHeight="1">
      <c r="A311" s="9" t="str">
        <f t="shared" si="97"/>
        <v>1 -Charges fixes</v>
      </c>
      <c r="B311" s="42" t="s">
        <v>284</v>
      </c>
      <c r="C311" s="42"/>
      <c r="D311" s="18" t="s">
        <v>299</v>
      </c>
      <c r="E311" s="13" t="s">
        <v>310</v>
      </c>
      <c r="F311" s="43"/>
      <c r="G311" s="54">
        <f>+G310</f>
        <v>1171.94</v>
      </c>
      <c r="H311" s="56">
        <f t="shared" ref="H311:H320" si="110">+IF(K311="ENGAGE A CE JOUR",G311,"ERREUR")</f>
        <v>1171.94</v>
      </c>
      <c r="I311" s="47">
        <f t="shared" ref="I311:I320" si="111">+H311</f>
        <v>1171.94</v>
      </c>
      <c r="J311" s="80"/>
      <c r="K311" s="77" t="s">
        <v>22</v>
      </c>
      <c r="L311" s="79">
        <v>42459</v>
      </c>
      <c r="M311" s="13" t="s">
        <v>310</v>
      </c>
      <c r="N311" s="78">
        <v>13</v>
      </c>
      <c r="O311" s="33" t="s">
        <v>36</v>
      </c>
      <c r="P311" s="13"/>
      <c r="Q311" s="13"/>
      <c r="R311" s="26"/>
      <c r="S311" s="68"/>
      <c r="T311" s="68"/>
    </row>
    <row r="312" spans="1:20" s="4" customFormat="1" ht="18" customHeight="1">
      <c r="A312" s="9" t="str">
        <f t="shared" si="97"/>
        <v>1 -Charges fixes</v>
      </c>
      <c r="B312" s="42" t="s">
        <v>284</v>
      </c>
      <c r="C312" s="42"/>
      <c r="D312" s="18" t="s">
        <v>300</v>
      </c>
      <c r="E312" s="13" t="s">
        <v>310</v>
      </c>
      <c r="F312" s="43"/>
      <c r="G312" s="54">
        <f t="shared" ref="G312:G320" si="112">+G311</f>
        <v>1171.94</v>
      </c>
      <c r="H312" s="56">
        <f t="shared" si="110"/>
        <v>1171.94</v>
      </c>
      <c r="I312" s="47">
        <f t="shared" si="111"/>
        <v>1171.94</v>
      </c>
      <c r="J312" s="80"/>
      <c r="K312" s="77" t="s">
        <v>22</v>
      </c>
      <c r="L312" s="79">
        <v>42490</v>
      </c>
      <c r="M312" s="13" t="s">
        <v>310</v>
      </c>
      <c r="N312" s="78">
        <v>17</v>
      </c>
      <c r="O312" s="33" t="s">
        <v>36</v>
      </c>
      <c r="P312" s="13"/>
      <c r="Q312" s="13"/>
      <c r="R312" s="26"/>
      <c r="S312" s="68"/>
      <c r="T312" s="68"/>
    </row>
    <row r="313" spans="1:20" s="4" customFormat="1" ht="18" customHeight="1">
      <c r="A313" s="9" t="str">
        <f t="shared" si="97"/>
        <v>1 -Charges fixes</v>
      </c>
      <c r="B313" s="42" t="s">
        <v>284</v>
      </c>
      <c r="C313" s="42"/>
      <c r="D313" s="18" t="s">
        <v>301</v>
      </c>
      <c r="E313" s="13" t="s">
        <v>310</v>
      </c>
      <c r="F313" s="43"/>
      <c r="G313" s="54">
        <f t="shared" si="112"/>
        <v>1171.94</v>
      </c>
      <c r="H313" s="56">
        <f t="shared" si="110"/>
        <v>1171.94</v>
      </c>
      <c r="I313" s="47">
        <f t="shared" si="111"/>
        <v>1171.94</v>
      </c>
      <c r="J313" s="80"/>
      <c r="K313" s="77" t="s">
        <v>22</v>
      </c>
      <c r="L313" s="79">
        <v>42520</v>
      </c>
      <c r="M313" s="13" t="s">
        <v>310</v>
      </c>
      <c r="N313" s="78">
        <v>22</v>
      </c>
      <c r="O313" s="33" t="s">
        <v>36</v>
      </c>
      <c r="P313" s="13"/>
      <c r="Q313" s="13"/>
      <c r="R313" s="26"/>
      <c r="S313" s="68"/>
      <c r="T313" s="68"/>
    </row>
    <row r="314" spans="1:20" s="4" customFormat="1" ht="18" customHeight="1">
      <c r="A314" s="9" t="str">
        <f t="shared" si="97"/>
        <v>1 -Charges fixes</v>
      </c>
      <c r="B314" s="42" t="s">
        <v>284</v>
      </c>
      <c r="C314" s="42"/>
      <c r="D314" s="18" t="s">
        <v>302</v>
      </c>
      <c r="E314" s="13" t="s">
        <v>310</v>
      </c>
      <c r="F314" s="43"/>
      <c r="G314" s="54">
        <f t="shared" si="112"/>
        <v>1171.94</v>
      </c>
      <c r="H314" s="56">
        <f t="shared" si="110"/>
        <v>1171.94</v>
      </c>
      <c r="I314" s="47">
        <f t="shared" si="111"/>
        <v>1171.94</v>
      </c>
      <c r="J314" s="80"/>
      <c r="K314" s="77" t="s">
        <v>22</v>
      </c>
      <c r="L314" s="79">
        <v>42551</v>
      </c>
      <c r="M314" s="13" t="s">
        <v>310</v>
      </c>
      <c r="N314" s="78">
        <v>26</v>
      </c>
      <c r="O314" s="33" t="s">
        <v>36</v>
      </c>
      <c r="P314" s="13"/>
      <c r="Q314" s="13"/>
      <c r="R314" s="26"/>
      <c r="S314" s="68"/>
      <c r="T314" s="68"/>
    </row>
    <row r="315" spans="1:20" s="4" customFormat="1" ht="18" customHeight="1">
      <c r="A315" s="9" t="str">
        <f t="shared" si="97"/>
        <v>1 -Charges fixes</v>
      </c>
      <c r="B315" s="42" t="s">
        <v>284</v>
      </c>
      <c r="C315" s="42"/>
      <c r="D315" s="18" t="s">
        <v>303</v>
      </c>
      <c r="E315" s="13" t="s">
        <v>310</v>
      </c>
      <c r="F315" s="43"/>
      <c r="G315" s="54">
        <f t="shared" si="112"/>
        <v>1171.94</v>
      </c>
      <c r="H315" s="56">
        <f t="shared" si="110"/>
        <v>1171.94</v>
      </c>
      <c r="I315" s="47">
        <f t="shared" si="111"/>
        <v>1171.94</v>
      </c>
      <c r="J315" s="80"/>
      <c r="K315" s="77" t="s">
        <v>22</v>
      </c>
      <c r="L315" s="79">
        <v>42581</v>
      </c>
      <c r="M315" s="13" t="s">
        <v>310</v>
      </c>
      <c r="N315" s="78">
        <v>30</v>
      </c>
      <c r="O315" s="33" t="s">
        <v>36</v>
      </c>
      <c r="P315" s="13"/>
      <c r="Q315" s="13"/>
      <c r="R315" s="26"/>
      <c r="S315" s="68"/>
      <c r="T315" s="68"/>
    </row>
    <row r="316" spans="1:20" s="4" customFormat="1" ht="18" customHeight="1">
      <c r="A316" s="9" t="str">
        <f t="shared" si="97"/>
        <v>1 -Charges fixes</v>
      </c>
      <c r="B316" s="42" t="s">
        <v>284</v>
      </c>
      <c r="C316" s="42"/>
      <c r="D316" s="18" t="s">
        <v>304</v>
      </c>
      <c r="E316" s="13" t="s">
        <v>310</v>
      </c>
      <c r="F316" s="43"/>
      <c r="G316" s="54">
        <f t="shared" si="112"/>
        <v>1171.94</v>
      </c>
      <c r="H316" s="56">
        <f t="shared" si="110"/>
        <v>1171.94</v>
      </c>
      <c r="I316" s="47">
        <f t="shared" si="111"/>
        <v>1171.94</v>
      </c>
      <c r="J316" s="80"/>
      <c r="K316" s="77" t="s">
        <v>22</v>
      </c>
      <c r="L316" s="79">
        <v>42612</v>
      </c>
      <c r="M316" s="13" t="s">
        <v>310</v>
      </c>
      <c r="N316" s="78">
        <v>35</v>
      </c>
      <c r="O316" s="33" t="s">
        <v>36</v>
      </c>
      <c r="P316" s="13"/>
      <c r="Q316" s="13"/>
      <c r="R316" s="26"/>
      <c r="S316" s="68"/>
      <c r="T316" s="68"/>
    </row>
    <row r="317" spans="1:20" s="4" customFormat="1" ht="18" customHeight="1">
      <c r="A317" s="9" t="str">
        <f t="shared" si="97"/>
        <v>1 -Charges fixes</v>
      </c>
      <c r="B317" s="42" t="s">
        <v>284</v>
      </c>
      <c r="C317" s="42"/>
      <c r="D317" s="18" t="s">
        <v>305</v>
      </c>
      <c r="E317" s="13" t="s">
        <v>310</v>
      </c>
      <c r="F317" s="43"/>
      <c r="G317" s="54">
        <f t="shared" si="112"/>
        <v>1171.94</v>
      </c>
      <c r="H317" s="56">
        <f t="shared" si="110"/>
        <v>1171.94</v>
      </c>
      <c r="I317" s="47">
        <f t="shared" si="111"/>
        <v>1171.94</v>
      </c>
      <c r="J317" s="80"/>
      <c r="K317" s="77" t="s">
        <v>22</v>
      </c>
      <c r="L317" s="79">
        <v>42643</v>
      </c>
      <c r="M317" s="13" t="s">
        <v>310</v>
      </c>
      <c r="N317" s="78">
        <v>39</v>
      </c>
      <c r="O317" s="33" t="s">
        <v>36</v>
      </c>
      <c r="P317" s="13"/>
      <c r="Q317" s="13"/>
      <c r="R317" s="26"/>
      <c r="S317" s="68"/>
      <c r="T317" s="68"/>
    </row>
    <row r="318" spans="1:20" s="63" customFormat="1" ht="19.5" customHeight="1">
      <c r="A318" s="9" t="str">
        <f t="shared" si="97"/>
        <v>1 -Charges fixes</v>
      </c>
      <c r="B318" s="42" t="s">
        <v>284</v>
      </c>
      <c r="C318" s="83"/>
      <c r="D318" s="18" t="s">
        <v>306</v>
      </c>
      <c r="E318" s="13" t="s">
        <v>310</v>
      </c>
      <c r="F318" s="59"/>
      <c r="G318" s="54">
        <f t="shared" si="112"/>
        <v>1171.94</v>
      </c>
      <c r="H318" s="56">
        <f t="shared" si="110"/>
        <v>1171.94</v>
      </c>
      <c r="I318" s="47">
        <f t="shared" si="111"/>
        <v>1171.94</v>
      </c>
      <c r="J318" s="80"/>
      <c r="K318" s="77" t="s">
        <v>22</v>
      </c>
      <c r="L318" s="79">
        <v>42673</v>
      </c>
      <c r="M318" s="13" t="s">
        <v>310</v>
      </c>
      <c r="N318" s="78">
        <v>43</v>
      </c>
      <c r="O318" s="33" t="s">
        <v>36</v>
      </c>
      <c r="P318" s="58"/>
      <c r="Q318" s="58"/>
      <c r="R318" s="26"/>
      <c r="S318" s="68"/>
      <c r="T318" s="68"/>
    </row>
    <row r="319" spans="1:20" s="4" customFormat="1" ht="19.5" customHeight="1">
      <c r="A319" s="9" t="str">
        <f t="shared" si="97"/>
        <v>1 -Charges fixes</v>
      </c>
      <c r="B319" s="42" t="s">
        <v>284</v>
      </c>
      <c r="C319" s="42"/>
      <c r="D319" s="18" t="s">
        <v>307</v>
      </c>
      <c r="E319" s="13" t="s">
        <v>310</v>
      </c>
      <c r="F319" s="43"/>
      <c r="G319" s="54">
        <f t="shared" si="112"/>
        <v>1171.94</v>
      </c>
      <c r="H319" s="56">
        <f t="shared" si="110"/>
        <v>1171.94</v>
      </c>
      <c r="I319" s="47">
        <f t="shared" si="111"/>
        <v>1171.94</v>
      </c>
      <c r="J319" s="80"/>
      <c r="K319" s="77" t="s">
        <v>22</v>
      </c>
      <c r="L319" s="79">
        <v>42704</v>
      </c>
      <c r="M319" s="13" t="s">
        <v>310</v>
      </c>
      <c r="N319" s="78">
        <v>48</v>
      </c>
      <c r="O319" s="33" t="s">
        <v>36</v>
      </c>
      <c r="P319" s="13"/>
      <c r="Q319" s="13"/>
      <c r="R319" s="26"/>
      <c r="S319" s="70"/>
      <c r="T319" s="70"/>
    </row>
    <row r="320" spans="1:20" s="4" customFormat="1" ht="19.5" customHeight="1">
      <c r="A320" s="9" t="str">
        <f t="shared" si="97"/>
        <v>1 -Charges fixes</v>
      </c>
      <c r="B320" s="42" t="s">
        <v>284</v>
      </c>
      <c r="C320" s="42"/>
      <c r="D320" s="18" t="s">
        <v>308</v>
      </c>
      <c r="E320" s="13" t="s">
        <v>310</v>
      </c>
      <c r="F320" s="43"/>
      <c r="G320" s="54">
        <f t="shared" si="112"/>
        <v>1171.94</v>
      </c>
      <c r="H320" s="56">
        <f t="shared" si="110"/>
        <v>1171.94</v>
      </c>
      <c r="I320" s="47">
        <f t="shared" si="111"/>
        <v>1171.94</v>
      </c>
      <c r="J320" s="80"/>
      <c r="K320" s="77" t="s">
        <v>22</v>
      </c>
      <c r="L320" s="79">
        <v>42734</v>
      </c>
      <c r="M320" s="13" t="s">
        <v>310</v>
      </c>
      <c r="N320" s="78">
        <v>52</v>
      </c>
      <c r="O320" s="33" t="s">
        <v>36</v>
      </c>
      <c r="P320" s="13"/>
      <c r="Q320" s="13"/>
      <c r="R320" s="26"/>
      <c r="S320" s="70"/>
      <c r="T320" s="70"/>
    </row>
    <row r="321" spans="1:20" s="4" customFormat="1" ht="18" customHeight="1">
      <c r="A321" s="10" t="s">
        <v>311</v>
      </c>
      <c r="B321" s="10" t="s">
        <v>312</v>
      </c>
      <c r="C321" s="10"/>
      <c r="D321" s="10"/>
      <c r="E321" s="14"/>
      <c r="F321" s="38">
        <f>2000*12</f>
        <v>24000</v>
      </c>
      <c r="G321" s="45"/>
      <c r="H321" s="48"/>
      <c r="I321" s="48"/>
      <c r="J321" s="14"/>
      <c r="K321" s="14"/>
      <c r="L321" s="14"/>
      <c r="M321" s="14"/>
      <c r="N321" s="14"/>
      <c r="O321" s="14"/>
      <c r="P321" s="14"/>
      <c r="Q321" s="14"/>
      <c r="R321" s="24"/>
      <c r="S321" s="66"/>
      <c r="T321" s="66"/>
    </row>
    <row r="322" spans="1:20" s="4" customFormat="1" ht="18" customHeight="1">
      <c r="A322" s="9" t="str">
        <f>+A321</f>
        <v>2 -Divers</v>
      </c>
      <c r="B322" s="42" t="str">
        <f>+B321</f>
        <v>U-VIREMENT PERSONNEL</v>
      </c>
      <c r="C322" s="42"/>
      <c r="D322" s="18" t="s">
        <v>313</v>
      </c>
      <c r="E322" s="13" t="s">
        <v>325</v>
      </c>
      <c r="F322" s="43"/>
      <c r="G322" s="54">
        <v>2000</v>
      </c>
      <c r="H322" s="55">
        <v>2000</v>
      </c>
      <c r="I322" s="47">
        <f>+H322</f>
        <v>2000</v>
      </c>
      <c r="J322" s="39" t="s">
        <v>21</v>
      </c>
      <c r="K322" s="13"/>
      <c r="L322" s="79">
        <v>42399</v>
      </c>
      <c r="M322" s="13" t="s">
        <v>310</v>
      </c>
      <c r="N322" s="78">
        <v>4</v>
      </c>
      <c r="O322" s="33" t="s">
        <v>36</v>
      </c>
      <c r="P322" s="13"/>
      <c r="Q322" s="13"/>
      <c r="R322" s="26"/>
      <c r="S322" s="68"/>
      <c r="T322" s="68"/>
    </row>
    <row r="323" spans="1:20" s="4" customFormat="1" ht="18" customHeight="1">
      <c r="A323" s="9" t="str">
        <f t="shared" ref="A323:A346" si="113">+A322</f>
        <v>2 -Divers</v>
      </c>
      <c r="B323" s="42" t="str">
        <f t="shared" ref="B323:B346" si="114">+B322</f>
        <v>U-VIREMENT PERSONNEL</v>
      </c>
      <c r="C323" s="42"/>
      <c r="D323" s="18" t="s">
        <v>314</v>
      </c>
      <c r="E323" s="13" t="s">
        <v>325</v>
      </c>
      <c r="F323" s="43"/>
      <c r="G323" s="54">
        <f>+G322</f>
        <v>2000</v>
      </c>
      <c r="H323" s="55">
        <v>2000</v>
      </c>
      <c r="I323" s="47">
        <f>+H323</f>
        <v>2000</v>
      </c>
      <c r="J323" s="39" t="s">
        <v>21</v>
      </c>
      <c r="K323" s="13"/>
      <c r="L323" s="79">
        <v>42429</v>
      </c>
      <c r="M323" s="13" t="s">
        <v>310</v>
      </c>
      <c r="N323" s="78">
        <v>9</v>
      </c>
      <c r="O323" s="33" t="s">
        <v>36</v>
      </c>
      <c r="P323" s="13"/>
      <c r="Q323" s="13"/>
      <c r="R323" s="26"/>
      <c r="S323" s="68"/>
      <c r="T323" s="68"/>
    </row>
    <row r="324" spans="1:20" s="4" customFormat="1" ht="18" customHeight="1">
      <c r="A324" s="9" t="str">
        <f t="shared" si="113"/>
        <v>2 -Divers</v>
      </c>
      <c r="B324" s="42" t="str">
        <f t="shared" si="114"/>
        <v>U-VIREMENT PERSONNEL</v>
      </c>
      <c r="C324" s="42"/>
      <c r="D324" s="18" t="s">
        <v>315</v>
      </c>
      <c r="E324" s="13" t="s">
        <v>325</v>
      </c>
      <c r="F324" s="43"/>
      <c r="G324" s="54">
        <f>+G323</f>
        <v>2000</v>
      </c>
      <c r="H324" s="56">
        <f t="shared" ref="H324:H333" si="115">+IF(K324="ENGAGE A CE JOUR",G324,"ERREUR")</f>
        <v>2000</v>
      </c>
      <c r="I324" s="47">
        <f t="shared" ref="I324:I333" si="116">+H324</f>
        <v>2000</v>
      </c>
      <c r="J324" s="80"/>
      <c r="K324" s="77" t="s">
        <v>22</v>
      </c>
      <c r="L324" s="79">
        <v>42459</v>
      </c>
      <c r="M324" s="13" t="s">
        <v>310</v>
      </c>
      <c r="N324" s="78">
        <v>13</v>
      </c>
      <c r="O324" s="33" t="s">
        <v>36</v>
      </c>
      <c r="P324" s="13"/>
      <c r="Q324" s="13"/>
      <c r="R324" s="26"/>
      <c r="S324" s="68"/>
      <c r="T324" s="68"/>
    </row>
    <row r="325" spans="1:20" s="4" customFormat="1" ht="18" customHeight="1">
      <c r="A325" s="9" t="str">
        <f t="shared" si="113"/>
        <v>2 -Divers</v>
      </c>
      <c r="B325" s="42" t="str">
        <f t="shared" si="114"/>
        <v>U-VIREMENT PERSONNEL</v>
      </c>
      <c r="C325" s="42"/>
      <c r="D325" s="18" t="s">
        <v>316</v>
      </c>
      <c r="E325" s="13" t="s">
        <v>325</v>
      </c>
      <c r="F325" s="43"/>
      <c r="G325" s="54">
        <f t="shared" ref="G325:G333" si="117">+G324</f>
        <v>2000</v>
      </c>
      <c r="H325" s="56">
        <f t="shared" si="115"/>
        <v>2000</v>
      </c>
      <c r="I325" s="47">
        <f t="shared" si="116"/>
        <v>2000</v>
      </c>
      <c r="J325" s="80"/>
      <c r="K325" s="77" t="s">
        <v>22</v>
      </c>
      <c r="L325" s="79">
        <v>42490</v>
      </c>
      <c r="M325" s="13" t="s">
        <v>310</v>
      </c>
      <c r="N325" s="78">
        <v>17</v>
      </c>
      <c r="O325" s="33" t="s">
        <v>36</v>
      </c>
      <c r="P325" s="13"/>
      <c r="Q325" s="13"/>
      <c r="R325" s="26"/>
      <c r="S325" s="68"/>
      <c r="T325" s="68"/>
    </row>
    <row r="326" spans="1:20" s="4" customFormat="1" ht="18" customHeight="1">
      <c r="A326" s="9" t="str">
        <f t="shared" si="113"/>
        <v>2 -Divers</v>
      </c>
      <c r="B326" s="42" t="str">
        <f t="shared" si="114"/>
        <v>U-VIREMENT PERSONNEL</v>
      </c>
      <c r="C326" s="42"/>
      <c r="D326" s="18" t="s">
        <v>317</v>
      </c>
      <c r="E326" s="13" t="s">
        <v>325</v>
      </c>
      <c r="F326" s="43"/>
      <c r="G326" s="54">
        <f t="shared" si="117"/>
        <v>2000</v>
      </c>
      <c r="H326" s="56">
        <f t="shared" si="115"/>
        <v>2000</v>
      </c>
      <c r="I326" s="47">
        <f t="shared" si="116"/>
        <v>2000</v>
      </c>
      <c r="J326" s="80"/>
      <c r="K326" s="77" t="s">
        <v>22</v>
      </c>
      <c r="L326" s="79">
        <v>42520</v>
      </c>
      <c r="M326" s="13" t="s">
        <v>310</v>
      </c>
      <c r="N326" s="78">
        <v>22</v>
      </c>
      <c r="O326" s="33" t="s">
        <v>36</v>
      </c>
      <c r="P326" s="13"/>
      <c r="Q326" s="13"/>
      <c r="R326" s="26"/>
      <c r="S326" s="68"/>
      <c r="T326" s="68"/>
    </row>
    <row r="327" spans="1:20" s="4" customFormat="1" ht="18" customHeight="1">
      <c r="A327" s="9" t="str">
        <f t="shared" si="113"/>
        <v>2 -Divers</v>
      </c>
      <c r="B327" s="42" t="str">
        <f t="shared" si="114"/>
        <v>U-VIREMENT PERSONNEL</v>
      </c>
      <c r="C327" s="42"/>
      <c r="D327" s="18" t="s">
        <v>318</v>
      </c>
      <c r="E327" s="13" t="s">
        <v>325</v>
      </c>
      <c r="F327" s="43"/>
      <c r="G327" s="54">
        <f t="shared" si="117"/>
        <v>2000</v>
      </c>
      <c r="H327" s="56">
        <f t="shared" si="115"/>
        <v>2000</v>
      </c>
      <c r="I327" s="47">
        <f t="shared" si="116"/>
        <v>2000</v>
      </c>
      <c r="J327" s="80"/>
      <c r="K327" s="77" t="s">
        <v>22</v>
      </c>
      <c r="L327" s="79">
        <v>42551</v>
      </c>
      <c r="M327" s="13" t="s">
        <v>310</v>
      </c>
      <c r="N327" s="78">
        <v>26</v>
      </c>
      <c r="O327" s="33" t="s">
        <v>36</v>
      </c>
      <c r="P327" s="13"/>
      <c r="Q327" s="13"/>
      <c r="R327" s="26"/>
      <c r="S327" s="68"/>
      <c r="T327" s="68"/>
    </row>
    <row r="328" spans="1:20" s="4" customFormat="1" ht="18" customHeight="1">
      <c r="A328" s="9" t="str">
        <f t="shared" si="113"/>
        <v>2 -Divers</v>
      </c>
      <c r="B328" s="42" t="str">
        <f t="shared" si="114"/>
        <v>U-VIREMENT PERSONNEL</v>
      </c>
      <c r="C328" s="42"/>
      <c r="D328" s="18" t="s">
        <v>319</v>
      </c>
      <c r="E328" s="13" t="s">
        <v>325</v>
      </c>
      <c r="F328" s="43"/>
      <c r="G328" s="54">
        <f t="shared" si="117"/>
        <v>2000</v>
      </c>
      <c r="H328" s="56">
        <f t="shared" si="115"/>
        <v>2000</v>
      </c>
      <c r="I328" s="47">
        <f t="shared" si="116"/>
        <v>2000</v>
      </c>
      <c r="J328" s="80"/>
      <c r="K328" s="77" t="s">
        <v>22</v>
      </c>
      <c r="L328" s="79">
        <v>42581</v>
      </c>
      <c r="M328" s="13" t="s">
        <v>310</v>
      </c>
      <c r="N328" s="78">
        <v>30</v>
      </c>
      <c r="O328" s="33" t="s">
        <v>36</v>
      </c>
      <c r="P328" s="13"/>
      <c r="Q328" s="16"/>
      <c r="R328" s="26"/>
      <c r="S328" s="68"/>
      <c r="T328" s="68"/>
    </row>
    <row r="329" spans="1:20" s="4" customFormat="1" ht="18" customHeight="1">
      <c r="A329" s="9" t="str">
        <f t="shared" si="113"/>
        <v>2 -Divers</v>
      </c>
      <c r="B329" s="42" t="str">
        <f t="shared" si="114"/>
        <v>U-VIREMENT PERSONNEL</v>
      </c>
      <c r="C329" s="42"/>
      <c r="D329" s="18" t="s">
        <v>320</v>
      </c>
      <c r="E329" s="13" t="s">
        <v>325</v>
      </c>
      <c r="F329" s="43"/>
      <c r="G329" s="54">
        <f t="shared" si="117"/>
        <v>2000</v>
      </c>
      <c r="H329" s="56">
        <f t="shared" si="115"/>
        <v>2000</v>
      </c>
      <c r="I329" s="47">
        <f t="shared" si="116"/>
        <v>2000</v>
      </c>
      <c r="J329" s="80"/>
      <c r="K329" s="77" t="s">
        <v>22</v>
      </c>
      <c r="L329" s="79">
        <v>42612</v>
      </c>
      <c r="M329" s="13" t="s">
        <v>310</v>
      </c>
      <c r="N329" s="78">
        <v>35</v>
      </c>
      <c r="O329" s="33" t="s">
        <v>36</v>
      </c>
      <c r="P329" s="58"/>
      <c r="Q329" s="58"/>
      <c r="R329" s="26"/>
      <c r="S329" s="68"/>
      <c r="T329" s="68"/>
    </row>
    <row r="330" spans="1:20" s="4" customFormat="1" ht="18" customHeight="1">
      <c r="A330" s="9" t="str">
        <f t="shared" si="113"/>
        <v>2 -Divers</v>
      </c>
      <c r="B330" s="42" t="str">
        <f t="shared" si="114"/>
        <v>U-VIREMENT PERSONNEL</v>
      </c>
      <c r="C330" s="42"/>
      <c r="D330" s="18" t="s">
        <v>321</v>
      </c>
      <c r="E330" s="13" t="s">
        <v>325</v>
      </c>
      <c r="F330" s="43"/>
      <c r="G330" s="54">
        <f t="shared" si="117"/>
        <v>2000</v>
      </c>
      <c r="H330" s="56">
        <f t="shared" si="115"/>
        <v>2000</v>
      </c>
      <c r="I330" s="47">
        <f t="shared" si="116"/>
        <v>2000</v>
      </c>
      <c r="J330" s="80"/>
      <c r="K330" s="77" t="s">
        <v>22</v>
      </c>
      <c r="L330" s="79">
        <v>42643</v>
      </c>
      <c r="M330" s="13" t="s">
        <v>310</v>
      </c>
      <c r="N330" s="78">
        <v>39</v>
      </c>
      <c r="O330" s="33" t="s">
        <v>36</v>
      </c>
      <c r="P330" s="58"/>
      <c r="Q330" s="58"/>
      <c r="R330" s="26"/>
      <c r="S330" s="68"/>
      <c r="T330" s="68"/>
    </row>
    <row r="331" spans="1:20" s="4" customFormat="1" ht="18" customHeight="1">
      <c r="A331" s="9" t="str">
        <f t="shared" si="113"/>
        <v>2 -Divers</v>
      </c>
      <c r="B331" s="42" t="str">
        <f t="shared" si="114"/>
        <v>U-VIREMENT PERSONNEL</v>
      </c>
      <c r="C331" s="42"/>
      <c r="D331" s="18" t="s">
        <v>322</v>
      </c>
      <c r="E331" s="13" t="s">
        <v>325</v>
      </c>
      <c r="F331" s="43"/>
      <c r="G331" s="54">
        <f t="shared" si="117"/>
        <v>2000</v>
      </c>
      <c r="H331" s="56">
        <f t="shared" si="115"/>
        <v>2000</v>
      </c>
      <c r="I331" s="47">
        <f t="shared" si="116"/>
        <v>2000</v>
      </c>
      <c r="J331" s="80"/>
      <c r="K331" s="77" t="s">
        <v>22</v>
      </c>
      <c r="L331" s="79">
        <v>42673</v>
      </c>
      <c r="M331" s="13" t="s">
        <v>310</v>
      </c>
      <c r="N331" s="78">
        <v>43</v>
      </c>
      <c r="O331" s="33" t="s">
        <v>36</v>
      </c>
      <c r="P331" s="13"/>
      <c r="Q331" s="13"/>
      <c r="R331" s="26"/>
      <c r="S331" s="68"/>
      <c r="T331" s="68"/>
    </row>
    <row r="332" spans="1:20" s="4" customFormat="1" ht="18" customHeight="1">
      <c r="A332" s="9" t="str">
        <f t="shared" si="113"/>
        <v>2 -Divers</v>
      </c>
      <c r="B332" s="42" t="str">
        <f t="shared" si="114"/>
        <v>U-VIREMENT PERSONNEL</v>
      </c>
      <c r="C332" s="42"/>
      <c r="D332" s="18" t="s">
        <v>323</v>
      </c>
      <c r="E332" s="13" t="s">
        <v>325</v>
      </c>
      <c r="F332" s="43"/>
      <c r="G332" s="54">
        <f t="shared" si="117"/>
        <v>2000</v>
      </c>
      <c r="H332" s="56">
        <f t="shared" si="115"/>
        <v>2000</v>
      </c>
      <c r="I332" s="47">
        <f t="shared" si="116"/>
        <v>2000</v>
      </c>
      <c r="J332" s="80"/>
      <c r="K332" s="77" t="s">
        <v>22</v>
      </c>
      <c r="L332" s="79">
        <v>42704</v>
      </c>
      <c r="M332" s="13" t="s">
        <v>310</v>
      </c>
      <c r="N332" s="78">
        <v>48</v>
      </c>
      <c r="O332" s="33" t="s">
        <v>36</v>
      </c>
      <c r="P332" s="13"/>
      <c r="Q332" s="13"/>
      <c r="R332" s="26"/>
      <c r="S332" s="68"/>
      <c r="T332" s="68"/>
    </row>
    <row r="333" spans="1:20" s="4" customFormat="1" ht="18" customHeight="1">
      <c r="A333" s="9" t="str">
        <f t="shared" si="113"/>
        <v>2 -Divers</v>
      </c>
      <c r="B333" s="42" t="str">
        <f t="shared" si="114"/>
        <v>U-VIREMENT PERSONNEL</v>
      </c>
      <c r="C333" s="42"/>
      <c r="D333" s="18" t="s">
        <v>324</v>
      </c>
      <c r="E333" s="13" t="s">
        <v>325</v>
      </c>
      <c r="F333" s="43"/>
      <c r="G333" s="54">
        <f t="shared" si="117"/>
        <v>2000</v>
      </c>
      <c r="H333" s="56">
        <f t="shared" si="115"/>
        <v>2000</v>
      </c>
      <c r="I333" s="47">
        <f t="shared" si="116"/>
        <v>2000</v>
      </c>
      <c r="J333" s="80"/>
      <c r="K333" s="77" t="s">
        <v>22</v>
      </c>
      <c r="L333" s="79">
        <v>42734</v>
      </c>
      <c r="M333" s="13" t="s">
        <v>310</v>
      </c>
      <c r="N333" s="78">
        <v>52</v>
      </c>
      <c r="O333" s="33" t="s">
        <v>36</v>
      </c>
      <c r="P333" s="13"/>
      <c r="Q333" s="13"/>
      <c r="R333" s="26"/>
      <c r="S333" s="68"/>
      <c r="T333" s="68"/>
    </row>
    <row r="334" spans="1:20" s="4" customFormat="1" ht="18" customHeight="1">
      <c r="A334" s="10" t="s">
        <v>23</v>
      </c>
      <c r="B334" s="10" t="s">
        <v>326</v>
      </c>
      <c r="C334" s="10"/>
      <c r="D334" s="10"/>
      <c r="E334" s="14"/>
      <c r="F334" s="38">
        <f>16.99*12</f>
        <v>203.88</v>
      </c>
      <c r="G334" s="45"/>
      <c r="H334" s="48"/>
      <c r="I334" s="48"/>
      <c r="J334" s="14"/>
      <c r="K334" s="14"/>
      <c r="L334" s="14"/>
      <c r="M334" s="14"/>
      <c r="N334" s="14"/>
      <c r="O334" s="14"/>
      <c r="P334" s="14"/>
      <c r="Q334" s="14"/>
      <c r="R334" s="24"/>
      <c r="S334" s="66"/>
      <c r="T334" s="66"/>
    </row>
    <row r="335" spans="1:20" s="4" customFormat="1" ht="18" customHeight="1">
      <c r="A335" s="9" t="str">
        <f t="shared" si="113"/>
        <v>1 -Charges fixes</v>
      </c>
      <c r="B335" s="42" t="str">
        <f t="shared" si="114"/>
        <v>V-TELEPHONE FREE</v>
      </c>
      <c r="C335" s="42"/>
      <c r="D335" s="18" t="s">
        <v>166</v>
      </c>
      <c r="E335" s="13" t="s">
        <v>178</v>
      </c>
      <c r="F335" s="43"/>
      <c r="G335" s="54">
        <v>16.989999999999998</v>
      </c>
      <c r="H335" s="55">
        <v>16.989999999999998</v>
      </c>
      <c r="I335" s="47">
        <f>+H335</f>
        <v>16.989999999999998</v>
      </c>
      <c r="J335" s="39" t="s">
        <v>21</v>
      </c>
      <c r="K335" s="13"/>
      <c r="L335" s="79">
        <v>42399</v>
      </c>
      <c r="M335" s="13" t="s">
        <v>38</v>
      </c>
      <c r="N335" s="78">
        <v>4</v>
      </c>
      <c r="O335" s="33" t="s">
        <v>36</v>
      </c>
      <c r="P335" s="13"/>
      <c r="Q335" s="13"/>
      <c r="R335" s="26"/>
      <c r="S335" s="68"/>
      <c r="T335" s="68"/>
    </row>
    <row r="336" spans="1:20" s="4" customFormat="1" ht="18" customHeight="1">
      <c r="A336" s="9" t="str">
        <f t="shared" si="113"/>
        <v>1 -Charges fixes</v>
      </c>
      <c r="B336" s="42" t="str">
        <f t="shared" si="114"/>
        <v>V-TELEPHONE FREE</v>
      </c>
      <c r="C336" s="42"/>
      <c r="D336" s="18" t="s">
        <v>167</v>
      </c>
      <c r="E336" s="13" t="str">
        <f>+E335</f>
        <v>FREE MOBILE</v>
      </c>
      <c r="F336" s="43"/>
      <c r="G336" s="54">
        <f>+G335</f>
        <v>16.989999999999998</v>
      </c>
      <c r="H336" s="55">
        <v>16.989999999999998</v>
      </c>
      <c r="I336" s="47">
        <f>+H336</f>
        <v>16.989999999999998</v>
      </c>
      <c r="J336" s="39" t="s">
        <v>21</v>
      </c>
      <c r="K336" s="13"/>
      <c r="L336" s="79">
        <v>42429</v>
      </c>
      <c r="M336" s="13" t="s">
        <v>38</v>
      </c>
      <c r="N336" s="78">
        <v>9</v>
      </c>
      <c r="O336" s="33" t="s">
        <v>36</v>
      </c>
      <c r="P336" s="13"/>
      <c r="Q336" s="13"/>
      <c r="R336" s="26"/>
      <c r="S336" s="68"/>
      <c r="T336" s="68"/>
    </row>
    <row r="337" spans="1:20" s="4" customFormat="1" ht="18" customHeight="1">
      <c r="A337" s="9" t="str">
        <f t="shared" si="113"/>
        <v>1 -Charges fixes</v>
      </c>
      <c r="B337" s="42" t="str">
        <f t="shared" si="114"/>
        <v>V-TELEPHONE FREE</v>
      </c>
      <c r="C337" s="42"/>
      <c r="D337" s="18" t="s">
        <v>168</v>
      </c>
      <c r="E337" s="13" t="str">
        <f t="shared" ref="E337:E346" si="118">+E336</f>
        <v>FREE MOBILE</v>
      </c>
      <c r="F337" s="43"/>
      <c r="G337" s="54">
        <f t="shared" ref="G337:G346" si="119">+G336</f>
        <v>16.989999999999998</v>
      </c>
      <c r="H337" s="56">
        <f t="shared" ref="H337:H346" si="120">+IF(K337="ENGAGE A CE JOUR",G337,"ERREUR")</f>
        <v>16.989999999999998</v>
      </c>
      <c r="I337" s="47">
        <f t="shared" ref="I337:I346" si="121">+H337</f>
        <v>16.989999999999998</v>
      </c>
      <c r="J337" s="80"/>
      <c r="K337" s="77" t="s">
        <v>22</v>
      </c>
      <c r="L337" s="79">
        <v>42459</v>
      </c>
      <c r="M337" s="13" t="s">
        <v>38</v>
      </c>
      <c r="N337" s="78">
        <v>13</v>
      </c>
      <c r="O337" s="33" t="s">
        <v>36</v>
      </c>
      <c r="P337" s="13"/>
      <c r="Q337" s="13"/>
      <c r="R337" s="26"/>
      <c r="S337" s="68"/>
      <c r="T337" s="68"/>
    </row>
    <row r="338" spans="1:20" s="4" customFormat="1" ht="18" customHeight="1">
      <c r="A338" s="9" t="str">
        <f t="shared" si="113"/>
        <v>1 -Charges fixes</v>
      </c>
      <c r="B338" s="42" t="str">
        <f t="shared" si="114"/>
        <v>V-TELEPHONE FREE</v>
      </c>
      <c r="C338" s="42"/>
      <c r="D338" s="18" t="s">
        <v>169</v>
      </c>
      <c r="E338" s="13" t="str">
        <f t="shared" si="118"/>
        <v>FREE MOBILE</v>
      </c>
      <c r="F338" s="43"/>
      <c r="G338" s="54">
        <f t="shared" si="119"/>
        <v>16.989999999999998</v>
      </c>
      <c r="H338" s="56">
        <f t="shared" si="120"/>
        <v>16.989999999999998</v>
      </c>
      <c r="I338" s="47">
        <f t="shared" si="121"/>
        <v>16.989999999999998</v>
      </c>
      <c r="J338" s="80"/>
      <c r="K338" s="77" t="s">
        <v>22</v>
      </c>
      <c r="L338" s="79">
        <v>42490</v>
      </c>
      <c r="M338" s="13" t="s">
        <v>38</v>
      </c>
      <c r="N338" s="78">
        <v>17</v>
      </c>
      <c r="O338" s="33" t="s">
        <v>36</v>
      </c>
      <c r="P338" s="13"/>
      <c r="Q338" s="13"/>
      <c r="R338" s="26"/>
      <c r="S338" s="68"/>
      <c r="T338" s="68"/>
    </row>
    <row r="339" spans="1:20" s="4" customFormat="1" ht="18" customHeight="1">
      <c r="A339" s="9" t="str">
        <f t="shared" si="113"/>
        <v>1 -Charges fixes</v>
      </c>
      <c r="B339" s="42" t="str">
        <f t="shared" si="114"/>
        <v>V-TELEPHONE FREE</v>
      </c>
      <c r="C339" s="42"/>
      <c r="D339" s="18" t="s">
        <v>170</v>
      </c>
      <c r="E339" s="13" t="str">
        <f t="shared" si="118"/>
        <v>FREE MOBILE</v>
      </c>
      <c r="F339" s="43"/>
      <c r="G339" s="54">
        <f t="shared" si="119"/>
        <v>16.989999999999998</v>
      </c>
      <c r="H339" s="56">
        <f t="shared" si="120"/>
        <v>16.989999999999998</v>
      </c>
      <c r="I339" s="47">
        <f t="shared" si="121"/>
        <v>16.989999999999998</v>
      </c>
      <c r="J339" s="80"/>
      <c r="K339" s="77" t="s">
        <v>22</v>
      </c>
      <c r="L339" s="79">
        <v>42520</v>
      </c>
      <c r="M339" s="13" t="s">
        <v>38</v>
      </c>
      <c r="N339" s="78">
        <v>22</v>
      </c>
      <c r="O339" s="33" t="s">
        <v>36</v>
      </c>
      <c r="P339" s="13"/>
      <c r="Q339" s="13"/>
      <c r="R339" s="26"/>
      <c r="S339" s="68"/>
      <c r="T339" s="68"/>
    </row>
    <row r="340" spans="1:20" s="4" customFormat="1" ht="18" customHeight="1">
      <c r="A340" s="9" t="str">
        <f t="shared" si="113"/>
        <v>1 -Charges fixes</v>
      </c>
      <c r="B340" s="42" t="str">
        <f t="shared" si="114"/>
        <v>V-TELEPHONE FREE</v>
      </c>
      <c r="C340" s="42"/>
      <c r="D340" s="18" t="s">
        <v>171</v>
      </c>
      <c r="E340" s="13" t="str">
        <f t="shared" si="118"/>
        <v>FREE MOBILE</v>
      </c>
      <c r="F340" s="43"/>
      <c r="G340" s="54">
        <f t="shared" si="119"/>
        <v>16.989999999999998</v>
      </c>
      <c r="H340" s="56">
        <f t="shared" si="120"/>
        <v>16.989999999999998</v>
      </c>
      <c r="I340" s="47">
        <f t="shared" si="121"/>
        <v>16.989999999999998</v>
      </c>
      <c r="J340" s="80"/>
      <c r="K340" s="77" t="s">
        <v>22</v>
      </c>
      <c r="L340" s="79">
        <v>42551</v>
      </c>
      <c r="M340" s="13" t="s">
        <v>38</v>
      </c>
      <c r="N340" s="78">
        <v>26</v>
      </c>
      <c r="O340" s="33" t="s">
        <v>36</v>
      </c>
      <c r="P340" s="13"/>
      <c r="Q340" s="13"/>
      <c r="R340" s="26"/>
      <c r="S340" s="68"/>
      <c r="T340" s="68"/>
    </row>
    <row r="341" spans="1:20" s="4" customFormat="1" ht="18" customHeight="1">
      <c r="A341" s="9" t="str">
        <f t="shared" si="113"/>
        <v>1 -Charges fixes</v>
      </c>
      <c r="B341" s="42" t="str">
        <f t="shared" si="114"/>
        <v>V-TELEPHONE FREE</v>
      </c>
      <c r="C341" s="42"/>
      <c r="D341" s="18" t="s">
        <v>172</v>
      </c>
      <c r="E341" s="13" t="str">
        <f t="shared" si="118"/>
        <v>FREE MOBILE</v>
      </c>
      <c r="F341" s="43"/>
      <c r="G341" s="54">
        <f t="shared" si="119"/>
        <v>16.989999999999998</v>
      </c>
      <c r="H341" s="56">
        <f t="shared" si="120"/>
        <v>16.989999999999998</v>
      </c>
      <c r="I341" s="47">
        <f t="shared" si="121"/>
        <v>16.989999999999998</v>
      </c>
      <c r="J341" s="80"/>
      <c r="K341" s="77" t="s">
        <v>22</v>
      </c>
      <c r="L341" s="79">
        <v>42581</v>
      </c>
      <c r="M341" s="13" t="s">
        <v>38</v>
      </c>
      <c r="N341" s="78">
        <v>30</v>
      </c>
      <c r="O341" s="33" t="s">
        <v>36</v>
      </c>
      <c r="P341" s="13"/>
      <c r="Q341" s="13"/>
      <c r="R341" s="26"/>
      <c r="S341" s="68"/>
      <c r="T341" s="68"/>
    </row>
    <row r="342" spans="1:20" s="4" customFormat="1" ht="18" customHeight="1">
      <c r="A342" s="9" t="str">
        <f t="shared" si="113"/>
        <v>1 -Charges fixes</v>
      </c>
      <c r="B342" s="42" t="str">
        <f t="shared" si="114"/>
        <v>V-TELEPHONE FREE</v>
      </c>
      <c r="C342" s="42"/>
      <c r="D342" s="18" t="s">
        <v>173</v>
      </c>
      <c r="E342" s="13" t="str">
        <f t="shared" si="118"/>
        <v>FREE MOBILE</v>
      </c>
      <c r="F342" s="43"/>
      <c r="G342" s="54">
        <f t="shared" si="119"/>
        <v>16.989999999999998</v>
      </c>
      <c r="H342" s="56">
        <f t="shared" si="120"/>
        <v>16.989999999999998</v>
      </c>
      <c r="I342" s="47">
        <f t="shared" si="121"/>
        <v>16.989999999999998</v>
      </c>
      <c r="J342" s="80"/>
      <c r="K342" s="77" t="s">
        <v>22</v>
      </c>
      <c r="L342" s="79">
        <v>42612</v>
      </c>
      <c r="M342" s="13" t="s">
        <v>38</v>
      </c>
      <c r="N342" s="78">
        <v>35</v>
      </c>
      <c r="O342" s="33" t="s">
        <v>36</v>
      </c>
      <c r="P342" s="13"/>
      <c r="Q342" s="13"/>
      <c r="R342" s="26"/>
      <c r="S342" s="68"/>
      <c r="T342" s="68"/>
    </row>
    <row r="343" spans="1:20" s="4" customFormat="1" ht="18" customHeight="1">
      <c r="A343" s="9" t="str">
        <f t="shared" si="113"/>
        <v>1 -Charges fixes</v>
      </c>
      <c r="B343" s="42" t="str">
        <f t="shared" si="114"/>
        <v>V-TELEPHONE FREE</v>
      </c>
      <c r="C343" s="42"/>
      <c r="D343" s="18" t="s">
        <v>174</v>
      </c>
      <c r="E343" s="13" t="str">
        <f t="shared" si="118"/>
        <v>FREE MOBILE</v>
      </c>
      <c r="F343" s="43"/>
      <c r="G343" s="54">
        <f t="shared" si="119"/>
        <v>16.989999999999998</v>
      </c>
      <c r="H343" s="56">
        <f t="shared" si="120"/>
        <v>16.989999999999998</v>
      </c>
      <c r="I343" s="47">
        <f t="shared" si="121"/>
        <v>16.989999999999998</v>
      </c>
      <c r="J343" s="80"/>
      <c r="K343" s="77" t="s">
        <v>22</v>
      </c>
      <c r="L343" s="79">
        <v>42643</v>
      </c>
      <c r="M343" s="13" t="s">
        <v>38</v>
      </c>
      <c r="N343" s="78">
        <v>39</v>
      </c>
      <c r="O343" s="33" t="s">
        <v>36</v>
      </c>
      <c r="P343" s="13"/>
      <c r="Q343" s="13"/>
      <c r="R343" s="26"/>
      <c r="S343" s="68"/>
      <c r="T343" s="68"/>
    </row>
    <row r="344" spans="1:20" s="4" customFormat="1" ht="18" customHeight="1">
      <c r="A344" s="9" t="str">
        <f t="shared" si="113"/>
        <v>1 -Charges fixes</v>
      </c>
      <c r="B344" s="42" t="str">
        <f t="shared" si="114"/>
        <v>V-TELEPHONE FREE</v>
      </c>
      <c r="C344" s="42"/>
      <c r="D344" s="18" t="s">
        <v>175</v>
      </c>
      <c r="E344" s="13" t="str">
        <f t="shared" si="118"/>
        <v>FREE MOBILE</v>
      </c>
      <c r="F344" s="43"/>
      <c r="G344" s="54">
        <f t="shared" si="119"/>
        <v>16.989999999999998</v>
      </c>
      <c r="H344" s="56">
        <f t="shared" si="120"/>
        <v>16.989999999999998</v>
      </c>
      <c r="I344" s="47">
        <f t="shared" si="121"/>
        <v>16.989999999999998</v>
      </c>
      <c r="J344" s="80"/>
      <c r="K344" s="77" t="s">
        <v>22</v>
      </c>
      <c r="L344" s="79">
        <v>42673</v>
      </c>
      <c r="M344" s="13" t="s">
        <v>38</v>
      </c>
      <c r="N344" s="78">
        <v>43</v>
      </c>
      <c r="O344" s="33" t="s">
        <v>36</v>
      </c>
      <c r="P344" s="13"/>
      <c r="Q344" s="13"/>
      <c r="R344" s="26"/>
      <c r="S344" s="68"/>
      <c r="T344" s="68"/>
    </row>
    <row r="345" spans="1:20" s="4" customFormat="1" ht="18" customHeight="1">
      <c r="A345" s="9" t="str">
        <f t="shared" si="113"/>
        <v>1 -Charges fixes</v>
      </c>
      <c r="B345" s="42" t="str">
        <f t="shared" si="114"/>
        <v>V-TELEPHONE FREE</v>
      </c>
      <c r="C345" s="42"/>
      <c r="D345" s="18" t="s">
        <v>176</v>
      </c>
      <c r="E345" s="13" t="str">
        <f t="shared" si="118"/>
        <v>FREE MOBILE</v>
      </c>
      <c r="F345" s="43"/>
      <c r="G345" s="54">
        <f t="shared" si="119"/>
        <v>16.989999999999998</v>
      </c>
      <c r="H345" s="56">
        <f t="shared" si="120"/>
        <v>16.989999999999998</v>
      </c>
      <c r="I345" s="47">
        <f t="shared" si="121"/>
        <v>16.989999999999998</v>
      </c>
      <c r="J345" s="80"/>
      <c r="K345" s="77" t="s">
        <v>22</v>
      </c>
      <c r="L345" s="79">
        <v>42704</v>
      </c>
      <c r="M345" s="13" t="s">
        <v>38</v>
      </c>
      <c r="N345" s="78">
        <v>48</v>
      </c>
      <c r="O345" s="33" t="s">
        <v>36</v>
      </c>
      <c r="P345" s="13"/>
      <c r="Q345" s="13"/>
      <c r="R345" s="26"/>
      <c r="S345" s="68"/>
      <c r="T345" s="68"/>
    </row>
    <row r="346" spans="1:20" s="4" customFormat="1" ht="18" customHeight="1">
      <c r="A346" s="9" t="str">
        <f t="shared" si="113"/>
        <v>1 -Charges fixes</v>
      </c>
      <c r="B346" s="42" t="str">
        <f t="shared" si="114"/>
        <v>V-TELEPHONE FREE</v>
      </c>
      <c r="C346" s="42"/>
      <c r="D346" s="18" t="s">
        <v>177</v>
      </c>
      <c r="E346" s="13" t="str">
        <f t="shared" si="118"/>
        <v>FREE MOBILE</v>
      </c>
      <c r="F346" s="43"/>
      <c r="G346" s="54">
        <f t="shared" si="119"/>
        <v>16.989999999999998</v>
      </c>
      <c r="H346" s="56">
        <f t="shared" si="120"/>
        <v>16.989999999999998</v>
      </c>
      <c r="I346" s="47">
        <f t="shared" si="121"/>
        <v>16.989999999999998</v>
      </c>
      <c r="J346" s="80"/>
      <c r="K346" s="77" t="s">
        <v>22</v>
      </c>
      <c r="L346" s="79">
        <v>42734</v>
      </c>
      <c r="M346" s="13" t="s">
        <v>38</v>
      </c>
      <c r="N346" s="78">
        <v>52</v>
      </c>
      <c r="O346" s="33" t="s">
        <v>36</v>
      </c>
      <c r="P346" s="13"/>
      <c r="Q346" s="13"/>
      <c r="R346" s="26"/>
      <c r="S346" s="68"/>
      <c r="T346" s="68"/>
    </row>
    <row r="347" spans="1:20" s="4" customFormat="1" ht="18" customHeight="1">
      <c r="A347" s="10" t="s">
        <v>23</v>
      </c>
      <c r="B347" s="10" t="s">
        <v>327</v>
      </c>
      <c r="C347" s="10"/>
      <c r="D347" s="10"/>
      <c r="E347" s="14"/>
      <c r="F347" s="38">
        <f>180*12</f>
        <v>2160</v>
      </c>
      <c r="G347" s="45"/>
      <c r="H347" s="48"/>
      <c r="I347" s="48"/>
      <c r="J347" s="14"/>
      <c r="K347" s="14"/>
      <c r="L347" s="14"/>
      <c r="M347" s="14"/>
      <c r="N347" s="14"/>
      <c r="O347" s="14"/>
      <c r="P347" s="14"/>
      <c r="Q347" s="14"/>
      <c r="R347" s="24"/>
      <c r="S347" s="66"/>
      <c r="T347" s="66"/>
    </row>
    <row r="348" spans="1:20" s="4" customFormat="1" ht="18" customHeight="1">
      <c r="A348" s="9" t="str">
        <f t="shared" ref="A348:A359" si="122">+A347</f>
        <v>1 -Charges fixes</v>
      </c>
      <c r="B348" s="42" t="str">
        <f t="shared" ref="B348:B359" si="123">+B347</f>
        <v>W-EXPERT COMPTABLE</v>
      </c>
      <c r="C348" s="42"/>
      <c r="D348" s="18" t="s">
        <v>328</v>
      </c>
      <c r="E348" s="13" t="s">
        <v>340</v>
      </c>
      <c r="F348" s="43"/>
      <c r="G348" s="54">
        <v>180</v>
      </c>
      <c r="H348" s="55">
        <v>180</v>
      </c>
      <c r="I348" s="47">
        <f>+H348</f>
        <v>180</v>
      </c>
      <c r="J348" s="39" t="s">
        <v>21</v>
      </c>
      <c r="K348" s="13"/>
      <c r="L348" s="79">
        <v>42370</v>
      </c>
      <c r="M348" s="19" t="s">
        <v>267</v>
      </c>
      <c r="N348" s="78">
        <v>1</v>
      </c>
      <c r="O348" s="33" t="s">
        <v>36</v>
      </c>
      <c r="P348" s="13"/>
      <c r="Q348" s="13"/>
      <c r="R348" s="26"/>
      <c r="S348" s="68"/>
      <c r="T348" s="68"/>
    </row>
    <row r="349" spans="1:20" s="4" customFormat="1" ht="18" customHeight="1">
      <c r="A349" s="9" t="str">
        <f t="shared" si="122"/>
        <v>1 -Charges fixes</v>
      </c>
      <c r="B349" s="42" t="str">
        <f t="shared" si="123"/>
        <v>W-EXPERT COMPTABLE</v>
      </c>
      <c r="C349" s="42"/>
      <c r="D349" s="18" t="s">
        <v>329</v>
      </c>
      <c r="E349" s="13" t="str">
        <f>+E348</f>
        <v>NAOBEL</v>
      </c>
      <c r="F349" s="43"/>
      <c r="G349" s="54">
        <f>+G348</f>
        <v>180</v>
      </c>
      <c r="H349" s="55">
        <v>180</v>
      </c>
      <c r="I349" s="47">
        <f>+H349</f>
        <v>180</v>
      </c>
      <c r="J349" s="39" t="s">
        <v>21</v>
      </c>
      <c r="K349" s="13"/>
      <c r="L349" s="79">
        <v>42401</v>
      </c>
      <c r="M349" s="19" t="s">
        <v>267</v>
      </c>
      <c r="N349" s="78">
        <v>5</v>
      </c>
      <c r="O349" s="33" t="s">
        <v>36</v>
      </c>
      <c r="P349" s="13"/>
      <c r="Q349" s="13"/>
      <c r="R349" s="26"/>
      <c r="S349" s="68"/>
      <c r="T349" s="68"/>
    </row>
    <row r="350" spans="1:20" s="4" customFormat="1" ht="18" customHeight="1">
      <c r="A350" s="9" t="str">
        <f t="shared" si="122"/>
        <v>1 -Charges fixes</v>
      </c>
      <c r="B350" s="42" t="str">
        <f t="shared" si="123"/>
        <v>W-EXPERT COMPTABLE</v>
      </c>
      <c r="C350" s="42"/>
      <c r="D350" s="18" t="s">
        <v>330</v>
      </c>
      <c r="E350" s="13" t="str">
        <f t="shared" ref="E350:E359" si="124">+E349</f>
        <v>NAOBEL</v>
      </c>
      <c r="F350" s="43"/>
      <c r="G350" s="54">
        <f t="shared" ref="G350:G359" si="125">+G349</f>
        <v>180</v>
      </c>
      <c r="H350" s="56">
        <v>180</v>
      </c>
      <c r="I350" s="47">
        <f t="shared" ref="I350:I359" si="126">+H350</f>
        <v>180</v>
      </c>
      <c r="J350" s="39" t="s">
        <v>21</v>
      </c>
      <c r="K350" s="13"/>
      <c r="L350" s="79">
        <v>42430</v>
      </c>
      <c r="M350" s="19" t="s">
        <v>267</v>
      </c>
      <c r="N350" s="78">
        <v>9</v>
      </c>
      <c r="O350" s="33" t="s">
        <v>36</v>
      </c>
      <c r="P350" s="13"/>
      <c r="Q350" s="13"/>
      <c r="R350" s="26"/>
      <c r="S350" s="68"/>
      <c r="T350" s="68"/>
    </row>
    <row r="351" spans="1:20" s="4" customFormat="1" ht="18" customHeight="1">
      <c r="A351" s="9" t="str">
        <f t="shared" si="122"/>
        <v>1 -Charges fixes</v>
      </c>
      <c r="B351" s="42" t="str">
        <f t="shared" si="123"/>
        <v>W-EXPERT COMPTABLE</v>
      </c>
      <c r="C351" s="42"/>
      <c r="D351" s="18" t="s">
        <v>331</v>
      </c>
      <c r="E351" s="13" t="str">
        <f t="shared" si="124"/>
        <v>NAOBEL</v>
      </c>
      <c r="F351" s="43"/>
      <c r="G351" s="54">
        <f t="shared" si="125"/>
        <v>180</v>
      </c>
      <c r="H351" s="56">
        <f t="shared" ref="H351:H359" si="127">+IF(K351="ENGAGE A CE JOUR",G351,"ERREUR")</f>
        <v>180</v>
      </c>
      <c r="I351" s="47">
        <f t="shared" si="126"/>
        <v>180</v>
      </c>
      <c r="J351" s="80"/>
      <c r="K351" s="77" t="s">
        <v>22</v>
      </c>
      <c r="L351" s="79">
        <v>42461</v>
      </c>
      <c r="M351" s="19" t="s">
        <v>267</v>
      </c>
      <c r="N351" s="78">
        <v>13</v>
      </c>
      <c r="O351" s="33" t="s">
        <v>36</v>
      </c>
      <c r="P351" s="13"/>
      <c r="Q351" s="13"/>
      <c r="R351" s="26"/>
      <c r="S351" s="68"/>
      <c r="T351" s="68"/>
    </row>
    <row r="352" spans="1:20" s="4" customFormat="1" ht="18" customHeight="1">
      <c r="A352" s="9" t="str">
        <f t="shared" si="122"/>
        <v>1 -Charges fixes</v>
      </c>
      <c r="B352" s="42" t="str">
        <f t="shared" si="123"/>
        <v>W-EXPERT COMPTABLE</v>
      </c>
      <c r="C352" s="42"/>
      <c r="D352" s="18" t="s">
        <v>332</v>
      </c>
      <c r="E352" s="13" t="str">
        <f t="shared" si="124"/>
        <v>NAOBEL</v>
      </c>
      <c r="F352" s="43"/>
      <c r="G352" s="54">
        <f t="shared" si="125"/>
        <v>180</v>
      </c>
      <c r="H352" s="56">
        <f t="shared" si="127"/>
        <v>180</v>
      </c>
      <c r="I352" s="47">
        <f t="shared" si="126"/>
        <v>180</v>
      </c>
      <c r="J352" s="80"/>
      <c r="K352" s="77" t="s">
        <v>22</v>
      </c>
      <c r="L352" s="79">
        <v>42491</v>
      </c>
      <c r="M352" s="19" t="s">
        <v>267</v>
      </c>
      <c r="N352" s="78">
        <v>17</v>
      </c>
      <c r="O352" s="33" t="s">
        <v>36</v>
      </c>
      <c r="P352" s="13"/>
      <c r="Q352" s="13"/>
      <c r="R352" s="26"/>
      <c r="S352" s="68"/>
      <c r="T352" s="68"/>
    </row>
    <row r="353" spans="1:20" s="4" customFormat="1" ht="18" customHeight="1">
      <c r="A353" s="9" t="str">
        <f t="shared" si="122"/>
        <v>1 -Charges fixes</v>
      </c>
      <c r="B353" s="42" t="str">
        <f t="shared" si="123"/>
        <v>W-EXPERT COMPTABLE</v>
      </c>
      <c r="C353" s="42"/>
      <c r="D353" s="18" t="s">
        <v>333</v>
      </c>
      <c r="E353" s="13" t="str">
        <f t="shared" si="124"/>
        <v>NAOBEL</v>
      </c>
      <c r="F353" s="43"/>
      <c r="G353" s="54">
        <f t="shared" si="125"/>
        <v>180</v>
      </c>
      <c r="H353" s="56">
        <f t="shared" si="127"/>
        <v>180</v>
      </c>
      <c r="I353" s="47">
        <f t="shared" si="126"/>
        <v>180</v>
      </c>
      <c r="J353" s="80"/>
      <c r="K353" s="77" t="s">
        <v>22</v>
      </c>
      <c r="L353" s="79">
        <v>42522</v>
      </c>
      <c r="M353" s="19" t="s">
        <v>267</v>
      </c>
      <c r="N353" s="78">
        <v>22</v>
      </c>
      <c r="O353" s="33" t="s">
        <v>36</v>
      </c>
      <c r="P353" s="13"/>
      <c r="Q353" s="13"/>
      <c r="R353" s="26"/>
      <c r="S353" s="68"/>
      <c r="T353" s="68"/>
    </row>
    <row r="354" spans="1:20" s="4" customFormat="1" ht="18" customHeight="1">
      <c r="A354" s="9" t="str">
        <f t="shared" si="122"/>
        <v>1 -Charges fixes</v>
      </c>
      <c r="B354" s="42" t="str">
        <f t="shared" si="123"/>
        <v>W-EXPERT COMPTABLE</v>
      </c>
      <c r="C354" s="42"/>
      <c r="D354" s="18" t="s">
        <v>334</v>
      </c>
      <c r="E354" s="13" t="str">
        <f t="shared" si="124"/>
        <v>NAOBEL</v>
      </c>
      <c r="F354" s="43"/>
      <c r="G354" s="54">
        <f t="shared" si="125"/>
        <v>180</v>
      </c>
      <c r="H354" s="56">
        <f t="shared" si="127"/>
        <v>180</v>
      </c>
      <c r="I354" s="47">
        <f t="shared" si="126"/>
        <v>180</v>
      </c>
      <c r="J354" s="80"/>
      <c r="K354" s="77" t="s">
        <v>22</v>
      </c>
      <c r="L354" s="79">
        <v>42552</v>
      </c>
      <c r="M354" s="19" t="s">
        <v>267</v>
      </c>
      <c r="N354" s="78">
        <v>26</v>
      </c>
      <c r="O354" s="33" t="s">
        <v>36</v>
      </c>
      <c r="P354" s="13"/>
      <c r="Q354" s="13"/>
      <c r="R354" s="26"/>
      <c r="S354" s="68"/>
      <c r="T354" s="68"/>
    </row>
    <row r="355" spans="1:20" s="4" customFormat="1" ht="18" customHeight="1">
      <c r="A355" s="9" t="str">
        <f t="shared" si="122"/>
        <v>1 -Charges fixes</v>
      </c>
      <c r="B355" s="42" t="str">
        <f t="shared" si="123"/>
        <v>W-EXPERT COMPTABLE</v>
      </c>
      <c r="C355" s="42"/>
      <c r="D355" s="18" t="s">
        <v>335</v>
      </c>
      <c r="E355" s="13" t="str">
        <f t="shared" si="124"/>
        <v>NAOBEL</v>
      </c>
      <c r="F355" s="43"/>
      <c r="G355" s="54">
        <f t="shared" si="125"/>
        <v>180</v>
      </c>
      <c r="H355" s="56">
        <f t="shared" si="127"/>
        <v>180</v>
      </c>
      <c r="I355" s="47">
        <f t="shared" si="126"/>
        <v>180</v>
      </c>
      <c r="J355" s="80"/>
      <c r="K355" s="77" t="s">
        <v>22</v>
      </c>
      <c r="L355" s="79">
        <v>42583</v>
      </c>
      <c r="M355" s="19" t="s">
        <v>267</v>
      </c>
      <c r="N355" s="78">
        <v>31</v>
      </c>
      <c r="O355" s="33" t="s">
        <v>36</v>
      </c>
      <c r="P355" s="13"/>
      <c r="Q355" s="13"/>
      <c r="R355" s="26"/>
      <c r="S355" s="68"/>
      <c r="T355" s="68"/>
    </row>
    <row r="356" spans="1:20" s="4" customFormat="1" ht="18" customHeight="1">
      <c r="A356" s="9" t="str">
        <f t="shared" si="122"/>
        <v>1 -Charges fixes</v>
      </c>
      <c r="B356" s="42" t="str">
        <f t="shared" si="123"/>
        <v>W-EXPERT COMPTABLE</v>
      </c>
      <c r="C356" s="42"/>
      <c r="D356" s="18" t="s">
        <v>336</v>
      </c>
      <c r="E356" s="13" t="str">
        <f t="shared" si="124"/>
        <v>NAOBEL</v>
      </c>
      <c r="F356" s="43"/>
      <c r="G356" s="54">
        <f t="shared" si="125"/>
        <v>180</v>
      </c>
      <c r="H356" s="56">
        <f t="shared" si="127"/>
        <v>180</v>
      </c>
      <c r="I356" s="47">
        <f t="shared" si="126"/>
        <v>180</v>
      </c>
      <c r="J356" s="80"/>
      <c r="K356" s="77" t="s">
        <v>22</v>
      </c>
      <c r="L356" s="79">
        <v>42614</v>
      </c>
      <c r="M356" s="19" t="s">
        <v>267</v>
      </c>
      <c r="N356" s="78">
        <v>35</v>
      </c>
      <c r="O356" s="33" t="s">
        <v>36</v>
      </c>
      <c r="P356" s="13"/>
      <c r="Q356" s="13"/>
      <c r="R356" s="26"/>
      <c r="S356" s="68"/>
      <c r="T356" s="68"/>
    </row>
    <row r="357" spans="1:20" s="4" customFormat="1" ht="18" customHeight="1">
      <c r="A357" s="9" t="str">
        <f t="shared" si="122"/>
        <v>1 -Charges fixes</v>
      </c>
      <c r="B357" s="42" t="str">
        <f t="shared" si="123"/>
        <v>W-EXPERT COMPTABLE</v>
      </c>
      <c r="C357" s="42"/>
      <c r="D357" s="18" t="s">
        <v>337</v>
      </c>
      <c r="E357" s="13" t="str">
        <f t="shared" si="124"/>
        <v>NAOBEL</v>
      </c>
      <c r="F357" s="43"/>
      <c r="G357" s="54">
        <f t="shared" si="125"/>
        <v>180</v>
      </c>
      <c r="H357" s="56">
        <f t="shared" si="127"/>
        <v>180</v>
      </c>
      <c r="I357" s="47">
        <f t="shared" si="126"/>
        <v>180</v>
      </c>
      <c r="J357" s="80"/>
      <c r="K357" s="77" t="s">
        <v>22</v>
      </c>
      <c r="L357" s="79">
        <v>42644</v>
      </c>
      <c r="M357" s="19" t="s">
        <v>267</v>
      </c>
      <c r="N357" s="78">
        <v>39</v>
      </c>
      <c r="O357" s="33" t="s">
        <v>36</v>
      </c>
      <c r="P357" s="13"/>
      <c r="Q357" s="13"/>
      <c r="R357" s="26"/>
      <c r="S357" s="68"/>
      <c r="T357" s="68"/>
    </row>
    <row r="358" spans="1:20" s="4" customFormat="1" ht="18" customHeight="1">
      <c r="A358" s="9" t="str">
        <f t="shared" si="122"/>
        <v>1 -Charges fixes</v>
      </c>
      <c r="B358" s="42" t="str">
        <f t="shared" si="123"/>
        <v>W-EXPERT COMPTABLE</v>
      </c>
      <c r="C358" s="42"/>
      <c r="D358" s="18" t="s">
        <v>338</v>
      </c>
      <c r="E358" s="13" t="str">
        <f t="shared" si="124"/>
        <v>NAOBEL</v>
      </c>
      <c r="F358" s="43"/>
      <c r="G358" s="54">
        <f t="shared" si="125"/>
        <v>180</v>
      </c>
      <c r="H358" s="56">
        <f t="shared" si="127"/>
        <v>180</v>
      </c>
      <c r="I358" s="47">
        <f t="shared" si="126"/>
        <v>180</v>
      </c>
      <c r="J358" s="80"/>
      <c r="K358" s="77" t="s">
        <v>22</v>
      </c>
      <c r="L358" s="79">
        <v>42675</v>
      </c>
      <c r="M358" s="19" t="s">
        <v>267</v>
      </c>
      <c r="N358" s="78">
        <v>44</v>
      </c>
      <c r="O358" s="33" t="s">
        <v>36</v>
      </c>
      <c r="P358" s="13"/>
      <c r="Q358" s="13"/>
      <c r="R358" s="26"/>
      <c r="S358" s="68"/>
      <c r="T358" s="68"/>
    </row>
    <row r="359" spans="1:20" s="4" customFormat="1" ht="18" customHeight="1">
      <c r="A359" s="9" t="str">
        <f t="shared" si="122"/>
        <v>1 -Charges fixes</v>
      </c>
      <c r="B359" s="42" t="str">
        <f t="shared" si="123"/>
        <v>W-EXPERT COMPTABLE</v>
      </c>
      <c r="C359" s="42"/>
      <c r="D359" s="18" t="s">
        <v>339</v>
      </c>
      <c r="E359" s="13" t="str">
        <f t="shared" si="124"/>
        <v>NAOBEL</v>
      </c>
      <c r="F359" s="43"/>
      <c r="G359" s="54">
        <f t="shared" si="125"/>
        <v>180</v>
      </c>
      <c r="H359" s="56">
        <f t="shared" si="127"/>
        <v>180</v>
      </c>
      <c r="I359" s="47">
        <f t="shared" si="126"/>
        <v>180</v>
      </c>
      <c r="J359" s="80"/>
      <c r="K359" s="77" t="s">
        <v>22</v>
      </c>
      <c r="L359" s="79">
        <v>42705</v>
      </c>
      <c r="M359" s="19" t="s">
        <v>267</v>
      </c>
      <c r="N359" s="78">
        <v>48</v>
      </c>
      <c r="O359" s="33" t="s">
        <v>36</v>
      </c>
      <c r="P359" s="13"/>
      <c r="Q359" s="13"/>
      <c r="R359" s="26"/>
      <c r="S359" s="68"/>
      <c r="T359" s="68"/>
    </row>
    <row r="360" spans="1:20" s="4" customFormat="1" ht="18" customHeight="1">
      <c r="A360" s="10" t="s">
        <v>311</v>
      </c>
      <c r="B360" s="10" t="s">
        <v>354</v>
      </c>
      <c r="C360" s="10"/>
      <c r="D360" s="10"/>
      <c r="E360" s="14"/>
      <c r="F360" s="38">
        <v>12000</v>
      </c>
      <c r="G360" s="45"/>
      <c r="H360" s="48"/>
      <c r="I360" s="48"/>
      <c r="J360" s="14"/>
      <c r="K360" s="14"/>
      <c r="L360" s="14"/>
      <c r="M360" s="14"/>
      <c r="N360" s="14"/>
      <c r="O360" s="14"/>
      <c r="P360" s="14"/>
      <c r="Q360" s="14"/>
      <c r="R360" s="24"/>
      <c r="S360" s="66"/>
      <c r="T360" s="66"/>
    </row>
    <row r="361" spans="1:20" s="4" customFormat="1" ht="18" customHeight="1">
      <c r="A361" s="9" t="str">
        <f>+A360</f>
        <v>2 -Divers</v>
      </c>
      <c r="B361" s="42" t="str">
        <f>+B360</f>
        <v>X-VIREMENT APPARTEMENT</v>
      </c>
      <c r="C361" s="42"/>
      <c r="D361" s="18" t="s">
        <v>341</v>
      </c>
      <c r="E361" s="13" t="s">
        <v>353</v>
      </c>
      <c r="F361" s="43"/>
      <c r="G361" s="54">
        <v>1000</v>
      </c>
      <c r="H361" s="55">
        <v>1000</v>
      </c>
      <c r="I361" s="47">
        <f>+H361</f>
        <v>1000</v>
      </c>
      <c r="J361" s="39" t="s">
        <v>21</v>
      </c>
      <c r="K361" s="13"/>
      <c r="L361" s="79">
        <v>42372</v>
      </c>
      <c r="M361" s="13" t="s">
        <v>310</v>
      </c>
      <c r="N361" s="78">
        <v>1</v>
      </c>
      <c r="O361" s="33" t="s">
        <v>36</v>
      </c>
      <c r="P361" s="13"/>
      <c r="Q361" s="13"/>
      <c r="R361" s="26"/>
      <c r="S361" s="68"/>
      <c r="T361" s="68"/>
    </row>
    <row r="362" spans="1:20" s="4" customFormat="1" ht="18" customHeight="1">
      <c r="A362" s="9" t="str">
        <f t="shared" ref="A362:A372" si="128">+A361</f>
        <v>2 -Divers</v>
      </c>
      <c r="B362" s="42" t="str">
        <f t="shared" ref="B362:B372" si="129">+B361</f>
        <v>X-VIREMENT APPARTEMENT</v>
      </c>
      <c r="C362" s="42"/>
      <c r="D362" s="18" t="s">
        <v>342</v>
      </c>
      <c r="E362" s="13" t="s">
        <v>353</v>
      </c>
      <c r="F362" s="43"/>
      <c r="G362" s="54">
        <f>+G361</f>
        <v>1000</v>
      </c>
      <c r="H362" s="55">
        <v>1000</v>
      </c>
      <c r="I362" s="47">
        <f>+H362</f>
        <v>1000</v>
      </c>
      <c r="J362" s="39" t="s">
        <v>21</v>
      </c>
      <c r="K362" s="13"/>
      <c r="L362" s="79">
        <v>42403</v>
      </c>
      <c r="M362" s="13" t="s">
        <v>310</v>
      </c>
      <c r="N362" s="78">
        <v>5</v>
      </c>
      <c r="O362" s="33" t="s">
        <v>36</v>
      </c>
      <c r="P362" s="13"/>
      <c r="Q362" s="13"/>
      <c r="R362" s="26"/>
      <c r="S362" s="68"/>
      <c r="T362" s="68"/>
    </row>
    <row r="363" spans="1:20" s="4" customFormat="1" ht="18" customHeight="1">
      <c r="A363" s="9" t="str">
        <f t="shared" si="128"/>
        <v>2 -Divers</v>
      </c>
      <c r="B363" s="42" t="str">
        <f t="shared" si="129"/>
        <v>X-VIREMENT APPARTEMENT</v>
      </c>
      <c r="C363" s="42"/>
      <c r="D363" s="18" t="s">
        <v>343</v>
      </c>
      <c r="E363" s="13" t="s">
        <v>353</v>
      </c>
      <c r="F363" s="43"/>
      <c r="G363" s="54">
        <f>+G362</f>
        <v>1000</v>
      </c>
      <c r="H363" s="56">
        <v>1000</v>
      </c>
      <c r="I363" s="47">
        <f t="shared" ref="I363:I372" si="130">+H363</f>
        <v>1000</v>
      </c>
      <c r="J363" s="39" t="s">
        <v>21</v>
      </c>
      <c r="K363" s="13"/>
      <c r="L363" s="79">
        <v>42432</v>
      </c>
      <c r="M363" s="13" t="s">
        <v>310</v>
      </c>
      <c r="N363" s="78">
        <v>9</v>
      </c>
      <c r="O363" s="33" t="s">
        <v>36</v>
      </c>
      <c r="P363" s="13"/>
      <c r="Q363" s="13"/>
      <c r="R363" s="26"/>
      <c r="S363" s="68"/>
      <c r="T363" s="68"/>
    </row>
    <row r="364" spans="1:20" s="4" customFormat="1" ht="18" customHeight="1">
      <c r="A364" s="9" t="str">
        <f t="shared" si="128"/>
        <v>2 -Divers</v>
      </c>
      <c r="B364" s="42" t="str">
        <f t="shared" si="129"/>
        <v>X-VIREMENT APPARTEMENT</v>
      </c>
      <c r="C364" s="42"/>
      <c r="D364" s="18" t="s">
        <v>344</v>
      </c>
      <c r="E364" s="13" t="s">
        <v>353</v>
      </c>
      <c r="F364" s="43"/>
      <c r="G364" s="54">
        <f t="shared" ref="G364:G372" si="131">+G363</f>
        <v>1000</v>
      </c>
      <c r="H364" s="56">
        <f t="shared" ref="H364:H372" si="132">+IF(K364="ENGAGE A CE JOUR",G364,"ERREUR")</f>
        <v>1000</v>
      </c>
      <c r="I364" s="47">
        <f t="shared" si="130"/>
        <v>1000</v>
      </c>
      <c r="J364" s="80"/>
      <c r="K364" s="77" t="s">
        <v>22</v>
      </c>
      <c r="L364" s="79">
        <v>42463</v>
      </c>
      <c r="M364" s="13" t="s">
        <v>310</v>
      </c>
      <c r="N364" s="78">
        <v>13</v>
      </c>
      <c r="O364" s="33" t="s">
        <v>36</v>
      </c>
      <c r="P364" s="13"/>
      <c r="Q364" s="13"/>
      <c r="R364" s="26"/>
      <c r="S364" s="68"/>
      <c r="T364" s="68"/>
    </row>
    <row r="365" spans="1:20" s="4" customFormat="1" ht="18" customHeight="1">
      <c r="A365" s="9" t="str">
        <f t="shared" si="128"/>
        <v>2 -Divers</v>
      </c>
      <c r="B365" s="42" t="str">
        <f t="shared" si="129"/>
        <v>X-VIREMENT APPARTEMENT</v>
      </c>
      <c r="C365" s="42"/>
      <c r="D365" s="18" t="s">
        <v>345</v>
      </c>
      <c r="E365" s="13" t="s">
        <v>353</v>
      </c>
      <c r="F365" s="43"/>
      <c r="G365" s="54">
        <f t="shared" si="131"/>
        <v>1000</v>
      </c>
      <c r="H365" s="56">
        <f t="shared" si="132"/>
        <v>1000</v>
      </c>
      <c r="I365" s="47">
        <f t="shared" si="130"/>
        <v>1000</v>
      </c>
      <c r="J365" s="80"/>
      <c r="K365" s="77" t="s">
        <v>22</v>
      </c>
      <c r="L365" s="79">
        <v>42493</v>
      </c>
      <c r="M365" s="13" t="s">
        <v>310</v>
      </c>
      <c r="N365" s="78">
        <v>18</v>
      </c>
      <c r="O365" s="33" t="s">
        <v>36</v>
      </c>
      <c r="P365" s="13"/>
      <c r="Q365" s="13"/>
      <c r="R365" s="26"/>
      <c r="S365" s="68"/>
      <c r="T365" s="68"/>
    </row>
    <row r="366" spans="1:20" s="4" customFormat="1" ht="18" customHeight="1">
      <c r="A366" s="9" t="str">
        <f t="shared" si="128"/>
        <v>2 -Divers</v>
      </c>
      <c r="B366" s="42" t="str">
        <f t="shared" si="129"/>
        <v>X-VIREMENT APPARTEMENT</v>
      </c>
      <c r="C366" s="42"/>
      <c r="D366" s="18" t="s">
        <v>346</v>
      </c>
      <c r="E366" s="13" t="s">
        <v>353</v>
      </c>
      <c r="F366" s="43"/>
      <c r="G366" s="54">
        <f t="shared" si="131"/>
        <v>1000</v>
      </c>
      <c r="H366" s="56">
        <f t="shared" si="132"/>
        <v>1000</v>
      </c>
      <c r="I366" s="47">
        <f t="shared" si="130"/>
        <v>1000</v>
      </c>
      <c r="J366" s="80"/>
      <c r="K366" s="77" t="s">
        <v>22</v>
      </c>
      <c r="L366" s="79">
        <v>42524</v>
      </c>
      <c r="M366" s="13" t="s">
        <v>310</v>
      </c>
      <c r="N366" s="78">
        <v>22</v>
      </c>
      <c r="O366" s="33" t="s">
        <v>36</v>
      </c>
      <c r="P366" s="13"/>
      <c r="Q366" s="13"/>
      <c r="R366" s="26"/>
      <c r="S366" s="68"/>
      <c r="T366" s="68"/>
    </row>
    <row r="367" spans="1:20" s="4" customFormat="1" ht="18" customHeight="1">
      <c r="A367" s="9" t="str">
        <f t="shared" si="128"/>
        <v>2 -Divers</v>
      </c>
      <c r="B367" s="42" t="str">
        <f t="shared" si="129"/>
        <v>X-VIREMENT APPARTEMENT</v>
      </c>
      <c r="C367" s="42"/>
      <c r="D367" s="18" t="s">
        <v>347</v>
      </c>
      <c r="E367" s="13" t="s">
        <v>353</v>
      </c>
      <c r="F367" s="43"/>
      <c r="G367" s="54">
        <f t="shared" si="131"/>
        <v>1000</v>
      </c>
      <c r="H367" s="56">
        <f t="shared" si="132"/>
        <v>1000</v>
      </c>
      <c r="I367" s="47">
        <f t="shared" si="130"/>
        <v>1000</v>
      </c>
      <c r="J367" s="80"/>
      <c r="K367" s="77" t="s">
        <v>22</v>
      </c>
      <c r="L367" s="79">
        <v>42554</v>
      </c>
      <c r="M367" s="13" t="s">
        <v>310</v>
      </c>
      <c r="N367" s="78">
        <v>26</v>
      </c>
      <c r="O367" s="33" t="s">
        <v>36</v>
      </c>
      <c r="P367" s="13"/>
      <c r="Q367" s="16"/>
      <c r="R367" s="26"/>
      <c r="S367" s="68"/>
      <c r="T367" s="68"/>
    </row>
    <row r="368" spans="1:20" s="4" customFormat="1" ht="18" customHeight="1">
      <c r="A368" s="9" t="str">
        <f t="shared" si="128"/>
        <v>2 -Divers</v>
      </c>
      <c r="B368" s="42" t="str">
        <f t="shared" si="129"/>
        <v>X-VIREMENT APPARTEMENT</v>
      </c>
      <c r="C368" s="42"/>
      <c r="D368" s="18" t="s">
        <v>348</v>
      </c>
      <c r="E368" s="13" t="s">
        <v>353</v>
      </c>
      <c r="F368" s="43"/>
      <c r="G368" s="54">
        <f t="shared" si="131"/>
        <v>1000</v>
      </c>
      <c r="H368" s="56">
        <f t="shared" si="132"/>
        <v>1000</v>
      </c>
      <c r="I368" s="47">
        <f t="shared" si="130"/>
        <v>1000</v>
      </c>
      <c r="J368" s="80"/>
      <c r="K368" s="77" t="s">
        <v>22</v>
      </c>
      <c r="L368" s="79">
        <v>42585</v>
      </c>
      <c r="M368" s="13" t="s">
        <v>310</v>
      </c>
      <c r="N368" s="78">
        <v>31</v>
      </c>
      <c r="O368" s="33" t="s">
        <v>36</v>
      </c>
      <c r="P368" s="58"/>
      <c r="Q368" s="58"/>
      <c r="R368" s="26"/>
      <c r="S368" s="68"/>
      <c r="T368" s="68"/>
    </row>
    <row r="369" spans="1:20" s="4" customFormat="1" ht="18" customHeight="1">
      <c r="A369" s="9" t="str">
        <f t="shared" si="128"/>
        <v>2 -Divers</v>
      </c>
      <c r="B369" s="42" t="str">
        <f t="shared" si="129"/>
        <v>X-VIREMENT APPARTEMENT</v>
      </c>
      <c r="C369" s="42"/>
      <c r="D369" s="18" t="s">
        <v>349</v>
      </c>
      <c r="E369" s="13" t="s">
        <v>353</v>
      </c>
      <c r="F369" s="43"/>
      <c r="G369" s="54">
        <f t="shared" si="131"/>
        <v>1000</v>
      </c>
      <c r="H369" s="56">
        <f t="shared" si="132"/>
        <v>1000</v>
      </c>
      <c r="I369" s="47">
        <f t="shared" si="130"/>
        <v>1000</v>
      </c>
      <c r="J369" s="80"/>
      <c r="K369" s="77" t="s">
        <v>22</v>
      </c>
      <c r="L369" s="79">
        <v>42616</v>
      </c>
      <c r="M369" s="13" t="s">
        <v>310</v>
      </c>
      <c r="N369" s="78">
        <v>35</v>
      </c>
      <c r="O369" s="33" t="s">
        <v>36</v>
      </c>
      <c r="P369" s="58"/>
      <c r="Q369" s="58"/>
      <c r="R369" s="26"/>
      <c r="S369" s="68"/>
      <c r="T369" s="68"/>
    </row>
    <row r="370" spans="1:20" s="4" customFormat="1" ht="18" customHeight="1">
      <c r="A370" s="9" t="str">
        <f t="shared" si="128"/>
        <v>2 -Divers</v>
      </c>
      <c r="B370" s="42" t="str">
        <f t="shared" si="129"/>
        <v>X-VIREMENT APPARTEMENT</v>
      </c>
      <c r="C370" s="42"/>
      <c r="D370" s="18" t="s">
        <v>350</v>
      </c>
      <c r="E370" s="13" t="s">
        <v>353</v>
      </c>
      <c r="F370" s="43"/>
      <c r="G370" s="54">
        <f t="shared" si="131"/>
        <v>1000</v>
      </c>
      <c r="H370" s="56">
        <f t="shared" si="132"/>
        <v>1000</v>
      </c>
      <c r="I370" s="47">
        <f t="shared" si="130"/>
        <v>1000</v>
      </c>
      <c r="J370" s="80"/>
      <c r="K370" s="77" t="s">
        <v>22</v>
      </c>
      <c r="L370" s="79">
        <v>42646</v>
      </c>
      <c r="M370" s="13" t="s">
        <v>310</v>
      </c>
      <c r="N370" s="78">
        <v>40</v>
      </c>
      <c r="O370" s="33" t="s">
        <v>36</v>
      </c>
      <c r="P370" s="13"/>
      <c r="Q370" s="13"/>
      <c r="R370" s="26"/>
      <c r="S370" s="68"/>
      <c r="T370" s="68"/>
    </row>
    <row r="371" spans="1:20" s="4" customFormat="1" ht="18" customHeight="1">
      <c r="A371" s="9" t="str">
        <f t="shared" si="128"/>
        <v>2 -Divers</v>
      </c>
      <c r="B371" s="42" t="str">
        <f t="shared" si="129"/>
        <v>X-VIREMENT APPARTEMENT</v>
      </c>
      <c r="C371" s="42"/>
      <c r="D371" s="18" t="s">
        <v>351</v>
      </c>
      <c r="E371" s="13" t="s">
        <v>353</v>
      </c>
      <c r="F371" s="43"/>
      <c r="G371" s="54">
        <f t="shared" si="131"/>
        <v>1000</v>
      </c>
      <c r="H371" s="56">
        <f t="shared" si="132"/>
        <v>1000</v>
      </c>
      <c r="I371" s="47">
        <f t="shared" si="130"/>
        <v>1000</v>
      </c>
      <c r="J371" s="80"/>
      <c r="K371" s="77" t="s">
        <v>22</v>
      </c>
      <c r="L371" s="79">
        <v>42677</v>
      </c>
      <c r="M371" s="13" t="s">
        <v>310</v>
      </c>
      <c r="N371" s="78">
        <v>44</v>
      </c>
      <c r="O371" s="33" t="s">
        <v>36</v>
      </c>
      <c r="P371" s="13"/>
      <c r="Q371" s="13"/>
      <c r="R371" s="26"/>
      <c r="S371" s="68"/>
      <c r="T371" s="68"/>
    </row>
    <row r="372" spans="1:20" s="4" customFormat="1" ht="18" customHeight="1">
      <c r="A372" s="9" t="str">
        <f t="shared" si="128"/>
        <v>2 -Divers</v>
      </c>
      <c r="B372" s="42" t="str">
        <f t="shared" si="129"/>
        <v>X-VIREMENT APPARTEMENT</v>
      </c>
      <c r="C372" s="42"/>
      <c r="D372" s="18" t="s">
        <v>352</v>
      </c>
      <c r="E372" s="13" t="s">
        <v>353</v>
      </c>
      <c r="F372" s="43"/>
      <c r="G372" s="54">
        <f t="shared" si="131"/>
        <v>1000</v>
      </c>
      <c r="H372" s="56">
        <f t="shared" si="132"/>
        <v>1000</v>
      </c>
      <c r="I372" s="47">
        <f t="shared" si="130"/>
        <v>1000</v>
      </c>
      <c r="J372" s="80"/>
      <c r="K372" s="77" t="s">
        <v>22</v>
      </c>
      <c r="L372" s="79">
        <v>42707</v>
      </c>
      <c r="M372" s="13" t="s">
        <v>310</v>
      </c>
      <c r="N372" s="78">
        <v>48</v>
      </c>
      <c r="O372" s="33" t="s">
        <v>36</v>
      </c>
      <c r="P372" s="13"/>
      <c r="Q372" s="13"/>
      <c r="R372" s="26"/>
      <c r="S372" s="68"/>
      <c r="T372" s="68"/>
    </row>
    <row r="373" spans="1:20" s="4" customFormat="1" ht="18" customHeight="1">
      <c r="A373" s="10" t="s">
        <v>23</v>
      </c>
      <c r="B373" s="10" t="s">
        <v>355</v>
      </c>
      <c r="C373" s="10"/>
      <c r="D373" s="10"/>
      <c r="E373" s="14"/>
      <c r="F373" s="38">
        <f>69.04*12</f>
        <v>828.48</v>
      </c>
      <c r="G373" s="45"/>
      <c r="H373" s="48"/>
      <c r="I373" s="48"/>
      <c r="J373" s="14"/>
      <c r="K373" s="14"/>
      <c r="L373" s="14"/>
      <c r="M373" s="14"/>
      <c r="N373" s="14"/>
      <c r="O373" s="14"/>
      <c r="P373" s="14"/>
      <c r="Q373" s="14"/>
      <c r="R373" s="24"/>
      <c r="S373" s="66"/>
      <c r="T373" s="66"/>
    </row>
    <row r="374" spans="1:20" s="4" customFormat="1" ht="18" customHeight="1">
      <c r="A374" s="9" t="str">
        <f t="shared" ref="A374:B395" si="133">+A373</f>
        <v>1 -Charges fixes</v>
      </c>
      <c r="B374" s="42" t="str">
        <f>+B373</f>
        <v xml:space="preserve">Y-ASSURANCE PRÊT </v>
      </c>
      <c r="C374" s="42"/>
      <c r="D374" s="18" t="s">
        <v>285</v>
      </c>
      <c r="E374" s="13" t="s">
        <v>51</v>
      </c>
      <c r="F374" s="43"/>
      <c r="G374" s="54">
        <v>69.040000000000006</v>
      </c>
      <c r="H374" s="55">
        <v>69.040000000000006</v>
      </c>
      <c r="I374" s="47">
        <f>+H374</f>
        <v>69.040000000000006</v>
      </c>
      <c r="J374" s="39" t="s">
        <v>21</v>
      </c>
      <c r="K374" s="13"/>
      <c r="L374" s="79">
        <v>42377</v>
      </c>
      <c r="M374" s="13" t="s">
        <v>356</v>
      </c>
      <c r="N374" s="78">
        <v>1</v>
      </c>
      <c r="O374" s="33" t="s">
        <v>36</v>
      </c>
      <c r="P374" s="13"/>
      <c r="Q374" s="13"/>
      <c r="R374" s="26"/>
      <c r="S374" s="68"/>
      <c r="T374" s="68"/>
    </row>
    <row r="375" spans="1:20" s="4" customFormat="1" ht="18" customHeight="1">
      <c r="A375" s="9" t="str">
        <f t="shared" si="133"/>
        <v>1 -Charges fixes</v>
      </c>
      <c r="B375" s="42" t="str">
        <f t="shared" ref="B375:B385" si="134">+B374</f>
        <v xml:space="preserve">Y-ASSURANCE PRÊT </v>
      </c>
      <c r="C375" s="42"/>
      <c r="D375" s="18" t="s">
        <v>286</v>
      </c>
      <c r="E375" s="13" t="s">
        <v>51</v>
      </c>
      <c r="F375" s="43"/>
      <c r="G375" s="54">
        <f>+G374</f>
        <v>69.040000000000006</v>
      </c>
      <c r="H375" s="55">
        <v>69.040000000000006</v>
      </c>
      <c r="I375" s="47">
        <f>+H375</f>
        <v>69.040000000000006</v>
      </c>
      <c r="J375" s="39" t="s">
        <v>21</v>
      </c>
      <c r="K375" s="13"/>
      <c r="L375" s="79">
        <v>42408</v>
      </c>
      <c r="M375" s="13" t="s">
        <v>356</v>
      </c>
      <c r="N375" s="78">
        <v>6</v>
      </c>
      <c r="O375" s="33" t="s">
        <v>36</v>
      </c>
      <c r="P375" s="13"/>
      <c r="Q375" s="13"/>
      <c r="R375" s="26"/>
      <c r="S375" s="68"/>
      <c r="T375" s="68"/>
    </row>
    <row r="376" spans="1:20" s="63" customFormat="1" ht="18" customHeight="1">
      <c r="A376" s="9" t="str">
        <f t="shared" si="133"/>
        <v>1 -Charges fixes</v>
      </c>
      <c r="B376" s="42" t="str">
        <f t="shared" si="134"/>
        <v xml:space="preserve">Y-ASSURANCE PRÊT </v>
      </c>
      <c r="C376" s="42"/>
      <c r="D376" s="18" t="s">
        <v>287</v>
      </c>
      <c r="E376" s="13" t="s">
        <v>51</v>
      </c>
      <c r="F376" s="43"/>
      <c r="G376" s="54">
        <f>+G375</f>
        <v>69.040000000000006</v>
      </c>
      <c r="H376" s="56">
        <v>69.040000000000006</v>
      </c>
      <c r="I376" s="47">
        <f t="shared" ref="I376:I385" si="135">+H376</f>
        <v>69.040000000000006</v>
      </c>
      <c r="J376" s="39" t="s">
        <v>21</v>
      </c>
      <c r="K376" s="13"/>
      <c r="L376" s="79">
        <v>42437</v>
      </c>
      <c r="M376" s="13" t="s">
        <v>356</v>
      </c>
      <c r="N376" s="78">
        <v>10</v>
      </c>
      <c r="O376" s="33" t="s">
        <v>36</v>
      </c>
      <c r="P376" s="13"/>
      <c r="Q376" s="13"/>
      <c r="R376" s="26"/>
      <c r="S376" s="68"/>
      <c r="T376" s="68"/>
    </row>
    <row r="377" spans="1:20" s="4" customFormat="1" ht="18" customHeight="1">
      <c r="A377" s="9" t="str">
        <f t="shared" si="133"/>
        <v>1 -Charges fixes</v>
      </c>
      <c r="B377" s="42" t="str">
        <f t="shared" si="134"/>
        <v xml:space="preserve">Y-ASSURANCE PRÊT </v>
      </c>
      <c r="C377" s="42"/>
      <c r="D377" s="18" t="s">
        <v>288</v>
      </c>
      <c r="E377" s="13" t="s">
        <v>51</v>
      </c>
      <c r="F377" s="43"/>
      <c r="G377" s="54">
        <f t="shared" ref="G377:G385" si="136">+G376</f>
        <v>69.040000000000006</v>
      </c>
      <c r="H377" s="56">
        <f t="shared" ref="H377:H385" si="137">+IF(K377="ENGAGE A CE JOUR",G377,"ERREUR")</f>
        <v>69.040000000000006</v>
      </c>
      <c r="I377" s="47">
        <f t="shared" si="135"/>
        <v>69.040000000000006</v>
      </c>
      <c r="J377" s="80"/>
      <c r="K377" s="77" t="s">
        <v>22</v>
      </c>
      <c r="L377" s="79">
        <v>42468</v>
      </c>
      <c r="M377" s="13" t="s">
        <v>356</v>
      </c>
      <c r="N377" s="78">
        <v>14</v>
      </c>
      <c r="O377" s="33" t="s">
        <v>36</v>
      </c>
      <c r="P377" s="13"/>
      <c r="Q377" s="13"/>
      <c r="R377" s="26"/>
      <c r="S377" s="68"/>
      <c r="T377" s="68"/>
    </row>
    <row r="378" spans="1:20" s="4" customFormat="1" ht="18" customHeight="1">
      <c r="A378" s="9" t="str">
        <f t="shared" si="133"/>
        <v>1 -Charges fixes</v>
      </c>
      <c r="B378" s="42" t="str">
        <f t="shared" si="134"/>
        <v xml:space="preserve">Y-ASSURANCE PRÊT </v>
      </c>
      <c r="C378" s="42"/>
      <c r="D378" s="18" t="s">
        <v>289</v>
      </c>
      <c r="E378" s="13" t="s">
        <v>51</v>
      </c>
      <c r="F378" s="43"/>
      <c r="G378" s="54">
        <f t="shared" si="136"/>
        <v>69.040000000000006</v>
      </c>
      <c r="H378" s="56">
        <f t="shared" si="137"/>
        <v>69.040000000000006</v>
      </c>
      <c r="I378" s="47">
        <f t="shared" si="135"/>
        <v>69.040000000000006</v>
      </c>
      <c r="J378" s="80"/>
      <c r="K378" s="77" t="s">
        <v>22</v>
      </c>
      <c r="L378" s="79">
        <v>42498</v>
      </c>
      <c r="M378" s="13" t="s">
        <v>356</v>
      </c>
      <c r="N378" s="78">
        <v>18</v>
      </c>
      <c r="O378" s="33" t="s">
        <v>36</v>
      </c>
      <c r="P378" s="13"/>
      <c r="Q378" s="13"/>
      <c r="R378" s="26"/>
      <c r="S378" s="68"/>
      <c r="T378" s="68"/>
    </row>
    <row r="379" spans="1:20" s="4" customFormat="1" ht="18" customHeight="1">
      <c r="A379" s="9" t="str">
        <f t="shared" si="133"/>
        <v>1 -Charges fixes</v>
      </c>
      <c r="B379" s="42" t="str">
        <f t="shared" si="134"/>
        <v xml:space="preserve">Y-ASSURANCE PRÊT </v>
      </c>
      <c r="C379" s="42"/>
      <c r="D379" s="18" t="s">
        <v>290</v>
      </c>
      <c r="E379" s="13" t="s">
        <v>51</v>
      </c>
      <c r="F379" s="43"/>
      <c r="G379" s="54">
        <f t="shared" si="136"/>
        <v>69.040000000000006</v>
      </c>
      <c r="H379" s="56">
        <f t="shared" si="137"/>
        <v>69.040000000000006</v>
      </c>
      <c r="I379" s="47">
        <f t="shared" si="135"/>
        <v>69.040000000000006</v>
      </c>
      <c r="J379" s="80"/>
      <c r="K379" s="77" t="s">
        <v>22</v>
      </c>
      <c r="L379" s="79">
        <v>42529</v>
      </c>
      <c r="M379" s="13" t="s">
        <v>356</v>
      </c>
      <c r="N379" s="78">
        <v>23</v>
      </c>
      <c r="O379" s="33" t="s">
        <v>36</v>
      </c>
      <c r="P379" s="13"/>
      <c r="Q379" s="13"/>
      <c r="R379" s="26"/>
      <c r="S379" s="68"/>
      <c r="T379" s="68"/>
    </row>
    <row r="380" spans="1:20" s="4" customFormat="1" ht="18" customHeight="1">
      <c r="A380" s="9" t="str">
        <f t="shared" si="133"/>
        <v>1 -Charges fixes</v>
      </c>
      <c r="B380" s="42" t="str">
        <f t="shared" si="134"/>
        <v xml:space="preserve">Y-ASSURANCE PRÊT </v>
      </c>
      <c r="C380" s="42"/>
      <c r="D380" s="18" t="s">
        <v>291</v>
      </c>
      <c r="E380" s="13" t="s">
        <v>51</v>
      </c>
      <c r="F380" s="43"/>
      <c r="G380" s="54">
        <f t="shared" si="136"/>
        <v>69.040000000000006</v>
      </c>
      <c r="H380" s="56">
        <f t="shared" si="137"/>
        <v>69.040000000000006</v>
      </c>
      <c r="I380" s="47">
        <f t="shared" si="135"/>
        <v>69.040000000000006</v>
      </c>
      <c r="J380" s="80"/>
      <c r="K380" s="77" t="s">
        <v>22</v>
      </c>
      <c r="L380" s="79">
        <v>42559</v>
      </c>
      <c r="M380" s="13" t="s">
        <v>356</v>
      </c>
      <c r="N380" s="78">
        <v>27</v>
      </c>
      <c r="O380" s="33" t="s">
        <v>36</v>
      </c>
      <c r="P380" s="13"/>
      <c r="Q380" s="16"/>
      <c r="R380" s="26"/>
      <c r="S380" s="68"/>
      <c r="T380" s="68"/>
    </row>
    <row r="381" spans="1:20" s="4" customFormat="1" ht="18" customHeight="1">
      <c r="A381" s="9" t="str">
        <f t="shared" si="133"/>
        <v>1 -Charges fixes</v>
      </c>
      <c r="B381" s="42" t="str">
        <f t="shared" si="134"/>
        <v xml:space="preserve">Y-ASSURANCE PRÊT </v>
      </c>
      <c r="C381" s="42"/>
      <c r="D381" s="18" t="s">
        <v>292</v>
      </c>
      <c r="E381" s="13" t="s">
        <v>51</v>
      </c>
      <c r="F381" s="59"/>
      <c r="G381" s="54">
        <f t="shared" si="136"/>
        <v>69.040000000000006</v>
      </c>
      <c r="H381" s="56">
        <f t="shared" si="137"/>
        <v>69.040000000000006</v>
      </c>
      <c r="I381" s="47">
        <f t="shared" si="135"/>
        <v>69.040000000000006</v>
      </c>
      <c r="J381" s="80"/>
      <c r="K381" s="77" t="s">
        <v>22</v>
      </c>
      <c r="L381" s="79">
        <v>42590</v>
      </c>
      <c r="M381" s="13" t="s">
        <v>356</v>
      </c>
      <c r="N381" s="78">
        <v>32</v>
      </c>
      <c r="O381" s="33" t="s">
        <v>36</v>
      </c>
      <c r="P381" s="58"/>
      <c r="Q381" s="58"/>
      <c r="R381" s="26"/>
      <c r="S381" s="68"/>
      <c r="T381" s="68"/>
    </row>
    <row r="382" spans="1:20" s="4" customFormat="1" ht="18" customHeight="1">
      <c r="A382" s="9" t="str">
        <f t="shared" si="133"/>
        <v>1 -Charges fixes</v>
      </c>
      <c r="B382" s="42" t="str">
        <f t="shared" si="134"/>
        <v xml:space="preserve">Y-ASSURANCE PRÊT </v>
      </c>
      <c r="C382" s="42"/>
      <c r="D382" s="18" t="s">
        <v>293</v>
      </c>
      <c r="E382" s="13" t="s">
        <v>51</v>
      </c>
      <c r="F382" s="59"/>
      <c r="G382" s="54">
        <f t="shared" si="136"/>
        <v>69.040000000000006</v>
      </c>
      <c r="H382" s="56">
        <f t="shared" si="137"/>
        <v>69.040000000000006</v>
      </c>
      <c r="I382" s="47">
        <f t="shared" si="135"/>
        <v>69.040000000000006</v>
      </c>
      <c r="J382" s="80"/>
      <c r="K382" s="77" t="s">
        <v>22</v>
      </c>
      <c r="L382" s="79">
        <v>42621</v>
      </c>
      <c r="M382" s="13" t="s">
        <v>356</v>
      </c>
      <c r="N382" s="78">
        <v>36</v>
      </c>
      <c r="O382" s="33" t="s">
        <v>36</v>
      </c>
      <c r="P382" s="58"/>
      <c r="Q382" s="58"/>
      <c r="R382" s="26"/>
      <c r="S382" s="68"/>
      <c r="T382" s="68"/>
    </row>
    <row r="383" spans="1:20" s="4" customFormat="1" ht="18" customHeight="1">
      <c r="A383" s="9" t="str">
        <f t="shared" si="133"/>
        <v>1 -Charges fixes</v>
      </c>
      <c r="B383" s="42" t="str">
        <f t="shared" si="134"/>
        <v xml:space="preserve">Y-ASSURANCE PRÊT </v>
      </c>
      <c r="C383" s="42"/>
      <c r="D383" s="18" t="s">
        <v>294</v>
      </c>
      <c r="E383" s="13" t="s">
        <v>51</v>
      </c>
      <c r="F383" s="43"/>
      <c r="G383" s="54">
        <f t="shared" si="136"/>
        <v>69.040000000000006</v>
      </c>
      <c r="H383" s="56">
        <f t="shared" si="137"/>
        <v>69.040000000000006</v>
      </c>
      <c r="I383" s="47">
        <f t="shared" si="135"/>
        <v>69.040000000000006</v>
      </c>
      <c r="J383" s="80"/>
      <c r="K383" s="77" t="s">
        <v>22</v>
      </c>
      <c r="L383" s="79">
        <v>42651</v>
      </c>
      <c r="M383" s="13" t="s">
        <v>356</v>
      </c>
      <c r="N383" s="78">
        <v>40</v>
      </c>
      <c r="O383" s="33" t="s">
        <v>36</v>
      </c>
      <c r="P383" s="13"/>
      <c r="Q383" s="13"/>
      <c r="R383" s="26"/>
      <c r="S383" s="68"/>
      <c r="T383" s="68"/>
    </row>
    <row r="384" spans="1:20" s="4" customFormat="1">
      <c r="A384" s="9" t="str">
        <f t="shared" si="133"/>
        <v>1 -Charges fixes</v>
      </c>
      <c r="B384" s="42" t="str">
        <f t="shared" si="134"/>
        <v xml:space="preserve">Y-ASSURANCE PRÊT </v>
      </c>
      <c r="C384" s="42"/>
      <c r="D384" s="18" t="s">
        <v>295</v>
      </c>
      <c r="E384" s="13" t="s">
        <v>51</v>
      </c>
      <c r="F384" s="43"/>
      <c r="G384" s="54">
        <f t="shared" si="136"/>
        <v>69.040000000000006</v>
      </c>
      <c r="H384" s="56">
        <f t="shared" si="137"/>
        <v>69.040000000000006</v>
      </c>
      <c r="I384" s="47">
        <f t="shared" si="135"/>
        <v>69.040000000000006</v>
      </c>
      <c r="J384" s="80"/>
      <c r="K384" s="77" t="s">
        <v>22</v>
      </c>
      <c r="L384" s="79">
        <v>42682</v>
      </c>
      <c r="M384" s="13" t="s">
        <v>356</v>
      </c>
      <c r="N384" s="78">
        <v>45</v>
      </c>
      <c r="O384" s="33" t="s">
        <v>36</v>
      </c>
      <c r="P384" s="13"/>
      <c r="Q384" s="13"/>
      <c r="R384" s="26"/>
      <c r="S384" s="68"/>
      <c r="T384" s="68"/>
    </row>
    <row r="385" spans="1:20" s="4" customFormat="1" ht="18" customHeight="1">
      <c r="A385" s="9" t="str">
        <f t="shared" si="133"/>
        <v>1 -Charges fixes</v>
      </c>
      <c r="B385" s="42" t="str">
        <f t="shared" si="134"/>
        <v xml:space="preserve">Y-ASSURANCE PRÊT </v>
      </c>
      <c r="C385" s="42"/>
      <c r="D385" s="18" t="s">
        <v>296</v>
      </c>
      <c r="E385" s="13" t="s">
        <v>51</v>
      </c>
      <c r="F385" s="43"/>
      <c r="G385" s="54">
        <f t="shared" si="136"/>
        <v>69.040000000000006</v>
      </c>
      <c r="H385" s="56">
        <f t="shared" si="137"/>
        <v>69.040000000000006</v>
      </c>
      <c r="I385" s="47">
        <f t="shared" si="135"/>
        <v>69.040000000000006</v>
      </c>
      <c r="J385" s="80"/>
      <c r="K385" s="77" t="s">
        <v>22</v>
      </c>
      <c r="L385" s="79">
        <v>42712</v>
      </c>
      <c r="M385" s="13" t="s">
        <v>356</v>
      </c>
      <c r="N385" s="78">
        <v>49</v>
      </c>
      <c r="O385" s="33" t="s">
        <v>36</v>
      </c>
      <c r="P385" s="13"/>
      <c r="Q385" s="13"/>
      <c r="R385" s="26"/>
      <c r="S385" s="68"/>
      <c r="T385" s="68"/>
    </row>
    <row r="386" spans="1:20" s="4" customFormat="1" ht="18" customHeight="1">
      <c r="A386" s="10" t="s">
        <v>23</v>
      </c>
      <c r="B386" s="10" t="s">
        <v>357</v>
      </c>
      <c r="C386" s="10"/>
      <c r="D386" s="10"/>
      <c r="E386" s="14"/>
      <c r="F386" s="38" t="s">
        <v>358</v>
      </c>
      <c r="G386" s="45"/>
      <c r="H386" s="48"/>
      <c r="I386" s="48"/>
      <c r="J386" s="14"/>
      <c r="K386" s="14"/>
      <c r="L386" s="14"/>
      <c r="M386" s="14"/>
      <c r="N386" s="14"/>
      <c r="O386" s="14"/>
      <c r="P386" s="14"/>
      <c r="Q386" s="14"/>
      <c r="R386" s="24"/>
      <c r="S386" s="66"/>
      <c r="T386" s="66"/>
    </row>
    <row r="387" spans="1:20" s="4" customFormat="1" ht="18" customHeight="1">
      <c r="A387" s="9" t="str">
        <f t="shared" si="133"/>
        <v>1 -Charges fixes</v>
      </c>
      <c r="B387" s="21" t="str">
        <f>+B386</f>
        <v>Z-ASSURANCE</v>
      </c>
      <c r="C387" s="21"/>
      <c r="D387" s="57" t="s">
        <v>39</v>
      </c>
      <c r="E387" s="19" t="s">
        <v>51</v>
      </c>
      <c r="F387" s="43"/>
      <c r="G387" s="54">
        <v>54</v>
      </c>
      <c r="H387" s="55">
        <v>54</v>
      </c>
      <c r="I387" s="47">
        <f>+H387</f>
        <v>54</v>
      </c>
      <c r="J387" s="39" t="s">
        <v>21</v>
      </c>
      <c r="K387" s="13"/>
      <c r="L387" s="79">
        <v>42377</v>
      </c>
      <c r="M387" s="13" t="s">
        <v>38</v>
      </c>
      <c r="N387" s="78">
        <v>1</v>
      </c>
      <c r="O387" s="33" t="s">
        <v>36</v>
      </c>
      <c r="P387" s="13"/>
      <c r="Q387" s="13"/>
      <c r="R387" s="26"/>
      <c r="S387" s="68"/>
      <c r="T387" s="68"/>
    </row>
    <row r="388" spans="1:20" s="4" customFormat="1" ht="18" customHeight="1">
      <c r="A388" s="9" t="str">
        <f t="shared" si="133"/>
        <v>1 -Charges fixes</v>
      </c>
      <c r="B388" s="21" t="str">
        <f t="shared" si="133"/>
        <v>Z-ASSURANCE</v>
      </c>
      <c r="C388" s="21"/>
      <c r="D388" s="57" t="s">
        <v>40</v>
      </c>
      <c r="E388" s="13" t="str">
        <f>+E387</f>
        <v>MACSF</v>
      </c>
      <c r="F388" s="43"/>
      <c r="G388" s="54">
        <f>+G387</f>
        <v>54</v>
      </c>
      <c r="H388" s="55">
        <v>54</v>
      </c>
      <c r="I388" s="47">
        <f t="shared" ref="I388:I395" si="138">+H388</f>
        <v>54</v>
      </c>
      <c r="J388" s="39" t="s">
        <v>21</v>
      </c>
      <c r="K388" s="13"/>
      <c r="L388" s="79">
        <v>42408</v>
      </c>
      <c r="M388" s="13" t="s">
        <v>38</v>
      </c>
      <c r="N388" s="78">
        <v>6</v>
      </c>
      <c r="O388" s="33" t="s">
        <v>36</v>
      </c>
      <c r="P388" s="13"/>
      <c r="Q388" s="13"/>
      <c r="R388" s="26"/>
      <c r="S388" s="68"/>
      <c r="T388" s="68"/>
    </row>
    <row r="389" spans="1:20" s="4" customFormat="1" ht="18" customHeight="1">
      <c r="A389" s="9" t="str">
        <f t="shared" si="133"/>
        <v>1 -Charges fixes</v>
      </c>
      <c r="B389" s="21" t="str">
        <f t="shared" si="133"/>
        <v>Z-ASSURANCE</v>
      </c>
      <c r="C389" s="21"/>
      <c r="D389" s="57" t="s">
        <v>41</v>
      </c>
      <c r="E389" s="13" t="str">
        <f t="shared" ref="E389:E395" si="139">+E388</f>
        <v>MACSF</v>
      </c>
      <c r="F389" s="43"/>
      <c r="G389" s="54">
        <f t="shared" ref="G389:G395" si="140">+G388</f>
        <v>54</v>
      </c>
      <c r="H389" s="56">
        <v>54</v>
      </c>
      <c r="I389" s="47">
        <f t="shared" si="138"/>
        <v>54</v>
      </c>
      <c r="J389" s="39" t="s">
        <v>21</v>
      </c>
      <c r="K389" s="13"/>
      <c r="L389" s="79">
        <v>42437</v>
      </c>
      <c r="M389" s="13" t="s">
        <v>38</v>
      </c>
      <c r="N389" s="78">
        <v>10</v>
      </c>
      <c r="O389" s="33" t="s">
        <v>36</v>
      </c>
      <c r="P389" s="13"/>
      <c r="Q389" s="13"/>
      <c r="R389" s="26"/>
      <c r="S389" s="68"/>
      <c r="T389" s="68"/>
    </row>
    <row r="390" spans="1:20" s="4" customFormat="1" ht="18" customHeight="1">
      <c r="A390" s="9" t="str">
        <f t="shared" si="133"/>
        <v>1 -Charges fixes</v>
      </c>
      <c r="B390" s="21" t="str">
        <f t="shared" si="133"/>
        <v>Z-ASSURANCE</v>
      </c>
      <c r="C390" s="21"/>
      <c r="D390" s="57" t="s">
        <v>42</v>
      </c>
      <c r="E390" s="13" t="str">
        <f t="shared" si="139"/>
        <v>MACSF</v>
      </c>
      <c r="F390" s="43"/>
      <c r="G390" s="54">
        <f t="shared" si="140"/>
        <v>54</v>
      </c>
      <c r="H390" s="56">
        <f t="shared" ref="H390:H395" si="141">+IF(K390="ENGAGE A CE JOUR",G390,"ERREUR")</f>
        <v>54</v>
      </c>
      <c r="I390" s="47">
        <f t="shared" si="138"/>
        <v>54</v>
      </c>
      <c r="J390" s="80"/>
      <c r="K390" s="77" t="s">
        <v>22</v>
      </c>
      <c r="L390" s="79">
        <v>42468</v>
      </c>
      <c r="M390" s="13" t="s">
        <v>38</v>
      </c>
      <c r="N390" s="78">
        <v>14</v>
      </c>
      <c r="O390" s="33" t="s">
        <v>36</v>
      </c>
      <c r="P390" s="13"/>
      <c r="Q390" s="13"/>
      <c r="R390" s="26"/>
      <c r="S390" s="68"/>
      <c r="T390" s="68"/>
    </row>
    <row r="391" spans="1:20" s="4" customFormat="1" ht="18" customHeight="1">
      <c r="A391" s="9" t="str">
        <f t="shared" si="133"/>
        <v>1 -Charges fixes</v>
      </c>
      <c r="B391" s="21" t="str">
        <f t="shared" si="133"/>
        <v>Z-ASSURANCE</v>
      </c>
      <c r="C391" s="21"/>
      <c r="D391" s="57" t="s">
        <v>43</v>
      </c>
      <c r="E391" s="13" t="str">
        <f t="shared" si="139"/>
        <v>MACSF</v>
      </c>
      <c r="F391" s="43"/>
      <c r="G391" s="54">
        <f t="shared" si="140"/>
        <v>54</v>
      </c>
      <c r="H391" s="56">
        <f t="shared" si="141"/>
        <v>54</v>
      </c>
      <c r="I391" s="47">
        <f t="shared" si="138"/>
        <v>54</v>
      </c>
      <c r="J391" s="80"/>
      <c r="K391" s="77" t="s">
        <v>22</v>
      </c>
      <c r="L391" s="79">
        <v>42498</v>
      </c>
      <c r="M391" s="13" t="s">
        <v>38</v>
      </c>
      <c r="N391" s="78">
        <v>18</v>
      </c>
      <c r="O391" s="33" t="s">
        <v>36</v>
      </c>
      <c r="P391" s="13"/>
      <c r="Q391" s="13"/>
      <c r="R391" s="26"/>
      <c r="S391" s="68"/>
      <c r="T391" s="68"/>
    </row>
    <row r="392" spans="1:20" s="4" customFormat="1" ht="18" customHeight="1">
      <c r="A392" s="9" t="str">
        <f t="shared" si="133"/>
        <v>1 -Charges fixes</v>
      </c>
      <c r="B392" s="21" t="str">
        <f t="shared" si="133"/>
        <v>Z-ASSURANCE</v>
      </c>
      <c r="C392" s="21"/>
      <c r="D392" s="57" t="s">
        <v>44</v>
      </c>
      <c r="E392" s="13" t="str">
        <f t="shared" si="139"/>
        <v>MACSF</v>
      </c>
      <c r="F392" s="43"/>
      <c r="G392" s="54">
        <f t="shared" si="140"/>
        <v>54</v>
      </c>
      <c r="H392" s="56">
        <f t="shared" si="141"/>
        <v>54</v>
      </c>
      <c r="I392" s="47">
        <f t="shared" si="138"/>
        <v>54</v>
      </c>
      <c r="J392" s="80"/>
      <c r="K392" s="77" t="s">
        <v>22</v>
      </c>
      <c r="L392" s="79">
        <v>42529</v>
      </c>
      <c r="M392" s="13" t="s">
        <v>38</v>
      </c>
      <c r="N392" s="78">
        <v>23</v>
      </c>
      <c r="O392" s="33" t="s">
        <v>36</v>
      </c>
      <c r="P392" s="13"/>
      <c r="Q392" s="13"/>
      <c r="R392" s="26"/>
      <c r="S392" s="68"/>
      <c r="T392" s="68"/>
    </row>
    <row r="393" spans="1:20" s="4" customFormat="1" ht="18" customHeight="1">
      <c r="A393" s="9" t="str">
        <f t="shared" si="133"/>
        <v>1 -Charges fixes</v>
      </c>
      <c r="B393" s="21" t="str">
        <f t="shared" si="133"/>
        <v>Z-ASSURANCE</v>
      </c>
      <c r="C393" s="21"/>
      <c r="D393" s="57" t="s">
        <v>45</v>
      </c>
      <c r="E393" s="13" t="str">
        <f t="shared" si="139"/>
        <v>MACSF</v>
      </c>
      <c r="F393" s="43"/>
      <c r="G393" s="54">
        <f t="shared" si="140"/>
        <v>54</v>
      </c>
      <c r="H393" s="56">
        <f t="shared" si="141"/>
        <v>54</v>
      </c>
      <c r="I393" s="47">
        <f t="shared" si="138"/>
        <v>54</v>
      </c>
      <c r="J393" s="80"/>
      <c r="K393" s="77" t="s">
        <v>22</v>
      </c>
      <c r="L393" s="79">
        <v>42559</v>
      </c>
      <c r="M393" s="13" t="s">
        <v>38</v>
      </c>
      <c r="N393" s="78">
        <v>27</v>
      </c>
      <c r="O393" s="33" t="s">
        <v>36</v>
      </c>
      <c r="P393" s="13"/>
      <c r="Q393" s="16"/>
      <c r="R393" s="26"/>
      <c r="S393" s="68"/>
      <c r="T393" s="68"/>
    </row>
    <row r="394" spans="1:20" s="4" customFormat="1" ht="18" customHeight="1">
      <c r="A394" s="9" t="str">
        <f t="shared" si="133"/>
        <v>1 -Charges fixes</v>
      </c>
      <c r="B394" s="21" t="str">
        <f t="shared" si="133"/>
        <v>Z-ASSURANCE</v>
      </c>
      <c r="C394" s="21"/>
      <c r="D394" s="57" t="s">
        <v>46</v>
      </c>
      <c r="E394" s="13" t="str">
        <f t="shared" si="139"/>
        <v>MACSF</v>
      </c>
      <c r="F394" s="43"/>
      <c r="G394" s="54">
        <f t="shared" si="140"/>
        <v>54</v>
      </c>
      <c r="H394" s="56">
        <f t="shared" si="141"/>
        <v>54</v>
      </c>
      <c r="I394" s="47">
        <f t="shared" si="138"/>
        <v>54</v>
      </c>
      <c r="J394" s="80"/>
      <c r="K394" s="77" t="s">
        <v>22</v>
      </c>
      <c r="L394" s="79">
        <v>42590</v>
      </c>
      <c r="M394" s="13" t="s">
        <v>38</v>
      </c>
      <c r="N394" s="78">
        <v>32</v>
      </c>
      <c r="O394" s="33" t="s">
        <v>36</v>
      </c>
      <c r="P394" s="58"/>
      <c r="Q394" s="58"/>
      <c r="R394" s="26"/>
      <c r="S394" s="68"/>
      <c r="T394" s="68"/>
    </row>
    <row r="395" spans="1:20" s="4" customFormat="1" ht="18" customHeight="1">
      <c r="A395" s="9" t="str">
        <f t="shared" si="133"/>
        <v>1 -Charges fixes</v>
      </c>
      <c r="B395" s="21" t="str">
        <f t="shared" si="133"/>
        <v>Z-ASSURANCE</v>
      </c>
      <c r="C395" s="21"/>
      <c r="D395" s="57" t="s">
        <v>47</v>
      </c>
      <c r="E395" s="13" t="str">
        <f t="shared" si="139"/>
        <v>MACSF</v>
      </c>
      <c r="F395" s="59"/>
      <c r="G395" s="54">
        <f t="shared" si="140"/>
        <v>54</v>
      </c>
      <c r="H395" s="56">
        <f t="shared" si="141"/>
        <v>54</v>
      </c>
      <c r="I395" s="47">
        <f t="shared" si="138"/>
        <v>54</v>
      </c>
      <c r="J395" s="80"/>
      <c r="K395" s="77" t="s">
        <v>22</v>
      </c>
      <c r="L395" s="79">
        <v>42621</v>
      </c>
      <c r="M395" s="13" t="s">
        <v>38</v>
      </c>
      <c r="N395" s="78">
        <v>36</v>
      </c>
      <c r="O395" s="33" t="s">
        <v>36</v>
      </c>
      <c r="P395" s="58"/>
      <c r="Q395" s="58"/>
      <c r="R395" s="26"/>
      <c r="S395" s="68"/>
      <c r="T395" s="68"/>
    </row>
    <row r="396" spans="1:20" ht="18" customHeight="1">
      <c r="A396" s="7"/>
      <c r="B396" s="7"/>
      <c r="C396" s="7"/>
      <c r="D396" s="7"/>
      <c r="E396" s="15"/>
      <c r="F396" s="8"/>
      <c r="G396" s="8"/>
      <c r="H396" s="7"/>
      <c r="I396" s="7"/>
      <c r="J396" s="7"/>
      <c r="K396" s="7"/>
      <c r="L396" s="15"/>
      <c r="M396" s="15"/>
      <c r="N396" s="51"/>
      <c r="O396" s="34"/>
      <c r="P396" s="15"/>
      <c r="Q396" s="15"/>
      <c r="R396" s="27"/>
      <c r="S396" s="71"/>
      <c r="T396" s="71"/>
    </row>
    <row r="397" spans="1:20">
      <c r="S397" s="72"/>
    </row>
    <row r="399" spans="1:20">
      <c r="H399" s="30"/>
      <c r="I399" s="30"/>
    </row>
    <row r="401" spans="5:5">
      <c r="E401" s="29"/>
    </row>
  </sheetData>
  <autoFilter ref="A1:Y396">
    <sortState ref="A10:BE1529">
      <sortCondition sortBy="cellColor" ref="N1:N1576" dxfId="4"/>
    </sortState>
  </autoFilter>
  <printOptions horizontalCentered="1" verticalCentered="1"/>
  <pageMargins left="0.2" right="0.2" top="0.39000000000000007" bottom="0.39000000000000007" header="0.51" footer="0.12000000000000001"/>
  <pageSetup paperSize="9" scale="10" fitToHeight="2" orientation="portrait" r:id="rId1"/>
  <headerFooter>
    <oddHeader>&amp;A</oddHeader>
    <oddFooter>&amp;L&amp;"Lucida Grande,Normal"&amp;10BP - Musicals&amp;C&amp;"Lucida Grande,Normal"Confidentiel&amp;R&amp;"Lucida Grande,Normal"&amp;10&amp;D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7"/>
  <sheetViews>
    <sheetView zoomScale="59" zoomScaleNormal="59" zoomScaleSheetLayoutView="75" workbookViewId="0">
      <pane ySplit="1" topLeftCell="A32" activePane="bottomLeft" state="frozen"/>
      <selection pane="bottomLeft" activeCell="E14" sqref="E14"/>
    </sheetView>
  </sheetViews>
  <sheetFormatPr baseColWidth="10" defaultColWidth="11.5546875" defaultRowHeight="18"/>
  <cols>
    <col min="1" max="1" width="31.21875" style="1" customWidth="1"/>
    <col min="2" max="2" width="14.33203125" style="1" customWidth="1"/>
    <col min="3" max="3" width="8" style="1" customWidth="1"/>
    <col min="4" max="4" width="61.44140625" style="1" customWidth="1"/>
    <col min="5" max="5" width="26.6640625" style="5" customWidth="1"/>
    <col min="6" max="6" width="18.33203125" style="6" customWidth="1"/>
    <col min="7" max="7" width="18.109375" style="1" bestFit="1" customWidth="1"/>
    <col min="8" max="8" width="18.44140625" style="1" customWidth="1"/>
    <col min="9" max="9" width="21.21875" style="1" customWidth="1"/>
    <col min="10" max="10" width="17.88671875" style="5" customWidth="1"/>
    <col min="11" max="11" width="25.33203125" style="5" bestFit="1" customWidth="1"/>
    <col min="12" max="12" width="18.21875" style="5" customWidth="1"/>
    <col min="13" max="13" width="17.5546875" style="52" bestFit="1" customWidth="1"/>
    <col min="14" max="14" width="17.5546875" style="35" customWidth="1"/>
    <col min="15" max="15" width="15.77734375" style="5" customWidth="1"/>
    <col min="16" max="16" width="11.6640625" style="1" bestFit="1" customWidth="1"/>
    <col min="17" max="17" width="6" style="1" bestFit="1" customWidth="1"/>
    <col min="18" max="16384" width="11.5546875" style="1"/>
  </cols>
  <sheetData>
    <row r="1" spans="1:15" s="3" customFormat="1" ht="21.75" thickTop="1">
      <c r="A1" s="11" t="s">
        <v>1</v>
      </c>
      <c r="B1" s="11" t="s">
        <v>8</v>
      </c>
      <c r="C1" s="11" t="s">
        <v>11</v>
      </c>
      <c r="D1" s="11" t="s">
        <v>422</v>
      </c>
      <c r="E1" s="12" t="s">
        <v>0</v>
      </c>
      <c r="F1" s="36" t="s">
        <v>25</v>
      </c>
      <c r="G1" s="50" t="s">
        <v>15</v>
      </c>
      <c r="H1" s="50" t="s">
        <v>16</v>
      </c>
      <c r="I1" s="12" t="s">
        <v>5</v>
      </c>
      <c r="J1" s="76" t="s">
        <v>6</v>
      </c>
      <c r="K1" s="12" t="s">
        <v>4</v>
      </c>
      <c r="L1" s="12" t="s">
        <v>37</v>
      </c>
      <c r="M1" s="31" t="s">
        <v>35</v>
      </c>
      <c r="N1" s="31" t="s">
        <v>14</v>
      </c>
      <c r="O1" s="12" t="s">
        <v>12</v>
      </c>
    </row>
    <row r="2" spans="1:15" s="17" customFormat="1" ht="18" customHeight="1">
      <c r="A2" s="10" t="s">
        <v>420</v>
      </c>
      <c r="B2" s="10" t="s">
        <v>421</v>
      </c>
      <c r="C2" s="10"/>
      <c r="D2" s="10"/>
      <c r="E2" s="14"/>
      <c r="F2" s="37">
        <f>243.54*12</f>
        <v>2922.48</v>
      </c>
      <c r="G2" s="46"/>
      <c r="H2" s="46"/>
      <c r="I2" s="14"/>
      <c r="J2" s="14"/>
      <c r="K2" s="14"/>
      <c r="L2" s="14"/>
      <c r="M2" s="14"/>
      <c r="N2" s="14"/>
      <c r="O2" s="14"/>
    </row>
    <row r="3" spans="1:15" s="4" customFormat="1" ht="18" customHeight="1">
      <c r="A3" s="9" t="str">
        <f>+A2</f>
        <v>3- Achats</v>
      </c>
      <c r="B3" s="21" t="s">
        <v>421</v>
      </c>
      <c r="C3" s="21"/>
      <c r="D3" s="61">
        <v>4112015</v>
      </c>
      <c r="E3" s="61" t="str">
        <f>+B3</f>
        <v>ALDO TOHME</v>
      </c>
      <c r="F3" s="43"/>
      <c r="G3" s="56">
        <v>1015</v>
      </c>
      <c r="H3" s="47">
        <f>+G3</f>
        <v>1015</v>
      </c>
      <c r="I3" s="39" t="s">
        <v>21</v>
      </c>
      <c r="J3" s="77"/>
      <c r="K3" s="79">
        <v>42431</v>
      </c>
      <c r="L3" s="19" t="s">
        <v>267</v>
      </c>
      <c r="M3" s="78">
        <f>+WEEKNUM(K3,2)</f>
        <v>10</v>
      </c>
      <c r="N3" s="33" t="s">
        <v>36</v>
      </c>
      <c r="O3" s="20">
        <v>42338</v>
      </c>
    </row>
    <row r="4" spans="1:15" s="4" customFormat="1" ht="18" customHeight="1">
      <c r="A4" s="9" t="str">
        <f>+A3</f>
        <v>3- Achats</v>
      </c>
      <c r="B4" s="21" t="str">
        <f t="shared" ref="B4" si="0">+B3</f>
        <v>ALDO TOHME</v>
      </c>
      <c r="C4" s="21"/>
      <c r="D4" s="61">
        <v>4122015</v>
      </c>
      <c r="E4" s="61" t="str">
        <f t="shared" ref="E4:E78" si="1">+B4</f>
        <v>ALDO TOHME</v>
      </c>
      <c r="F4" s="43"/>
      <c r="G4" s="56">
        <v>2018</v>
      </c>
      <c r="H4" s="47">
        <f>+G4</f>
        <v>2018</v>
      </c>
      <c r="I4" s="39" t="s">
        <v>21</v>
      </c>
      <c r="J4" s="77"/>
      <c r="K4" s="79">
        <v>42442</v>
      </c>
      <c r="L4" s="19" t="s">
        <v>267</v>
      </c>
      <c r="M4" s="78">
        <f t="shared" ref="M4:M63" si="2">+WEEKNUM(K4,2)</f>
        <v>11</v>
      </c>
      <c r="N4" s="33" t="s">
        <v>36</v>
      </c>
      <c r="O4" s="20">
        <v>42369</v>
      </c>
    </row>
    <row r="5" spans="1:15" s="4" customFormat="1" ht="18" customHeight="1">
      <c r="A5" s="10" t="s">
        <v>420</v>
      </c>
      <c r="B5" s="10" t="s">
        <v>423</v>
      </c>
      <c r="C5" s="10"/>
      <c r="D5" s="10"/>
      <c r="E5" s="14"/>
      <c r="F5" s="37"/>
      <c r="G5" s="46"/>
      <c r="H5" s="46"/>
      <c r="I5" s="14"/>
      <c r="J5" s="14"/>
      <c r="K5" s="14"/>
      <c r="L5" s="14"/>
      <c r="M5" s="14"/>
      <c r="N5" s="14"/>
      <c r="O5" s="14"/>
    </row>
    <row r="6" spans="1:15" s="4" customFormat="1" ht="18" customHeight="1">
      <c r="A6" s="9" t="str">
        <f>+A4</f>
        <v>3- Achats</v>
      </c>
      <c r="B6" s="21" t="s">
        <v>423</v>
      </c>
      <c r="C6" s="21"/>
      <c r="D6" s="61">
        <v>44574</v>
      </c>
      <c r="E6" s="61" t="str">
        <f t="shared" si="1"/>
        <v>ALPHABIO</v>
      </c>
      <c r="F6" s="43"/>
      <c r="G6" s="56">
        <v>66.5</v>
      </c>
      <c r="H6" s="47">
        <f>+G6</f>
        <v>66.5</v>
      </c>
      <c r="I6" s="39" t="s">
        <v>21</v>
      </c>
      <c r="J6" s="77"/>
      <c r="K6" s="79">
        <v>42388</v>
      </c>
      <c r="L6" s="19" t="s">
        <v>267</v>
      </c>
      <c r="M6" s="78">
        <f t="shared" si="2"/>
        <v>4</v>
      </c>
      <c r="N6" s="33" t="s">
        <v>36</v>
      </c>
      <c r="O6" s="20">
        <v>42067</v>
      </c>
    </row>
    <row r="7" spans="1:15" s="4" customFormat="1" ht="18" customHeight="1">
      <c r="A7" s="9" t="str">
        <f t="shared" ref="A7:A44" si="3">+A6</f>
        <v>3- Achats</v>
      </c>
      <c r="B7" s="21" t="s">
        <v>423</v>
      </c>
      <c r="C7" s="21"/>
      <c r="D7" s="61">
        <v>45254</v>
      </c>
      <c r="E7" s="61" t="str">
        <f t="shared" si="1"/>
        <v>ALPHABIO</v>
      </c>
      <c r="F7" s="43"/>
      <c r="G7" s="56">
        <v>414.62</v>
      </c>
      <c r="H7" s="47">
        <f t="shared" ref="H7:H79" si="4">+G7</f>
        <v>414.62</v>
      </c>
      <c r="I7" s="39" t="s">
        <v>21</v>
      </c>
      <c r="J7" s="77"/>
      <c r="K7" s="79">
        <v>42388</v>
      </c>
      <c r="L7" s="19" t="s">
        <v>267</v>
      </c>
      <c r="M7" s="78">
        <f t="shared" si="2"/>
        <v>4</v>
      </c>
      <c r="N7" s="33" t="s">
        <v>36</v>
      </c>
      <c r="O7" s="20">
        <v>42082</v>
      </c>
    </row>
    <row r="8" spans="1:15" s="4" customFormat="1" ht="18" customHeight="1">
      <c r="A8" s="9" t="str">
        <f t="shared" si="3"/>
        <v>3- Achats</v>
      </c>
      <c r="B8" s="21" t="s">
        <v>423</v>
      </c>
      <c r="C8" s="21"/>
      <c r="D8" s="61">
        <v>45232</v>
      </c>
      <c r="E8" s="61" t="str">
        <f t="shared" si="1"/>
        <v>ALPHABIO</v>
      </c>
      <c r="F8" s="43"/>
      <c r="G8" s="56">
        <v>252.82</v>
      </c>
      <c r="H8" s="47">
        <f t="shared" si="4"/>
        <v>252.82</v>
      </c>
      <c r="I8" s="39" t="s">
        <v>21</v>
      </c>
      <c r="J8" s="77"/>
      <c r="K8" s="79">
        <v>42388</v>
      </c>
      <c r="L8" s="19" t="s">
        <v>267</v>
      </c>
      <c r="M8" s="78">
        <f t="shared" si="2"/>
        <v>4</v>
      </c>
      <c r="N8" s="33" t="s">
        <v>36</v>
      </c>
      <c r="O8" s="20">
        <v>42082</v>
      </c>
    </row>
    <row r="9" spans="1:15" s="4" customFormat="1" ht="18" customHeight="1">
      <c r="A9" s="9" t="str">
        <f t="shared" si="3"/>
        <v>3- Achats</v>
      </c>
      <c r="B9" s="21" t="s">
        <v>423</v>
      </c>
      <c r="C9" s="21"/>
      <c r="D9" s="61">
        <v>45558</v>
      </c>
      <c r="E9" s="61" t="str">
        <f t="shared" si="1"/>
        <v>ALPHABIO</v>
      </c>
      <c r="F9" s="43"/>
      <c r="G9" s="56">
        <v>163.77000000000001</v>
      </c>
      <c r="H9" s="47">
        <f t="shared" si="4"/>
        <v>163.77000000000001</v>
      </c>
      <c r="I9" s="39" t="s">
        <v>21</v>
      </c>
      <c r="J9" s="77"/>
      <c r="K9" s="79">
        <v>42388</v>
      </c>
      <c r="L9" s="19" t="s">
        <v>267</v>
      </c>
      <c r="M9" s="78">
        <f t="shared" si="2"/>
        <v>4</v>
      </c>
      <c r="N9" s="33" t="s">
        <v>36</v>
      </c>
      <c r="O9" s="20">
        <v>42089</v>
      </c>
    </row>
    <row r="10" spans="1:15" s="4" customFormat="1" ht="18" customHeight="1">
      <c r="A10" s="9" t="str">
        <f t="shared" si="3"/>
        <v>3- Achats</v>
      </c>
      <c r="B10" s="21" t="s">
        <v>423</v>
      </c>
      <c r="C10" s="21"/>
      <c r="D10" s="61">
        <v>45869</v>
      </c>
      <c r="E10" s="61" t="str">
        <f t="shared" si="1"/>
        <v>ALPHABIO</v>
      </c>
      <c r="F10" s="43"/>
      <c r="G10" s="56">
        <v>89.1</v>
      </c>
      <c r="H10" s="47">
        <f t="shared" si="4"/>
        <v>89.1</v>
      </c>
      <c r="I10" s="39" t="s">
        <v>21</v>
      </c>
      <c r="J10" s="77"/>
      <c r="K10" s="79">
        <v>42388</v>
      </c>
      <c r="L10" s="19" t="s">
        <v>267</v>
      </c>
      <c r="M10" s="78">
        <f t="shared" si="2"/>
        <v>4</v>
      </c>
      <c r="N10" s="33" t="s">
        <v>36</v>
      </c>
      <c r="O10" s="20">
        <v>42097</v>
      </c>
    </row>
    <row r="11" spans="1:15" s="4" customFormat="1" ht="18" customHeight="1">
      <c r="A11" s="9" t="str">
        <f t="shared" si="3"/>
        <v>3- Achats</v>
      </c>
      <c r="B11" s="21" t="s">
        <v>423</v>
      </c>
      <c r="C11" s="21"/>
      <c r="D11" s="61">
        <v>46211</v>
      </c>
      <c r="E11" s="61" t="str">
        <f t="shared" si="1"/>
        <v>ALPHABIO</v>
      </c>
      <c r="F11" s="43"/>
      <c r="G11" s="56">
        <v>66.63</v>
      </c>
      <c r="H11" s="47">
        <f t="shared" si="4"/>
        <v>66.63</v>
      </c>
      <c r="I11" s="39" t="s">
        <v>21</v>
      </c>
      <c r="J11" s="77"/>
      <c r="K11" s="79">
        <v>42388</v>
      </c>
      <c r="L11" s="19" t="s">
        <v>267</v>
      </c>
      <c r="M11" s="78">
        <f t="shared" si="2"/>
        <v>4</v>
      </c>
      <c r="N11" s="33" t="s">
        <v>36</v>
      </c>
      <c r="O11" s="16">
        <v>42108</v>
      </c>
    </row>
    <row r="12" spans="1:15" s="4" customFormat="1" ht="18" customHeight="1">
      <c r="A12" s="9" t="str">
        <f t="shared" si="3"/>
        <v>3- Achats</v>
      </c>
      <c r="B12" s="21" t="s">
        <v>423</v>
      </c>
      <c r="C12" s="21"/>
      <c r="D12" s="61">
        <v>46792</v>
      </c>
      <c r="E12" s="61" t="str">
        <f t="shared" si="1"/>
        <v>ALPHABIO</v>
      </c>
      <c r="F12" s="43"/>
      <c r="G12" s="56">
        <v>160.52000000000001</v>
      </c>
      <c r="H12" s="47">
        <f t="shared" si="4"/>
        <v>160.52000000000001</v>
      </c>
      <c r="I12" s="39" t="s">
        <v>21</v>
      </c>
      <c r="J12" s="77"/>
      <c r="K12" s="79">
        <v>42388</v>
      </c>
      <c r="L12" s="19" t="s">
        <v>267</v>
      </c>
      <c r="M12" s="78">
        <f t="shared" si="2"/>
        <v>4</v>
      </c>
      <c r="N12" s="33" t="s">
        <v>36</v>
      </c>
      <c r="O12" s="16">
        <v>42121</v>
      </c>
    </row>
    <row r="13" spans="1:15" s="4" customFormat="1" ht="18" customHeight="1">
      <c r="A13" s="9" t="str">
        <f t="shared" si="3"/>
        <v>3- Achats</v>
      </c>
      <c r="B13" s="21" t="s">
        <v>423</v>
      </c>
      <c r="C13" s="21"/>
      <c r="D13" s="61">
        <v>47219</v>
      </c>
      <c r="E13" s="61" t="str">
        <f t="shared" si="1"/>
        <v>ALPHABIO</v>
      </c>
      <c r="F13" s="43"/>
      <c r="G13" s="56">
        <v>66.63</v>
      </c>
      <c r="H13" s="47">
        <f t="shared" si="4"/>
        <v>66.63</v>
      </c>
      <c r="I13" s="39" t="s">
        <v>21</v>
      </c>
      <c r="J13" s="77"/>
      <c r="K13" s="79">
        <v>42419</v>
      </c>
      <c r="L13" s="19" t="s">
        <v>267</v>
      </c>
      <c r="M13" s="78">
        <f t="shared" si="2"/>
        <v>8</v>
      </c>
      <c r="N13" s="33" t="s">
        <v>36</v>
      </c>
      <c r="O13" s="20">
        <v>42135</v>
      </c>
    </row>
    <row r="14" spans="1:15" s="4" customFormat="1" ht="18" customHeight="1">
      <c r="A14" s="9" t="str">
        <f t="shared" si="3"/>
        <v>3- Achats</v>
      </c>
      <c r="B14" s="21" t="s">
        <v>423</v>
      </c>
      <c r="C14" s="21"/>
      <c r="D14" s="61">
        <v>47326</v>
      </c>
      <c r="E14" s="61" t="str">
        <f t="shared" si="1"/>
        <v>ALPHABIO</v>
      </c>
      <c r="F14" s="43"/>
      <c r="G14" s="56">
        <v>120.96</v>
      </c>
      <c r="H14" s="47">
        <f t="shared" si="4"/>
        <v>120.96</v>
      </c>
      <c r="I14" s="39" t="s">
        <v>21</v>
      </c>
      <c r="J14" s="77"/>
      <c r="K14" s="79">
        <v>42419</v>
      </c>
      <c r="L14" s="19" t="s">
        <v>267</v>
      </c>
      <c r="M14" s="78">
        <f t="shared" si="2"/>
        <v>8</v>
      </c>
      <c r="N14" s="33" t="s">
        <v>36</v>
      </c>
      <c r="O14" s="20">
        <v>42136</v>
      </c>
    </row>
    <row r="15" spans="1:15" s="4" customFormat="1" ht="18" customHeight="1">
      <c r="A15" s="9" t="str">
        <f t="shared" si="3"/>
        <v>3- Achats</v>
      </c>
      <c r="B15" s="21" t="s">
        <v>423</v>
      </c>
      <c r="C15" s="21"/>
      <c r="D15" s="61">
        <v>47805</v>
      </c>
      <c r="E15" s="61" t="str">
        <f t="shared" si="1"/>
        <v>ALPHABIO</v>
      </c>
      <c r="F15" s="43"/>
      <c r="G15" s="56">
        <v>280.52</v>
      </c>
      <c r="H15" s="47">
        <f t="shared" si="4"/>
        <v>280.52</v>
      </c>
      <c r="I15" s="39" t="s">
        <v>21</v>
      </c>
      <c r="J15" s="77"/>
      <c r="K15" s="79">
        <v>42419</v>
      </c>
      <c r="L15" s="19" t="s">
        <v>267</v>
      </c>
      <c r="M15" s="78">
        <f t="shared" si="2"/>
        <v>8</v>
      </c>
      <c r="N15" s="33" t="s">
        <v>36</v>
      </c>
      <c r="O15" s="20">
        <v>42150</v>
      </c>
    </row>
    <row r="16" spans="1:15" s="17" customFormat="1" ht="18" customHeight="1">
      <c r="A16" s="9" t="str">
        <f t="shared" si="3"/>
        <v>3- Achats</v>
      </c>
      <c r="B16" s="21" t="s">
        <v>423</v>
      </c>
      <c r="C16" s="21"/>
      <c r="D16" s="61">
        <v>48299</v>
      </c>
      <c r="E16" s="61" t="str">
        <f t="shared" si="1"/>
        <v>ALPHABIO</v>
      </c>
      <c r="F16" s="43"/>
      <c r="G16" s="56">
        <v>121.22</v>
      </c>
      <c r="H16" s="47">
        <f t="shared" si="4"/>
        <v>121.22</v>
      </c>
      <c r="I16" s="39" t="s">
        <v>21</v>
      </c>
      <c r="J16" s="77"/>
      <c r="K16" s="79">
        <v>42419</v>
      </c>
      <c r="L16" s="19" t="s">
        <v>267</v>
      </c>
      <c r="M16" s="78">
        <f t="shared" si="2"/>
        <v>8</v>
      </c>
      <c r="N16" s="33" t="s">
        <v>36</v>
      </c>
      <c r="O16" s="20">
        <v>42163</v>
      </c>
    </row>
    <row r="17" spans="1:15" s="17" customFormat="1" ht="18" customHeight="1">
      <c r="A17" s="9" t="str">
        <f t="shared" si="3"/>
        <v>3- Achats</v>
      </c>
      <c r="B17" s="21" t="s">
        <v>423</v>
      </c>
      <c r="C17" s="21"/>
      <c r="D17" s="61">
        <v>48571</v>
      </c>
      <c r="E17" s="61" t="str">
        <f t="shared" si="1"/>
        <v>ALPHABIO</v>
      </c>
      <c r="F17" s="43"/>
      <c r="G17" s="56">
        <v>88.84</v>
      </c>
      <c r="H17" s="47">
        <f t="shared" si="4"/>
        <v>88.84</v>
      </c>
      <c r="I17" s="39" t="s">
        <v>21</v>
      </c>
      <c r="J17" s="77"/>
      <c r="K17" s="79">
        <v>42419</v>
      </c>
      <c r="L17" s="19" t="s">
        <v>267</v>
      </c>
      <c r="M17" s="78">
        <f t="shared" si="2"/>
        <v>8</v>
      </c>
      <c r="N17" s="33" t="s">
        <v>36</v>
      </c>
      <c r="O17" s="20">
        <v>42167</v>
      </c>
    </row>
    <row r="18" spans="1:15" s="17" customFormat="1" ht="18" customHeight="1">
      <c r="A18" s="9" t="str">
        <f t="shared" si="3"/>
        <v>3- Achats</v>
      </c>
      <c r="B18" s="21" t="s">
        <v>423</v>
      </c>
      <c r="C18" s="21"/>
      <c r="D18" s="61">
        <v>48597</v>
      </c>
      <c r="E18" s="61" t="str">
        <f t="shared" si="1"/>
        <v>ALPHABIO</v>
      </c>
      <c r="F18" s="43"/>
      <c r="G18" s="56">
        <v>290.72000000000003</v>
      </c>
      <c r="H18" s="47">
        <f t="shared" si="4"/>
        <v>290.72000000000003</v>
      </c>
      <c r="I18" s="39" t="s">
        <v>21</v>
      </c>
      <c r="J18" s="77"/>
      <c r="K18" s="79">
        <v>42419</v>
      </c>
      <c r="L18" s="19" t="s">
        <v>267</v>
      </c>
      <c r="M18" s="78">
        <f t="shared" si="2"/>
        <v>8</v>
      </c>
      <c r="N18" s="33" t="s">
        <v>36</v>
      </c>
      <c r="O18" s="20">
        <v>42167</v>
      </c>
    </row>
    <row r="19" spans="1:15" s="17" customFormat="1" ht="18" customHeight="1">
      <c r="A19" s="9" t="str">
        <f t="shared" si="3"/>
        <v>3- Achats</v>
      </c>
      <c r="B19" s="21" t="s">
        <v>423</v>
      </c>
      <c r="C19" s="21"/>
      <c r="D19" s="61">
        <v>48598</v>
      </c>
      <c r="E19" s="61" t="str">
        <f t="shared" si="1"/>
        <v>ALPHABIO</v>
      </c>
      <c r="F19" s="43"/>
      <c r="G19" s="56">
        <v>888.6</v>
      </c>
      <c r="H19" s="47">
        <f t="shared" si="4"/>
        <v>888.6</v>
      </c>
      <c r="I19" s="39" t="s">
        <v>21</v>
      </c>
      <c r="J19" s="77"/>
      <c r="K19" s="79">
        <v>42448</v>
      </c>
      <c r="L19" s="19" t="s">
        <v>267</v>
      </c>
      <c r="M19" s="78">
        <f t="shared" si="2"/>
        <v>12</v>
      </c>
      <c r="N19" s="33" t="s">
        <v>36</v>
      </c>
      <c r="O19" s="20">
        <v>42167</v>
      </c>
    </row>
    <row r="20" spans="1:15" s="17" customFormat="1" ht="18" customHeight="1">
      <c r="A20" s="9" t="str">
        <f t="shared" si="3"/>
        <v>3- Achats</v>
      </c>
      <c r="B20" s="21" t="s">
        <v>423</v>
      </c>
      <c r="C20" s="21"/>
      <c r="D20" s="61">
        <v>48963</v>
      </c>
      <c r="E20" s="61" t="str">
        <f t="shared" si="1"/>
        <v>ALPHABIO</v>
      </c>
      <c r="F20" s="43"/>
      <c r="G20" s="56">
        <v>235.22</v>
      </c>
      <c r="H20" s="47">
        <f t="shared" si="4"/>
        <v>235.22</v>
      </c>
      <c r="I20" s="39" t="s">
        <v>21</v>
      </c>
      <c r="J20" s="77"/>
      <c r="K20" s="79">
        <v>42448</v>
      </c>
      <c r="L20" s="19" t="s">
        <v>267</v>
      </c>
      <c r="M20" s="78">
        <f t="shared" si="2"/>
        <v>12</v>
      </c>
      <c r="N20" s="33" t="s">
        <v>36</v>
      </c>
      <c r="O20" s="20">
        <v>42177</v>
      </c>
    </row>
    <row r="21" spans="1:15" s="17" customFormat="1" ht="18" customHeight="1">
      <c r="A21" s="9" t="str">
        <f t="shared" si="3"/>
        <v>3- Achats</v>
      </c>
      <c r="B21" s="21" t="s">
        <v>423</v>
      </c>
      <c r="C21" s="21"/>
      <c r="D21" s="61">
        <v>49430</v>
      </c>
      <c r="E21" s="61" t="str">
        <f t="shared" si="1"/>
        <v>ALPHABIO</v>
      </c>
      <c r="F21" s="43"/>
      <c r="G21" s="56">
        <v>114.66</v>
      </c>
      <c r="H21" s="47">
        <f t="shared" si="4"/>
        <v>114.66</v>
      </c>
      <c r="I21" s="80"/>
      <c r="J21" s="77" t="s">
        <v>22</v>
      </c>
      <c r="K21" s="79">
        <v>42479</v>
      </c>
      <c r="L21" s="19" t="s">
        <v>267</v>
      </c>
      <c r="M21" s="78">
        <f t="shared" si="2"/>
        <v>17</v>
      </c>
      <c r="N21" s="33" t="s">
        <v>36</v>
      </c>
      <c r="O21" s="20">
        <v>42186</v>
      </c>
    </row>
    <row r="22" spans="1:15" s="17" customFormat="1" ht="18" customHeight="1">
      <c r="A22" s="9" t="str">
        <f t="shared" si="3"/>
        <v>3- Achats</v>
      </c>
      <c r="B22" s="21" t="s">
        <v>423</v>
      </c>
      <c r="C22" s="21"/>
      <c r="D22" s="61">
        <v>49706</v>
      </c>
      <c r="E22" s="61" t="str">
        <f t="shared" si="1"/>
        <v>ALPHABIO</v>
      </c>
      <c r="F22" s="43"/>
      <c r="G22" s="56">
        <v>82.56</v>
      </c>
      <c r="H22" s="47">
        <f t="shared" si="4"/>
        <v>82.56</v>
      </c>
      <c r="I22" s="80"/>
      <c r="J22" s="77" t="s">
        <v>22</v>
      </c>
      <c r="K22" s="79">
        <v>42479</v>
      </c>
      <c r="L22" s="19" t="s">
        <v>267</v>
      </c>
      <c r="M22" s="78">
        <f t="shared" si="2"/>
        <v>17</v>
      </c>
      <c r="N22" s="33" t="s">
        <v>36</v>
      </c>
      <c r="O22" s="20">
        <v>42194</v>
      </c>
    </row>
    <row r="23" spans="1:15" s="17" customFormat="1" ht="18" customHeight="1">
      <c r="A23" s="9" t="str">
        <f t="shared" si="3"/>
        <v>3- Achats</v>
      </c>
      <c r="B23" s="21" t="s">
        <v>423</v>
      </c>
      <c r="C23" s="21"/>
      <c r="D23" s="61">
        <v>49934</v>
      </c>
      <c r="E23" s="61" t="str">
        <f t="shared" si="1"/>
        <v>ALPHABIO</v>
      </c>
      <c r="F23" s="43"/>
      <c r="G23" s="56">
        <v>102.62</v>
      </c>
      <c r="H23" s="47">
        <f t="shared" si="4"/>
        <v>102.62</v>
      </c>
      <c r="I23" s="80"/>
      <c r="J23" s="77" t="s">
        <v>22</v>
      </c>
      <c r="K23" s="79">
        <v>42479</v>
      </c>
      <c r="L23" s="19" t="s">
        <v>267</v>
      </c>
      <c r="M23" s="78">
        <f t="shared" si="2"/>
        <v>17</v>
      </c>
      <c r="N23" s="33" t="s">
        <v>36</v>
      </c>
      <c r="O23" s="20">
        <v>42198</v>
      </c>
    </row>
    <row r="24" spans="1:15" s="17" customFormat="1" ht="18" customHeight="1">
      <c r="A24" s="9" t="str">
        <f t="shared" si="3"/>
        <v>3- Achats</v>
      </c>
      <c r="B24" s="21" t="s">
        <v>423</v>
      </c>
      <c r="C24" s="21"/>
      <c r="D24" s="61">
        <v>50028</v>
      </c>
      <c r="E24" s="61" t="str">
        <f t="shared" si="1"/>
        <v>ALPHABIO</v>
      </c>
      <c r="F24" s="43"/>
      <c r="G24" s="56">
        <v>128.04</v>
      </c>
      <c r="H24" s="47">
        <f t="shared" si="4"/>
        <v>128.04</v>
      </c>
      <c r="I24" s="80"/>
      <c r="J24" s="77" t="s">
        <v>22</v>
      </c>
      <c r="K24" s="79">
        <v>42479</v>
      </c>
      <c r="L24" s="19" t="s">
        <v>267</v>
      </c>
      <c r="M24" s="78">
        <f t="shared" si="2"/>
        <v>17</v>
      </c>
      <c r="N24" s="33" t="s">
        <v>36</v>
      </c>
      <c r="O24" s="20">
        <v>42201</v>
      </c>
    </row>
    <row r="25" spans="1:15" s="17" customFormat="1" ht="18" customHeight="1">
      <c r="A25" s="9" t="str">
        <f t="shared" si="3"/>
        <v>3- Achats</v>
      </c>
      <c r="B25" s="21" t="s">
        <v>423</v>
      </c>
      <c r="C25" s="21"/>
      <c r="D25" s="61">
        <v>50138</v>
      </c>
      <c r="E25" s="61" t="str">
        <f t="shared" si="1"/>
        <v>ALPHABIO</v>
      </c>
      <c r="F25" s="43"/>
      <c r="G25" s="56">
        <v>88.84</v>
      </c>
      <c r="H25" s="47">
        <f t="shared" si="4"/>
        <v>88.84</v>
      </c>
      <c r="I25" s="80"/>
      <c r="J25" s="77" t="s">
        <v>22</v>
      </c>
      <c r="K25" s="79">
        <v>42479</v>
      </c>
      <c r="L25" s="19" t="s">
        <v>267</v>
      </c>
      <c r="M25" s="78">
        <f t="shared" si="2"/>
        <v>17</v>
      </c>
      <c r="N25" s="33" t="s">
        <v>36</v>
      </c>
      <c r="O25" s="20">
        <v>42205</v>
      </c>
    </row>
    <row r="26" spans="1:15" s="17" customFormat="1" ht="18" customHeight="1">
      <c r="A26" s="9" t="str">
        <f t="shared" si="3"/>
        <v>3- Achats</v>
      </c>
      <c r="B26" s="21" t="s">
        <v>423</v>
      </c>
      <c r="C26" s="21"/>
      <c r="D26" s="61">
        <v>50238</v>
      </c>
      <c r="E26" s="61" t="str">
        <f t="shared" si="1"/>
        <v>ALPHABIO</v>
      </c>
      <c r="F26" s="43"/>
      <c r="G26" s="56">
        <v>50.44</v>
      </c>
      <c r="H26" s="47">
        <f t="shared" si="4"/>
        <v>50.44</v>
      </c>
      <c r="I26" s="80"/>
      <c r="J26" s="77" t="s">
        <v>22</v>
      </c>
      <c r="K26" s="79">
        <v>42479</v>
      </c>
      <c r="L26" s="19" t="s">
        <v>267</v>
      </c>
      <c r="M26" s="78">
        <f t="shared" si="2"/>
        <v>17</v>
      </c>
      <c r="N26" s="33" t="s">
        <v>36</v>
      </c>
      <c r="O26" s="20">
        <v>42206</v>
      </c>
    </row>
    <row r="27" spans="1:15" s="17" customFormat="1" ht="18" customHeight="1">
      <c r="A27" s="9" t="str">
        <f t="shared" si="3"/>
        <v>3- Achats</v>
      </c>
      <c r="B27" s="21" t="s">
        <v>423</v>
      </c>
      <c r="C27" s="21"/>
      <c r="D27" s="61">
        <v>50956</v>
      </c>
      <c r="E27" s="61" t="str">
        <f t="shared" si="1"/>
        <v>ALPHABIO</v>
      </c>
      <c r="F27" s="43"/>
      <c r="G27" s="56">
        <v>66.5</v>
      </c>
      <c r="H27" s="47">
        <f t="shared" si="4"/>
        <v>66.5</v>
      </c>
      <c r="I27" s="80"/>
      <c r="J27" s="77" t="s">
        <v>22</v>
      </c>
      <c r="K27" s="79">
        <v>42479</v>
      </c>
      <c r="L27" s="19" t="s">
        <v>267</v>
      </c>
      <c r="M27" s="78">
        <f t="shared" si="2"/>
        <v>17</v>
      </c>
      <c r="N27" s="33" t="s">
        <v>36</v>
      </c>
      <c r="O27" s="20">
        <v>42251</v>
      </c>
    </row>
    <row r="28" spans="1:15" s="17" customFormat="1" ht="18" customHeight="1">
      <c r="A28" s="9" t="str">
        <f t="shared" si="3"/>
        <v>3- Achats</v>
      </c>
      <c r="B28" s="21" t="s">
        <v>423</v>
      </c>
      <c r="C28" s="21"/>
      <c r="D28" s="61">
        <v>51562</v>
      </c>
      <c r="E28" s="61" t="str">
        <f t="shared" si="1"/>
        <v>ALPHABIO</v>
      </c>
      <c r="F28" s="43"/>
      <c r="G28" s="56">
        <v>282.83999999999997</v>
      </c>
      <c r="H28" s="47">
        <f t="shared" si="4"/>
        <v>282.83999999999997</v>
      </c>
      <c r="I28" s="80"/>
      <c r="J28" s="77" t="s">
        <v>22</v>
      </c>
      <c r="K28" s="79">
        <v>42479</v>
      </c>
      <c r="L28" s="19" t="s">
        <v>267</v>
      </c>
      <c r="M28" s="78">
        <f t="shared" si="2"/>
        <v>17</v>
      </c>
      <c r="N28" s="33" t="s">
        <v>36</v>
      </c>
      <c r="O28" s="20">
        <v>42264</v>
      </c>
    </row>
    <row r="29" spans="1:15" s="17" customFormat="1" ht="18" customHeight="1">
      <c r="A29" s="9" t="str">
        <f t="shared" si="3"/>
        <v>3- Achats</v>
      </c>
      <c r="B29" s="21" t="s">
        <v>423</v>
      </c>
      <c r="C29" s="21"/>
      <c r="D29" s="61">
        <v>52013</v>
      </c>
      <c r="E29" s="61" t="str">
        <f t="shared" si="1"/>
        <v>ALPHABIO</v>
      </c>
      <c r="F29" s="43"/>
      <c r="G29" s="56">
        <v>36.119999999999997</v>
      </c>
      <c r="H29" s="47">
        <f t="shared" si="4"/>
        <v>36.119999999999997</v>
      </c>
      <c r="I29" s="80"/>
      <c r="J29" s="77" t="s">
        <v>22</v>
      </c>
      <c r="K29" s="79">
        <v>42479</v>
      </c>
      <c r="L29" s="19" t="s">
        <v>267</v>
      </c>
      <c r="M29" s="78">
        <f t="shared" si="2"/>
        <v>17</v>
      </c>
      <c r="N29" s="33" t="s">
        <v>36</v>
      </c>
      <c r="O29" s="20">
        <v>42275</v>
      </c>
    </row>
    <row r="30" spans="1:15" s="17" customFormat="1" ht="18" customHeight="1">
      <c r="A30" s="9" t="str">
        <f t="shared" si="3"/>
        <v>3- Achats</v>
      </c>
      <c r="B30" s="21" t="s">
        <v>423</v>
      </c>
      <c r="C30" s="21"/>
      <c r="D30" s="61">
        <v>52042</v>
      </c>
      <c r="E30" s="61" t="str">
        <f t="shared" si="1"/>
        <v>ALPHABIO</v>
      </c>
      <c r="F30" s="43"/>
      <c r="G30" s="56">
        <v>92.3</v>
      </c>
      <c r="H30" s="47">
        <f t="shared" si="4"/>
        <v>92.3</v>
      </c>
      <c r="I30" s="80"/>
      <c r="J30" s="77" t="s">
        <v>22</v>
      </c>
      <c r="K30" s="79">
        <v>42479</v>
      </c>
      <c r="L30" s="19" t="s">
        <v>267</v>
      </c>
      <c r="M30" s="78">
        <f t="shared" si="2"/>
        <v>17</v>
      </c>
      <c r="N30" s="33" t="s">
        <v>36</v>
      </c>
      <c r="O30" s="20">
        <v>42276</v>
      </c>
    </row>
    <row r="31" spans="1:15" s="17" customFormat="1" ht="18" customHeight="1">
      <c r="A31" s="9" t="str">
        <f t="shared" si="3"/>
        <v>3- Achats</v>
      </c>
      <c r="B31" s="21" t="s">
        <v>423</v>
      </c>
      <c r="C31" s="21"/>
      <c r="D31" s="61">
        <v>52595</v>
      </c>
      <c r="E31" s="61" t="str">
        <f t="shared" si="1"/>
        <v>ALPHABIO</v>
      </c>
      <c r="F31" s="43"/>
      <c r="G31" s="56">
        <v>-228.76</v>
      </c>
      <c r="H31" s="47">
        <f t="shared" si="4"/>
        <v>-228.76</v>
      </c>
      <c r="I31" s="80"/>
      <c r="J31" s="77" t="s">
        <v>22</v>
      </c>
      <c r="K31" s="79">
        <v>42509</v>
      </c>
      <c r="L31" s="19" t="s">
        <v>267</v>
      </c>
      <c r="M31" s="78">
        <f t="shared" si="2"/>
        <v>21</v>
      </c>
      <c r="N31" s="33" t="s">
        <v>36</v>
      </c>
      <c r="O31" s="20">
        <v>42286</v>
      </c>
    </row>
    <row r="32" spans="1:15" s="17" customFormat="1" ht="18" customHeight="1">
      <c r="A32" s="9" t="str">
        <f t="shared" si="3"/>
        <v>3- Achats</v>
      </c>
      <c r="B32" s="21" t="s">
        <v>423</v>
      </c>
      <c r="C32" s="21"/>
      <c r="D32" s="61">
        <v>52605</v>
      </c>
      <c r="E32" s="61" t="str">
        <f t="shared" si="1"/>
        <v>ALPHABIO</v>
      </c>
      <c r="F32" s="43"/>
      <c r="G32" s="56">
        <v>384.26</v>
      </c>
      <c r="H32" s="47">
        <f t="shared" si="4"/>
        <v>384.26</v>
      </c>
      <c r="I32" s="80"/>
      <c r="J32" s="77" t="s">
        <v>22</v>
      </c>
      <c r="K32" s="79">
        <v>42509</v>
      </c>
      <c r="L32" s="19" t="s">
        <v>267</v>
      </c>
      <c r="M32" s="78">
        <f t="shared" si="2"/>
        <v>21</v>
      </c>
      <c r="N32" s="33" t="s">
        <v>36</v>
      </c>
      <c r="O32" s="20">
        <v>42289</v>
      </c>
    </row>
    <row r="33" spans="1:15" s="17" customFormat="1" ht="18" customHeight="1">
      <c r="A33" s="9" t="str">
        <f t="shared" si="3"/>
        <v>3- Achats</v>
      </c>
      <c r="B33" s="21" t="s">
        <v>423</v>
      </c>
      <c r="C33" s="21"/>
      <c r="D33" s="61">
        <v>52596</v>
      </c>
      <c r="E33" s="61" t="str">
        <f t="shared" si="1"/>
        <v>ALPHABIO</v>
      </c>
      <c r="F33" s="43"/>
      <c r="G33" s="56">
        <v>20.059999999999999</v>
      </c>
      <c r="H33" s="47">
        <f t="shared" si="4"/>
        <v>20.059999999999999</v>
      </c>
      <c r="I33" s="80"/>
      <c r="J33" s="77" t="s">
        <v>22</v>
      </c>
      <c r="K33" s="79">
        <v>42509</v>
      </c>
      <c r="L33" s="19" t="s">
        <v>267</v>
      </c>
      <c r="M33" s="78">
        <f t="shared" si="2"/>
        <v>21</v>
      </c>
      <c r="N33" s="33" t="s">
        <v>36</v>
      </c>
      <c r="O33" s="20">
        <v>42304</v>
      </c>
    </row>
    <row r="34" spans="1:15" s="4" customFormat="1" ht="18" customHeight="1">
      <c r="A34" s="9" t="str">
        <f t="shared" si="3"/>
        <v>3- Achats</v>
      </c>
      <c r="B34" s="21" t="s">
        <v>423</v>
      </c>
      <c r="C34" s="21"/>
      <c r="D34" s="61">
        <v>53850</v>
      </c>
      <c r="E34" s="61" t="str">
        <f t="shared" si="1"/>
        <v>ALPHABIO</v>
      </c>
      <c r="F34" s="43"/>
      <c r="G34" s="56">
        <v>90.3</v>
      </c>
      <c r="H34" s="47">
        <f t="shared" si="4"/>
        <v>90.3</v>
      </c>
      <c r="I34" s="80"/>
      <c r="J34" s="77" t="s">
        <v>22</v>
      </c>
      <c r="K34" s="79">
        <v>42509</v>
      </c>
      <c r="L34" s="19" t="s">
        <v>267</v>
      </c>
      <c r="M34" s="78">
        <f t="shared" si="2"/>
        <v>21</v>
      </c>
      <c r="N34" s="33" t="s">
        <v>36</v>
      </c>
      <c r="O34" s="20">
        <v>42313</v>
      </c>
    </row>
    <row r="35" spans="1:15" s="4" customFormat="1" ht="18" customHeight="1">
      <c r="A35" s="9" t="str">
        <f t="shared" si="3"/>
        <v>3- Achats</v>
      </c>
      <c r="B35" s="21" t="s">
        <v>423</v>
      </c>
      <c r="C35" s="21"/>
      <c r="D35" s="61">
        <v>54182</v>
      </c>
      <c r="E35" s="61" t="str">
        <f t="shared" si="1"/>
        <v>ALPHABIO</v>
      </c>
      <c r="F35" s="43"/>
      <c r="G35" s="56">
        <v>160.52000000000001</v>
      </c>
      <c r="H35" s="47">
        <f t="shared" si="4"/>
        <v>160.52000000000001</v>
      </c>
      <c r="I35" s="80"/>
      <c r="J35" s="77" t="s">
        <v>22</v>
      </c>
      <c r="K35" s="79">
        <v>42509</v>
      </c>
      <c r="L35" s="19" t="s">
        <v>267</v>
      </c>
      <c r="M35" s="78">
        <f t="shared" si="2"/>
        <v>21</v>
      </c>
      <c r="N35" s="33" t="s">
        <v>36</v>
      </c>
      <c r="O35" s="20">
        <v>42320</v>
      </c>
    </row>
    <row r="36" spans="1:15" s="4" customFormat="1" ht="18" customHeight="1">
      <c r="A36" s="9" t="str">
        <f t="shared" si="3"/>
        <v>3- Achats</v>
      </c>
      <c r="B36" s="21" t="s">
        <v>423</v>
      </c>
      <c r="C36" s="21"/>
      <c r="D36" s="61">
        <v>54567</v>
      </c>
      <c r="E36" s="61" t="str">
        <f t="shared" si="1"/>
        <v>ALPHABIO</v>
      </c>
      <c r="F36" s="43"/>
      <c r="G36" s="56">
        <v>160.52000000000001</v>
      </c>
      <c r="H36" s="47">
        <f t="shared" si="4"/>
        <v>160.52000000000001</v>
      </c>
      <c r="I36" s="80"/>
      <c r="J36" s="77" t="s">
        <v>22</v>
      </c>
      <c r="K36" s="79">
        <v>42509</v>
      </c>
      <c r="L36" s="19" t="s">
        <v>267</v>
      </c>
      <c r="M36" s="78">
        <f t="shared" si="2"/>
        <v>21</v>
      </c>
      <c r="N36" s="33" t="s">
        <v>36</v>
      </c>
      <c r="O36" s="20">
        <v>42328</v>
      </c>
    </row>
    <row r="37" spans="1:15" s="4" customFormat="1" ht="18" customHeight="1">
      <c r="A37" s="9" t="str">
        <f t="shared" si="3"/>
        <v>3- Achats</v>
      </c>
      <c r="B37" s="21" t="s">
        <v>423</v>
      </c>
      <c r="C37" s="21"/>
      <c r="D37" s="61">
        <v>54623</v>
      </c>
      <c r="E37" s="61" t="str">
        <f t="shared" si="1"/>
        <v>ALPHABIO</v>
      </c>
      <c r="F37" s="43"/>
      <c r="G37" s="56">
        <v>-160.52000000000001</v>
      </c>
      <c r="H37" s="47">
        <f t="shared" si="4"/>
        <v>-160.52000000000001</v>
      </c>
      <c r="I37" s="80"/>
      <c r="J37" s="77" t="s">
        <v>22</v>
      </c>
      <c r="K37" s="79">
        <v>42509</v>
      </c>
      <c r="L37" s="19" t="s">
        <v>267</v>
      </c>
      <c r="M37" s="78">
        <f t="shared" si="2"/>
        <v>21</v>
      </c>
      <c r="N37" s="33" t="s">
        <v>36</v>
      </c>
      <c r="O37" s="20">
        <v>42331</v>
      </c>
    </row>
    <row r="38" spans="1:15" s="4" customFormat="1" ht="18" customHeight="1">
      <c r="A38" s="9" t="str">
        <f t="shared" si="3"/>
        <v>3- Achats</v>
      </c>
      <c r="B38" s="21" t="s">
        <v>423</v>
      </c>
      <c r="C38" s="21"/>
      <c r="D38" s="61">
        <v>54948</v>
      </c>
      <c r="E38" s="61" t="str">
        <f t="shared" si="1"/>
        <v>ALPHABIO</v>
      </c>
      <c r="F38" s="43"/>
      <c r="G38" s="56">
        <v>16.059999999999999</v>
      </c>
      <c r="H38" s="47">
        <f t="shared" si="4"/>
        <v>16.059999999999999</v>
      </c>
      <c r="I38" s="80"/>
      <c r="J38" s="77" t="s">
        <v>22</v>
      </c>
      <c r="K38" s="79">
        <v>42509</v>
      </c>
      <c r="L38" s="19" t="s">
        <v>267</v>
      </c>
      <c r="M38" s="78">
        <f t="shared" si="2"/>
        <v>21</v>
      </c>
      <c r="N38" s="33" t="s">
        <v>36</v>
      </c>
      <c r="O38" s="20">
        <v>42338</v>
      </c>
    </row>
    <row r="39" spans="1:15" s="4" customFormat="1" ht="18" customHeight="1">
      <c r="A39" s="9" t="str">
        <f t="shared" si="3"/>
        <v>3- Achats</v>
      </c>
      <c r="B39" s="21" t="s">
        <v>423</v>
      </c>
      <c r="C39" s="21"/>
      <c r="D39" s="61">
        <v>55193</v>
      </c>
      <c r="E39" s="61" t="str">
        <f t="shared" si="1"/>
        <v>ALPHABIO</v>
      </c>
      <c r="F39" s="43"/>
      <c r="G39" s="56">
        <v>240.78</v>
      </c>
      <c r="H39" s="47">
        <f t="shared" si="4"/>
        <v>240.78</v>
      </c>
      <c r="I39" s="80"/>
      <c r="J39" s="77" t="s">
        <v>22</v>
      </c>
      <c r="K39" s="79">
        <v>42509</v>
      </c>
      <c r="L39" s="19" t="s">
        <v>267</v>
      </c>
      <c r="M39" s="78">
        <f t="shared" si="2"/>
        <v>21</v>
      </c>
      <c r="N39" s="33" t="s">
        <v>36</v>
      </c>
      <c r="O39" s="20">
        <v>42341</v>
      </c>
    </row>
    <row r="40" spans="1:15" s="4" customFormat="1" ht="18" customHeight="1">
      <c r="A40" s="9" t="str">
        <f t="shared" si="3"/>
        <v>3- Achats</v>
      </c>
      <c r="B40" s="21" t="s">
        <v>423</v>
      </c>
      <c r="C40" s="21"/>
      <c r="D40" s="61">
        <v>55430</v>
      </c>
      <c r="E40" s="61" t="str">
        <f t="shared" si="1"/>
        <v>ALPHABIO</v>
      </c>
      <c r="F40" s="43"/>
      <c r="G40" s="56">
        <v>80.040000000000006</v>
      </c>
      <c r="H40" s="47">
        <f t="shared" si="4"/>
        <v>80.040000000000006</v>
      </c>
      <c r="I40" s="80"/>
      <c r="J40" s="77" t="s">
        <v>22</v>
      </c>
      <c r="K40" s="79">
        <v>42509</v>
      </c>
      <c r="L40" s="19" t="s">
        <v>267</v>
      </c>
      <c r="M40" s="78">
        <f t="shared" si="2"/>
        <v>21</v>
      </c>
      <c r="N40" s="33" t="s">
        <v>36</v>
      </c>
      <c r="O40" s="20">
        <v>42347</v>
      </c>
    </row>
    <row r="41" spans="1:15" s="4" customFormat="1" ht="18" customHeight="1">
      <c r="A41" s="9" t="str">
        <f t="shared" si="3"/>
        <v>3- Achats</v>
      </c>
      <c r="B41" s="21" t="s">
        <v>423</v>
      </c>
      <c r="C41" s="21"/>
      <c r="D41" s="61">
        <v>55532</v>
      </c>
      <c r="E41" s="61" t="str">
        <f t="shared" si="1"/>
        <v>ALPHABIO</v>
      </c>
      <c r="F41" s="43"/>
      <c r="G41" s="56">
        <v>401.3</v>
      </c>
      <c r="H41" s="47">
        <f t="shared" si="4"/>
        <v>401.3</v>
      </c>
      <c r="I41" s="80"/>
      <c r="J41" s="77" t="s">
        <v>22</v>
      </c>
      <c r="K41" s="79">
        <v>42509</v>
      </c>
      <c r="L41" s="19" t="s">
        <v>267</v>
      </c>
      <c r="M41" s="78">
        <f t="shared" si="2"/>
        <v>21</v>
      </c>
      <c r="N41" s="33" t="s">
        <v>36</v>
      </c>
      <c r="O41" s="20">
        <v>42348</v>
      </c>
    </row>
    <row r="42" spans="1:15" s="4" customFormat="1" ht="18" customHeight="1">
      <c r="A42" s="9" t="str">
        <f t="shared" si="3"/>
        <v>3- Achats</v>
      </c>
      <c r="B42" s="21" t="s">
        <v>423</v>
      </c>
      <c r="C42" s="21"/>
      <c r="D42" s="61">
        <v>55908</v>
      </c>
      <c r="E42" s="61" t="str">
        <f t="shared" si="1"/>
        <v>ALPHABIO</v>
      </c>
      <c r="F42" s="43"/>
      <c r="G42" s="56">
        <v>180.6</v>
      </c>
      <c r="H42" s="47">
        <f t="shared" si="4"/>
        <v>180.6</v>
      </c>
      <c r="I42" s="80"/>
      <c r="J42" s="77" t="s">
        <v>22</v>
      </c>
      <c r="K42" s="79">
        <v>42509</v>
      </c>
      <c r="L42" s="19" t="s">
        <v>267</v>
      </c>
      <c r="M42" s="78">
        <f t="shared" si="2"/>
        <v>21</v>
      </c>
      <c r="N42" s="33" t="s">
        <v>36</v>
      </c>
      <c r="O42" s="20">
        <v>42356</v>
      </c>
    </row>
    <row r="43" spans="1:15" s="4" customFormat="1" ht="18" customHeight="1">
      <c r="A43" s="9" t="str">
        <f t="shared" si="3"/>
        <v>3- Achats</v>
      </c>
      <c r="B43" s="21" t="s">
        <v>423</v>
      </c>
      <c r="C43" s="21"/>
      <c r="D43" s="61">
        <v>57420</v>
      </c>
      <c r="E43" s="61" t="str">
        <f t="shared" si="1"/>
        <v>ALPHABIO</v>
      </c>
      <c r="F43" s="43"/>
      <c r="G43" s="56">
        <v>92.3</v>
      </c>
      <c r="H43" s="47">
        <f t="shared" si="4"/>
        <v>92.3</v>
      </c>
      <c r="I43" s="80"/>
      <c r="J43" s="77" t="s">
        <v>22</v>
      </c>
      <c r="K43" s="79">
        <v>42540</v>
      </c>
      <c r="L43" s="19" t="s">
        <v>267</v>
      </c>
      <c r="M43" s="78">
        <f t="shared" si="2"/>
        <v>25</v>
      </c>
      <c r="N43" s="33" t="s">
        <v>36</v>
      </c>
      <c r="O43" s="20">
        <v>42396</v>
      </c>
    </row>
    <row r="44" spans="1:15" s="4" customFormat="1" ht="18" customHeight="1">
      <c r="A44" s="9" t="str">
        <f t="shared" si="3"/>
        <v>3- Achats</v>
      </c>
      <c r="B44" s="21" t="s">
        <v>423</v>
      </c>
      <c r="C44" s="21"/>
      <c r="D44" s="61">
        <v>57807</v>
      </c>
      <c r="E44" s="61" t="str">
        <f t="shared" si="1"/>
        <v>ALPHABIO</v>
      </c>
      <c r="F44" s="43"/>
      <c r="G44" s="56">
        <v>446.46</v>
      </c>
      <c r="H44" s="47">
        <f t="shared" si="4"/>
        <v>446.46</v>
      </c>
      <c r="I44" s="80"/>
      <c r="J44" s="77" t="s">
        <v>22</v>
      </c>
      <c r="K44" s="79">
        <v>42540</v>
      </c>
      <c r="L44" s="19" t="s">
        <v>267</v>
      </c>
      <c r="M44" s="78">
        <f t="shared" si="2"/>
        <v>25</v>
      </c>
      <c r="N44" s="33" t="s">
        <v>36</v>
      </c>
      <c r="O44" s="20">
        <v>42404</v>
      </c>
    </row>
    <row r="45" spans="1:15" s="4" customFormat="1" ht="18" customHeight="1">
      <c r="A45" s="10" t="s">
        <v>420</v>
      </c>
      <c r="B45" s="10" t="s">
        <v>424</v>
      </c>
      <c r="C45" s="10"/>
      <c r="D45" s="10"/>
      <c r="E45" s="14"/>
      <c r="F45" s="37"/>
      <c r="G45" s="46"/>
      <c r="H45" s="46"/>
      <c r="I45" s="14"/>
      <c r="J45" s="14"/>
      <c r="K45" s="14"/>
      <c r="L45" s="14"/>
      <c r="M45" s="14"/>
      <c r="N45" s="14"/>
      <c r="O45" s="14"/>
    </row>
    <row r="46" spans="1:15" s="4" customFormat="1" ht="18" customHeight="1">
      <c r="A46" s="9" t="str">
        <f>+A44</f>
        <v>3- Achats</v>
      </c>
      <c r="B46" s="21" t="s">
        <v>424</v>
      </c>
      <c r="C46" s="21"/>
      <c r="D46" s="61">
        <v>6679</v>
      </c>
      <c r="E46" s="61" t="str">
        <f t="shared" si="1"/>
        <v>AB IMPLANTS</v>
      </c>
      <c r="F46" s="43"/>
      <c r="G46" s="56">
        <v>480</v>
      </c>
      <c r="H46" s="47">
        <f t="shared" si="4"/>
        <v>480</v>
      </c>
      <c r="I46" s="80"/>
      <c r="J46" s="77" t="s">
        <v>22</v>
      </c>
      <c r="K46" s="79"/>
      <c r="L46" s="19" t="s">
        <v>310</v>
      </c>
      <c r="M46" s="78">
        <f t="shared" si="2"/>
        <v>1</v>
      </c>
      <c r="N46" s="33" t="s">
        <v>36</v>
      </c>
      <c r="O46" s="20">
        <v>41912</v>
      </c>
    </row>
    <row r="47" spans="1:15" s="4" customFormat="1" ht="18" customHeight="1">
      <c r="A47" s="10" t="s">
        <v>420</v>
      </c>
      <c r="B47" s="10" t="s">
        <v>425</v>
      </c>
      <c r="C47" s="10"/>
      <c r="D47" s="10"/>
      <c r="E47" s="14"/>
      <c r="F47" s="37"/>
      <c r="G47" s="46"/>
      <c r="H47" s="46"/>
      <c r="I47" s="14"/>
      <c r="J47" s="14"/>
      <c r="K47" s="14"/>
      <c r="L47" s="14"/>
      <c r="M47" s="14"/>
      <c r="N47" s="14"/>
      <c r="O47" s="14"/>
    </row>
    <row r="48" spans="1:15" s="4" customFormat="1" ht="18" customHeight="1">
      <c r="A48" s="9" t="str">
        <f t="shared" ref="A48" si="5">+A46</f>
        <v>3- Achats</v>
      </c>
      <c r="B48" s="21" t="s">
        <v>425</v>
      </c>
      <c r="C48" s="21"/>
      <c r="D48" s="61">
        <v>201603595</v>
      </c>
      <c r="E48" s="61" t="str">
        <f t="shared" si="1"/>
        <v>BIOMET</v>
      </c>
      <c r="F48" s="43"/>
      <c r="G48" s="56">
        <v>58.8</v>
      </c>
      <c r="H48" s="47">
        <f t="shared" si="4"/>
        <v>58.8</v>
      </c>
      <c r="I48" s="39" t="s">
        <v>21</v>
      </c>
      <c r="J48" s="77"/>
      <c r="K48" s="79">
        <v>42387</v>
      </c>
      <c r="L48" s="19" t="s">
        <v>267</v>
      </c>
      <c r="M48" s="78">
        <f t="shared" si="2"/>
        <v>4</v>
      </c>
      <c r="N48" s="33" t="s">
        <v>36</v>
      </c>
      <c r="O48" s="20">
        <v>42191</v>
      </c>
    </row>
    <row r="49" spans="1:15" s="4" customFormat="1" ht="18" customHeight="1">
      <c r="A49" s="10" t="s">
        <v>420</v>
      </c>
      <c r="B49" s="10" t="s">
        <v>426</v>
      </c>
      <c r="C49" s="10"/>
      <c r="D49" s="10"/>
      <c r="E49" s="14"/>
      <c r="F49" s="37"/>
      <c r="G49" s="46"/>
      <c r="H49" s="46"/>
      <c r="I49" s="14"/>
      <c r="J49" s="14"/>
      <c r="K49" s="14"/>
      <c r="L49" s="14"/>
      <c r="M49" s="14"/>
      <c r="N49" s="14"/>
      <c r="O49" s="14"/>
    </row>
    <row r="50" spans="1:15" s="4" customFormat="1" ht="18" customHeight="1">
      <c r="A50" s="9" t="str">
        <f t="shared" ref="A50" si="6">+A48</f>
        <v>3- Achats</v>
      </c>
      <c r="B50" s="21" t="s">
        <v>426</v>
      </c>
      <c r="C50" s="21"/>
      <c r="D50" s="61" t="s">
        <v>427</v>
      </c>
      <c r="E50" s="61" t="str">
        <f t="shared" si="1"/>
        <v>CNOCD</v>
      </c>
      <c r="F50" s="43"/>
      <c r="G50" s="56">
        <v>417</v>
      </c>
      <c r="H50" s="47">
        <f t="shared" si="4"/>
        <v>417</v>
      </c>
      <c r="I50" s="80"/>
      <c r="J50" s="77" t="s">
        <v>22</v>
      </c>
      <c r="K50" s="79">
        <v>42460</v>
      </c>
      <c r="L50" s="19" t="s">
        <v>38</v>
      </c>
      <c r="M50" s="78">
        <f t="shared" si="2"/>
        <v>14</v>
      </c>
      <c r="N50" s="33" t="s">
        <v>36</v>
      </c>
      <c r="O50" s="20">
        <v>42377</v>
      </c>
    </row>
    <row r="51" spans="1:15" s="4" customFormat="1" ht="18" customHeight="1">
      <c r="A51" s="10" t="s">
        <v>420</v>
      </c>
      <c r="B51" s="10" t="s">
        <v>428</v>
      </c>
      <c r="C51" s="10"/>
      <c r="D51" s="10"/>
      <c r="E51" s="14"/>
      <c r="F51" s="37"/>
      <c r="G51" s="46"/>
      <c r="H51" s="46"/>
      <c r="I51" s="14"/>
      <c r="J51" s="14"/>
      <c r="K51" s="14"/>
      <c r="L51" s="14"/>
      <c r="M51" s="14"/>
      <c r="N51" s="14"/>
      <c r="O51" s="14"/>
    </row>
    <row r="52" spans="1:15" s="4" customFormat="1" ht="18" customHeight="1">
      <c r="A52" s="9" t="str">
        <f t="shared" ref="A52" si="7">+A50</f>
        <v>3- Achats</v>
      </c>
      <c r="B52" s="21" t="s">
        <v>428</v>
      </c>
      <c r="C52" s="21"/>
      <c r="D52" s="61">
        <v>15141428</v>
      </c>
      <c r="E52" s="61" t="str">
        <f t="shared" si="1"/>
        <v>GACD</v>
      </c>
      <c r="F52" s="43"/>
      <c r="G52" s="56">
        <v>129.65</v>
      </c>
      <c r="H52" s="47">
        <f t="shared" si="4"/>
        <v>129.65</v>
      </c>
      <c r="I52" s="39" t="s">
        <v>21</v>
      </c>
      <c r="J52" s="77"/>
      <c r="K52" s="79">
        <v>42384</v>
      </c>
      <c r="L52" s="19" t="s">
        <v>267</v>
      </c>
      <c r="M52" s="78">
        <f t="shared" si="2"/>
        <v>3</v>
      </c>
      <c r="N52" s="33" t="s">
        <v>36</v>
      </c>
      <c r="O52" s="20">
        <v>42250</v>
      </c>
    </row>
    <row r="53" spans="1:15" s="4" customFormat="1" ht="18" customHeight="1">
      <c r="A53" s="10" t="s">
        <v>420</v>
      </c>
      <c r="B53" s="10" t="s">
        <v>429</v>
      </c>
      <c r="C53" s="10"/>
      <c r="D53" s="10"/>
      <c r="E53" s="14"/>
      <c r="F53" s="37"/>
      <c r="G53" s="46"/>
      <c r="H53" s="46"/>
      <c r="I53" s="14"/>
      <c r="J53" s="14"/>
      <c r="K53" s="14"/>
      <c r="L53" s="14"/>
      <c r="M53" s="14"/>
      <c r="N53" s="14"/>
      <c r="O53" s="14"/>
    </row>
    <row r="54" spans="1:15" s="4" customFormat="1" ht="18" customHeight="1">
      <c r="A54" s="9" t="str">
        <f t="shared" ref="A54" si="8">+A52</f>
        <v>3- Achats</v>
      </c>
      <c r="B54" s="21" t="s">
        <v>429</v>
      </c>
      <c r="C54" s="21"/>
      <c r="D54" s="61" t="s">
        <v>430</v>
      </c>
      <c r="E54" s="61" t="str">
        <f t="shared" si="1"/>
        <v>GEISTLICH</v>
      </c>
      <c r="F54" s="43"/>
      <c r="G54" s="56">
        <v>495.01</v>
      </c>
      <c r="H54" s="47">
        <f t="shared" si="4"/>
        <v>495.01</v>
      </c>
      <c r="I54" s="39" t="s">
        <v>21</v>
      </c>
      <c r="J54" s="77"/>
      <c r="K54" s="79">
        <v>42384</v>
      </c>
      <c r="L54" s="19" t="s">
        <v>267</v>
      </c>
      <c r="M54" s="78">
        <f t="shared" si="2"/>
        <v>3</v>
      </c>
      <c r="N54" s="33" t="s">
        <v>36</v>
      </c>
      <c r="O54" s="20">
        <v>42310</v>
      </c>
    </row>
    <row r="55" spans="1:15" s="4" customFormat="1" ht="18" customHeight="1">
      <c r="A55" s="10" t="s">
        <v>420</v>
      </c>
      <c r="B55" s="10" t="s">
        <v>431</v>
      </c>
      <c r="C55" s="10"/>
      <c r="D55" s="10"/>
      <c r="E55" s="14"/>
      <c r="F55" s="37"/>
      <c r="G55" s="46"/>
      <c r="H55" s="46"/>
      <c r="I55" s="14"/>
      <c r="J55" s="14"/>
      <c r="K55" s="14"/>
      <c r="L55" s="14"/>
      <c r="M55" s="14"/>
      <c r="N55" s="14"/>
      <c r="O55" s="14"/>
    </row>
    <row r="56" spans="1:15" s="4" customFormat="1" ht="18" customHeight="1">
      <c r="A56" s="9" t="str">
        <f t="shared" ref="A56" si="9">+A54</f>
        <v>3- Achats</v>
      </c>
      <c r="B56" s="21" t="s">
        <v>431</v>
      </c>
      <c r="C56" s="21"/>
      <c r="D56" s="61">
        <v>20150273</v>
      </c>
      <c r="E56" s="61" t="str">
        <f t="shared" si="1"/>
        <v>GD</v>
      </c>
      <c r="F56" s="43"/>
      <c r="G56" s="56">
        <v>1537.04</v>
      </c>
      <c r="H56" s="47">
        <f t="shared" si="4"/>
        <v>1537.04</v>
      </c>
      <c r="I56" s="80"/>
      <c r="J56" s="77" t="s">
        <v>22</v>
      </c>
      <c r="K56" s="79"/>
      <c r="L56" s="19" t="s">
        <v>267</v>
      </c>
      <c r="M56" s="78">
        <f t="shared" si="2"/>
        <v>1</v>
      </c>
      <c r="N56" s="33" t="s">
        <v>36</v>
      </c>
      <c r="O56" s="20">
        <v>42069</v>
      </c>
    </row>
    <row r="57" spans="1:15" s="4" customFormat="1" ht="18" customHeight="1">
      <c r="A57" s="9" t="str">
        <f t="shared" ref="A57" si="10">+A56</f>
        <v>3- Achats</v>
      </c>
      <c r="B57" s="21" t="s">
        <v>431</v>
      </c>
      <c r="C57" s="21"/>
      <c r="D57" s="61">
        <v>20150564</v>
      </c>
      <c r="E57" s="61" t="str">
        <f t="shared" si="1"/>
        <v>GD</v>
      </c>
      <c r="F57" s="43"/>
      <c r="G57" s="56">
        <v>436.45</v>
      </c>
      <c r="H57" s="47">
        <f t="shared" si="4"/>
        <v>436.45</v>
      </c>
      <c r="I57" s="39" t="s">
        <v>21</v>
      </c>
      <c r="J57" s="77"/>
      <c r="K57" s="79">
        <v>42438</v>
      </c>
      <c r="L57" s="19" t="s">
        <v>267</v>
      </c>
      <c r="M57" s="78">
        <f t="shared" si="2"/>
        <v>11</v>
      </c>
      <c r="N57" s="33" t="s">
        <v>36</v>
      </c>
      <c r="O57" s="20">
        <v>42135</v>
      </c>
    </row>
    <row r="58" spans="1:15" s="4" customFormat="1" ht="18" customHeight="1">
      <c r="A58" s="9" t="str">
        <f t="shared" ref="A58" si="11">+A57</f>
        <v>3- Achats</v>
      </c>
      <c r="B58" s="21" t="s">
        <v>431</v>
      </c>
      <c r="C58" s="21"/>
      <c r="D58" s="61">
        <v>20150742</v>
      </c>
      <c r="E58" s="61" t="str">
        <f t="shared" si="1"/>
        <v>GD</v>
      </c>
      <c r="F58" s="43"/>
      <c r="G58" s="56">
        <v>393.25</v>
      </c>
      <c r="H58" s="47">
        <f t="shared" si="4"/>
        <v>393.25</v>
      </c>
      <c r="I58" s="39" t="s">
        <v>21</v>
      </c>
      <c r="J58" s="77"/>
      <c r="K58" s="79">
        <v>42438</v>
      </c>
      <c r="L58" s="19" t="s">
        <v>267</v>
      </c>
      <c r="M58" s="78">
        <f t="shared" si="2"/>
        <v>11</v>
      </c>
      <c r="N58" s="33" t="s">
        <v>36</v>
      </c>
      <c r="O58" s="20">
        <v>42171</v>
      </c>
    </row>
    <row r="59" spans="1:15" s="4" customFormat="1" ht="18" customHeight="1">
      <c r="A59" s="9" t="str">
        <f t="shared" ref="A59" si="12">+A58</f>
        <v>3- Achats</v>
      </c>
      <c r="B59" s="21" t="s">
        <v>431</v>
      </c>
      <c r="C59" s="21"/>
      <c r="D59" s="61">
        <v>20151624</v>
      </c>
      <c r="E59" s="61" t="str">
        <f t="shared" si="1"/>
        <v>GD</v>
      </c>
      <c r="F59" s="43"/>
      <c r="G59" s="56">
        <v>762.84</v>
      </c>
      <c r="H59" s="47">
        <f t="shared" si="4"/>
        <v>762.84</v>
      </c>
      <c r="I59" s="80"/>
      <c r="J59" s="77" t="s">
        <v>22</v>
      </c>
      <c r="K59" s="79"/>
      <c r="L59" s="19" t="s">
        <v>267</v>
      </c>
      <c r="M59" s="78">
        <f t="shared" si="2"/>
        <v>1</v>
      </c>
      <c r="N59" s="33" t="s">
        <v>36</v>
      </c>
      <c r="O59" s="20">
        <v>42345</v>
      </c>
    </row>
    <row r="60" spans="1:15" s="4" customFormat="1" ht="18" customHeight="1">
      <c r="A60" s="9" t="str">
        <f t="shared" ref="A60" si="13">+A59</f>
        <v>3- Achats</v>
      </c>
      <c r="B60" s="21" t="s">
        <v>431</v>
      </c>
      <c r="C60" s="21"/>
      <c r="D60" s="61">
        <v>20160287</v>
      </c>
      <c r="E60" s="61" t="str">
        <f t="shared" si="1"/>
        <v>GD</v>
      </c>
      <c r="F60" s="43"/>
      <c r="G60" s="56">
        <v>851.05</v>
      </c>
      <c r="H60" s="47">
        <f t="shared" si="4"/>
        <v>851.05</v>
      </c>
      <c r="I60" s="80"/>
      <c r="J60" s="77" t="s">
        <v>22</v>
      </c>
      <c r="K60" s="79"/>
      <c r="L60" s="19" t="s">
        <v>267</v>
      </c>
      <c r="M60" s="78">
        <f t="shared" si="2"/>
        <v>1</v>
      </c>
      <c r="N60" s="33" t="s">
        <v>36</v>
      </c>
      <c r="O60" s="20">
        <v>42408</v>
      </c>
    </row>
    <row r="61" spans="1:15" s="4" customFormat="1" ht="18" customHeight="1">
      <c r="A61" s="10" t="s">
        <v>420</v>
      </c>
      <c r="B61" s="10" t="s">
        <v>432</v>
      </c>
      <c r="C61" s="10"/>
      <c r="D61" s="10"/>
      <c r="E61" s="14"/>
      <c r="F61" s="37"/>
      <c r="G61" s="46"/>
      <c r="H61" s="46"/>
      <c r="I61" s="14"/>
      <c r="J61" s="14"/>
      <c r="K61" s="14"/>
      <c r="L61" s="14"/>
      <c r="M61" s="14"/>
      <c r="N61" s="14"/>
      <c r="O61" s="14"/>
    </row>
    <row r="62" spans="1:15" s="4" customFormat="1" ht="18" customHeight="1">
      <c r="A62" s="9" t="str">
        <f t="shared" ref="A62" si="14">+A60</f>
        <v>3- Achats</v>
      </c>
      <c r="B62" s="21" t="s">
        <v>432</v>
      </c>
      <c r="C62" s="21"/>
      <c r="D62" s="61">
        <v>107414</v>
      </c>
      <c r="E62" s="61" t="str">
        <f t="shared" si="1"/>
        <v>IPP PHARMA</v>
      </c>
      <c r="F62" s="43"/>
      <c r="G62" s="56">
        <v>269</v>
      </c>
      <c r="H62" s="47">
        <f t="shared" si="4"/>
        <v>269</v>
      </c>
      <c r="I62" s="39" t="s">
        <v>21</v>
      </c>
      <c r="J62" s="77"/>
      <c r="K62" s="79">
        <v>42389</v>
      </c>
      <c r="L62" s="19" t="s">
        <v>267</v>
      </c>
      <c r="M62" s="78">
        <f t="shared" si="2"/>
        <v>4</v>
      </c>
      <c r="N62" s="33" t="s">
        <v>36</v>
      </c>
      <c r="O62" s="20">
        <v>42339</v>
      </c>
    </row>
    <row r="63" spans="1:15" s="4" customFormat="1" ht="18" customHeight="1">
      <c r="A63" s="9" t="str">
        <f t="shared" ref="A63" si="15">+A62</f>
        <v>3- Achats</v>
      </c>
      <c r="B63" s="21" t="s">
        <v>432</v>
      </c>
      <c r="C63" s="21"/>
      <c r="D63" s="61">
        <v>107607</v>
      </c>
      <c r="E63" s="61" t="str">
        <f t="shared" si="1"/>
        <v>IPP PHARMA</v>
      </c>
      <c r="F63" s="43"/>
      <c r="G63" s="56">
        <v>268.89999999999998</v>
      </c>
      <c r="H63" s="47">
        <f t="shared" si="4"/>
        <v>268.89999999999998</v>
      </c>
      <c r="I63" s="39" t="s">
        <v>21</v>
      </c>
      <c r="J63" s="77"/>
      <c r="K63" s="79">
        <v>42403</v>
      </c>
      <c r="L63" s="19" t="s">
        <v>267</v>
      </c>
      <c r="M63" s="78">
        <f t="shared" si="2"/>
        <v>6</v>
      </c>
      <c r="N63" s="33" t="s">
        <v>36</v>
      </c>
      <c r="O63" s="20">
        <v>42345</v>
      </c>
    </row>
    <row r="64" spans="1:15" s="4" customFormat="1" ht="18" customHeight="1">
      <c r="A64" s="10" t="s">
        <v>420</v>
      </c>
      <c r="B64" s="10" t="s">
        <v>433</v>
      </c>
      <c r="C64" s="10"/>
      <c r="D64" s="10"/>
      <c r="E64" s="14"/>
      <c r="F64" s="37"/>
      <c r="G64" s="46"/>
      <c r="H64" s="46"/>
      <c r="I64" s="14"/>
      <c r="J64" s="14"/>
      <c r="K64" s="14"/>
      <c r="L64" s="14"/>
      <c r="M64" s="14"/>
      <c r="N64" s="14"/>
      <c r="O64" s="14"/>
    </row>
    <row r="65" spans="1:15" s="4" customFormat="1" ht="18" customHeight="1">
      <c r="A65" s="9" t="str">
        <f t="shared" ref="A65" si="16">+A63</f>
        <v>3- Achats</v>
      </c>
      <c r="B65" s="21" t="s">
        <v>433</v>
      </c>
      <c r="C65" s="21"/>
      <c r="D65" s="61">
        <v>5047049</v>
      </c>
      <c r="E65" s="61" t="str">
        <f t="shared" si="1"/>
        <v>IRSN</v>
      </c>
      <c r="F65" s="43"/>
      <c r="G65" s="56">
        <v>162.84</v>
      </c>
      <c r="H65" s="47">
        <f t="shared" si="4"/>
        <v>162.84</v>
      </c>
      <c r="I65" s="39" t="s">
        <v>21</v>
      </c>
      <c r="J65" s="77"/>
      <c r="K65" s="79">
        <v>42433</v>
      </c>
      <c r="L65" s="19" t="s">
        <v>310</v>
      </c>
      <c r="M65" s="78">
        <f t="shared" ref="M65:M133" si="17">+WEEKNUM(K65,2)</f>
        <v>10</v>
      </c>
      <c r="N65" s="33" t="s">
        <v>36</v>
      </c>
      <c r="O65" s="20">
        <v>42353</v>
      </c>
    </row>
    <row r="66" spans="1:15" s="4" customFormat="1" ht="18" customHeight="1">
      <c r="A66" s="10" t="s">
        <v>420</v>
      </c>
      <c r="B66" s="10" t="s">
        <v>434</v>
      </c>
      <c r="C66" s="10"/>
      <c r="D66" s="10"/>
      <c r="E66" s="14"/>
      <c r="F66" s="37"/>
      <c r="G66" s="46"/>
      <c r="H66" s="46"/>
      <c r="I66" s="14"/>
      <c r="J66" s="14"/>
      <c r="K66" s="14"/>
      <c r="L66" s="14"/>
      <c r="M66" s="14"/>
      <c r="N66" s="14"/>
      <c r="O66" s="14"/>
    </row>
    <row r="67" spans="1:15" s="63" customFormat="1" ht="18" customHeight="1">
      <c r="A67" s="9" t="str">
        <f t="shared" ref="A67" si="18">+A65</f>
        <v>3- Achats</v>
      </c>
      <c r="B67" s="21" t="s">
        <v>434</v>
      </c>
      <c r="C67" s="21"/>
      <c r="D67" s="61">
        <v>20151200</v>
      </c>
      <c r="E67" s="61" t="str">
        <f t="shared" si="1"/>
        <v>LABOPREMIER</v>
      </c>
      <c r="F67" s="43"/>
      <c r="G67" s="56">
        <v>900.68</v>
      </c>
      <c r="H67" s="47">
        <f t="shared" si="4"/>
        <v>900.68</v>
      </c>
      <c r="I67" s="39" t="s">
        <v>21</v>
      </c>
      <c r="J67" s="77"/>
      <c r="K67" s="96">
        <v>42394</v>
      </c>
      <c r="L67" s="19" t="s">
        <v>310</v>
      </c>
      <c r="M67" s="78">
        <f t="shared" ref="M67" si="19">+WEEKNUM(K67,2)</f>
        <v>5</v>
      </c>
      <c r="N67" s="33" t="s">
        <v>36</v>
      </c>
      <c r="O67" s="20">
        <v>42186</v>
      </c>
    </row>
    <row r="68" spans="1:15" s="4" customFormat="1" ht="18" customHeight="1">
      <c r="A68" s="9" t="str">
        <f t="shared" ref="A68" si="20">+A67</f>
        <v>3- Achats</v>
      </c>
      <c r="B68" s="21" t="s">
        <v>434</v>
      </c>
      <c r="C68" s="21"/>
      <c r="D68" s="61">
        <v>20151540</v>
      </c>
      <c r="E68" s="61" t="str">
        <f t="shared" si="1"/>
        <v>LABOPREMIER</v>
      </c>
      <c r="F68" s="43"/>
      <c r="G68" s="56">
        <v>1394.87</v>
      </c>
      <c r="H68" s="47">
        <f t="shared" si="4"/>
        <v>1394.87</v>
      </c>
      <c r="I68" s="39" t="s">
        <v>21</v>
      </c>
      <c r="J68" s="77"/>
      <c r="K68" s="96">
        <v>42461</v>
      </c>
      <c r="L68" s="19" t="s">
        <v>267</v>
      </c>
      <c r="M68" s="78">
        <f t="shared" si="17"/>
        <v>14</v>
      </c>
      <c r="N68" s="33" t="s">
        <v>36</v>
      </c>
      <c r="O68" s="20">
        <v>42277</v>
      </c>
    </row>
    <row r="69" spans="1:15" s="4" customFormat="1" ht="18" customHeight="1">
      <c r="A69" s="9" t="str">
        <f t="shared" ref="A69" si="21">+A68</f>
        <v>3- Achats</v>
      </c>
      <c r="B69" s="21" t="s">
        <v>434</v>
      </c>
      <c r="C69" s="21"/>
      <c r="D69" s="61">
        <v>20151733</v>
      </c>
      <c r="E69" s="61" t="str">
        <f t="shared" si="1"/>
        <v>LABOPREMIER</v>
      </c>
      <c r="F69" s="43"/>
      <c r="G69" s="56">
        <v>1268.32</v>
      </c>
      <c r="H69" s="47">
        <f t="shared" si="4"/>
        <v>1268.32</v>
      </c>
      <c r="I69" s="39" t="s">
        <v>21</v>
      </c>
      <c r="J69" s="77"/>
      <c r="K69" s="96">
        <v>42430</v>
      </c>
      <c r="L69" s="19" t="s">
        <v>267</v>
      </c>
      <c r="M69" s="78">
        <f t="shared" si="17"/>
        <v>10</v>
      </c>
      <c r="N69" s="33" t="s">
        <v>36</v>
      </c>
      <c r="O69" s="20">
        <v>42308</v>
      </c>
    </row>
    <row r="70" spans="1:15" s="4" customFormat="1" ht="18" customHeight="1">
      <c r="A70" s="9" t="str">
        <f t="shared" ref="A70" si="22">+A69</f>
        <v>3- Achats</v>
      </c>
      <c r="B70" s="21" t="s">
        <v>434</v>
      </c>
      <c r="C70" s="21"/>
      <c r="D70" s="61">
        <v>20151928</v>
      </c>
      <c r="E70" s="61" t="str">
        <f t="shared" si="1"/>
        <v>LABOPREMIER</v>
      </c>
      <c r="F70" s="43"/>
      <c r="G70" s="56">
        <v>962.42</v>
      </c>
      <c r="H70" s="47">
        <f t="shared" si="4"/>
        <v>962.42</v>
      </c>
      <c r="I70" s="39" t="s">
        <v>21</v>
      </c>
      <c r="J70" s="77"/>
      <c r="K70" s="96">
        <v>42403</v>
      </c>
      <c r="L70" s="19" t="s">
        <v>267</v>
      </c>
      <c r="M70" s="78">
        <f t="shared" si="17"/>
        <v>6</v>
      </c>
      <c r="N70" s="33" t="s">
        <v>36</v>
      </c>
      <c r="O70" s="20">
        <v>42338</v>
      </c>
    </row>
    <row r="71" spans="1:15" s="4" customFormat="1" ht="18" customHeight="1">
      <c r="A71" s="9" t="str">
        <f t="shared" ref="A71" si="23">+A70</f>
        <v>3- Achats</v>
      </c>
      <c r="B71" s="21" t="s">
        <v>434</v>
      </c>
      <c r="C71" s="21"/>
      <c r="D71" s="61">
        <v>20152130</v>
      </c>
      <c r="E71" s="61" t="str">
        <f t="shared" si="1"/>
        <v>LABOPREMIER</v>
      </c>
      <c r="F71" s="43"/>
      <c r="G71" s="56">
        <v>1774.31</v>
      </c>
      <c r="H71" s="47">
        <f t="shared" si="4"/>
        <v>1774.31</v>
      </c>
      <c r="I71" s="39" t="s">
        <v>21</v>
      </c>
      <c r="J71" s="77"/>
      <c r="K71" s="96">
        <v>42491</v>
      </c>
      <c r="L71" s="19" t="s">
        <v>267</v>
      </c>
      <c r="M71" s="78">
        <f t="shared" si="17"/>
        <v>18</v>
      </c>
      <c r="N71" s="33" t="s">
        <v>36</v>
      </c>
      <c r="O71" s="20">
        <v>42369</v>
      </c>
    </row>
    <row r="72" spans="1:15" s="4" customFormat="1" ht="18" customHeight="1">
      <c r="A72" s="10" t="s">
        <v>420</v>
      </c>
      <c r="B72" s="10" t="s">
        <v>435</v>
      </c>
      <c r="C72" s="10"/>
      <c r="D72" s="10"/>
      <c r="E72" s="14"/>
      <c r="F72" s="37"/>
      <c r="G72" s="46"/>
      <c r="H72" s="46"/>
      <c r="I72" s="14"/>
      <c r="J72" s="14"/>
      <c r="K72" s="14"/>
      <c r="L72" s="14"/>
      <c r="M72" s="14"/>
      <c r="N72" s="14"/>
      <c r="O72" s="14"/>
    </row>
    <row r="73" spans="1:15" s="4" customFormat="1" ht="18" customHeight="1">
      <c r="A73" s="9" t="str">
        <f t="shared" ref="A73" si="24">+A71</f>
        <v>3- Achats</v>
      </c>
      <c r="B73" s="21" t="s">
        <v>435</v>
      </c>
      <c r="C73" s="21"/>
      <c r="D73" s="61">
        <v>3647703</v>
      </c>
      <c r="E73" s="61" t="str">
        <f t="shared" si="1"/>
        <v>MEGADENTAL</v>
      </c>
      <c r="F73" s="43"/>
      <c r="G73" s="56">
        <v>425.9</v>
      </c>
      <c r="H73" s="47">
        <f t="shared" si="4"/>
        <v>425.9</v>
      </c>
      <c r="I73" s="39" t="s">
        <v>21</v>
      </c>
      <c r="J73" s="77"/>
      <c r="K73" s="79">
        <v>42373</v>
      </c>
      <c r="L73" s="19" t="s">
        <v>267</v>
      </c>
      <c r="M73" s="78">
        <f t="shared" si="17"/>
        <v>2</v>
      </c>
      <c r="N73" s="33" t="s">
        <v>36</v>
      </c>
      <c r="O73" s="20">
        <v>42243</v>
      </c>
    </row>
    <row r="74" spans="1:15" s="4" customFormat="1" ht="18" customHeight="1">
      <c r="A74" s="9" t="str">
        <f t="shared" ref="A74" si="25">+A73</f>
        <v>3- Achats</v>
      </c>
      <c r="B74" s="21" t="s">
        <v>435</v>
      </c>
      <c r="C74" s="21"/>
      <c r="D74" s="61">
        <v>3685141</v>
      </c>
      <c r="E74" s="61" t="str">
        <f t="shared" si="1"/>
        <v>MEGADENTAL</v>
      </c>
      <c r="F74" s="43"/>
      <c r="G74" s="56">
        <v>629.29999999999995</v>
      </c>
      <c r="H74" s="47">
        <f t="shared" si="4"/>
        <v>629.29999999999995</v>
      </c>
      <c r="I74" s="39" t="s">
        <v>21</v>
      </c>
      <c r="J74" s="77"/>
      <c r="K74" s="79">
        <v>42412</v>
      </c>
      <c r="L74" s="19" t="s">
        <v>267</v>
      </c>
      <c r="M74" s="78">
        <f t="shared" si="17"/>
        <v>7</v>
      </c>
      <c r="N74" s="33" t="s">
        <v>36</v>
      </c>
      <c r="O74" s="20">
        <v>42276</v>
      </c>
    </row>
    <row r="75" spans="1:15" s="4" customFormat="1" ht="18" customHeight="1">
      <c r="A75" s="9" t="str">
        <f t="shared" ref="A75" si="26">+A74</f>
        <v>3- Achats</v>
      </c>
      <c r="B75" s="21" t="s">
        <v>435</v>
      </c>
      <c r="C75" s="21"/>
      <c r="D75" s="61">
        <v>3685149</v>
      </c>
      <c r="E75" s="61" t="str">
        <f t="shared" si="1"/>
        <v>MEGADENTAL</v>
      </c>
      <c r="F75" s="43"/>
      <c r="G75" s="56">
        <v>337.5</v>
      </c>
      <c r="H75" s="47">
        <f t="shared" si="4"/>
        <v>337.5</v>
      </c>
      <c r="I75" s="39" t="s">
        <v>21</v>
      </c>
      <c r="J75" s="77"/>
      <c r="K75" s="79">
        <v>42412</v>
      </c>
      <c r="L75" s="19" t="s">
        <v>267</v>
      </c>
      <c r="M75" s="78">
        <f t="shared" si="17"/>
        <v>7</v>
      </c>
      <c r="N75" s="33" t="s">
        <v>36</v>
      </c>
      <c r="O75" s="20">
        <v>42276</v>
      </c>
    </row>
    <row r="76" spans="1:15" s="4" customFormat="1" ht="18" customHeight="1">
      <c r="A76" s="9" t="str">
        <f t="shared" ref="A76" si="27">+A75</f>
        <v>3- Achats</v>
      </c>
      <c r="B76" s="21" t="s">
        <v>435</v>
      </c>
      <c r="C76" s="21"/>
      <c r="D76" s="61">
        <v>3693536</v>
      </c>
      <c r="E76" s="61" t="str">
        <f t="shared" si="1"/>
        <v>MEGADENTAL</v>
      </c>
      <c r="F76" s="43"/>
      <c r="G76" s="56">
        <v>16.899999999999999</v>
      </c>
      <c r="H76" s="47">
        <f t="shared" si="4"/>
        <v>16.899999999999999</v>
      </c>
      <c r="I76" s="39" t="s">
        <v>21</v>
      </c>
      <c r="J76" s="77"/>
      <c r="K76" s="79">
        <v>42412</v>
      </c>
      <c r="L76" s="19" t="s">
        <v>267</v>
      </c>
      <c r="M76" s="78">
        <f t="shared" si="17"/>
        <v>7</v>
      </c>
      <c r="N76" s="33" t="s">
        <v>36</v>
      </c>
      <c r="O76" s="20">
        <v>42284</v>
      </c>
    </row>
    <row r="77" spans="1:15" s="4" customFormat="1" ht="18" customHeight="1">
      <c r="A77" s="9" t="str">
        <f>+A76</f>
        <v>3- Achats</v>
      </c>
      <c r="B77" s="21" t="s">
        <v>435</v>
      </c>
      <c r="C77" s="21"/>
      <c r="D77" s="61">
        <v>3749958</v>
      </c>
      <c r="E77" s="61" t="str">
        <f t="shared" si="1"/>
        <v>MEGADENTAL</v>
      </c>
      <c r="F77" s="43"/>
      <c r="G77" s="56">
        <v>376.6</v>
      </c>
      <c r="H77" s="47">
        <f t="shared" si="4"/>
        <v>376.6</v>
      </c>
      <c r="I77" s="80"/>
      <c r="J77" s="77" t="s">
        <v>22</v>
      </c>
      <c r="K77" s="108"/>
      <c r="L77" s="19" t="s">
        <v>267</v>
      </c>
      <c r="M77" s="78">
        <f>+WEEKNUM(K77,2)</f>
        <v>1</v>
      </c>
      <c r="N77" s="33" t="s">
        <v>36</v>
      </c>
      <c r="O77" s="20">
        <v>42332</v>
      </c>
    </row>
    <row r="78" spans="1:15" s="4" customFormat="1" ht="18" customHeight="1">
      <c r="A78" s="9" t="str">
        <f t="shared" ref="A78" si="28">+A77</f>
        <v>3- Achats</v>
      </c>
      <c r="B78" s="21" t="s">
        <v>435</v>
      </c>
      <c r="C78" s="21"/>
      <c r="D78" s="61">
        <v>3797893</v>
      </c>
      <c r="E78" s="61" t="str">
        <f t="shared" si="1"/>
        <v>MEGADENTAL</v>
      </c>
      <c r="F78" s="43"/>
      <c r="G78" s="56">
        <v>723.5</v>
      </c>
      <c r="H78" s="47">
        <f t="shared" si="4"/>
        <v>723.5</v>
      </c>
      <c r="I78" s="80"/>
      <c r="J78" s="77" t="s">
        <v>22</v>
      </c>
      <c r="K78" s="79"/>
      <c r="L78" s="19" t="s">
        <v>267</v>
      </c>
      <c r="M78" s="78">
        <f t="shared" si="17"/>
        <v>1</v>
      </c>
      <c r="N78" s="33" t="s">
        <v>36</v>
      </c>
      <c r="O78" s="20">
        <v>42375</v>
      </c>
    </row>
    <row r="79" spans="1:15" s="4" customFormat="1" ht="18" customHeight="1">
      <c r="A79" s="9" t="str">
        <f t="shared" ref="A79" si="29">+A78</f>
        <v>3- Achats</v>
      </c>
      <c r="B79" s="21" t="s">
        <v>435</v>
      </c>
      <c r="C79" s="21"/>
      <c r="D79" s="61">
        <v>3832311</v>
      </c>
      <c r="E79" s="61" t="str">
        <f t="shared" ref="E79" si="30">+B79</f>
        <v>MEGADENTAL</v>
      </c>
      <c r="F79" s="43"/>
      <c r="G79" s="56">
        <v>396.1</v>
      </c>
      <c r="H79" s="47">
        <f t="shared" si="4"/>
        <v>396.1</v>
      </c>
      <c r="I79" s="80"/>
      <c r="J79" s="77" t="s">
        <v>22</v>
      </c>
      <c r="K79" s="79"/>
      <c r="L79" s="19" t="s">
        <v>267</v>
      </c>
      <c r="M79" s="78">
        <f t="shared" si="17"/>
        <v>1</v>
      </c>
      <c r="N79" s="33" t="s">
        <v>36</v>
      </c>
      <c r="O79" s="20">
        <v>42403</v>
      </c>
    </row>
    <row r="80" spans="1:15" s="4" customFormat="1" ht="18" customHeight="1">
      <c r="A80" s="10" t="s">
        <v>420</v>
      </c>
      <c r="B80" s="10" t="s">
        <v>436</v>
      </c>
      <c r="C80" s="10"/>
      <c r="D80" s="10"/>
      <c r="E80" s="14"/>
      <c r="F80" s="37"/>
      <c r="G80" s="46"/>
      <c r="H80" s="46"/>
      <c r="I80" s="14"/>
      <c r="J80" s="14"/>
      <c r="K80" s="14"/>
      <c r="L80" s="14"/>
      <c r="M80" s="14"/>
      <c r="N80" s="14"/>
      <c r="O80" s="14"/>
    </row>
    <row r="81" spans="1:15" s="4" customFormat="1" ht="18" customHeight="1">
      <c r="A81" s="9" t="str">
        <f t="shared" ref="A81" si="31">+A79</f>
        <v>3- Achats</v>
      </c>
      <c r="B81" s="21" t="s">
        <v>436</v>
      </c>
      <c r="C81" s="21"/>
      <c r="D81" s="61">
        <v>195142</v>
      </c>
      <c r="E81" s="61" t="str">
        <f t="shared" ref="E81:E133" si="32">+B81</f>
        <v>MIS</v>
      </c>
      <c r="F81" s="43"/>
      <c r="G81" s="56">
        <v>66</v>
      </c>
      <c r="H81" s="47">
        <f t="shared" ref="H81:H146" si="33">+G81</f>
        <v>66</v>
      </c>
      <c r="I81" s="39" t="s">
        <v>21</v>
      </c>
      <c r="J81" s="77"/>
      <c r="K81" s="96">
        <v>42415</v>
      </c>
      <c r="L81" s="19" t="s">
        <v>267</v>
      </c>
      <c r="M81" s="78">
        <f t="shared" si="17"/>
        <v>8</v>
      </c>
      <c r="N81" s="33" t="s">
        <v>36</v>
      </c>
      <c r="O81" s="20">
        <v>42269</v>
      </c>
    </row>
    <row r="82" spans="1:15" s="4" customFormat="1" ht="18" customHeight="1">
      <c r="A82" s="9" t="str">
        <f t="shared" ref="A82" si="34">+A81</f>
        <v>3- Achats</v>
      </c>
      <c r="B82" s="21" t="s">
        <v>436</v>
      </c>
      <c r="C82" s="21"/>
      <c r="D82" s="61">
        <v>195480</v>
      </c>
      <c r="E82" s="61" t="str">
        <f t="shared" si="32"/>
        <v>MIS</v>
      </c>
      <c r="F82" s="43"/>
      <c r="G82" s="56">
        <v>55.75</v>
      </c>
      <c r="H82" s="47">
        <f t="shared" si="33"/>
        <v>55.75</v>
      </c>
      <c r="I82" s="39" t="s">
        <v>21</v>
      </c>
      <c r="J82" s="77"/>
      <c r="K82" s="96">
        <v>42415</v>
      </c>
      <c r="L82" s="19" t="s">
        <v>267</v>
      </c>
      <c r="M82" s="78">
        <f t="shared" si="17"/>
        <v>8</v>
      </c>
      <c r="N82" s="33" t="s">
        <v>36</v>
      </c>
      <c r="O82" s="20">
        <v>42275</v>
      </c>
    </row>
    <row r="83" spans="1:15" s="4" customFormat="1" ht="18" customHeight="1">
      <c r="A83" s="10" t="s">
        <v>420</v>
      </c>
      <c r="B83" s="10" t="s">
        <v>437</v>
      </c>
      <c r="C83" s="10"/>
      <c r="D83" s="10"/>
      <c r="E83" s="14"/>
      <c r="F83" s="37"/>
      <c r="G83" s="46"/>
      <c r="H83" s="46"/>
      <c r="I83" s="14"/>
      <c r="J83" s="14"/>
      <c r="K83" s="14"/>
      <c r="L83" s="14"/>
      <c r="M83" s="14"/>
      <c r="N83" s="14"/>
      <c r="O83" s="14"/>
    </row>
    <row r="84" spans="1:15" s="4" customFormat="1">
      <c r="A84" s="9" t="e">
        <f>+#REF!</f>
        <v>#REF!</v>
      </c>
      <c r="B84" s="21" t="s">
        <v>437</v>
      </c>
      <c r="C84" s="21"/>
      <c r="D84" s="61">
        <v>151251</v>
      </c>
      <c r="E84" s="61" t="str">
        <f t="shared" si="32"/>
        <v>SFID</v>
      </c>
      <c r="F84" s="43"/>
      <c r="G84" s="56">
        <v>329.57</v>
      </c>
      <c r="H84" s="47">
        <f t="shared" si="33"/>
        <v>329.57</v>
      </c>
      <c r="I84" s="39" t="s">
        <v>21</v>
      </c>
      <c r="J84" s="77"/>
      <c r="K84" s="79">
        <v>42426</v>
      </c>
      <c r="L84" s="19" t="s">
        <v>267</v>
      </c>
      <c r="M84" s="78">
        <f t="shared" si="17"/>
        <v>9</v>
      </c>
      <c r="N84" s="33" t="s">
        <v>36</v>
      </c>
      <c r="O84" s="20">
        <v>42369</v>
      </c>
    </row>
    <row r="85" spans="1:15" s="4" customFormat="1">
      <c r="A85" s="10" t="s">
        <v>420</v>
      </c>
      <c r="B85" s="10" t="s">
        <v>438</v>
      </c>
      <c r="C85" s="10"/>
      <c r="D85" s="10"/>
      <c r="E85" s="14"/>
      <c r="F85" s="37"/>
      <c r="G85" s="46"/>
      <c r="H85" s="46"/>
      <c r="I85" s="14"/>
      <c r="J85" s="14"/>
      <c r="K85" s="14"/>
      <c r="L85" s="14"/>
      <c r="M85" s="14"/>
      <c r="N85" s="14"/>
      <c r="O85" s="14"/>
    </row>
    <row r="86" spans="1:15" s="4" customFormat="1">
      <c r="A86" s="9" t="e">
        <f t="shared" ref="A86" si="35">+A84</f>
        <v>#REF!</v>
      </c>
      <c r="B86" s="21" t="s">
        <v>438</v>
      </c>
      <c r="C86" s="21"/>
      <c r="D86" s="61">
        <v>75753</v>
      </c>
      <c r="E86" s="61" t="str">
        <f t="shared" si="32"/>
        <v>SODICOME</v>
      </c>
      <c r="F86" s="43"/>
      <c r="G86" s="56">
        <v>192.74</v>
      </c>
      <c r="H86" s="47">
        <f t="shared" si="33"/>
        <v>192.74</v>
      </c>
      <c r="I86" s="39" t="s">
        <v>21</v>
      </c>
      <c r="J86" s="77"/>
      <c r="K86" s="79">
        <v>42387</v>
      </c>
      <c r="L86" s="19" t="s">
        <v>267</v>
      </c>
      <c r="M86" s="78">
        <f t="shared" si="17"/>
        <v>4</v>
      </c>
      <c r="N86" s="33" t="s">
        <v>36</v>
      </c>
      <c r="O86" s="20">
        <v>42278</v>
      </c>
    </row>
    <row r="87" spans="1:15" s="4" customFormat="1">
      <c r="A87" s="10" t="s">
        <v>420</v>
      </c>
      <c r="B87" s="10" t="s">
        <v>439</v>
      </c>
      <c r="C87" s="10"/>
      <c r="D87" s="10"/>
      <c r="E87" s="14"/>
      <c r="F87" s="37"/>
      <c r="G87" s="46"/>
      <c r="H87" s="46"/>
      <c r="I87" s="14"/>
      <c r="J87" s="14"/>
      <c r="K87" s="14"/>
      <c r="L87" s="14"/>
      <c r="M87" s="14"/>
      <c r="N87" s="14"/>
      <c r="O87" s="14"/>
    </row>
    <row r="88" spans="1:15" s="4" customFormat="1">
      <c r="A88" s="9" t="e">
        <f t="shared" ref="A88" si="36">+A86</f>
        <v>#REF!</v>
      </c>
      <c r="B88" s="21" t="s">
        <v>439</v>
      </c>
      <c r="C88" s="21"/>
      <c r="D88" s="61" t="s">
        <v>440</v>
      </c>
      <c r="E88" s="61" t="str">
        <f t="shared" si="32"/>
        <v>VOG</v>
      </c>
      <c r="F88" s="43"/>
      <c r="G88" s="56">
        <v>323.52</v>
      </c>
      <c r="H88" s="47">
        <f t="shared" si="33"/>
        <v>323.52</v>
      </c>
      <c r="I88" s="39" t="s">
        <v>21</v>
      </c>
      <c r="J88" s="77"/>
      <c r="K88" s="79">
        <v>42016</v>
      </c>
      <c r="L88" s="19" t="s">
        <v>310</v>
      </c>
      <c r="M88" s="78">
        <f t="shared" si="17"/>
        <v>3</v>
      </c>
      <c r="N88" s="33" t="s">
        <v>36</v>
      </c>
      <c r="O88" s="20">
        <v>42335</v>
      </c>
    </row>
    <row r="89" spans="1:15" s="4" customFormat="1">
      <c r="A89" s="9" t="e">
        <f t="shared" ref="A89" si="37">+A88</f>
        <v>#REF!</v>
      </c>
      <c r="B89" s="21"/>
      <c r="C89" s="21"/>
      <c r="D89" s="61"/>
      <c r="E89" s="61">
        <f t="shared" si="32"/>
        <v>0</v>
      </c>
      <c r="F89" s="43"/>
      <c r="G89" s="56"/>
      <c r="H89" s="47">
        <f t="shared" si="33"/>
        <v>0</v>
      </c>
      <c r="I89" s="80"/>
      <c r="J89" s="77"/>
      <c r="K89" s="79"/>
      <c r="L89" s="19"/>
      <c r="M89" s="78">
        <f t="shared" si="17"/>
        <v>1</v>
      </c>
      <c r="N89" s="33" t="s">
        <v>36</v>
      </c>
      <c r="O89" s="19"/>
    </row>
    <row r="90" spans="1:15" s="4" customFormat="1">
      <c r="A90" s="9" t="e">
        <f t="shared" ref="A90" si="38">+A89</f>
        <v>#REF!</v>
      </c>
      <c r="B90" s="21"/>
      <c r="C90" s="21"/>
      <c r="D90" s="61"/>
      <c r="E90" s="61">
        <f t="shared" si="32"/>
        <v>0</v>
      </c>
      <c r="F90" s="43"/>
      <c r="G90" s="56"/>
      <c r="H90" s="47">
        <f t="shared" si="33"/>
        <v>0</v>
      </c>
      <c r="I90" s="80"/>
      <c r="J90" s="77"/>
      <c r="K90" s="79"/>
      <c r="L90" s="19"/>
      <c r="M90" s="78">
        <f t="shared" si="17"/>
        <v>1</v>
      </c>
      <c r="N90" s="33" t="s">
        <v>36</v>
      </c>
      <c r="O90" s="19"/>
    </row>
    <row r="91" spans="1:15" s="63" customFormat="1">
      <c r="A91" s="9" t="e">
        <f t="shared" ref="A91" si="39">+A90</f>
        <v>#REF!</v>
      </c>
      <c r="B91" s="21"/>
      <c r="C91" s="21"/>
      <c r="D91" s="61"/>
      <c r="E91" s="61">
        <f t="shared" si="32"/>
        <v>0</v>
      </c>
      <c r="F91" s="43"/>
      <c r="G91" s="56"/>
      <c r="H91" s="47">
        <f t="shared" si="33"/>
        <v>0</v>
      </c>
      <c r="I91" s="80"/>
      <c r="J91" s="77"/>
      <c r="K91" s="79"/>
      <c r="L91" s="19"/>
      <c r="M91" s="78">
        <f t="shared" si="17"/>
        <v>1</v>
      </c>
      <c r="N91" s="33" t="s">
        <v>36</v>
      </c>
      <c r="O91" s="19"/>
    </row>
    <row r="92" spans="1:15" s="4" customFormat="1">
      <c r="A92" s="9" t="e">
        <f t="shared" ref="A92" si="40">+A91</f>
        <v>#REF!</v>
      </c>
      <c r="B92" s="21"/>
      <c r="C92" s="21"/>
      <c r="D92" s="61"/>
      <c r="E92" s="61">
        <f t="shared" si="32"/>
        <v>0</v>
      </c>
      <c r="F92" s="43"/>
      <c r="G92" s="56"/>
      <c r="H92" s="47">
        <f t="shared" si="33"/>
        <v>0</v>
      </c>
      <c r="I92" s="80"/>
      <c r="J92" s="77"/>
      <c r="K92" s="79"/>
      <c r="L92" s="19"/>
      <c r="M92" s="78">
        <f t="shared" si="17"/>
        <v>1</v>
      </c>
      <c r="N92" s="33" t="s">
        <v>36</v>
      </c>
      <c r="O92" s="19"/>
    </row>
    <row r="93" spans="1:15" s="4" customFormat="1">
      <c r="A93" s="9" t="e">
        <f t="shared" ref="A93" si="41">+A92</f>
        <v>#REF!</v>
      </c>
      <c r="B93" s="21"/>
      <c r="C93" s="21"/>
      <c r="D93" s="61"/>
      <c r="E93" s="61">
        <f t="shared" si="32"/>
        <v>0</v>
      </c>
      <c r="F93" s="43"/>
      <c r="G93" s="56"/>
      <c r="H93" s="47">
        <f t="shared" si="33"/>
        <v>0</v>
      </c>
      <c r="I93" s="80"/>
      <c r="J93" s="77"/>
      <c r="K93" s="79"/>
      <c r="L93" s="19"/>
      <c r="M93" s="78">
        <f t="shared" si="17"/>
        <v>1</v>
      </c>
      <c r="N93" s="33" t="s">
        <v>36</v>
      </c>
      <c r="O93" s="19"/>
    </row>
    <row r="94" spans="1:15" s="4" customFormat="1">
      <c r="A94" s="9" t="e">
        <f t="shared" ref="A94" si="42">+A93</f>
        <v>#REF!</v>
      </c>
      <c r="B94" s="21"/>
      <c r="C94" s="21"/>
      <c r="D94" s="61"/>
      <c r="E94" s="61">
        <f t="shared" si="32"/>
        <v>0</v>
      </c>
      <c r="F94" s="43"/>
      <c r="G94" s="56"/>
      <c r="H94" s="47">
        <f t="shared" si="33"/>
        <v>0</v>
      </c>
      <c r="I94" s="80"/>
      <c r="J94" s="77"/>
      <c r="K94" s="79"/>
      <c r="L94" s="19"/>
      <c r="M94" s="78">
        <f t="shared" si="17"/>
        <v>1</v>
      </c>
      <c r="N94" s="33" t="s">
        <v>36</v>
      </c>
      <c r="O94" s="19"/>
    </row>
    <row r="95" spans="1:15" s="4" customFormat="1">
      <c r="A95" s="9" t="e">
        <f t="shared" ref="A95" si="43">+A94</f>
        <v>#REF!</v>
      </c>
      <c r="B95" s="21"/>
      <c r="C95" s="21"/>
      <c r="D95" s="61"/>
      <c r="E95" s="61">
        <f t="shared" si="32"/>
        <v>0</v>
      </c>
      <c r="F95" s="43"/>
      <c r="G95" s="56"/>
      <c r="H95" s="47">
        <f t="shared" si="33"/>
        <v>0</v>
      </c>
      <c r="I95" s="80"/>
      <c r="J95" s="77"/>
      <c r="K95" s="79"/>
      <c r="L95" s="19"/>
      <c r="M95" s="78">
        <f t="shared" si="17"/>
        <v>1</v>
      </c>
      <c r="N95" s="33" t="s">
        <v>36</v>
      </c>
      <c r="O95" s="19"/>
    </row>
    <row r="96" spans="1:15" s="4" customFormat="1">
      <c r="A96" s="9" t="e">
        <f t="shared" ref="A96" si="44">+A95</f>
        <v>#REF!</v>
      </c>
      <c r="B96" s="21"/>
      <c r="C96" s="21"/>
      <c r="D96" s="61"/>
      <c r="E96" s="61">
        <f t="shared" si="32"/>
        <v>0</v>
      </c>
      <c r="F96" s="43"/>
      <c r="G96" s="56"/>
      <c r="H96" s="47">
        <f t="shared" si="33"/>
        <v>0</v>
      </c>
      <c r="I96" s="80"/>
      <c r="J96" s="77"/>
      <c r="K96" s="79"/>
      <c r="L96" s="19"/>
      <c r="M96" s="78">
        <f t="shared" si="17"/>
        <v>1</v>
      </c>
      <c r="N96" s="33" t="s">
        <v>36</v>
      </c>
      <c r="O96" s="19"/>
    </row>
    <row r="97" spans="1:15" s="4" customFormat="1">
      <c r="A97" s="9" t="e">
        <f t="shared" ref="A97" si="45">+A96</f>
        <v>#REF!</v>
      </c>
      <c r="B97" s="21"/>
      <c r="C97" s="21"/>
      <c r="D97" s="61"/>
      <c r="E97" s="61">
        <f t="shared" si="32"/>
        <v>0</v>
      </c>
      <c r="F97" s="43"/>
      <c r="G97" s="56"/>
      <c r="H97" s="47">
        <f t="shared" si="33"/>
        <v>0</v>
      </c>
      <c r="I97" s="80"/>
      <c r="J97" s="77"/>
      <c r="K97" s="79"/>
      <c r="L97" s="19"/>
      <c r="M97" s="78">
        <f t="shared" si="17"/>
        <v>1</v>
      </c>
      <c r="N97" s="33" t="s">
        <v>36</v>
      </c>
      <c r="O97" s="19"/>
    </row>
    <row r="98" spans="1:15" s="4" customFormat="1">
      <c r="A98" s="9" t="e">
        <f t="shared" ref="A98" si="46">+A97</f>
        <v>#REF!</v>
      </c>
      <c r="B98" s="21"/>
      <c r="C98" s="21"/>
      <c r="D98" s="61"/>
      <c r="E98" s="61">
        <f t="shared" si="32"/>
        <v>0</v>
      </c>
      <c r="F98" s="43"/>
      <c r="G98" s="56"/>
      <c r="H98" s="47">
        <f t="shared" si="33"/>
        <v>0</v>
      </c>
      <c r="I98" s="80"/>
      <c r="J98" s="77"/>
      <c r="K98" s="79"/>
      <c r="L98" s="19"/>
      <c r="M98" s="78">
        <f t="shared" si="17"/>
        <v>1</v>
      </c>
      <c r="N98" s="33" t="s">
        <v>36</v>
      </c>
      <c r="O98" s="19"/>
    </row>
    <row r="99" spans="1:15" s="4" customFormat="1" ht="18" customHeight="1">
      <c r="A99" s="9" t="e">
        <f t="shared" ref="A99" si="47">+A98</f>
        <v>#REF!</v>
      </c>
      <c r="B99" s="21"/>
      <c r="C99" s="21"/>
      <c r="D99" s="61"/>
      <c r="E99" s="61">
        <f t="shared" si="32"/>
        <v>0</v>
      </c>
      <c r="F99" s="43"/>
      <c r="G99" s="56"/>
      <c r="H99" s="47">
        <f t="shared" si="33"/>
        <v>0</v>
      </c>
      <c r="I99" s="80"/>
      <c r="J99" s="77"/>
      <c r="K99" s="79"/>
      <c r="L99" s="19"/>
      <c r="M99" s="78">
        <f t="shared" si="17"/>
        <v>1</v>
      </c>
      <c r="N99" s="33" t="s">
        <v>36</v>
      </c>
      <c r="O99" s="19"/>
    </row>
    <row r="100" spans="1:15" s="4" customFormat="1" ht="18" customHeight="1">
      <c r="A100" s="9" t="e">
        <f t="shared" ref="A100" si="48">+A99</f>
        <v>#REF!</v>
      </c>
      <c r="B100" s="21"/>
      <c r="C100" s="21"/>
      <c r="D100" s="61"/>
      <c r="E100" s="61">
        <f t="shared" si="32"/>
        <v>0</v>
      </c>
      <c r="F100" s="43"/>
      <c r="G100" s="56"/>
      <c r="H100" s="47">
        <f t="shared" si="33"/>
        <v>0</v>
      </c>
      <c r="I100" s="80"/>
      <c r="J100" s="77"/>
      <c r="K100" s="79"/>
      <c r="L100" s="19"/>
      <c r="M100" s="78">
        <f t="shared" si="17"/>
        <v>1</v>
      </c>
      <c r="N100" s="33" t="s">
        <v>36</v>
      </c>
      <c r="O100" s="19"/>
    </row>
    <row r="101" spans="1:15" s="4" customFormat="1" ht="18" customHeight="1">
      <c r="A101" s="9" t="e">
        <f t="shared" ref="A101" si="49">+A100</f>
        <v>#REF!</v>
      </c>
      <c r="B101" s="21"/>
      <c r="C101" s="21"/>
      <c r="D101" s="61"/>
      <c r="E101" s="61">
        <f t="shared" si="32"/>
        <v>0</v>
      </c>
      <c r="F101" s="43"/>
      <c r="G101" s="56"/>
      <c r="H101" s="47">
        <f t="shared" si="33"/>
        <v>0</v>
      </c>
      <c r="I101" s="80"/>
      <c r="J101" s="77"/>
      <c r="K101" s="79"/>
      <c r="L101" s="19"/>
      <c r="M101" s="78">
        <f t="shared" si="17"/>
        <v>1</v>
      </c>
      <c r="N101" s="33" t="s">
        <v>36</v>
      </c>
      <c r="O101" s="19"/>
    </row>
    <row r="102" spans="1:15" s="4" customFormat="1" ht="18" customHeight="1">
      <c r="A102" s="9" t="e">
        <f t="shared" ref="A102" si="50">+A101</f>
        <v>#REF!</v>
      </c>
      <c r="B102" s="21"/>
      <c r="C102" s="21"/>
      <c r="D102" s="61"/>
      <c r="E102" s="61">
        <f t="shared" si="32"/>
        <v>0</v>
      </c>
      <c r="F102" s="43"/>
      <c r="G102" s="56"/>
      <c r="H102" s="47">
        <f t="shared" si="33"/>
        <v>0</v>
      </c>
      <c r="I102" s="80"/>
      <c r="J102" s="77"/>
      <c r="K102" s="79"/>
      <c r="L102" s="19"/>
      <c r="M102" s="78">
        <f t="shared" si="17"/>
        <v>1</v>
      </c>
      <c r="N102" s="33" t="s">
        <v>36</v>
      </c>
      <c r="O102" s="19"/>
    </row>
    <row r="103" spans="1:15" s="4" customFormat="1" ht="18" customHeight="1">
      <c r="A103" s="9" t="e">
        <f t="shared" ref="A103" si="51">+A102</f>
        <v>#REF!</v>
      </c>
      <c r="B103" s="21"/>
      <c r="C103" s="21"/>
      <c r="D103" s="61"/>
      <c r="E103" s="61">
        <f t="shared" si="32"/>
        <v>0</v>
      </c>
      <c r="F103" s="43"/>
      <c r="G103" s="56"/>
      <c r="H103" s="47">
        <f t="shared" si="33"/>
        <v>0</v>
      </c>
      <c r="I103" s="80"/>
      <c r="J103" s="77"/>
      <c r="K103" s="79"/>
      <c r="L103" s="19"/>
      <c r="M103" s="78">
        <f t="shared" si="17"/>
        <v>1</v>
      </c>
      <c r="N103" s="33" t="s">
        <v>36</v>
      </c>
      <c r="O103" s="19"/>
    </row>
    <row r="104" spans="1:15" s="4" customFormat="1" ht="18" customHeight="1">
      <c r="A104" s="9" t="e">
        <f t="shared" ref="A104" si="52">+A103</f>
        <v>#REF!</v>
      </c>
      <c r="B104" s="21"/>
      <c r="C104" s="21"/>
      <c r="D104" s="61"/>
      <c r="E104" s="61">
        <f t="shared" si="32"/>
        <v>0</v>
      </c>
      <c r="F104" s="43"/>
      <c r="G104" s="56"/>
      <c r="H104" s="47">
        <f t="shared" si="33"/>
        <v>0</v>
      </c>
      <c r="I104" s="80"/>
      <c r="J104" s="77"/>
      <c r="K104" s="79"/>
      <c r="L104" s="19"/>
      <c r="M104" s="78">
        <f t="shared" si="17"/>
        <v>1</v>
      </c>
      <c r="N104" s="33" t="s">
        <v>36</v>
      </c>
      <c r="O104" s="19"/>
    </row>
    <row r="105" spans="1:15" s="4" customFormat="1" ht="18" customHeight="1">
      <c r="A105" s="9" t="e">
        <f t="shared" ref="A105" si="53">+A104</f>
        <v>#REF!</v>
      </c>
      <c r="B105" s="21"/>
      <c r="C105" s="21"/>
      <c r="D105" s="61"/>
      <c r="E105" s="61">
        <f t="shared" si="32"/>
        <v>0</v>
      </c>
      <c r="F105" s="43"/>
      <c r="G105" s="56"/>
      <c r="H105" s="47">
        <f t="shared" si="33"/>
        <v>0</v>
      </c>
      <c r="I105" s="80"/>
      <c r="J105" s="77"/>
      <c r="K105" s="79"/>
      <c r="L105" s="19"/>
      <c r="M105" s="78">
        <f t="shared" si="17"/>
        <v>1</v>
      </c>
      <c r="N105" s="33" t="s">
        <v>36</v>
      </c>
      <c r="O105" s="19"/>
    </row>
    <row r="106" spans="1:15" s="4" customFormat="1" ht="18" customHeight="1">
      <c r="A106" s="9" t="e">
        <f t="shared" ref="A106" si="54">+A105</f>
        <v>#REF!</v>
      </c>
      <c r="B106" s="21"/>
      <c r="C106" s="21"/>
      <c r="D106" s="61"/>
      <c r="E106" s="61">
        <f t="shared" si="32"/>
        <v>0</v>
      </c>
      <c r="F106" s="43"/>
      <c r="G106" s="56"/>
      <c r="H106" s="47">
        <f t="shared" si="33"/>
        <v>0</v>
      </c>
      <c r="I106" s="80"/>
      <c r="J106" s="77"/>
      <c r="K106" s="79"/>
      <c r="L106" s="19"/>
      <c r="M106" s="78">
        <f t="shared" si="17"/>
        <v>1</v>
      </c>
      <c r="N106" s="33" t="s">
        <v>36</v>
      </c>
      <c r="O106" s="19"/>
    </row>
    <row r="107" spans="1:15" s="4" customFormat="1" ht="18" customHeight="1">
      <c r="A107" s="9" t="e">
        <f t="shared" ref="A107" si="55">+A106</f>
        <v>#REF!</v>
      </c>
      <c r="B107" s="21"/>
      <c r="C107" s="21"/>
      <c r="D107" s="61"/>
      <c r="E107" s="61">
        <f t="shared" si="32"/>
        <v>0</v>
      </c>
      <c r="F107" s="43"/>
      <c r="G107" s="56"/>
      <c r="H107" s="47">
        <f t="shared" si="33"/>
        <v>0</v>
      </c>
      <c r="I107" s="80"/>
      <c r="J107" s="77"/>
      <c r="K107" s="79"/>
      <c r="L107" s="19"/>
      <c r="M107" s="78">
        <f t="shared" si="17"/>
        <v>1</v>
      </c>
      <c r="N107" s="33" t="s">
        <v>36</v>
      </c>
      <c r="O107" s="19"/>
    </row>
    <row r="108" spans="1:15" s="4" customFormat="1" ht="18" customHeight="1">
      <c r="A108" s="9" t="e">
        <f t="shared" ref="A108" si="56">+A107</f>
        <v>#REF!</v>
      </c>
      <c r="B108" s="21"/>
      <c r="C108" s="21"/>
      <c r="D108" s="61"/>
      <c r="E108" s="61">
        <f t="shared" si="32"/>
        <v>0</v>
      </c>
      <c r="F108" s="43"/>
      <c r="G108" s="56"/>
      <c r="H108" s="47">
        <f t="shared" si="33"/>
        <v>0</v>
      </c>
      <c r="I108" s="80"/>
      <c r="J108" s="77"/>
      <c r="K108" s="79"/>
      <c r="L108" s="19"/>
      <c r="M108" s="78">
        <f t="shared" si="17"/>
        <v>1</v>
      </c>
      <c r="N108" s="33" t="s">
        <v>36</v>
      </c>
      <c r="O108" s="19"/>
    </row>
    <row r="109" spans="1:15" s="4" customFormat="1" ht="18" customHeight="1">
      <c r="A109" s="9" t="e">
        <f t="shared" ref="A109" si="57">+A108</f>
        <v>#REF!</v>
      </c>
      <c r="B109" s="21"/>
      <c r="C109" s="21"/>
      <c r="D109" s="61"/>
      <c r="E109" s="61">
        <f t="shared" si="32"/>
        <v>0</v>
      </c>
      <c r="F109" s="43"/>
      <c r="G109" s="56"/>
      <c r="H109" s="47">
        <f t="shared" si="33"/>
        <v>0</v>
      </c>
      <c r="I109" s="80"/>
      <c r="J109" s="77"/>
      <c r="K109" s="79"/>
      <c r="L109" s="19"/>
      <c r="M109" s="78">
        <f t="shared" si="17"/>
        <v>1</v>
      </c>
      <c r="N109" s="33" t="s">
        <v>36</v>
      </c>
      <c r="O109" s="19"/>
    </row>
    <row r="110" spans="1:15" s="4" customFormat="1" ht="18" customHeight="1">
      <c r="A110" s="9" t="e">
        <f t="shared" ref="A110" si="58">+A109</f>
        <v>#REF!</v>
      </c>
      <c r="B110" s="21"/>
      <c r="C110" s="21"/>
      <c r="D110" s="61"/>
      <c r="E110" s="61">
        <f t="shared" si="32"/>
        <v>0</v>
      </c>
      <c r="F110" s="43"/>
      <c r="G110" s="56"/>
      <c r="H110" s="47">
        <f t="shared" si="33"/>
        <v>0</v>
      </c>
      <c r="I110" s="80"/>
      <c r="J110" s="77"/>
      <c r="K110" s="79"/>
      <c r="L110" s="19"/>
      <c r="M110" s="78">
        <f t="shared" si="17"/>
        <v>1</v>
      </c>
      <c r="N110" s="33" t="s">
        <v>36</v>
      </c>
      <c r="O110" s="19"/>
    </row>
    <row r="111" spans="1:15" s="4" customFormat="1" ht="18" customHeight="1">
      <c r="A111" s="9" t="e">
        <f t="shared" ref="A111" si="59">+A110</f>
        <v>#REF!</v>
      </c>
      <c r="B111" s="21"/>
      <c r="C111" s="21"/>
      <c r="D111" s="61"/>
      <c r="E111" s="61">
        <f t="shared" si="32"/>
        <v>0</v>
      </c>
      <c r="F111" s="43"/>
      <c r="G111" s="56"/>
      <c r="H111" s="47">
        <f t="shared" si="33"/>
        <v>0</v>
      </c>
      <c r="I111" s="80"/>
      <c r="J111" s="77"/>
      <c r="K111" s="79"/>
      <c r="L111" s="19"/>
      <c r="M111" s="78">
        <f t="shared" si="17"/>
        <v>1</v>
      </c>
      <c r="N111" s="33" t="s">
        <v>36</v>
      </c>
      <c r="O111" s="19"/>
    </row>
    <row r="112" spans="1:15" s="4" customFormat="1" ht="18" customHeight="1">
      <c r="A112" s="9" t="e">
        <f t="shared" ref="A112" si="60">+A111</f>
        <v>#REF!</v>
      </c>
      <c r="B112" s="21"/>
      <c r="C112" s="21"/>
      <c r="D112" s="61"/>
      <c r="E112" s="61">
        <f t="shared" si="32"/>
        <v>0</v>
      </c>
      <c r="F112" s="43"/>
      <c r="G112" s="56"/>
      <c r="H112" s="47">
        <f t="shared" si="33"/>
        <v>0</v>
      </c>
      <c r="I112" s="80"/>
      <c r="J112" s="77"/>
      <c r="K112" s="79"/>
      <c r="L112" s="19"/>
      <c r="M112" s="78">
        <f t="shared" si="17"/>
        <v>1</v>
      </c>
      <c r="N112" s="33" t="s">
        <v>36</v>
      </c>
      <c r="O112" s="19"/>
    </row>
    <row r="113" spans="1:17" s="4" customFormat="1" ht="18" customHeight="1">
      <c r="A113" s="9" t="e">
        <f t="shared" ref="A113" si="61">+A112</f>
        <v>#REF!</v>
      </c>
      <c r="B113" s="21"/>
      <c r="C113" s="21"/>
      <c r="D113" s="61"/>
      <c r="E113" s="61">
        <f t="shared" si="32"/>
        <v>0</v>
      </c>
      <c r="F113" s="43"/>
      <c r="G113" s="56"/>
      <c r="H113" s="47">
        <f t="shared" si="33"/>
        <v>0</v>
      </c>
      <c r="I113" s="80"/>
      <c r="J113" s="77"/>
      <c r="K113" s="79"/>
      <c r="L113" s="19"/>
      <c r="M113" s="78">
        <f t="shared" si="17"/>
        <v>1</v>
      </c>
      <c r="N113" s="33" t="s">
        <v>36</v>
      </c>
      <c r="O113" s="19"/>
    </row>
    <row r="114" spans="1:17" s="4" customFormat="1" ht="18" customHeight="1">
      <c r="A114" s="9" t="e">
        <f t="shared" ref="A114" si="62">+A113</f>
        <v>#REF!</v>
      </c>
      <c r="B114" s="21"/>
      <c r="C114" s="21"/>
      <c r="D114" s="61"/>
      <c r="E114" s="61">
        <f t="shared" si="32"/>
        <v>0</v>
      </c>
      <c r="F114" s="43"/>
      <c r="G114" s="56"/>
      <c r="H114" s="47">
        <f t="shared" si="33"/>
        <v>0</v>
      </c>
      <c r="I114" s="80"/>
      <c r="J114" s="77"/>
      <c r="K114" s="79"/>
      <c r="L114" s="19"/>
      <c r="M114" s="78">
        <f t="shared" si="17"/>
        <v>1</v>
      </c>
      <c r="N114" s="33" t="s">
        <v>36</v>
      </c>
      <c r="O114" s="19"/>
      <c r="Q114" s="2"/>
    </row>
    <row r="115" spans="1:17" s="4" customFormat="1" ht="18" customHeight="1">
      <c r="A115" s="9" t="e">
        <f t="shared" ref="A115" si="63">+A114</f>
        <v>#REF!</v>
      </c>
      <c r="B115" s="21"/>
      <c r="C115" s="21"/>
      <c r="D115" s="61"/>
      <c r="E115" s="61">
        <f t="shared" si="32"/>
        <v>0</v>
      </c>
      <c r="F115" s="43"/>
      <c r="G115" s="56"/>
      <c r="H115" s="47">
        <f t="shared" si="33"/>
        <v>0</v>
      </c>
      <c r="I115" s="80"/>
      <c r="J115" s="77"/>
      <c r="K115" s="79"/>
      <c r="L115" s="19"/>
      <c r="M115" s="78">
        <f t="shared" si="17"/>
        <v>1</v>
      </c>
      <c r="N115" s="33" t="s">
        <v>36</v>
      </c>
      <c r="O115" s="19"/>
      <c r="Q115" s="2"/>
    </row>
    <row r="116" spans="1:17" s="4" customFormat="1" ht="18" customHeight="1">
      <c r="A116" s="9" t="e">
        <f t="shared" ref="A116" si="64">+A115</f>
        <v>#REF!</v>
      </c>
      <c r="B116" s="21"/>
      <c r="C116" s="21"/>
      <c r="D116" s="61"/>
      <c r="E116" s="61">
        <f t="shared" si="32"/>
        <v>0</v>
      </c>
      <c r="F116" s="43"/>
      <c r="G116" s="56"/>
      <c r="H116" s="47">
        <f t="shared" si="33"/>
        <v>0</v>
      </c>
      <c r="I116" s="80"/>
      <c r="J116" s="77"/>
      <c r="K116" s="79"/>
      <c r="L116" s="19"/>
      <c r="M116" s="78">
        <f t="shared" si="17"/>
        <v>1</v>
      </c>
      <c r="N116" s="33" t="s">
        <v>36</v>
      </c>
      <c r="O116" s="19"/>
    </row>
    <row r="117" spans="1:17" s="4" customFormat="1" ht="18" customHeight="1">
      <c r="A117" s="9" t="e">
        <f t="shared" ref="A117" si="65">+A116</f>
        <v>#REF!</v>
      </c>
      <c r="B117" s="21"/>
      <c r="C117" s="21"/>
      <c r="D117" s="61"/>
      <c r="E117" s="61">
        <f t="shared" si="32"/>
        <v>0</v>
      </c>
      <c r="F117" s="43"/>
      <c r="G117" s="56"/>
      <c r="H117" s="47">
        <f t="shared" si="33"/>
        <v>0</v>
      </c>
      <c r="I117" s="80"/>
      <c r="J117" s="77"/>
      <c r="K117" s="79"/>
      <c r="L117" s="19"/>
      <c r="M117" s="78">
        <f t="shared" si="17"/>
        <v>1</v>
      </c>
      <c r="N117" s="33" t="s">
        <v>36</v>
      </c>
      <c r="O117" s="19"/>
    </row>
    <row r="118" spans="1:17" s="4" customFormat="1" ht="18" customHeight="1">
      <c r="A118" s="9" t="e">
        <f t="shared" ref="A118" si="66">+A117</f>
        <v>#REF!</v>
      </c>
      <c r="B118" s="21"/>
      <c r="C118" s="21"/>
      <c r="D118" s="61"/>
      <c r="E118" s="61">
        <f t="shared" si="32"/>
        <v>0</v>
      </c>
      <c r="F118" s="43"/>
      <c r="G118" s="56"/>
      <c r="H118" s="47">
        <f t="shared" si="33"/>
        <v>0</v>
      </c>
      <c r="I118" s="80"/>
      <c r="J118" s="77"/>
      <c r="K118" s="79"/>
      <c r="L118" s="19"/>
      <c r="M118" s="78">
        <f t="shared" si="17"/>
        <v>1</v>
      </c>
      <c r="N118" s="33" t="s">
        <v>36</v>
      </c>
      <c r="O118" s="19"/>
    </row>
    <row r="119" spans="1:17" s="4" customFormat="1" ht="18" customHeight="1">
      <c r="A119" s="9" t="e">
        <f t="shared" ref="A119" si="67">+A118</f>
        <v>#REF!</v>
      </c>
      <c r="B119" s="21"/>
      <c r="C119" s="21"/>
      <c r="D119" s="61"/>
      <c r="E119" s="61">
        <f t="shared" si="32"/>
        <v>0</v>
      </c>
      <c r="F119" s="43"/>
      <c r="G119" s="56"/>
      <c r="H119" s="47">
        <f t="shared" si="33"/>
        <v>0</v>
      </c>
      <c r="I119" s="80"/>
      <c r="J119" s="77"/>
      <c r="K119" s="79"/>
      <c r="L119" s="19"/>
      <c r="M119" s="78">
        <f t="shared" si="17"/>
        <v>1</v>
      </c>
      <c r="N119" s="33" t="s">
        <v>36</v>
      </c>
      <c r="O119" s="19"/>
    </row>
    <row r="120" spans="1:17" s="4" customFormat="1" ht="18" customHeight="1">
      <c r="A120" s="9" t="e">
        <f t="shared" ref="A120" si="68">+A119</f>
        <v>#REF!</v>
      </c>
      <c r="B120" s="21"/>
      <c r="C120" s="21"/>
      <c r="D120" s="61"/>
      <c r="E120" s="61">
        <f t="shared" si="32"/>
        <v>0</v>
      </c>
      <c r="F120" s="43"/>
      <c r="G120" s="56"/>
      <c r="H120" s="47">
        <f t="shared" si="33"/>
        <v>0</v>
      </c>
      <c r="I120" s="80"/>
      <c r="J120" s="77"/>
      <c r="K120" s="79"/>
      <c r="L120" s="19"/>
      <c r="M120" s="78">
        <f t="shared" si="17"/>
        <v>1</v>
      </c>
      <c r="N120" s="33" t="s">
        <v>36</v>
      </c>
      <c r="O120" s="19"/>
    </row>
    <row r="121" spans="1:17" s="4" customFormat="1" ht="18" customHeight="1">
      <c r="A121" s="9" t="e">
        <f t="shared" ref="A121" si="69">+A120</f>
        <v>#REF!</v>
      </c>
      <c r="B121" s="21"/>
      <c r="C121" s="21"/>
      <c r="D121" s="61"/>
      <c r="E121" s="61">
        <f t="shared" si="32"/>
        <v>0</v>
      </c>
      <c r="F121" s="43"/>
      <c r="G121" s="56"/>
      <c r="H121" s="47">
        <f t="shared" si="33"/>
        <v>0</v>
      </c>
      <c r="I121" s="80"/>
      <c r="J121" s="77"/>
      <c r="K121" s="79"/>
      <c r="L121" s="19"/>
      <c r="M121" s="78">
        <f t="shared" si="17"/>
        <v>1</v>
      </c>
      <c r="N121" s="33" t="s">
        <v>36</v>
      </c>
      <c r="O121" s="19"/>
    </row>
    <row r="122" spans="1:17" s="4" customFormat="1" ht="18" customHeight="1">
      <c r="A122" s="9" t="e">
        <f t="shared" ref="A122" si="70">+A121</f>
        <v>#REF!</v>
      </c>
      <c r="B122" s="21"/>
      <c r="C122" s="21"/>
      <c r="D122" s="61"/>
      <c r="E122" s="61">
        <f t="shared" si="32"/>
        <v>0</v>
      </c>
      <c r="F122" s="43"/>
      <c r="G122" s="56"/>
      <c r="H122" s="47">
        <f t="shared" si="33"/>
        <v>0</v>
      </c>
      <c r="I122" s="80"/>
      <c r="J122" s="77"/>
      <c r="K122" s="79"/>
      <c r="L122" s="19"/>
      <c r="M122" s="78">
        <f t="shared" si="17"/>
        <v>1</v>
      </c>
      <c r="N122" s="33" t="s">
        <v>36</v>
      </c>
      <c r="O122" s="19"/>
    </row>
    <row r="123" spans="1:17" s="4" customFormat="1" ht="18" customHeight="1">
      <c r="A123" s="9" t="e">
        <f t="shared" ref="A123" si="71">+A122</f>
        <v>#REF!</v>
      </c>
      <c r="B123" s="21"/>
      <c r="C123" s="21"/>
      <c r="D123" s="61"/>
      <c r="E123" s="61">
        <f t="shared" si="32"/>
        <v>0</v>
      </c>
      <c r="F123" s="43"/>
      <c r="G123" s="56"/>
      <c r="H123" s="47">
        <f t="shared" si="33"/>
        <v>0</v>
      </c>
      <c r="I123" s="80"/>
      <c r="J123" s="77"/>
      <c r="K123" s="79"/>
      <c r="L123" s="19"/>
      <c r="M123" s="78">
        <f t="shared" si="17"/>
        <v>1</v>
      </c>
      <c r="N123" s="33" t="s">
        <v>36</v>
      </c>
      <c r="O123" s="19"/>
    </row>
    <row r="124" spans="1:17" s="4" customFormat="1" ht="18" customHeight="1">
      <c r="A124" s="9" t="e">
        <f t="shared" ref="A124" si="72">+A123</f>
        <v>#REF!</v>
      </c>
      <c r="B124" s="21"/>
      <c r="C124" s="21"/>
      <c r="D124" s="57"/>
      <c r="E124" s="61">
        <f t="shared" si="32"/>
        <v>0</v>
      </c>
      <c r="F124" s="43"/>
      <c r="G124" s="56"/>
      <c r="H124" s="47">
        <f t="shared" si="33"/>
        <v>0</v>
      </c>
      <c r="I124" s="80"/>
      <c r="J124" s="77"/>
      <c r="K124" s="79"/>
      <c r="L124" s="19"/>
      <c r="M124" s="78">
        <f>+WEEKNUM(K124,2)</f>
        <v>1</v>
      </c>
      <c r="N124" s="33" t="s">
        <v>36</v>
      </c>
      <c r="O124" s="19"/>
    </row>
    <row r="125" spans="1:17" s="4" customFormat="1" ht="18" customHeight="1">
      <c r="A125" s="9" t="e">
        <f t="shared" ref="A125" si="73">+A124</f>
        <v>#REF!</v>
      </c>
      <c r="B125" s="21"/>
      <c r="C125" s="21"/>
      <c r="D125" s="57"/>
      <c r="E125" s="61">
        <f t="shared" si="32"/>
        <v>0</v>
      </c>
      <c r="F125" s="43"/>
      <c r="G125" s="56"/>
      <c r="H125" s="47">
        <f t="shared" si="33"/>
        <v>0</v>
      </c>
      <c r="I125" s="80"/>
      <c r="J125" s="77"/>
      <c r="K125" s="79"/>
      <c r="L125" s="19"/>
      <c r="M125" s="78">
        <f t="shared" si="17"/>
        <v>1</v>
      </c>
      <c r="N125" s="33" t="s">
        <v>36</v>
      </c>
      <c r="O125" s="19"/>
    </row>
    <row r="126" spans="1:17" s="4" customFormat="1" ht="18" customHeight="1">
      <c r="A126" s="9" t="e">
        <f t="shared" ref="A126" si="74">+A125</f>
        <v>#REF!</v>
      </c>
      <c r="B126" s="21"/>
      <c r="C126" s="21"/>
      <c r="D126" s="57"/>
      <c r="E126" s="61">
        <f t="shared" si="32"/>
        <v>0</v>
      </c>
      <c r="F126" s="43"/>
      <c r="G126" s="56"/>
      <c r="H126" s="47">
        <f t="shared" si="33"/>
        <v>0</v>
      </c>
      <c r="I126" s="80"/>
      <c r="J126" s="77"/>
      <c r="K126" s="79"/>
      <c r="L126" s="19"/>
      <c r="M126" s="78">
        <f t="shared" si="17"/>
        <v>1</v>
      </c>
      <c r="N126" s="33" t="s">
        <v>36</v>
      </c>
      <c r="O126" s="19"/>
    </row>
    <row r="127" spans="1:17" s="4" customFormat="1" ht="18" customHeight="1">
      <c r="A127" s="9" t="e">
        <f t="shared" ref="A127" si="75">+A126</f>
        <v>#REF!</v>
      </c>
      <c r="B127" s="21"/>
      <c r="C127" s="21"/>
      <c r="D127" s="57"/>
      <c r="E127" s="61">
        <f t="shared" si="32"/>
        <v>0</v>
      </c>
      <c r="F127" s="43"/>
      <c r="G127" s="56"/>
      <c r="H127" s="47">
        <f t="shared" si="33"/>
        <v>0</v>
      </c>
      <c r="I127" s="80"/>
      <c r="J127" s="77"/>
      <c r="K127" s="79"/>
      <c r="L127" s="19"/>
      <c r="M127" s="78">
        <f t="shared" si="17"/>
        <v>1</v>
      </c>
      <c r="N127" s="33" t="s">
        <v>36</v>
      </c>
      <c r="O127" s="19"/>
    </row>
    <row r="128" spans="1:17" s="4" customFormat="1" ht="18" customHeight="1">
      <c r="A128" s="9" t="e">
        <f t="shared" ref="A128" si="76">+A127</f>
        <v>#REF!</v>
      </c>
      <c r="B128" s="21"/>
      <c r="C128" s="21"/>
      <c r="D128" s="57"/>
      <c r="E128" s="61">
        <f t="shared" si="32"/>
        <v>0</v>
      </c>
      <c r="F128" s="43"/>
      <c r="G128" s="56"/>
      <c r="H128" s="47">
        <f t="shared" si="33"/>
        <v>0</v>
      </c>
      <c r="I128" s="80"/>
      <c r="J128" s="77"/>
      <c r="K128" s="79"/>
      <c r="L128" s="19"/>
      <c r="M128" s="78">
        <f t="shared" si="17"/>
        <v>1</v>
      </c>
      <c r="N128" s="33" t="s">
        <v>36</v>
      </c>
      <c r="O128" s="19"/>
    </row>
    <row r="129" spans="1:15" s="4" customFormat="1" ht="18" customHeight="1">
      <c r="A129" s="9" t="e">
        <f t="shared" ref="A129" si="77">+A128</f>
        <v>#REF!</v>
      </c>
      <c r="B129" s="21"/>
      <c r="C129" s="21"/>
      <c r="D129" s="57"/>
      <c r="E129" s="61">
        <f t="shared" si="32"/>
        <v>0</v>
      </c>
      <c r="F129" s="43"/>
      <c r="G129" s="56"/>
      <c r="H129" s="47">
        <f t="shared" si="33"/>
        <v>0</v>
      </c>
      <c r="I129" s="80"/>
      <c r="J129" s="77"/>
      <c r="K129" s="79"/>
      <c r="L129" s="19"/>
      <c r="M129" s="78">
        <f t="shared" si="17"/>
        <v>1</v>
      </c>
      <c r="N129" s="33" t="s">
        <v>36</v>
      </c>
      <c r="O129" s="19"/>
    </row>
    <row r="130" spans="1:15" s="4" customFormat="1" ht="18" customHeight="1">
      <c r="A130" s="9" t="e">
        <f t="shared" ref="A130" si="78">+A129</f>
        <v>#REF!</v>
      </c>
      <c r="B130" s="21"/>
      <c r="C130" s="21"/>
      <c r="D130" s="57"/>
      <c r="E130" s="61">
        <f t="shared" si="32"/>
        <v>0</v>
      </c>
      <c r="F130" s="43"/>
      <c r="G130" s="56"/>
      <c r="H130" s="47">
        <f t="shared" si="33"/>
        <v>0</v>
      </c>
      <c r="I130" s="80"/>
      <c r="J130" s="77"/>
      <c r="K130" s="79"/>
      <c r="L130" s="19"/>
      <c r="M130" s="78">
        <f t="shared" si="17"/>
        <v>1</v>
      </c>
      <c r="N130" s="33" t="s">
        <v>36</v>
      </c>
      <c r="O130" s="19"/>
    </row>
    <row r="131" spans="1:15" s="4" customFormat="1" ht="18" customHeight="1">
      <c r="A131" s="9" t="e">
        <f t="shared" ref="A131" si="79">+A130</f>
        <v>#REF!</v>
      </c>
      <c r="B131" s="21"/>
      <c r="C131" s="21"/>
      <c r="D131" s="57"/>
      <c r="E131" s="61">
        <f t="shared" si="32"/>
        <v>0</v>
      </c>
      <c r="F131" s="43"/>
      <c r="G131" s="56"/>
      <c r="H131" s="47">
        <f t="shared" si="33"/>
        <v>0</v>
      </c>
      <c r="I131" s="80"/>
      <c r="J131" s="77"/>
      <c r="K131" s="79"/>
      <c r="L131" s="19"/>
      <c r="M131" s="78">
        <f t="shared" si="17"/>
        <v>1</v>
      </c>
      <c r="N131" s="33" t="s">
        <v>36</v>
      </c>
      <c r="O131" s="19"/>
    </row>
    <row r="132" spans="1:15" s="4" customFormat="1" ht="18" customHeight="1">
      <c r="A132" s="9" t="e">
        <f t="shared" ref="A132" si="80">+A131</f>
        <v>#REF!</v>
      </c>
      <c r="B132" s="21"/>
      <c r="C132" s="21"/>
      <c r="D132" s="57"/>
      <c r="E132" s="61">
        <f t="shared" si="32"/>
        <v>0</v>
      </c>
      <c r="F132" s="43"/>
      <c r="G132" s="56"/>
      <c r="H132" s="47">
        <f t="shared" si="33"/>
        <v>0</v>
      </c>
      <c r="I132" s="80"/>
      <c r="J132" s="77"/>
      <c r="K132" s="79"/>
      <c r="L132" s="19"/>
      <c r="M132" s="78">
        <f t="shared" si="17"/>
        <v>1</v>
      </c>
      <c r="N132" s="33" t="s">
        <v>36</v>
      </c>
      <c r="O132" s="19"/>
    </row>
    <row r="133" spans="1:15" s="4" customFormat="1" ht="18" customHeight="1">
      <c r="A133" s="9" t="e">
        <f t="shared" ref="A133" si="81">+A132</f>
        <v>#REF!</v>
      </c>
      <c r="B133" s="21"/>
      <c r="C133" s="21"/>
      <c r="D133" s="57"/>
      <c r="E133" s="61">
        <f t="shared" si="32"/>
        <v>0</v>
      </c>
      <c r="F133" s="43"/>
      <c r="G133" s="56"/>
      <c r="H133" s="47">
        <f t="shared" si="33"/>
        <v>0</v>
      </c>
      <c r="I133" s="80"/>
      <c r="J133" s="77"/>
      <c r="K133" s="79"/>
      <c r="L133" s="19"/>
      <c r="M133" s="78">
        <f t="shared" si="17"/>
        <v>1</v>
      </c>
      <c r="N133" s="33" t="s">
        <v>36</v>
      </c>
      <c r="O133" s="19"/>
    </row>
    <row r="134" spans="1:15" s="4" customFormat="1" ht="18" customHeight="1">
      <c r="A134" s="9" t="e">
        <f t="shared" ref="A134" si="82">+A133</f>
        <v>#REF!</v>
      </c>
      <c r="B134" s="21"/>
      <c r="C134" s="21"/>
      <c r="D134" s="57"/>
      <c r="E134" s="61">
        <f t="shared" ref="E134:E197" si="83">+B134</f>
        <v>0</v>
      </c>
      <c r="F134" s="43"/>
      <c r="G134" s="56"/>
      <c r="H134" s="47">
        <f t="shared" si="33"/>
        <v>0</v>
      </c>
      <c r="I134" s="80"/>
      <c r="J134" s="77"/>
      <c r="K134" s="79"/>
      <c r="L134" s="19"/>
      <c r="M134" s="78">
        <f t="shared" ref="M134:M197" si="84">+WEEKNUM(K134,2)</f>
        <v>1</v>
      </c>
      <c r="N134" s="33" t="s">
        <v>36</v>
      </c>
      <c r="O134" s="19"/>
    </row>
    <row r="135" spans="1:15" s="4" customFormat="1" ht="18" customHeight="1">
      <c r="A135" s="9" t="e">
        <f t="shared" ref="A135" si="85">+A134</f>
        <v>#REF!</v>
      </c>
      <c r="B135" s="21"/>
      <c r="C135" s="21"/>
      <c r="D135" s="57"/>
      <c r="E135" s="61">
        <f t="shared" si="83"/>
        <v>0</v>
      </c>
      <c r="F135" s="43"/>
      <c r="G135" s="56"/>
      <c r="H135" s="47">
        <f t="shared" si="33"/>
        <v>0</v>
      </c>
      <c r="I135" s="80"/>
      <c r="J135" s="77"/>
      <c r="K135" s="79"/>
      <c r="L135" s="19"/>
      <c r="M135" s="78">
        <f t="shared" si="84"/>
        <v>1</v>
      </c>
      <c r="N135" s="33" t="s">
        <v>36</v>
      </c>
      <c r="O135" s="19"/>
    </row>
    <row r="136" spans="1:15" s="4" customFormat="1" ht="18" customHeight="1">
      <c r="A136" s="9" t="e">
        <f t="shared" ref="A136" si="86">+A135</f>
        <v>#REF!</v>
      </c>
      <c r="B136" s="21"/>
      <c r="C136" s="21"/>
      <c r="D136" s="57"/>
      <c r="E136" s="61">
        <f t="shared" si="83"/>
        <v>0</v>
      </c>
      <c r="F136" s="43"/>
      <c r="G136" s="56"/>
      <c r="H136" s="47">
        <f t="shared" si="33"/>
        <v>0</v>
      </c>
      <c r="I136" s="80"/>
      <c r="J136" s="77"/>
      <c r="K136" s="79"/>
      <c r="L136" s="19"/>
      <c r="M136" s="78">
        <f t="shared" si="84"/>
        <v>1</v>
      </c>
      <c r="N136" s="33" t="s">
        <v>36</v>
      </c>
      <c r="O136" s="19"/>
    </row>
    <row r="137" spans="1:15" s="4" customFormat="1" ht="18" customHeight="1">
      <c r="A137" s="9" t="e">
        <f t="shared" ref="A137" si="87">+A136</f>
        <v>#REF!</v>
      </c>
      <c r="B137" s="21"/>
      <c r="C137" s="21"/>
      <c r="D137" s="57"/>
      <c r="E137" s="61">
        <f t="shared" si="83"/>
        <v>0</v>
      </c>
      <c r="F137" s="43"/>
      <c r="G137" s="56"/>
      <c r="H137" s="47">
        <f t="shared" si="33"/>
        <v>0</v>
      </c>
      <c r="I137" s="80"/>
      <c r="J137" s="77"/>
      <c r="K137" s="79"/>
      <c r="L137" s="19"/>
      <c r="M137" s="78">
        <f t="shared" si="84"/>
        <v>1</v>
      </c>
      <c r="N137" s="33" t="s">
        <v>36</v>
      </c>
      <c r="O137" s="19"/>
    </row>
    <row r="138" spans="1:15" s="4" customFormat="1" ht="18" customHeight="1">
      <c r="A138" s="9" t="e">
        <f t="shared" ref="A138" si="88">+A137</f>
        <v>#REF!</v>
      </c>
      <c r="B138" s="21"/>
      <c r="C138" s="21"/>
      <c r="D138" s="57"/>
      <c r="E138" s="61">
        <f t="shared" si="83"/>
        <v>0</v>
      </c>
      <c r="F138" s="43"/>
      <c r="G138" s="56"/>
      <c r="H138" s="47">
        <f t="shared" si="33"/>
        <v>0</v>
      </c>
      <c r="I138" s="80"/>
      <c r="J138" s="77"/>
      <c r="K138" s="79"/>
      <c r="L138" s="19"/>
      <c r="M138" s="78">
        <f t="shared" si="84"/>
        <v>1</v>
      </c>
      <c r="N138" s="33" t="s">
        <v>36</v>
      </c>
      <c r="O138" s="19"/>
    </row>
    <row r="139" spans="1:15" s="4" customFormat="1" ht="18" customHeight="1">
      <c r="A139" s="9" t="e">
        <f t="shared" ref="A139" si="89">+A138</f>
        <v>#REF!</v>
      </c>
      <c r="B139" s="21"/>
      <c r="C139" s="21"/>
      <c r="D139" s="57"/>
      <c r="E139" s="61">
        <f t="shared" si="83"/>
        <v>0</v>
      </c>
      <c r="F139" s="43"/>
      <c r="G139" s="56"/>
      <c r="H139" s="47">
        <f t="shared" si="33"/>
        <v>0</v>
      </c>
      <c r="I139" s="80"/>
      <c r="J139" s="77"/>
      <c r="K139" s="79"/>
      <c r="L139" s="19"/>
      <c r="M139" s="78">
        <f t="shared" si="84"/>
        <v>1</v>
      </c>
      <c r="N139" s="33" t="s">
        <v>36</v>
      </c>
      <c r="O139" s="19"/>
    </row>
    <row r="140" spans="1:15" s="4" customFormat="1" ht="18" customHeight="1">
      <c r="A140" s="9" t="e">
        <f t="shared" ref="A140" si="90">+A139</f>
        <v>#REF!</v>
      </c>
      <c r="B140" s="21"/>
      <c r="C140" s="21"/>
      <c r="D140" s="57"/>
      <c r="E140" s="61">
        <f t="shared" si="83"/>
        <v>0</v>
      </c>
      <c r="F140" s="43"/>
      <c r="G140" s="56"/>
      <c r="H140" s="47">
        <f t="shared" si="33"/>
        <v>0</v>
      </c>
      <c r="I140" s="80"/>
      <c r="J140" s="77"/>
      <c r="K140" s="79"/>
      <c r="L140" s="19"/>
      <c r="M140" s="78">
        <f t="shared" si="84"/>
        <v>1</v>
      </c>
      <c r="N140" s="33" t="s">
        <v>36</v>
      </c>
      <c r="O140" s="19"/>
    </row>
    <row r="141" spans="1:15" s="4" customFormat="1" ht="18" customHeight="1">
      <c r="A141" s="9" t="e">
        <f t="shared" ref="A141" si="91">+A140</f>
        <v>#REF!</v>
      </c>
      <c r="B141" s="21"/>
      <c r="C141" s="21"/>
      <c r="D141" s="57"/>
      <c r="E141" s="61">
        <f t="shared" si="83"/>
        <v>0</v>
      </c>
      <c r="F141" s="43"/>
      <c r="G141" s="56"/>
      <c r="H141" s="47">
        <f t="shared" si="33"/>
        <v>0</v>
      </c>
      <c r="I141" s="80"/>
      <c r="J141" s="77"/>
      <c r="K141" s="79"/>
      <c r="L141" s="19"/>
      <c r="M141" s="78">
        <f t="shared" si="84"/>
        <v>1</v>
      </c>
      <c r="N141" s="33" t="s">
        <v>36</v>
      </c>
      <c r="O141" s="19"/>
    </row>
    <row r="142" spans="1:15" s="4" customFormat="1" ht="18" customHeight="1">
      <c r="A142" s="9" t="e">
        <f t="shared" ref="A142" si="92">+A141</f>
        <v>#REF!</v>
      </c>
      <c r="B142" s="21"/>
      <c r="C142" s="21"/>
      <c r="D142" s="57"/>
      <c r="E142" s="61">
        <f t="shared" si="83"/>
        <v>0</v>
      </c>
      <c r="F142" s="43"/>
      <c r="G142" s="56"/>
      <c r="H142" s="47">
        <f t="shared" si="33"/>
        <v>0</v>
      </c>
      <c r="I142" s="80"/>
      <c r="J142" s="77"/>
      <c r="K142" s="79"/>
      <c r="L142" s="19"/>
      <c r="M142" s="78">
        <f t="shared" si="84"/>
        <v>1</v>
      </c>
      <c r="N142" s="33" t="s">
        <v>36</v>
      </c>
      <c r="O142" s="19"/>
    </row>
    <row r="143" spans="1:15" s="4" customFormat="1" ht="18" customHeight="1">
      <c r="A143" s="9" t="e">
        <f t="shared" ref="A143" si="93">+A142</f>
        <v>#REF!</v>
      </c>
      <c r="B143" s="21"/>
      <c r="C143" s="21"/>
      <c r="D143" s="57"/>
      <c r="E143" s="61">
        <f t="shared" si="83"/>
        <v>0</v>
      </c>
      <c r="F143" s="43"/>
      <c r="G143" s="56"/>
      <c r="H143" s="47">
        <f t="shared" si="33"/>
        <v>0</v>
      </c>
      <c r="I143" s="80"/>
      <c r="J143" s="77"/>
      <c r="K143" s="79"/>
      <c r="L143" s="19"/>
      <c r="M143" s="78">
        <f t="shared" si="84"/>
        <v>1</v>
      </c>
      <c r="N143" s="33" t="s">
        <v>36</v>
      </c>
      <c r="O143" s="19"/>
    </row>
    <row r="144" spans="1:15" s="4" customFormat="1" ht="18" customHeight="1">
      <c r="A144" s="9" t="e">
        <f t="shared" ref="A144" si="94">+A143</f>
        <v>#REF!</v>
      </c>
      <c r="B144" s="21"/>
      <c r="C144" s="21"/>
      <c r="D144" s="57"/>
      <c r="E144" s="61">
        <f t="shared" si="83"/>
        <v>0</v>
      </c>
      <c r="F144" s="43"/>
      <c r="G144" s="56"/>
      <c r="H144" s="47">
        <f t="shared" si="33"/>
        <v>0</v>
      </c>
      <c r="I144" s="80"/>
      <c r="J144" s="77"/>
      <c r="K144" s="79"/>
      <c r="L144" s="19"/>
      <c r="M144" s="78">
        <f t="shared" si="84"/>
        <v>1</v>
      </c>
      <c r="N144" s="33" t="s">
        <v>36</v>
      </c>
      <c r="O144" s="19"/>
    </row>
    <row r="145" spans="1:15" s="4" customFormat="1" ht="18" customHeight="1">
      <c r="A145" s="9" t="e">
        <f t="shared" ref="A145" si="95">+A144</f>
        <v>#REF!</v>
      </c>
      <c r="B145" s="21"/>
      <c r="C145" s="21"/>
      <c r="D145" s="57"/>
      <c r="E145" s="61">
        <f t="shared" si="83"/>
        <v>0</v>
      </c>
      <c r="F145" s="43"/>
      <c r="G145" s="56"/>
      <c r="H145" s="47">
        <f t="shared" si="33"/>
        <v>0</v>
      </c>
      <c r="I145" s="80"/>
      <c r="J145" s="77"/>
      <c r="K145" s="79"/>
      <c r="L145" s="19"/>
      <c r="M145" s="78">
        <f t="shared" si="84"/>
        <v>1</v>
      </c>
      <c r="N145" s="33" t="s">
        <v>36</v>
      </c>
      <c r="O145" s="19"/>
    </row>
    <row r="146" spans="1:15" s="4" customFormat="1" ht="18" customHeight="1">
      <c r="A146" s="9" t="e">
        <f t="shared" ref="A146" si="96">+A145</f>
        <v>#REF!</v>
      </c>
      <c r="B146" s="21"/>
      <c r="C146" s="21"/>
      <c r="D146" s="57"/>
      <c r="E146" s="61">
        <f t="shared" si="83"/>
        <v>0</v>
      </c>
      <c r="F146" s="43"/>
      <c r="G146" s="56"/>
      <c r="H146" s="47">
        <f t="shared" si="33"/>
        <v>0</v>
      </c>
      <c r="I146" s="80"/>
      <c r="J146" s="77"/>
      <c r="K146" s="79"/>
      <c r="L146" s="19"/>
      <c r="M146" s="78">
        <f t="shared" si="84"/>
        <v>1</v>
      </c>
      <c r="N146" s="33" t="s">
        <v>36</v>
      </c>
      <c r="O146" s="19"/>
    </row>
    <row r="147" spans="1:15" s="4" customFormat="1" ht="18" customHeight="1">
      <c r="A147" s="9" t="e">
        <f t="shared" ref="A147" si="97">+A146</f>
        <v>#REF!</v>
      </c>
      <c r="B147" s="21"/>
      <c r="C147" s="21"/>
      <c r="D147" s="57"/>
      <c r="E147" s="61">
        <f t="shared" si="83"/>
        <v>0</v>
      </c>
      <c r="F147" s="43"/>
      <c r="G147" s="56"/>
      <c r="H147" s="47">
        <f t="shared" ref="H147:H210" si="98">+G147</f>
        <v>0</v>
      </c>
      <c r="I147" s="80"/>
      <c r="J147" s="77"/>
      <c r="K147" s="79"/>
      <c r="L147" s="19"/>
      <c r="M147" s="78">
        <f t="shared" si="84"/>
        <v>1</v>
      </c>
      <c r="N147" s="33" t="s">
        <v>36</v>
      </c>
      <c r="O147" s="19"/>
    </row>
    <row r="148" spans="1:15" s="4" customFormat="1" ht="18" customHeight="1">
      <c r="A148" s="9" t="e">
        <f t="shared" ref="A148" si="99">+A147</f>
        <v>#REF!</v>
      </c>
      <c r="B148" s="21"/>
      <c r="C148" s="21"/>
      <c r="D148" s="57"/>
      <c r="E148" s="61">
        <f t="shared" si="83"/>
        <v>0</v>
      </c>
      <c r="F148" s="43"/>
      <c r="G148" s="56"/>
      <c r="H148" s="47">
        <f t="shared" si="98"/>
        <v>0</v>
      </c>
      <c r="I148" s="80"/>
      <c r="J148" s="77"/>
      <c r="K148" s="79"/>
      <c r="L148" s="19"/>
      <c r="M148" s="78">
        <f t="shared" si="84"/>
        <v>1</v>
      </c>
      <c r="N148" s="33" t="s">
        <v>36</v>
      </c>
      <c r="O148" s="19"/>
    </row>
    <row r="149" spans="1:15" s="4" customFormat="1" ht="18" customHeight="1">
      <c r="A149" s="9" t="e">
        <f t="shared" ref="A149" si="100">+A148</f>
        <v>#REF!</v>
      </c>
      <c r="B149" s="21"/>
      <c r="C149" s="21"/>
      <c r="D149" s="57"/>
      <c r="E149" s="61">
        <f t="shared" si="83"/>
        <v>0</v>
      </c>
      <c r="F149" s="43"/>
      <c r="G149" s="56"/>
      <c r="H149" s="47">
        <f t="shared" si="98"/>
        <v>0</v>
      </c>
      <c r="I149" s="80"/>
      <c r="J149" s="77"/>
      <c r="K149" s="79"/>
      <c r="L149" s="19"/>
      <c r="M149" s="78">
        <f t="shared" si="84"/>
        <v>1</v>
      </c>
      <c r="N149" s="33" t="s">
        <v>36</v>
      </c>
      <c r="O149" s="19"/>
    </row>
    <row r="150" spans="1:15" s="4" customFormat="1" ht="18" customHeight="1">
      <c r="A150" s="9" t="e">
        <f t="shared" ref="A150" si="101">+A149</f>
        <v>#REF!</v>
      </c>
      <c r="B150" s="21"/>
      <c r="C150" s="21"/>
      <c r="D150" s="57"/>
      <c r="E150" s="61">
        <f t="shared" si="83"/>
        <v>0</v>
      </c>
      <c r="F150" s="43"/>
      <c r="G150" s="56"/>
      <c r="H150" s="47">
        <f t="shared" si="98"/>
        <v>0</v>
      </c>
      <c r="I150" s="80"/>
      <c r="J150" s="77"/>
      <c r="K150" s="79"/>
      <c r="L150" s="19"/>
      <c r="M150" s="78">
        <f t="shared" si="84"/>
        <v>1</v>
      </c>
      <c r="N150" s="33" t="s">
        <v>36</v>
      </c>
      <c r="O150" s="19"/>
    </row>
    <row r="151" spans="1:15" s="4" customFormat="1" ht="18" customHeight="1">
      <c r="A151" s="9" t="e">
        <f t="shared" ref="A151" si="102">+A150</f>
        <v>#REF!</v>
      </c>
      <c r="B151" s="21"/>
      <c r="C151" s="21"/>
      <c r="D151" s="57"/>
      <c r="E151" s="61">
        <f t="shared" si="83"/>
        <v>0</v>
      </c>
      <c r="F151" s="43"/>
      <c r="G151" s="56"/>
      <c r="H151" s="47">
        <f t="shared" si="98"/>
        <v>0</v>
      </c>
      <c r="I151" s="80"/>
      <c r="J151" s="77"/>
      <c r="K151" s="79"/>
      <c r="L151" s="19"/>
      <c r="M151" s="78">
        <f t="shared" si="84"/>
        <v>1</v>
      </c>
      <c r="N151" s="33" t="s">
        <v>36</v>
      </c>
      <c r="O151" s="19"/>
    </row>
    <row r="152" spans="1:15" s="4" customFormat="1" ht="18" customHeight="1">
      <c r="A152" s="9" t="e">
        <f t="shared" ref="A152" si="103">+A151</f>
        <v>#REF!</v>
      </c>
      <c r="B152" s="21"/>
      <c r="C152" s="21"/>
      <c r="D152" s="57"/>
      <c r="E152" s="61">
        <f t="shared" si="83"/>
        <v>0</v>
      </c>
      <c r="F152" s="43"/>
      <c r="G152" s="56"/>
      <c r="H152" s="47">
        <f t="shared" si="98"/>
        <v>0</v>
      </c>
      <c r="I152" s="80"/>
      <c r="J152" s="77"/>
      <c r="K152" s="79"/>
      <c r="L152" s="19"/>
      <c r="M152" s="78">
        <f t="shared" si="84"/>
        <v>1</v>
      </c>
      <c r="N152" s="33" t="s">
        <v>36</v>
      </c>
      <c r="O152" s="19"/>
    </row>
    <row r="153" spans="1:15" s="4" customFormat="1" ht="18" customHeight="1">
      <c r="A153" s="9" t="e">
        <f t="shared" ref="A153" si="104">+A152</f>
        <v>#REF!</v>
      </c>
      <c r="B153" s="21"/>
      <c r="C153" s="21"/>
      <c r="D153" s="57"/>
      <c r="E153" s="61">
        <f t="shared" si="83"/>
        <v>0</v>
      </c>
      <c r="F153" s="43"/>
      <c r="G153" s="56"/>
      <c r="H153" s="47">
        <f t="shared" si="98"/>
        <v>0</v>
      </c>
      <c r="I153" s="80"/>
      <c r="J153" s="77"/>
      <c r="K153" s="79"/>
      <c r="L153" s="19"/>
      <c r="M153" s="78">
        <f t="shared" si="84"/>
        <v>1</v>
      </c>
      <c r="N153" s="33" t="s">
        <v>36</v>
      </c>
      <c r="O153" s="19"/>
    </row>
    <row r="154" spans="1:15" s="4" customFormat="1" ht="18" customHeight="1">
      <c r="A154" s="9" t="e">
        <f t="shared" ref="A154" si="105">+A153</f>
        <v>#REF!</v>
      </c>
      <c r="B154" s="21"/>
      <c r="C154" s="21"/>
      <c r="D154" s="57"/>
      <c r="E154" s="61">
        <f t="shared" si="83"/>
        <v>0</v>
      </c>
      <c r="F154" s="43"/>
      <c r="G154" s="56"/>
      <c r="H154" s="47">
        <f t="shared" si="98"/>
        <v>0</v>
      </c>
      <c r="I154" s="80"/>
      <c r="J154" s="77"/>
      <c r="K154" s="79"/>
      <c r="L154" s="19"/>
      <c r="M154" s="78">
        <f t="shared" si="84"/>
        <v>1</v>
      </c>
      <c r="N154" s="33" t="s">
        <v>36</v>
      </c>
      <c r="O154" s="19"/>
    </row>
    <row r="155" spans="1:15" s="4" customFormat="1" ht="18" customHeight="1">
      <c r="A155" s="9" t="e">
        <f t="shared" ref="A155" si="106">+A154</f>
        <v>#REF!</v>
      </c>
      <c r="B155" s="21"/>
      <c r="C155" s="21"/>
      <c r="D155" s="57"/>
      <c r="E155" s="61">
        <f t="shared" si="83"/>
        <v>0</v>
      </c>
      <c r="F155" s="43"/>
      <c r="G155" s="56"/>
      <c r="H155" s="47">
        <f t="shared" si="98"/>
        <v>0</v>
      </c>
      <c r="I155" s="80"/>
      <c r="J155" s="77"/>
      <c r="K155" s="79"/>
      <c r="L155" s="19"/>
      <c r="M155" s="78">
        <f t="shared" si="84"/>
        <v>1</v>
      </c>
      <c r="N155" s="33" t="s">
        <v>36</v>
      </c>
      <c r="O155" s="19"/>
    </row>
    <row r="156" spans="1:15" s="4" customFormat="1" ht="18" customHeight="1">
      <c r="A156" s="9" t="e">
        <f t="shared" ref="A156" si="107">+A155</f>
        <v>#REF!</v>
      </c>
      <c r="B156" s="21"/>
      <c r="C156" s="21"/>
      <c r="D156" s="57"/>
      <c r="E156" s="61">
        <f t="shared" si="83"/>
        <v>0</v>
      </c>
      <c r="F156" s="43"/>
      <c r="G156" s="56"/>
      <c r="H156" s="47">
        <f t="shared" si="98"/>
        <v>0</v>
      </c>
      <c r="I156" s="80"/>
      <c r="J156" s="77"/>
      <c r="K156" s="79"/>
      <c r="L156" s="19"/>
      <c r="M156" s="78">
        <f t="shared" si="84"/>
        <v>1</v>
      </c>
      <c r="N156" s="33" t="s">
        <v>36</v>
      </c>
      <c r="O156" s="19"/>
    </row>
    <row r="157" spans="1:15" s="4" customFormat="1" ht="18" customHeight="1">
      <c r="A157" s="9" t="e">
        <f t="shared" ref="A157" si="108">+A156</f>
        <v>#REF!</v>
      </c>
      <c r="B157" s="21"/>
      <c r="C157" s="21"/>
      <c r="D157" s="57"/>
      <c r="E157" s="61">
        <f t="shared" si="83"/>
        <v>0</v>
      </c>
      <c r="F157" s="43"/>
      <c r="G157" s="56"/>
      <c r="H157" s="47">
        <f t="shared" si="98"/>
        <v>0</v>
      </c>
      <c r="I157" s="80"/>
      <c r="J157" s="77"/>
      <c r="K157" s="79"/>
      <c r="L157" s="19"/>
      <c r="M157" s="78">
        <f t="shared" si="84"/>
        <v>1</v>
      </c>
      <c r="N157" s="33" t="s">
        <v>36</v>
      </c>
      <c r="O157" s="19"/>
    </row>
    <row r="158" spans="1:15" s="4" customFormat="1" ht="18" customHeight="1">
      <c r="A158" s="9" t="e">
        <f t="shared" ref="A158" si="109">+A157</f>
        <v>#REF!</v>
      </c>
      <c r="B158" s="21"/>
      <c r="C158" s="21"/>
      <c r="D158" s="57"/>
      <c r="E158" s="61">
        <f t="shared" si="83"/>
        <v>0</v>
      </c>
      <c r="F158" s="43"/>
      <c r="G158" s="56"/>
      <c r="H158" s="47">
        <f t="shared" si="98"/>
        <v>0</v>
      </c>
      <c r="I158" s="80"/>
      <c r="J158" s="77"/>
      <c r="K158" s="79"/>
      <c r="L158" s="19"/>
      <c r="M158" s="78">
        <f t="shared" si="84"/>
        <v>1</v>
      </c>
      <c r="N158" s="33" t="s">
        <v>36</v>
      </c>
      <c r="O158" s="19"/>
    </row>
    <row r="159" spans="1:15" s="4" customFormat="1" ht="18" customHeight="1">
      <c r="A159" s="9" t="e">
        <f t="shared" ref="A159" si="110">+A158</f>
        <v>#REF!</v>
      </c>
      <c r="B159" s="21"/>
      <c r="C159" s="21"/>
      <c r="D159" s="57"/>
      <c r="E159" s="61">
        <f t="shared" si="83"/>
        <v>0</v>
      </c>
      <c r="F159" s="43"/>
      <c r="G159" s="56"/>
      <c r="H159" s="47">
        <f t="shared" si="98"/>
        <v>0</v>
      </c>
      <c r="I159" s="80"/>
      <c r="J159" s="77"/>
      <c r="K159" s="79"/>
      <c r="L159" s="19"/>
      <c r="M159" s="78">
        <f t="shared" si="84"/>
        <v>1</v>
      </c>
      <c r="N159" s="33" t="s">
        <v>36</v>
      </c>
      <c r="O159" s="19"/>
    </row>
    <row r="160" spans="1:15" s="4" customFormat="1" ht="18" customHeight="1">
      <c r="A160" s="9" t="e">
        <f t="shared" ref="A160" si="111">+A159</f>
        <v>#REF!</v>
      </c>
      <c r="B160" s="21"/>
      <c r="C160" s="21"/>
      <c r="D160" s="57"/>
      <c r="E160" s="61">
        <f t="shared" si="83"/>
        <v>0</v>
      </c>
      <c r="F160" s="43"/>
      <c r="G160" s="56"/>
      <c r="H160" s="47">
        <f t="shared" si="98"/>
        <v>0</v>
      </c>
      <c r="I160" s="80"/>
      <c r="J160" s="77"/>
      <c r="K160" s="79"/>
      <c r="L160" s="19"/>
      <c r="M160" s="78">
        <f t="shared" si="84"/>
        <v>1</v>
      </c>
      <c r="N160" s="33" t="s">
        <v>36</v>
      </c>
      <c r="O160" s="19"/>
    </row>
    <row r="161" spans="1:15" s="4" customFormat="1" ht="18" customHeight="1">
      <c r="A161" s="9" t="e">
        <f t="shared" ref="A161" si="112">+A160</f>
        <v>#REF!</v>
      </c>
      <c r="B161" s="21"/>
      <c r="C161" s="21"/>
      <c r="D161" s="57"/>
      <c r="E161" s="61">
        <f t="shared" si="83"/>
        <v>0</v>
      </c>
      <c r="F161" s="43"/>
      <c r="G161" s="56"/>
      <c r="H161" s="47">
        <f t="shared" si="98"/>
        <v>0</v>
      </c>
      <c r="I161" s="80"/>
      <c r="J161" s="77"/>
      <c r="K161" s="79"/>
      <c r="L161" s="19"/>
      <c r="M161" s="78">
        <f t="shared" si="84"/>
        <v>1</v>
      </c>
      <c r="N161" s="33" t="s">
        <v>36</v>
      </c>
      <c r="O161" s="19"/>
    </row>
    <row r="162" spans="1:15" s="4" customFormat="1" ht="18" customHeight="1">
      <c r="A162" s="9" t="e">
        <f t="shared" ref="A162" si="113">+A161</f>
        <v>#REF!</v>
      </c>
      <c r="B162" s="21"/>
      <c r="C162" s="21"/>
      <c r="D162" s="57"/>
      <c r="E162" s="61">
        <f t="shared" si="83"/>
        <v>0</v>
      </c>
      <c r="F162" s="43"/>
      <c r="G162" s="56"/>
      <c r="H162" s="47">
        <f t="shared" si="98"/>
        <v>0</v>
      </c>
      <c r="I162" s="80"/>
      <c r="J162" s="77"/>
      <c r="K162" s="79"/>
      <c r="L162" s="19"/>
      <c r="M162" s="78">
        <f t="shared" si="84"/>
        <v>1</v>
      </c>
      <c r="N162" s="33" t="s">
        <v>36</v>
      </c>
      <c r="O162" s="19"/>
    </row>
    <row r="163" spans="1:15" s="4" customFormat="1" ht="18" customHeight="1">
      <c r="A163" s="9" t="e">
        <f t="shared" ref="A163" si="114">+A162</f>
        <v>#REF!</v>
      </c>
      <c r="B163" s="21"/>
      <c r="C163" s="21"/>
      <c r="D163" s="57"/>
      <c r="E163" s="61">
        <f t="shared" si="83"/>
        <v>0</v>
      </c>
      <c r="F163" s="43"/>
      <c r="G163" s="56"/>
      <c r="H163" s="47">
        <f t="shared" si="98"/>
        <v>0</v>
      </c>
      <c r="I163" s="80"/>
      <c r="J163" s="77"/>
      <c r="K163" s="79"/>
      <c r="L163" s="19"/>
      <c r="M163" s="78">
        <f t="shared" si="84"/>
        <v>1</v>
      </c>
      <c r="N163" s="33" t="s">
        <v>36</v>
      </c>
      <c r="O163" s="19"/>
    </row>
    <row r="164" spans="1:15" s="4" customFormat="1" ht="18" customHeight="1">
      <c r="A164" s="9" t="e">
        <f t="shared" ref="A164" si="115">+A163</f>
        <v>#REF!</v>
      </c>
      <c r="B164" s="21"/>
      <c r="C164" s="21"/>
      <c r="D164" s="57"/>
      <c r="E164" s="61">
        <f t="shared" si="83"/>
        <v>0</v>
      </c>
      <c r="F164" s="43"/>
      <c r="G164" s="56"/>
      <c r="H164" s="47">
        <f t="shared" si="98"/>
        <v>0</v>
      </c>
      <c r="I164" s="80"/>
      <c r="J164" s="77"/>
      <c r="K164" s="79"/>
      <c r="L164" s="19"/>
      <c r="M164" s="78">
        <f t="shared" si="84"/>
        <v>1</v>
      </c>
      <c r="N164" s="33" t="s">
        <v>36</v>
      </c>
      <c r="O164" s="19"/>
    </row>
    <row r="165" spans="1:15" s="4" customFormat="1" ht="18" customHeight="1">
      <c r="A165" s="9" t="e">
        <f t="shared" ref="A165" si="116">+A164</f>
        <v>#REF!</v>
      </c>
      <c r="B165" s="21"/>
      <c r="C165" s="21"/>
      <c r="D165" s="57"/>
      <c r="E165" s="61">
        <f t="shared" si="83"/>
        <v>0</v>
      </c>
      <c r="F165" s="43"/>
      <c r="G165" s="56"/>
      <c r="H165" s="47">
        <f t="shared" si="98"/>
        <v>0</v>
      </c>
      <c r="I165" s="80"/>
      <c r="J165" s="77"/>
      <c r="K165" s="79"/>
      <c r="L165" s="19"/>
      <c r="M165" s="78">
        <f t="shared" si="84"/>
        <v>1</v>
      </c>
      <c r="N165" s="33" t="s">
        <v>36</v>
      </c>
      <c r="O165" s="19"/>
    </row>
    <row r="166" spans="1:15" s="4" customFormat="1" ht="18" customHeight="1">
      <c r="A166" s="9" t="e">
        <f t="shared" ref="A166" si="117">+A165</f>
        <v>#REF!</v>
      </c>
      <c r="B166" s="21"/>
      <c r="C166" s="21"/>
      <c r="D166" s="57"/>
      <c r="E166" s="61">
        <f t="shared" si="83"/>
        <v>0</v>
      </c>
      <c r="F166" s="43"/>
      <c r="G166" s="56"/>
      <c r="H166" s="47">
        <f t="shared" si="98"/>
        <v>0</v>
      </c>
      <c r="I166" s="80"/>
      <c r="J166" s="77"/>
      <c r="K166" s="79"/>
      <c r="L166" s="19"/>
      <c r="M166" s="78">
        <f t="shared" si="84"/>
        <v>1</v>
      </c>
      <c r="N166" s="33" t="s">
        <v>36</v>
      </c>
      <c r="O166" s="19"/>
    </row>
    <row r="167" spans="1:15" s="4" customFormat="1" ht="18" customHeight="1">
      <c r="A167" s="9" t="e">
        <f t="shared" ref="A167" si="118">+A166</f>
        <v>#REF!</v>
      </c>
      <c r="B167" s="21"/>
      <c r="C167" s="21"/>
      <c r="D167" s="57"/>
      <c r="E167" s="61">
        <f t="shared" si="83"/>
        <v>0</v>
      </c>
      <c r="F167" s="43"/>
      <c r="G167" s="56"/>
      <c r="H167" s="47">
        <f t="shared" si="98"/>
        <v>0</v>
      </c>
      <c r="I167" s="80"/>
      <c r="J167" s="77"/>
      <c r="K167" s="79"/>
      <c r="L167" s="19"/>
      <c r="M167" s="78">
        <f t="shared" si="84"/>
        <v>1</v>
      </c>
      <c r="N167" s="33" t="s">
        <v>36</v>
      </c>
      <c r="O167" s="19"/>
    </row>
    <row r="168" spans="1:15" s="4" customFormat="1" ht="18" customHeight="1">
      <c r="A168" s="9" t="e">
        <f t="shared" ref="A168" si="119">+A167</f>
        <v>#REF!</v>
      </c>
      <c r="B168" s="21"/>
      <c r="C168" s="21"/>
      <c r="D168" s="57"/>
      <c r="E168" s="61">
        <f t="shared" si="83"/>
        <v>0</v>
      </c>
      <c r="F168" s="43"/>
      <c r="G168" s="56"/>
      <c r="H168" s="47">
        <f t="shared" si="98"/>
        <v>0</v>
      </c>
      <c r="I168" s="80"/>
      <c r="J168" s="77"/>
      <c r="K168" s="79"/>
      <c r="L168" s="19"/>
      <c r="M168" s="78">
        <f t="shared" si="84"/>
        <v>1</v>
      </c>
      <c r="N168" s="33" t="s">
        <v>36</v>
      </c>
      <c r="O168" s="19"/>
    </row>
    <row r="169" spans="1:15" s="4" customFormat="1" ht="18" customHeight="1">
      <c r="A169" s="9" t="e">
        <f t="shared" ref="A169" si="120">+A168</f>
        <v>#REF!</v>
      </c>
      <c r="B169" s="21"/>
      <c r="C169" s="21"/>
      <c r="D169" s="57"/>
      <c r="E169" s="61">
        <f t="shared" si="83"/>
        <v>0</v>
      </c>
      <c r="F169" s="43"/>
      <c r="G169" s="56"/>
      <c r="H169" s="47">
        <f t="shared" si="98"/>
        <v>0</v>
      </c>
      <c r="I169" s="80"/>
      <c r="J169" s="77"/>
      <c r="K169" s="79"/>
      <c r="L169" s="19"/>
      <c r="M169" s="78">
        <f t="shared" si="84"/>
        <v>1</v>
      </c>
      <c r="N169" s="33" t="s">
        <v>36</v>
      </c>
      <c r="O169" s="19"/>
    </row>
    <row r="170" spans="1:15" s="4" customFormat="1" ht="18" customHeight="1">
      <c r="A170" s="9" t="e">
        <f t="shared" ref="A170" si="121">+A169</f>
        <v>#REF!</v>
      </c>
      <c r="B170" s="21"/>
      <c r="C170" s="21"/>
      <c r="D170" s="57"/>
      <c r="E170" s="61">
        <f t="shared" si="83"/>
        <v>0</v>
      </c>
      <c r="F170" s="43"/>
      <c r="G170" s="56"/>
      <c r="H170" s="47">
        <f t="shared" si="98"/>
        <v>0</v>
      </c>
      <c r="I170" s="80"/>
      <c r="J170" s="77"/>
      <c r="K170" s="79"/>
      <c r="L170" s="19"/>
      <c r="M170" s="78">
        <f t="shared" si="84"/>
        <v>1</v>
      </c>
      <c r="N170" s="33" t="s">
        <v>36</v>
      </c>
      <c r="O170" s="19"/>
    </row>
    <row r="171" spans="1:15" s="4" customFormat="1" ht="18" customHeight="1">
      <c r="A171" s="9" t="e">
        <f t="shared" ref="A171" si="122">+A170</f>
        <v>#REF!</v>
      </c>
      <c r="B171" s="21"/>
      <c r="C171" s="21"/>
      <c r="D171" s="57"/>
      <c r="E171" s="61">
        <f t="shared" si="83"/>
        <v>0</v>
      </c>
      <c r="F171" s="43"/>
      <c r="G171" s="56"/>
      <c r="H171" s="47">
        <f t="shared" si="98"/>
        <v>0</v>
      </c>
      <c r="I171" s="80"/>
      <c r="J171" s="77"/>
      <c r="K171" s="79"/>
      <c r="L171" s="19"/>
      <c r="M171" s="78">
        <f t="shared" si="84"/>
        <v>1</v>
      </c>
      <c r="N171" s="33" t="s">
        <v>36</v>
      </c>
      <c r="O171" s="19"/>
    </row>
    <row r="172" spans="1:15" s="4" customFormat="1" ht="18" customHeight="1">
      <c r="A172" s="9" t="e">
        <f t="shared" ref="A172" si="123">+A171</f>
        <v>#REF!</v>
      </c>
      <c r="B172" s="21"/>
      <c r="C172" s="21"/>
      <c r="D172" s="57"/>
      <c r="E172" s="61">
        <f t="shared" si="83"/>
        <v>0</v>
      </c>
      <c r="F172" s="43"/>
      <c r="G172" s="56"/>
      <c r="H172" s="47">
        <f t="shared" si="98"/>
        <v>0</v>
      </c>
      <c r="I172" s="80"/>
      <c r="J172" s="77"/>
      <c r="K172" s="79"/>
      <c r="L172" s="19"/>
      <c r="M172" s="78">
        <f t="shared" si="84"/>
        <v>1</v>
      </c>
      <c r="N172" s="33" t="s">
        <v>36</v>
      </c>
      <c r="O172" s="19"/>
    </row>
    <row r="173" spans="1:15" s="4" customFormat="1" ht="18" customHeight="1">
      <c r="A173" s="9" t="e">
        <f t="shared" ref="A173" si="124">+A172</f>
        <v>#REF!</v>
      </c>
      <c r="B173" s="21"/>
      <c r="C173" s="21"/>
      <c r="D173" s="57"/>
      <c r="E173" s="61">
        <f t="shared" si="83"/>
        <v>0</v>
      </c>
      <c r="F173" s="43"/>
      <c r="G173" s="56"/>
      <c r="H173" s="47">
        <f t="shared" si="98"/>
        <v>0</v>
      </c>
      <c r="I173" s="80"/>
      <c r="J173" s="77"/>
      <c r="K173" s="79"/>
      <c r="L173" s="19"/>
      <c r="M173" s="78">
        <f t="shared" si="84"/>
        <v>1</v>
      </c>
      <c r="N173" s="33" t="s">
        <v>36</v>
      </c>
      <c r="O173" s="19"/>
    </row>
    <row r="174" spans="1:15" s="4" customFormat="1" ht="18" customHeight="1">
      <c r="A174" s="9" t="e">
        <f t="shared" ref="A174" si="125">+A173</f>
        <v>#REF!</v>
      </c>
      <c r="B174" s="21"/>
      <c r="C174" s="21"/>
      <c r="D174" s="57"/>
      <c r="E174" s="61">
        <f t="shared" si="83"/>
        <v>0</v>
      </c>
      <c r="F174" s="43"/>
      <c r="G174" s="56"/>
      <c r="H174" s="47">
        <f t="shared" si="98"/>
        <v>0</v>
      </c>
      <c r="I174" s="80"/>
      <c r="J174" s="77"/>
      <c r="K174" s="79"/>
      <c r="L174" s="19"/>
      <c r="M174" s="78">
        <f t="shared" si="84"/>
        <v>1</v>
      </c>
      <c r="N174" s="33" t="s">
        <v>36</v>
      </c>
      <c r="O174" s="19"/>
    </row>
    <row r="175" spans="1:15" s="4" customFormat="1" ht="18" customHeight="1">
      <c r="A175" s="9" t="e">
        <f t="shared" ref="A175" si="126">+A174</f>
        <v>#REF!</v>
      </c>
      <c r="B175" s="21"/>
      <c r="C175" s="21"/>
      <c r="D175" s="57"/>
      <c r="E175" s="61">
        <f t="shared" si="83"/>
        <v>0</v>
      </c>
      <c r="F175" s="43"/>
      <c r="G175" s="56"/>
      <c r="H175" s="47">
        <f t="shared" si="98"/>
        <v>0</v>
      </c>
      <c r="I175" s="80"/>
      <c r="J175" s="77"/>
      <c r="K175" s="79"/>
      <c r="L175" s="19"/>
      <c r="M175" s="78">
        <f t="shared" si="84"/>
        <v>1</v>
      </c>
      <c r="N175" s="33" t="s">
        <v>36</v>
      </c>
      <c r="O175" s="19"/>
    </row>
    <row r="176" spans="1:15" s="4" customFormat="1" ht="18" customHeight="1">
      <c r="A176" s="9" t="e">
        <f t="shared" ref="A176" si="127">+A175</f>
        <v>#REF!</v>
      </c>
      <c r="B176" s="21"/>
      <c r="C176" s="21"/>
      <c r="D176" s="57"/>
      <c r="E176" s="61">
        <f t="shared" si="83"/>
        <v>0</v>
      </c>
      <c r="F176" s="43"/>
      <c r="G176" s="56"/>
      <c r="H176" s="47">
        <f t="shared" si="98"/>
        <v>0</v>
      </c>
      <c r="I176" s="80"/>
      <c r="J176" s="77"/>
      <c r="K176" s="79"/>
      <c r="L176" s="19"/>
      <c r="M176" s="78">
        <f t="shared" si="84"/>
        <v>1</v>
      </c>
      <c r="N176" s="33" t="s">
        <v>36</v>
      </c>
      <c r="O176" s="19"/>
    </row>
    <row r="177" spans="1:15" s="4" customFormat="1" ht="18" customHeight="1">
      <c r="A177" s="9" t="e">
        <f t="shared" ref="A177" si="128">+A176</f>
        <v>#REF!</v>
      </c>
      <c r="B177" s="21"/>
      <c r="C177" s="21"/>
      <c r="D177" s="57"/>
      <c r="E177" s="61">
        <f t="shared" si="83"/>
        <v>0</v>
      </c>
      <c r="F177" s="43"/>
      <c r="G177" s="56"/>
      <c r="H177" s="47">
        <f t="shared" si="98"/>
        <v>0</v>
      </c>
      <c r="I177" s="80"/>
      <c r="J177" s="77"/>
      <c r="K177" s="79"/>
      <c r="L177" s="19"/>
      <c r="M177" s="78">
        <f t="shared" si="84"/>
        <v>1</v>
      </c>
      <c r="N177" s="33" t="s">
        <v>36</v>
      </c>
      <c r="O177" s="19"/>
    </row>
    <row r="178" spans="1:15" s="4" customFormat="1" ht="18" customHeight="1">
      <c r="A178" s="9" t="e">
        <f t="shared" ref="A178" si="129">+A177</f>
        <v>#REF!</v>
      </c>
      <c r="B178" s="21"/>
      <c r="C178" s="21"/>
      <c r="D178" s="57"/>
      <c r="E178" s="61">
        <f t="shared" si="83"/>
        <v>0</v>
      </c>
      <c r="F178" s="43"/>
      <c r="G178" s="56"/>
      <c r="H178" s="47">
        <f t="shared" si="98"/>
        <v>0</v>
      </c>
      <c r="I178" s="80"/>
      <c r="J178" s="77"/>
      <c r="K178" s="79"/>
      <c r="L178" s="19"/>
      <c r="M178" s="78">
        <f t="shared" si="84"/>
        <v>1</v>
      </c>
      <c r="N178" s="33" t="s">
        <v>36</v>
      </c>
      <c r="O178" s="19"/>
    </row>
    <row r="179" spans="1:15" s="4" customFormat="1" ht="18" customHeight="1">
      <c r="A179" s="9" t="e">
        <f t="shared" ref="A179" si="130">+A178</f>
        <v>#REF!</v>
      </c>
      <c r="B179" s="21"/>
      <c r="C179" s="21"/>
      <c r="D179" s="57"/>
      <c r="E179" s="61">
        <f t="shared" si="83"/>
        <v>0</v>
      </c>
      <c r="F179" s="43"/>
      <c r="G179" s="56"/>
      <c r="H179" s="47">
        <f t="shared" si="98"/>
        <v>0</v>
      </c>
      <c r="I179" s="80"/>
      <c r="J179" s="77"/>
      <c r="K179" s="79"/>
      <c r="L179" s="19"/>
      <c r="M179" s="78">
        <f t="shared" si="84"/>
        <v>1</v>
      </c>
      <c r="N179" s="33" t="s">
        <v>36</v>
      </c>
      <c r="O179" s="19"/>
    </row>
    <row r="180" spans="1:15" s="4" customFormat="1" ht="18" customHeight="1">
      <c r="A180" s="9" t="e">
        <f t="shared" ref="A180" si="131">+A179</f>
        <v>#REF!</v>
      </c>
      <c r="B180" s="21"/>
      <c r="C180" s="21"/>
      <c r="D180" s="57"/>
      <c r="E180" s="61">
        <f t="shared" si="83"/>
        <v>0</v>
      </c>
      <c r="F180" s="43"/>
      <c r="G180" s="56"/>
      <c r="H180" s="47">
        <f t="shared" si="98"/>
        <v>0</v>
      </c>
      <c r="I180" s="80"/>
      <c r="J180" s="77"/>
      <c r="K180" s="79"/>
      <c r="L180" s="19"/>
      <c r="M180" s="78">
        <f t="shared" si="84"/>
        <v>1</v>
      </c>
      <c r="N180" s="33" t="s">
        <v>36</v>
      </c>
      <c r="O180" s="19"/>
    </row>
    <row r="181" spans="1:15" s="4" customFormat="1" ht="18" customHeight="1">
      <c r="A181" s="9" t="e">
        <f t="shared" ref="A181" si="132">+A180</f>
        <v>#REF!</v>
      </c>
      <c r="B181" s="21"/>
      <c r="C181" s="21"/>
      <c r="D181" s="57"/>
      <c r="E181" s="61">
        <f t="shared" si="83"/>
        <v>0</v>
      </c>
      <c r="F181" s="43"/>
      <c r="G181" s="56"/>
      <c r="H181" s="47">
        <f t="shared" si="98"/>
        <v>0</v>
      </c>
      <c r="I181" s="80"/>
      <c r="J181" s="77"/>
      <c r="K181" s="79"/>
      <c r="L181" s="19"/>
      <c r="M181" s="78">
        <f t="shared" si="84"/>
        <v>1</v>
      </c>
      <c r="N181" s="33" t="s">
        <v>36</v>
      </c>
      <c r="O181" s="19"/>
    </row>
    <row r="182" spans="1:15" s="63" customFormat="1" ht="18" customHeight="1">
      <c r="A182" s="9" t="e">
        <f t="shared" ref="A182" si="133">+A181</f>
        <v>#REF!</v>
      </c>
      <c r="B182" s="21"/>
      <c r="C182" s="21"/>
      <c r="D182" s="57"/>
      <c r="E182" s="61">
        <f t="shared" si="83"/>
        <v>0</v>
      </c>
      <c r="F182" s="43"/>
      <c r="G182" s="56"/>
      <c r="H182" s="47">
        <f t="shared" si="98"/>
        <v>0</v>
      </c>
      <c r="I182" s="80"/>
      <c r="J182" s="77"/>
      <c r="K182" s="79"/>
      <c r="L182" s="19"/>
      <c r="M182" s="78">
        <f t="shared" si="84"/>
        <v>1</v>
      </c>
      <c r="N182" s="33" t="s">
        <v>36</v>
      </c>
      <c r="O182" s="19"/>
    </row>
    <row r="183" spans="1:15" s="4" customFormat="1" ht="18" customHeight="1">
      <c r="A183" s="9" t="e">
        <f t="shared" ref="A183" si="134">+A182</f>
        <v>#REF!</v>
      </c>
      <c r="B183" s="21"/>
      <c r="C183" s="21"/>
      <c r="D183" s="57"/>
      <c r="E183" s="61">
        <f t="shared" si="83"/>
        <v>0</v>
      </c>
      <c r="F183" s="43"/>
      <c r="G183" s="56"/>
      <c r="H183" s="47">
        <f t="shared" si="98"/>
        <v>0</v>
      </c>
      <c r="I183" s="80"/>
      <c r="J183" s="77"/>
      <c r="K183" s="79"/>
      <c r="L183" s="19"/>
      <c r="M183" s="78">
        <f t="shared" si="84"/>
        <v>1</v>
      </c>
      <c r="N183" s="33" t="s">
        <v>36</v>
      </c>
      <c r="O183" s="19"/>
    </row>
    <row r="184" spans="1:15" s="4" customFormat="1" ht="18" customHeight="1">
      <c r="A184" s="9" t="e">
        <f t="shared" ref="A184" si="135">+A183</f>
        <v>#REF!</v>
      </c>
      <c r="B184" s="21"/>
      <c r="C184" s="21"/>
      <c r="D184" s="57"/>
      <c r="E184" s="61">
        <f t="shared" si="83"/>
        <v>0</v>
      </c>
      <c r="F184" s="43"/>
      <c r="G184" s="56"/>
      <c r="H184" s="47">
        <f t="shared" si="98"/>
        <v>0</v>
      </c>
      <c r="I184" s="80"/>
      <c r="J184" s="77"/>
      <c r="K184" s="79"/>
      <c r="L184" s="19"/>
      <c r="M184" s="78">
        <f t="shared" si="84"/>
        <v>1</v>
      </c>
      <c r="N184" s="33" t="s">
        <v>36</v>
      </c>
      <c r="O184" s="19"/>
    </row>
    <row r="185" spans="1:15" s="4" customFormat="1" ht="18" customHeight="1">
      <c r="A185" s="9" t="e">
        <f t="shared" ref="A185" si="136">+A184</f>
        <v>#REF!</v>
      </c>
      <c r="B185" s="21"/>
      <c r="C185" s="21"/>
      <c r="D185" s="57"/>
      <c r="E185" s="61">
        <f t="shared" si="83"/>
        <v>0</v>
      </c>
      <c r="F185" s="43"/>
      <c r="G185" s="56"/>
      <c r="H185" s="47">
        <f t="shared" si="98"/>
        <v>0</v>
      </c>
      <c r="I185" s="80"/>
      <c r="J185" s="77"/>
      <c r="K185" s="79"/>
      <c r="L185" s="19"/>
      <c r="M185" s="78">
        <f t="shared" si="84"/>
        <v>1</v>
      </c>
      <c r="N185" s="33" t="s">
        <v>36</v>
      </c>
      <c r="O185" s="19"/>
    </row>
    <row r="186" spans="1:15" s="4" customFormat="1" ht="18" customHeight="1">
      <c r="A186" s="9" t="e">
        <f t="shared" ref="A186" si="137">+A185</f>
        <v>#REF!</v>
      </c>
      <c r="B186" s="21"/>
      <c r="C186" s="21"/>
      <c r="D186" s="57"/>
      <c r="E186" s="61">
        <f t="shared" si="83"/>
        <v>0</v>
      </c>
      <c r="F186" s="43"/>
      <c r="G186" s="56"/>
      <c r="H186" s="47">
        <f t="shared" si="98"/>
        <v>0</v>
      </c>
      <c r="I186" s="80"/>
      <c r="J186" s="77"/>
      <c r="K186" s="79"/>
      <c r="L186" s="19"/>
      <c r="M186" s="78">
        <f t="shared" si="84"/>
        <v>1</v>
      </c>
      <c r="N186" s="33" t="s">
        <v>36</v>
      </c>
      <c r="O186" s="19"/>
    </row>
    <row r="187" spans="1:15" s="4" customFormat="1" ht="18" customHeight="1">
      <c r="A187" s="9" t="e">
        <f t="shared" ref="A187" si="138">+A186</f>
        <v>#REF!</v>
      </c>
      <c r="B187" s="21"/>
      <c r="C187" s="21"/>
      <c r="D187" s="57"/>
      <c r="E187" s="61">
        <f t="shared" si="83"/>
        <v>0</v>
      </c>
      <c r="F187" s="43"/>
      <c r="G187" s="56"/>
      <c r="H187" s="47">
        <f t="shared" si="98"/>
        <v>0</v>
      </c>
      <c r="I187" s="80"/>
      <c r="J187" s="77"/>
      <c r="K187" s="79"/>
      <c r="L187" s="19"/>
      <c r="M187" s="78">
        <f t="shared" si="84"/>
        <v>1</v>
      </c>
      <c r="N187" s="33" t="s">
        <v>36</v>
      </c>
      <c r="O187" s="19"/>
    </row>
    <row r="188" spans="1:15" s="4" customFormat="1" ht="18" customHeight="1">
      <c r="A188" s="9" t="e">
        <f t="shared" ref="A188" si="139">+A187</f>
        <v>#REF!</v>
      </c>
      <c r="B188" s="21"/>
      <c r="C188" s="21"/>
      <c r="D188" s="57"/>
      <c r="E188" s="61">
        <f t="shared" si="83"/>
        <v>0</v>
      </c>
      <c r="F188" s="43"/>
      <c r="G188" s="56"/>
      <c r="H188" s="47">
        <f t="shared" si="98"/>
        <v>0</v>
      </c>
      <c r="I188" s="80"/>
      <c r="J188" s="77"/>
      <c r="K188" s="79"/>
      <c r="L188" s="19"/>
      <c r="M188" s="78">
        <f t="shared" si="84"/>
        <v>1</v>
      </c>
      <c r="N188" s="33" t="s">
        <v>36</v>
      </c>
      <c r="O188" s="19"/>
    </row>
    <row r="189" spans="1:15" s="4" customFormat="1" ht="18" customHeight="1">
      <c r="A189" s="9" t="e">
        <f t="shared" ref="A189" si="140">+A188</f>
        <v>#REF!</v>
      </c>
      <c r="B189" s="21"/>
      <c r="C189" s="21"/>
      <c r="D189" s="57"/>
      <c r="E189" s="61">
        <f t="shared" si="83"/>
        <v>0</v>
      </c>
      <c r="F189" s="43"/>
      <c r="G189" s="56"/>
      <c r="H189" s="47">
        <f t="shared" si="98"/>
        <v>0</v>
      </c>
      <c r="I189" s="80"/>
      <c r="J189" s="77"/>
      <c r="K189" s="79"/>
      <c r="L189" s="19"/>
      <c r="M189" s="78">
        <f t="shared" si="84"/>
        <v>1</v>
      </c>
      <c r="N189" s="33" t="s">
        <v>36</v>
      </c>
      <c r="O189" s="19"/>
    </row>
    <row r="190" spans="1:15" s="4" customFormat="1" ht="18" customHeight="1">
      <c r="A190" s="9" t="e">
        <f t="shared" ref="A190" si="141">+A189</f>
        <v>#REF!</v>
      </c>
      <c r="B190" s="21"/>
      <c r="C190" s="21"/>
      <c r="D190" s="57"/>
      <c r="E190" s="61">
        <f t="shared" si="83"/>
        <v>0</v>
      </c>
      <c r="F190" s="43"/>
      <c r="G190" s="56"/>
      <c r="H190" s="47">
        <f t="shared" si="98"/>
        <v>0</v>
      </c>
      <c r="I190" s="80"/>
      <c r="J190" s="77"/>
      <c r="K190" s="79"/>
      <c r="L190" s="19"/>
      <c r="M190" s="78">
        <f t="shared" si="84"/>
        <v>1</v>
      </c>
      <c r="N190" s="33" t="s">
        <v>36</v>
      </c>
      <c r="O190" s="19"/>
    </row>
    <row r="191" spans="1:15" s="4" customFormat="1" ht="18" customHeight="1">
      <c r="A191" s="9" t="e">
        <f t="shared" ref="A191" si="142">+A190</f>
        <v>#REF!</v>
      </c>
      <c r="B191" s="21"/>
      <c r="C191" s="21"/>
      <c r="D191" s="57"/>
      <c r="E191" s="61">
        <f t="shared" si="83"/>
        <v>0</v>
      </c>
      <c r="F191" s="43"/>
      <c r="G191" s="56"/>
      <c r="H191" s="47">
        <f t="shared" si="98"/>
        <v>0</v>
      </c>
      <c r="I191" s="80"/>
      <c r="J191" s="77"/>
      <c r="K191" s="79"/>
      <c r="L191" s="19"/>
      <c r="M191" s="78">
        <f t="shared" si="84"/>
        <v>1</v>
      </c>
      <c r="N191" s="33" t="s">
        <v>36</v>
      </c>
      <c r="O191" s="19"/>
    </row>
    <row r="192" spans="1:15" s="4" customFormat="1" ht="18" customHeight="1">
      <c r="A192" s="9" t="e">
        <f t="shared" ref="A192" si="143">+A191</f>
        <v>#REF!</v>
      </c>
      <c r="B192" s="21"/>
      <c r="C192" s="21"/>
      <c r="D192" s="57"/>
      <c r="E192" s="61">
        <f t="shared" si="83"/>
        <v>0</v>
      </c>
      <c r="F192" s="43"/>
      <c r="G192" s="56"/>
      <c r="H192" s="47">
        <f t="shared" si="98"/>
        <v>0</v>
      </c>
      <c r="I192" s="80"/>
      <c r="J192" s="77"/>
      <c r="K192" s="79"/>
      <c r="L192" s="19"/>
      <c r="M192" s="78">
        <f t="shared" si="84"/>
        <v>1</v>
      </c>
      <c r="N192" s="33" t="s">
        <v>36</v>
      </c>
      <c r="O192" s="19"/>
    </row>
    <row r="193" spans="1:15" s="4" customFormat="1" ht="18" customHeight="1">
      <c r="A193" s="9" t="e">
        <f t="shared" ref="A193" si="144">+A192</f>
        <v>#REF!</v>
      </c>
      <c r="B193" s="21"/>
      <c r="C193" s="21"/>
      <c r="D193" s="57"/>
      <c r="E193" s="61">
        <f t="shared" si="83"/>
        <v>0</v>
      </c>
      <c r="F193" s="43"/>
      <c r="G193" s="56"/>
      <c r="H193" s="47">
        <f t="shared" si="98"/>
        <v>0</v>
      </c>
      <c r="I193" s="80"/>
      <c r="J193" s="77"/>
      <c r="K193" s="79"/>
      <c r="L193" s="19"/>
      <c r="M193" s="78">
        <f t="shared" si="84"/>
        <v>1</v>
      </c>
      <c r="N193" s="33" t="s">
        <v>36</v>
      </c>
      <c r="O193" s="19"/>
    </row>
    <row r="194" spans="1:15" s="4" customFormat="1" ht="18" customHeight="1">
      <c r="A194" s="9" t="e">
        <f t="shared" ref="A194" si="145">+A193</f>
        <v>#REF!</v>
      </c>
      <c r="B194" s="21"/>
      <c r="C194" s="21"/>
      <c r="D194" s="57"/>
      <c r="E194" s="61">
        <f t="shared" si="83"/>
        <v>0</v>
      </c>
      <c r="F194" s="43"/>
      <c r="G194" s="56"/>
      <c r="H194" s="47">
        <f t="shared" si="98"/>
        <v>0</v>
      </c>
      <c r="I194" s="80"/>
      <c r="J194" s="77"/>
      <c r="K194" s="79"/>
      <c r="L194" s="19"/>
      <c r="M194" s="78">
        <f t="shared" si="84"/>
        <v>1</v>
      </c>
      <c r="N194" s="33" t="s">
        <v>36</v>
      </c>
      <c r="O194" s="19"/>
    </row>
    <row r="195" spans="1:15" s="4" customFormat="1" ht="18" customHeight="1">
      <c r="A195" s="9" t="e">
        <f t="shared" ref="A195" si="146">+A194</f>
        <v>#REF!</v>
      </c>
      <c r="B195" s="21"/>
      <c r="C195" s="21"/>
      <c r="D195" s="57"/>
      <c r="E195" s="61">
        <f t="shared" si="83"/>
        <v>0</v>
      </c>
      <c r="F195" s="43"/>
      <c r="G195" s="56"/>
      <c r="H195" s="47">
        <f t="shared" si="98"/>
        <v>0</v>
      </c>
      <c r="I195" s="80"/>
      <c r="J195" s="77"/>
      <c r="K195" s="79"/>
      <c r="L195" s="19"/>
      <c r="M195" s="78">
        <f t="shared" si="84"/>
        <v>1</v>
      </c>
      <c r="N195" s="33" t="s">
        <v>36</v>
      </c>
      <c r="O195" s="19"/>
    </row>
    <row r="196" spans="1:15" s="4" customFormat="1" ht="18" customHeight="1">
      <c r="A196" s="9" t="e">
        <f t="shared" ref="A196" si="147">+A195</f>
        <v>#REF!</v>
      </c>
      <c r="B196" s="21"/>
      <c r="C196" s="21"/>
      <c r="D196" s="57"/>
      <c r="E196" s="61">
        <f t="shared" si="83"/>
        <v>0</v>
      </c>
      <c r="F196" s="43"/>
      <c r="G196" s="56"/>
      <c r="H196" s="47">
        <f t="shared" si="98"/>
        <v>0</v>
      </c>
      <c r="I196" s="80"/>
      <c r="J196" s="77"/>
      <c r="K196" s="79"/>
      <c r="L196" s="19"/>
      <c r="M196" s="78">
        <f t="shared" si="84"/>
        <v>1</v>
      </c>
      <c r="N196" s="33" t="s">
        <v>36</v>
      </c>
      <c r="O196" s="19"/>
    </row>
    <row r="197" spans="1:15" s="4" customFormat="1" ht="18" customHeight="1">
      <c r="A197" s="9" t="e">
        <f t="shared" ref="A197" si="148">+A196</f>
        <v>#REF!</v>
      </c>
      <c r="B197" s="21"/>
      <c r="C197" s="21"/>
      <c r="D197" s="57"/>
      <c r="E197" s="61">
        <f t="shared" si="83"/>
        <v>0</v>
      </c>
      <c r="F197" s="43"/>
      <c r="G197" s="56"/>
      <c r="H197" s="47">
        <f t="shared" si="98"/>
        <v>0</v>
      </c>
      <c r="I197" s="80"/>
      <c r="J197" s="77"/>
      <c r="K197" s="79"/>
      <c r="L197" s="19"/>
      <c r="M197" s="78">
        <f t="shared" si="84"/>
        <v>1</v>
      </c>
      <c r="N197" s="33" t="s">
        <v>36</v>
      </c>
      <c r="O197" s="19"/>
    </row>
    <row r="198" spans="1:15" s="63" customFormat="1" ht="18" customHeight="1">
      <c r="A198" s="9" t="e">
        <f t="shared" ref="A198" si="149">+A197</f>
        <v>#REF!</v>
      </c>
      <c r="B198" s="21"/>
      <c r="C198" s="21"/>
      <c r="D198" s="57"/>
      <c r="E198" s="61">
        <f t="shared" ref="E198:E261" si="150">+B198</f>
        <v>0</v>
      </c>
      <c r="F198" s="43"/>
      <c r="G198" s="56"/>
      <c r="H198" s="47">
        <f t="shared" si="98"/>
        <v>0</v>
      </c>
      <c r="I198" s="80"/>
      <c r="J198" s="77"/>
      <c r="K198" s="79"/>
      <c r="L198" s="19"/>
      <c r="M198" s="78">
        <f t="shared" ref="M198:M261" si="151">+WEEKNUM(K198,2)</f>
        <v>1</v>
      </c>
      <c r="N198" s="33" t="s">
        <v>36</v>
      </c>
      <c r="O198" s="19"/>
    </row>
    <row r="199" spans="1:15" s="4" customFormat="1" ht="18" customHeight="1">
      <c r="A199" s="9" t="e">
        <f t="shared" ref="A199" si="152">+A198</f>
        <v>#REF!</v>
      </c>
      <c r="B199" s="21"/>
      <c r="C199" s="21"/>
      <c r="D199" s="57"/>
      <c r="E199" s="61">
        <f t="shared" si="150"/>
        <v>0</v>
      </c>
      <c r="F199" s="43"/>
      <c r="G199" s="56"/>
      <c r="H199" s="47">
        <f t="shared" si="98"/>
        <v>0</v>
      </c>
      <c r="I199" s="80"/>
      <c r="J199" s="77"/>
      <c r="K199" s="79"/>
      <c r="L199" s="19"/>
      <c r="M199" s="78">
        <f t="shared" si="151"/>
        <v>1</v>
      </c>
      <c r="N199" s="33" t="s">
        <v>36</v>
      </c>
      <c r="O199" s="19"/>
    </row>
    <row r="200" spans="1:15" s="4" customFormat="1" ht="18" customHeight="1">
      <c r="A200" s="9" t="e">
        <f t="shared" ref="A200" si="153">+A199</f>
        <v>#REF!</v>
      </c>
      <c r="B200" s="21"/>
      <c r="C200" s="21"/>
      <c r="D200" s="57"/>
      <c r="E200" s="61">
        <f t="shared" si="150"/>
        <v>0</v>
      </c>
      <c r="F200" s="43"/>
      <c r="G200" s="56"/>
      <c r="H200" s="47">
        <f t="shared" si="98"/>
        <v>0</v>
      </c>
      <c r="I200" s="80"/>
      <c r="J200" s="77"/>
      <c r="K200" s="79"/>
      <c r="L200" s="19"/>
      <c r="M200" s="78">
        <f t="shared" si="151"/>
        <v>1</v>
      </c>
      <c r="N200" s="33" t="s">
        <v>36</v>
      </c>
      <c r="O200" s="19"/>
    </row>
    <row r="201" spans="1:15" s="4" customFormat="1" ht="18" customHeight="1">
      <c r="A201" s="9" t="e">
        <f t="shared" ref="A201" si="154">+A200</f>
        <v>#REF!</v>
      </c>
      <c r="B201" s="21"/>
      <c r="C201" s="21"/>
      <c r="D201" s="57"/>
      <c r="E201" s="61">
        <f t="shared" si="150"/>
        <v>0</v>
      </c>
      <c r="F201" s="43"/>
      <c r="G201" s="56"/>
      <c r="H201" s="47">
        <f t="shared" si="98"/>
        <v>0</v>
      </c>
      <c r="I201" s="80"/>
      <c r="J201" s="77"/>
      <c r="K201" s="79"/>
      <c r="L201" s="19"/>
      <c r="M201" s="78">
        <f t="shared" si="151"/>
        <v>1</v>
      </c>
      <c r="N201" s="33" t="s">
        <v>36</v>
      </c>
      <c r="O201" s="19"/>
    </row>
    <row r="202" spans="1:15" s="4" customFormat="1" ht="18" customHeight="1">
      <c r="A202" s="9" t="e">
        <f t="shared" ref="A202" si="155">+A201</f>
        <v>#REF!</v>
      </c>
      <c r="B202" s="21"/>
      <c r="C202" s="21"/>
      <c r="D202" s="57"/>
      <c r="E202" s="61">
        <f t="shared" si="150"/>
        <v>0</v>
      </c>
      <c r="F202" s="43"/>
      <c r="G202" s="56"/>
      <c r="H202" s="47">
        <f t="shared" si="98"/>
        <v>0</v>
      </c>
      <c r="I202" s="80"/>
      <c r="J202" s="77"/>
      <c r="K202" s="79"/>
      <c r="L202" s="19"/>
      <c r="M202" s="78">
        <f t="shared" si="151"/>
        <v>1</v>
      </c>
      <c r="N202" s="33" t="s">
        <v>36</v>
      </c>
      <c r="O202" s="19"/>
    </row>
    <row r="203" spans="1:15" s="4" customFormat="1" ht="18" customHeight="1">
      <c r="A203" s="9" t="e">
        <f t="shared" ref="A203" si="156">+A202</f>
        <v>#REF!</v>
      </c>
      <c r="B203" s="21"/>
      <c r="C203" s="21"/>
      <c r="D203" s="57"/>
      <c r="E203" s="61">
        <f t="shared" si="150"/>
        <v>0</v>
      </c>
      <c r="F203" s="43"/>
      <c r="G203" s="56"/>
      <c r="H203" s="47">
        <f t="shared" si="98"/>
        <v>0</v>
      </c>
      <c r="I203" s="80"/>
      <c r="J203" s="77"/>
      <c r="K203" s="79"/>
      <c r="L203" s="19"/>
      <c r="M203" s="78">
        <f t="shared" si="151"/>
        <v>1</v>
      </c>
      <c r="N203" s="33" t="s">
        <v>36</v>
      </c>
      <c r="O203" s="19"/>
    </row>
    <row r="204" spans="1:15" s="4" customFormat="1" ht="18" customHeight="1">
      <c r="A204" s="9" t="e">
        <f t="shared" ref="A204" si="157">+A203</f>
        <v>#REF!</v>
      </c>
      <c r="B204" s="21"/>
      <c r="C204" s="21"/>
      <c r="D204" s="57"/>
      <c r="E204" s="61">
        <f t="shared" si="150"/>
        <v>0</v>
      </c>
      <c r="F204" s="43"/>
      <c r="G204" s="56"/>
      <c r="H204" s="47">
        <f t="shared" si="98"/>
        <v>0</v>
      </c>
      <c r="I204" s="80"/>
      <c r="J204" s="77"/>
      <c r="K204" s="79"/>
      <c r="L204" s="19"/>
      <c r="M204" s="78">
        <f t="shared" si="151"/>
        <v>1</v>
      </c>
      <c r="N204" s="33" t="s">
        <v>36</v>
      </c>
      <c r="O204" s="19"/>
    </row>
    <row r="205" spans="1:15" s="4" customFormat="1" ht="18" customHeight="1">
      <c r="A205" s="9" t="e">
        <f t="shared" ref="A205" si="158">+A204</f>
        <v>#REF!</v>
      </c>
      <c r="B205" s="21"/>
      <c r="C205" s="21"/>
      <c r="D205" s="57"/>
      <c r="E205" s="61">
        <f t="shared" si="150"/>
        <v>0</v>
      </c>
      <c r="F205" s="43"/>
      <c r="G205" s="56"/>
      <c r="H205" s="47">
        <f t="shared" si="98"/>
        <v>0</v>
      </c>
      <c r="I205" s="80"/>
      <c r="J205" s="77"/>
      <c r="K205" s="79"/>
      <c r="L205" s="19"/>
      <c r="M205" s="78">
        <f t="shared" si="151"/>
        <v>1</v>
      </c>
      <c r="N205" s="33" t="s">
        <v>36</v>
      </c>
      <c r="O205" s="19"/>
    </row>
    <row r="206" spans="1:15" s="4" customFormat="1" ht="18" customHeight="1">
      <c r="A206" s="9" t="e">
        <f t="shared" ref="A206" si="159">+A205</f>
        <v>#REF!</v>
      </c>
      <c r="B206" s="21"/>
      <c r="C206" s="21"/>
      <c r="D206" s="57"/>
      <c r="E206" s="61">
        <f t="shared" si="150"/>
        <v>0</v>
      </c>
      <c r="F206" s="43"/>
      <c r="G206" s="56"/>
      <c r="H206" s="47">
        <f t="shared" si="98"/>
        <v>0</v>
      </c>
      <c r="I206" s="80"/>
      <c r="J206" s="77"/>
      <c r="K206" s="79"/>
      <c r="L206" s="19"/>
      <c r="M206" s="78">
        <f t="shared" si="151"/>
        <v>1</v>
      </c>
      <c r="N206" s="33" t="s">
        <v>36</v>
      </c>
      <c r="O206" s="19"/>
    </row>
    <row r="207" spans="1:15" s="4" customFormat="1" ht="18" customHeight="1">
      <c r="A207" s="9" t="e">
        <f t="shared" ref="A207" si="160">+A206</f>
        <v>#REF!</v>
      </c>
      <c r="B207" s="21"/>
      <c r="C207" s="21"/>
      <c r="D207" s="57"/>
      <c r="E207" s="61">
        <f t="shared" si="150"/>
        <v>0</v>
      </c>
      <c r="F207" s="43"/>
      <c r="G207" s="56"/>
      <c r="H207" s="47">
        <f t="shared" si="98"/>
        <v>0</v>
      </c>
      <c r="I207" s="80"/>
      <c r="J207" s="77"/>
      <c r="K207" s="79"/>
      <c r="L207" s="19"/>
      <c r="M207" s="78">
        <f t="shared" si="151"/>
        <v>1</v>
      </c>
      <c r="N207" s="33" t="s">
        <v>36</v>
      </c>
      <c r="O207" s="19"/>
    </row>
    <row r="208" spans="1:15" s="4" customFormat="1" ht="18" customHeight="1">
      <c r="A208" s="9" t="e">
        <f t="shared" ref="A208" si="161">+A207</f>
        <v>#REF!</v>
      </c>
      <c r="B208" s="21"/>
      <c r="C208" s="21"/>
      <c r="D208" s="57"/>
      <c r="E208" s="61">
        <f t="shared" si="150"/>
        <v>0</v>
      </c>
      <c r="F208" s="43"/>
      <c r="G208" s="56"/>
      <c r="H208" s="47">
        <f t="shared" si="98"/>
        <v>0</v>
      </c>
      <c r="I208" s="80"/>
      <c r="J208" s="77"/>
      <c r="K208" s="79"/>
      <c r="L208" s="19"/>
      <c r="M208" s="78">
        <f t="shared" si="151"/>
        <v>1</v>
      </c>
      <c r="N208" s="33" t="s">
        <v>36</v>
      </c>
      <c r="O208" s="19"/>
    </row>
    <row r="209" spans="1:15" s="4" customFormat="1" ht="18" customHeight="1">
      <c r="A209" s="9" t="e">
        <f t="shared" ref="A209" si="162">+A208</f>
        <v>#REF!</v>
      </c>
      <c r="B209" s="21"/>
      <c r="C209" s="21"/>
      <c r="D209" s="57"/>
      <c r="E209" s="61">
        <f t="shared" si="150"/>
        <v>0</v>
      </c>
      <c r="F209" s="43"/>
      <c r="G209" s="56"/>
      <c r="H209" s="47">
        <f t="shared" si="98"/>
        <v>0</v>
      </c>
      <c r="I209" s="80"/>
      <c r="J209" s="77"/>
      <c r="K209" s="79"/>
      <c r="L209" s="19"/>
      <c r="M209" s="78">
        <f t="shared" si="151"/>
        <v>1</v>
      </c>
      <c r="N209" s="33" t="s">
        <v>36</v>
      </c>
      <c r="O209" s="19"/>
    </row>
    <row r="210" spans="1:15" s="4" customFormat="1" ht="18" customHeight="1">
      <c r="A210" s="9" t="e">
        <f t="shared" ref="A210" si="163">+A209</f>
        <v>#REF!</v>
      </c>
      <c r="B210" s="21"/>
      <c r="C210" s="21"/>
      <c r="D210" s="57"/>
      <c r="E210" s="61">
        <f t="shared" si="150"/>
        <v>0</v>
      </c>
      <c r="F210" s="43"/>
      <c r="G210" s="56"/>
      <c r="H210" s="47">
        <f t="shared" si="98"/>
        <v>0</v>
      </c>
      <c r="I210" s="80"/>
      <c r="J210" s="77"/>
      <c r="K210" s="79"/>
      <c r="L210" s="19"/>
      <c r="M210" s="78">
        <f t="shared" si="151"/>
        <v>1</v>
      </c>
      <c r="N210" s="33" t="s">
        <v>36</v>
      </c>
      <c r="O210" s="19"/>
    </row>
    <row r="211" spans="1:15" s="4" customFormat="1" ht="18" customHeight="1">
      <c r="A211" s="9" t="e">
        <f t="shared" ref="A211" si="164">+A210</f>
        <v>#REF!</v>
      </c>
      <c r="B211" s="21"/>
      <c r="C211" s="21"/>
      <c r="D211" s="57"/>
      <c r="E211" s="61">
        <f t="shared" si="150"/>
        <v>0</v>
      </c>
      <c r="F211" s="43"/>
      <c r="G211" s="56"/>
      <c r="H211" s="47">
        <f t="shared" ref="H211:H274" si="165">+G211</f>
        <v>0</v>
      </c>
      <c r="I211" s="80"/>
      <c r="J211" s="77"/>
      <c r="K211" s="79"/>
      <c r="L211" s="19"/>
      <c r="M211" s="78">
        <f t="shared" si="151"/>
        <v>1</v>
      </c>
      <c r="N211" s="33" t="s">
        <v>36</v>
      </c>
      <c r="O211" s="19"/>
    </row>
    <row r="212" spans="1:15" s="4" customFormat="1" ht="18" customHeight="1">
      <c r="A212" s="9" t="e">
        <f t="shared" ref="A212" si="166">+A211</f>
        <v>#REF!</v>
      </c>
      <c r="B212" s="21"/>
      <c r="C212" s="21"/>
      <c r="D212" s="57"/>
      <c r="E212" s="61">
        <f t="shared" si="150"/>
        <v>0</v>
      </c>
      <c r="F212" s="43"/>
      <c r="G212" s="56"/>
      <c r="H212" s="47">
        <f t="shared" si="165"/>
        <v>0</v>
      </c>
      <c r="I212" s="80"/>
      <c r="J212" s="77"/>
      <c r="K212" s="79"/>
      <c r="L212" s="19"/>
      <c r="M212" s="78">
        <f t="shared" si="151"/>
        <v>1</v>
      </c>
      <c r="N212" s="33" t="s">
        <v>36</v>
      </c>
      <c r="O212" s="19"/>
    </row>
    <row r="213" spans="1:15" s="4" customFormat="1" ht="18" customHeight="1">
      <c r="A213" s="9" t="e">
        <f t="shared" ref="A213" si="167">+A212</f>
        <v>#REF!</v>
      </c>
      <c r="B213" s="21"/>
      <c r="C213" s="21"/>
      <c r="D213" s="57"/>
      <c r="E213" s="61">
        <f t="shared" si="150"/>
        <v>0</v>
      </c>
      <c r="F213" s="43"/>
      <c r="G213" s="56"/>
      <c r="H213" s="47">
        <f t="shared" si="165"/>
        <v>0</v>
      </c>
      <c r="I213" s="80"/>
      <c r="J213" s="77"/>
      <c r="K213" s="79"/>
      <c r="L213" s="19"/>
      <c r="M213" s="78">
        <f t="shared" si="151"/>
        <v>1</v>
      </c>
      <c r="N213" s="33" t="s">
        <v>36</v>
      </c>
      <c r="O213" s="19"/>
    </row>
    <row r="214" spans="1:15" s="4" customFormat="1" ht="18" customHeight="1">
      <c r="A214" s="9" t="e">
        <f t="shared" ref="A214" si="168">+A213</f>
        <v>#REF!</v>
      </c>
      <c r="B214" s="21"/>
      <c r="C214" s="21"/>
      <c r="D214" s="57"/>
      <c r="E214" s="61">
        <f t="shared" si="150"/>
        <v>0</v>
      </c>
      <c r="F214" s="43"/>
      <c r="G214" s="56"/>
      <c r="H214" s="47">
        <f t="shared" si="165"/>
        <v>0</v>
      </c>
      <c r="I214" s="80"/>
      <c r="J214" s="77"/>
      <c r="K214" s="79"/>
      <c r="L214" s="19"/>
      <c r="M214" s="78">
        <f t="shared" si="151"/>
        <v>1</v>
      </c>
      <c r="N214" s="33" t="s">
        <v>36</v>
      </c>
      <c r="O214" s="19"/>
    </row>
    <row r="215" spans="1:15" s="4" customFormat="1" ht="18" customHeight="1">
      <c r="A215" s="9" t="e">
        <f t="shared" ref="A215" si="169">+A214</f>
        <v>#REF!</v>
      </c>
      <c r="B215" s="21"/>
      <c r="C215" s="21"/>
      <c r="D215" s="57"/>
      <c r="E215" s="61">
        <f t="shared" si="150"/>
        <v>0</v>
      </c>
      <c r="F215" s="43"/>
      <c r="G215" s="56"/>
      <c r="H215" s="47">
        <f t="shared" si="165"/>
        <v>0</v>
      </c>
      <c r="I215" s="80"/>
      <c r="J215" s="77"/>
      <c r="K215" s="79"/>
      <c r="L215" s="19"/>
      <c r="M215" s="78">
        <f t="shared" si="151"/>
        <v>1</v>
      </c>
      <c r="N215" s="33" t="s">
        <v>36</v>
      </c>
      <c r="O215" s="19"/>
    </row>
    <row r="216" spans="1:15" s="4" customFormat="1" ht="18" customHeight="1">
      <c r="A216" s="9" t="e">
        <f t="shared" ref="A216" si="170">+A215</f>
        <v>#REF!</v>
      </c>
      <c r="B216" s="21"/>
      <c r="C216" s="21"/>
      <c r="D216" s="57"/>
      <c r="E216" s="61">
        <f t="shared" si="150"/>
        <v>0</v>
      </c>
      <c r="F216" s="43"/>
      <c r="G216" s="56"/>
      <c r="H216" s="47">
        <f t="shared" si="165"/>
        <v>0</v>
      </c>
      <c r="I216" s="80"/>
      <c r="J216" s="77"/>
      <c r="K216" s="79"/>
      <c r="L216" s="19"/>
      <c r="M216" s="78">
        <f t="shared" si="151"/>
        <v>1</v>
      </c>
      <c r="N216" s="33" t="s">
        <v>36</v>
      </c>
      <c r="O216" s="19"/>
    </row>
    <row r="217" spans="1:15" s="4" customFormat="1" ht="18" customHeight="1">
      <c r="A217" s="9" t="e">
        <f t="shared" ref="A217" si="171">+A216</f>
        <v>#REF!</v>
      </c>
      <c r="B217" s="21"/>
      <c r="C217" s="21"/>
      <c r="D217" s="57"/>
      <c r="E217" s="61">
        <f t="shared" si="150"/>
        <v>0</v>
      </c>
      <c r="F217" s="43"/>
      <c r="G217" s="56"/>
      <c r="H217" s="47">
        <f t="shared" si="165"/>
        <v>0</v>
      </c>
      <c r="I217" s="80"/>
      <c r="J217" s="77"/>
      <c r="K217" s="79"/>
      <c r="L217" s="19"/>
      <c r="M217" s="78">
        <f t="shared" si="151"/>
        <v>1</v>
      </c>
      <c r="N217" s="33" t="s">
        <v>36</v>
      </c>
      <c r="O217" s="19"/>
    </row>
    <row r="218" spans="1:15" s="4" customFormat="1" ht="18" customHeight="1">
      <c r="A218" s="9" t="e">
        <f t="shared" ref="A218" si="172">+A217</f>
        <v>#REF!</v>
      </c>
      <c r="B218" s="21"/>
      <c r="C218" s="21"/>
      <c r="D218" s="57"/>
      <c r="E218" s="61">
        <f t="shared" si="150"/>
        <v>0</v>
      </c>
      <c r="F218" s="43"/>
      <c r="G218" s="56"/>
      <c r="H218" s="47">
        <f t="shared" si="165"/>
        <v>0</v>
      </c>
      <c r="I218" s="80"/>
      <c r="J218" s="77"/>
      <c r="K218" s="79"/>
      <c r="L218" s="19"/>
      <c r="M218" s="78">
        <f t="shared" si="151"/>
        <v>1</v>
      </c>
      <c r="N218" s="33" t="s">
        <v>36</v>
      </c>
      <c r="O218" s="19"/>
    </row>
    <row r="219" spans="1:15" s="4" customFormat="1" ht="18" customHeight="1">
      <c r="A219" s="9" t="e">
        <f t="shared" ref="A219" si="173">+A218</f>
        <v>#REF!</v>
      </c>
      <c r="B219" s="21"/>
      <c r="C219" s="21"/>
      <c r="D219" s="57"/>
      <c r="E219" s="61">
        <f t="shared" si="150"/>
        <v>0</v>
      </c>
      <c r="F219" s="43"/>
      <c r="G219" s="56"/>
      <c r="H219" s="47">
        <f t="shared" si="165"/>
        <v>0</v>
      </c>
      <c r="I219" s="80"/>
      <c r="J219" s="77"/>
      <c r="K219" s="79"/>
      <c r="L219" s="19"/>
      <c r="M219" s="78">
        <f t="shared" si="151"/>
        <v>1</v>
      </c>
      <c r="N219" s="33" t="s">
        <v>36</v>
      </c>
      <c r="O219" s="19"/>
    </row>
    <row r="220" spans="1:15" s="4" customFormat="1" ht="18" customHeight="1">
      <c r="A220" s="9" t="e">
        <f t="shared" ref="A220" si="174">+A219</f>
        <v>#REF!</v>
      </c>
      <c r="B220" s="21"/>
      <c r="C220" s="21"/>
      <c r="D220" s="57"/>
      <c r="E220" s="61">
        <f t="shared" si="150"/>
        <v>0</v>
      </c>
      <c r="F220" s="43"/>
      <c r="G220" s="56"/>
      <c r="H220" s="47">
        <f t="shared" si="165"/>
        <v>0</v>
      </c>
      <c r="I220" s="80"/>
      <c r="J220" s="77"/>
      <c r="K220" s="79"/>
      <c r="L220" s="19"/>
      <c r="M220" s="78">
        <f t="shared" si="151"/>
        <v>1</v>
      </c>
      <c r="N220" s="33" t="s">
        <v>36</v>
      </c>
      <c r="O220" s="19"/>
    </row>
    <row r="221" spans="1:15" s="4" customFormat="1" ht="18" customHeight="1">
      <c r="A221" s="9" t="e">
        <f t="shared" ref="A221" si="175">+A220</f>
        <v>#REF!</v>
      </c>
      <c r="B221" s="21"/>
      <c r="C221" s="21"/>
      <c r="D221" s="57"/>
      <c r="E221" s="61">
        <f t="shared" si="150"/>
        <v>0</v>
      </c>
      <c r="F221" s="43"/>
      <c r="G221" s="56"/>
      <c r="H221" s="47">
        <f t="shared" si="165"/>
        <v>0</v>
      </c>
      <c r="I221" s="80"/>
      <c r="J221" s="77"/>
      <c r="K221" s="79"/>
      <c r="L221" s="19"/>
      <c r="M221" s="78">
        <f t="shared" si="151"/>
        <v>1</v>
      </c>
      <c r="N221" s="33" t="s">
        <v>36</v>
      </c>
      <c r="O221" s="19"/>
    </row>
    <row r="222" spans="1:15" s="4" customFormat="1" ht="18" customHeight="1">
      <c r="A222" s="9" t="e">
        <f t="shared" ref="A222" si="176">+A221</f>
        <v>#REF!</v>
      </c>
      <c r="B222" s="21"/>
      <c r="C222" s="21"/>
      <c r="D222" s="57"/>
      <c r="E222" s="61">
        <f t="shared" si="150"/>
        <v>0</v>
      </c>
      <c r="F222" s="43"/>
      <c r="G222" s="56"/>
      <c r="H222" s="47">
        <f t="shared" si="165"/>
        <v>0</v>
      </c>
      <c r="I222" s="80"/>
      <c r="J222" s="77"/>
      <c r="K222" s="79"/>
      <c r="L222" s="19"/>
      <c r="M222" s="78">
        <f t="shared" si="151"/>
        <v>1</v>
      </c>
      <c r="N222" s="33" t="s">
        <v>36</v>
      </c>
      <c r="O222" s="19"/>
    </row>
    <row r="223" spans="1:15" s="4" customFormat="1" ht="18" customHeight="1">
      <c r="A223" s="9" t="e">
        <f t="shared" ref="A223" si="177">+A222</f>
        <v>#REF!</v>
      </c>
      <c r="B223" s="21"/>
      <c r="C223" s="21"/>
      <c r="D223" s="57"/>
      <c r="E223" s="61">
        <f t="shared" si="150"/>
        <v>0</v>
      </c>
      <c r="F223" s="43"/>
      <c r="G223" s="56"/>
      <c r="H223" s="47">
        <f t="shared" si="165"/>
        <v>0</v>
      </c>
      <c r="I223" s="80"/>
      <c r="J223" s="77"/>
      <c r="K223" s="79"/>
      <c r="L223" s="19"/>
      <c r="M223" s="78">
        <f t="shared" si="151"/>
        <v>1</v>
      </c>
      <c r="N223" s="33" t="s">
        <v>36</v>
      </c>
      <c r="O223" s="19"/>
    </row>
    <row r="224" spans="1:15" s="4" customFormat="1" ht="18" customHeight="1">
      <c r="A224" s="9" t="e">
        <f t="shared" ref="A224" si="178">+A223</f>
        <v>#REF!</v>
      </c>
      <c r="B224" s="21"/>
      <c r="C224" s="21"/>
      <c r="D224" s="57"/>
      <c r="E224" s="61">
        <f t="shared" si="150"/>
        <v>0</v>
      </c>
      <c r="F224" s="43"/>
      <c r="G224" s="56"/>
      <c r="H224" s="47">
        <f t="shared" si="165"/>
        <v>0</v>
      </c>
      <c r="I224" s="80"/>
      <c r="J224" s="77"/>
      <c r="K224" s="79"/>
      <c r="L224" s="19"/>
      <c r="M224" s="78">
        <f t="shared" si="151"/>
        <v>1</v>
      </c>
      <c r="N224" s="33" t="s">
        <v>36</v>
      </c>
      <c r="O224" s="19"/>
    </row>
    <row r="225" spans="1:15" s="4" customFormat="1" ht="18" customHeight="1">
      <c r="A225" s="9" t="e">
        <f t="shared" ref="A225" si="179">+A224</f>
        <v>#REF!</v>
      </c>
      <c r="B225" s="21"/>
      <c r="C225" s="21"/>
      <c r="D225" s="57"/>
      <c r="E225" s="61">
        <f t="shared" si="150"/>
        <v>0</v>
      </c>
      <c r="F225" s="43"/>
      <c r="G225" s="56"/>
      <c r="H225" s="47">
        <f t="shared" si="165"/>
        <v>0</v>
      </c>
      <c r="I225" s="80"/>
      <c r="J225" s="77"/>
      <c r="K225" s="79"/>
      <c r="L225" s="19"/>
      <c r="M225" s="78">
        <f t="shared" si="151"/>
        <v>1</v>
      </c>
      <c r="N225" s="33" t="s">
        <v>36</v>
      </c>
      <c r="O225" s="19"/>
    </row>
    <row r="226" spans="1:15" s="4" customFormat="1" ht="18" customHeight="1">
      <c r="A226" s="9" t="e">
        <f t="shared" ref="A226" si="180">+A225</f>
        <v>#REF!</v>
      </c>
      <c r="B226" s="21"/>
      <c r="C226" s="21"/>
      <c r="D226" s="57"/>
      <c r="E226" s="61">
        <f t="shared" si="150"/>
        <v>0</v>
      </c>
      <c r="F226" s="43"/>
      <c r="G226" s="56"/>
      <c r="H226" s="47">
        <f t="shared" si="165"/>
        <v>0</v>
      </c>
      <c r="I226" s="80"/>
      <c r="J226" s="77"/>
      <c r="K226" s="79"/>
      <c r="L226" s="19"/>
      <c r="M226" s="78">
        <f t="shared" si="151"/>
        <v>1</v>
      </c>
      <c r="N226" s="33" t="s">
        <v>36</v>
      </c>
      <c r="O226" s="19"/>
    </row>
    <row r="227" spans="1:15" s="4" customFormat="1" ht="18" customHeight="1">
      <c r="A227" s="9" t="e">
        <f t="shared" ref="A227" si="181">+A226</f>
        <v>#REF!</v>
      </c>
      <c r="B227" s="21"/>
      <c r="C227" s="21"/>
      <c r="D227" s="57"/>
      <c r="E227" s="61">
        <f t="shared" si="150"/>
        <v>0</v>
      </c>
      <c r="F227" s="43"/>
      <c r="G227" s="56"/>
      <c r="H227" s="47">
        <f t="shared" si="165"/>
        <v>0</v>
      </c>
      <c r="I227" s="80"/>
      <c r="J227" s="77"/>
      <c r="K227" s="79"/>
      <c r="L227" s="19"/>
      <c r="M227" s="78">
        <f t="shared" si="151"/>
        <v>1</v>
      </c>
      <c r="N227" s="33" t="s">
        <v>36</v>
      </c>
      <c r="O227" s="19"/>
    </row>
    <row r="228" spans="1:15" s="63" customFormat="1" ht="18" customHeight="1">
      <c r="A228" s="9" t="e">
        <f t="shared" ref="A228" si="182">+A227</f>
        <v>#REF!</v>
      </c>
      <c r="B228" s="21"/>
      <c r="C228" s="21"/>
      <c r="D228" s="57"/>
      <c r="E228" s="61">
        <f t="shared" si="150"/>
        <v>0</v>
      </c>
      <c r="F228" s="43"/>
      <c r="G228" s="56"/>
      <c r="H228" s="47">
        <f t="shared" si="165"/>
        <v>0</v>
      </c>
      <c r="I228" s="80"/>
      <c r="J228" s="77"/>
      <c r="K228" s="79"/>
      <c r="L228" s="19"/>
      <c r="M228" s="78">
        <f t="shared" si="151"/>
        <v>1</v>
      </c>
      <c r="N228" s="33" t="s">
        <v>36</v>
      </c>
      <c r="O228" s="19"/>
    </row>
    <row r="229" spans="1:15" s="63" customFormat="1" ht="18" customHeight="1">
      <c r="A229" s="9" t="e">
        <f t="shared" ref="A229" si="183">+A228</f>
        <v>#REF!</v>
      </c>
      <c r="B229" s="21"/>
      <c r="C229" s="21"/>
      <c r="D229" s="57"/>
      <c r="E229" s="61">
        <f t="shared" si="150"/>
        <v>0</v>
      </c>
      <c r="F229" s="43"/>
      <c r="G229" s="56"/>
      <c r="H229" s="47">
        <f t="shared" si="165"/>
        <v>0</v>
      </c>
      <c r="I229" s="80"/>
      <c r="J229" s="77"/>
      <c r="K229" s="79"/>
      <c r="L229" s="19"/>
      <c r="M229" s="78">
        <f t="shared" si="151"/>
        <v>1</v>
      </c>
      <c r="N229" s="33" t="s">
        <v>36</v>
      </c>
      <c r="O229" s="19"/>
    </row>
    <row r="230" spans="1:15" s="4" customFormat="1" ht="18" customHeight="1">
      <c r="A230" s="9" t="e">
        <f t="shared" ref="A230" si="184">+A229</f>
        <v>#REF!</v>
      </c>
      <c r="B230" s="21"/>
      <c r="C230" s="21"/>
      <c r="D230" s="57"/>
      <c r="E230" s="61">
        <f t="shared" si="150"/>
        <v>0</v>
      </c>
      <c r="F230" s="43"/>
      <c r="G230" s="56"/>
      <c r="H230" s="47">
        <f t="shared" si="165"/>
        <v>0</v>
      </c>
      <c r="I230" s="80"/>
      <c r="J230" s="77"/>
      <c r="K230" s="79"/>
      <c r="L230" s="19"/>
      <c r="M230" s="78">
        <f t="shared" si="151"/>
        <v>1</v>
      </c>
      <c r="N230" s="33" t="s">
        <v>36</v>
      </c>
      <c r="O230" s="19"/>
    </row>
    <row r="231" spans="1:15" s="4" customFormat="1" ht="18" customHeight="1">
      <c r="A231" s="9" t="e">
        <f t="shared" ref="A231" si="185">+A230</f>
        <v>#REF!</v>
      </c>
      <c r="B231" s="21"/>
      <c r="C231" s="21"/>
      <c r="D231" s="57"/>
      <c r="E231" s="61">
        <f t="shared" si="150"/>
        <v>0</v>
      </c>
      <c r="F231" s="43"/>
      <c r="G231" s="56"/>
      <c r="H231" s="47">
        <f t="shared" si="165"/>
        <v>0</v>
      </c>
      <c r="I231" s="80"/>
      <c r="J231" s="77"/>
      <c r="K231" s="79"/>
      <c r="L231" s="19"/>
      <c r="M231" s="78">
        <f t="shared" si="151"/>
        <v>1</v>
      </c>
      <c r="N231" s="33" t="s">
        <v>36</v>
      </c>
      <c r="O231" s="19"/>
    </row>
    <row r="232" spans="1:15" s="4" customFormat="1" ht="18" customHeight="1">
      <c r="A232" s="9" t="e">
        <f t="shared" ref="A232" si="186">+A231</f>
        <v>#REF!</v>
      </c>
      <c r="B232" s="21"/>
      <c r="C232" s="21"/>
      <c r="D232" s="57"/>
      <c r="E232" s="61">
        <f t="shared" si="150"/>
        <v>0</v>
      </c>
      <c r="F232" s="43"/>
      <c r="G232" s="56"/>
      <c r="H232" s="47">
        <f t="shared" si="165"/>
        <v>0</v>
      </c>
      <c r="I232" s="80"/>
      <c r="J232" s="77"/>
      <c r="K232" s="79"/>
      <c r="L232" s="19"/>
      <c r="M232" s="78">
        <f t="shared" si="151"/>
        <v>1</v>
      </c>
      <c r="N232" s="33" t="s">
        <v>36</v>
      </c>
      <c r="O232" s="19"/>
    </row>
    <row r="233" spans="1:15" s="4" customFormat="1" ht="18" customHeight="1">
      <c r="A233" s="9" t="e">
        <f t="shared" ref="A233" si="187">+A232</f>
        <v>#REF!</v>
      </c>
      <c r="B233" s="21"/>
      <c r="C233" s="21"/>
      <c r="D233" s="57"/>
      <c r="E233" s="61">
        <f t="shared" si="150"/>
        <v>0</v>
      </c>
      <c r="F233" s="43"/>
      <c r="G233" s="56"/>
      <c r="H233" s="47">
        <f t="shared" si="165"/>
        <v>0</v>
      </c>
      <c r="I233" s="80"/>
      <c r="J233" s="77"/>
      <c r="K233" s="79"/>
      <c r="L233" s="19"/>
      <c r="M233" s="78">
        <f t="shared" si="151"/>
        <v>1</v>
      </c>
      <c r="N233" s="33" t="s">
        <v>36</v>
      </c>
      <c r="O233" s="19"/>
    </row>
    <row r="234" spans="1:15" s="4" customFormat="1" ht="18" customHeight="1">
      <c r="A234" s="9" t="e">
        <f t="shared" ref="A234" si="188">+A233</f>
        <v>#REF!</v>
      </c>
      <c r="B234" s="21"/>
      <c r="C234" s="21"/>
      <c r="D234" s="57"/>
      <c r="E234" s="61">
        <f t="shared" si="150"/>
        <v>0</v>
      </c>
      <c r="F234" s="43"/>
      <c r="G234" s="56"/>
      <c r="H234" s="47">
        <f t="shared" si="165"/>
        <v>0</v>
      </c>
      <c r="I234" s="80"/>
      <c r="J234" s="77"/>
      <c r="K234" s="79"/>
      <c r="L234" s="19"/>
      <c r="M234" s="78">
        <f t="shared" si="151"/>
        <v>1</v>
      </c>
      <c r="N234" s="33" t="s">
        <v>36</v>
      </c>
      <c r="O234" s="19"/>
    </row>
    <row r="235" spans="1:15" s="4" customFormat="1" ht="18" customHeight="1">
      <c r="A235" s="9" t="e">
        <f t="shared" ref="A235" si="189">+A234</f>
        <v>#REF!</v>
      </c>
      <c r="B235" s="21"/>
      <c r="C235" s="21"/>
      <c r="D235" s="57"/>
      <c r="E235" s="61">
        <f t="shared" si="150"/>
        <v>0</v>
      </c>
      <c r="F235" s="43"/>
      <c r="G235" s="56"/>
      <c r="H235" s="47">
        <f t="shared" si="165"/>
        <v>0</v>
      </c>
      <c r="I235" s="80"/>
      <c r="J235" s="77"/>
      <c r="K235" s="79"/>
      <c r="L235" s="19"/>
      <c r="M235" s="78">
        <f t="shared" si="151"/>
        <v>1</v>
      </c>
      <c r="N235" s="33" t="s">
        <v>36</v>
      </c>
      <c r="O235" s="19"/>
    </row>
    <row r="236" spans="1:15" s="4" customFormat="1" ht="18" customHeight="1">
      <c r="A236" s="9" t="e">
        <f t="shared" ref="A236" si="190">+A235</f>
        <v>#REF!</v>
      </c>
      <c r="B236" s="21"/>
      <c r="C236" s="21"/>
      <c r="D236" s="57"/>
      <c r="E236" s="61">
        <f t="shared" si="150"/>
        <v>0</v>
      </c>
      <c r="F236" s="43"/>
      <c r="G236" s="56"/>
      <c r="H236" s="47">
        <f t="shared" si="165"/>
        <v>0</v>
      </c>
      <c r="I236" s="80"/>
      <c r="J236" s="77"/>
      <c r="K236" s="79"/>
      <c r="L236" s="19"/>
      <c r="M236" s="78">
        <f t="shared" si="151"/>
        <v>1</v>
      </c>
      <c r="N236" s="33" t="s">
        <v>36</v>
      </c>
      <c r="O236" s="19"/>
    </row>
    <row r="237" spans="1:15" s="4" customFormat="1" ht="18" customHeight="1">
      <c r="A237" s="9" t="e">
        <f t="shared" ref="A237" si="191">+A236</f>
        <v>#REF!</v>
      </c>
      <c r="B237" s="21"/>
      <c r="C237" s="21"/>
      <c r="D237" s="57"/>
      <c r="E237" s="61">
        <f t="shared" si="150"/>
        <v>0</v>
      </c>
      <c r="F237" s="43"/>
      <c r="G237" s="56"/>
      <c r="H237" s="47">
        <f t="shared" si="165"/>
        <v>0</v>
      </c>
      <c r="I237" s="80"/>
      <c r="J237" s="77"/>
      <c r="K237" s="79"/>
      <c r="L237" s="19"/>
      <c r="M237" s="78">
        <f t="shared" si="151"/>
        <v>1</v>
      </c>
      <c r="N237" s="33" t="s">
        <v>36</v>
      </c>
      <c r="O237" s="19"/>
    </row>
    <row r="238" spans="1:15" s="4" customFormat="1" ht="18" customHeight="1">
      <c r="A238" s="9" t="e">
        <f t="shared" ref="A238" si="192">+A237</f>
        <v>#REF!</v>
      </c>
      <c r="B238" s="21"/>
      <c r="C238" s="21"/>
      <c r="D238" s="57"/>
      <c r="E238" s="61">
        <f t="shared" si="150"/>
        <v>0</v>
      </c>
      <c r="F238" s="43"/>
      <c r="G238" s="56"/>
      <c r="H238" s="47">
        <f t="shared" si="165"/>
        <v>0</v>
      </c>
      <c r="I238" s="80"/>
      <c r="J238" s="77"/>
      <c r="K238" s="79"/>
      <c r="L238" s="19"/>
      <c r="M238" s="78">
        <f t="shared" si="151"/>
        <v>1</v>
      </c>
      <c r="N238" s="33" t="s">
        <v>36</v>
      </c>
      <c r="O238" s="19"/>
    </row>
    <row r="239" spans="1:15" s="4" customFormat="1" ht="18" customHeight="1">
      <c r="A239" s="9" t="e">
        <f t="shared" ref="A239" si="193">+A238</f>
        <v>#REF!</v>
      </c>
      <c r="B239" s="21"/>
      <c r="C239" s="21"/>
      <c r="D239" s="57"/>
      <c r="E239" s="61">
        <f t="shared" si="150"/>
        <v>0</v>
      </c>
      <c r="F239" s="43"/>
      <c r="G239" s="56"/>
      <c r="H239" s="47">
        <f t="shared" si="165"/>
        <v>0</v>
      </c>
      <c r="I239" s="80"/>
      <c r="J239" s="77"/>
      <c r="K239" s="79"/>
      <c r="L239" s="19"/>
      <c r="M239" s="78">
        <f t="shared" si="151"/>
        <v>1</v>
      </c>
      <c r="N239" s="33" t="s">
        <v>36</v>
      </c>
      <c r="O239" s="19"/>
    </row>
    <row r="240" spans="1:15" s="4" customFormat="1" ht="18" customHeight="1">
      <c r="A240" s="9" t="e">
        <f t="shared" ref="A240" si="194">+A239</f>
        <v>#REF!</v>
      </c>
      <c r="B240" s="21"/>
      <c r="C240" s="21"/>
      <c r="D240" s="57"/>
      <c r="E240" s="61">
        <f t="shared" si="150"/>
        <v>0</v>
      </c>
      <c r="F240" s="43"/>
      <c r="G240" s="56"/>
      <c r="H240" s="47">
        <f t="shared" si="165"/>
        <v>0</v>
      </c>
      <c r="I240" s="80"/>
      <c r="J240" s="77"/>
      <c r="K240" s="79"/>
      <c r="L240" s="19"/>
      <c r="M240" s="78">
        <f t="shared" si="151"/>
        <v>1</v>
      </c>
      <c r="N240" s="33" t="s">
        <v>36</v>
      </c>
      <c r="O240" s="19"/>
    </row>
    <row r="241" spans="1:15" s="4" customFormat="1" ht="18" customHeight="1">
      <c r="A241" s="9" t="e">
        <f t="shared" ref="A241" si="195">+A240</f>
        <v>#REF!</v>
      </c>
      <c r="B241" s="21"/>
      <c r="C241" s="21"/>
      <c r="D241" s="57"/>
      <c r="E241" s="61">
        <f t="shared" si="150"/>
        <v>0</v>
      </c>
      <c r="F241" s="43"/>
      <c r="G241" s="56"/>
      <c r="H241" s="47">
        <f t="shared" si="165"/>
        <v>0</v>
      </c>
      <c r="I241" s="80"/>
      <c r="J241" s="77"/>
      <c r="K241" s="79"/>
      <c r="L241" s="19"/>
      <c r="M241" s="78">
        <f t="shared" si="151"/>
        <v>1</v>
      </c>
      <c r="N241" s="33" t="s">
        <v>36</v>
      </c>
      <c r="O241" s="19"/>
    </row>
    <row r="242" spans="1:15" s="4" customFormat="1" ht="18" customHeight="1">
      <c r="A242" s="9" t="e">
        <f t="shared" ref="A242" si="196">+A241</f>
        <v>#REF!</v>
      </c>
      <c r="B242" s="21"/>
      <c r="C242" s="21"/>
      <c r="D242" s="57"/>
      <c r="E242" s="61">
        <f t="shared" si="150"/>
        <v>0</v>
      </c>
      <c r="F242" s="43"/>
      <c r="G242" s="56"/>
      <c r="H242" s="47">
        <f t="shared" si="165"/>
        <v>0</v>
      </c>
      <c r="I242" s="80"/>
      <c r="J242" s="77"/>
      <c r="K242" s="79"/>
      <c r="L242" s="19"/>
      <c r="M242" s="78">
        <f t="shared" si="151"/>
        <v>1</v>
      </c>
      <c r="N242" s="33" t="s">
        <v>36</v>
      </c>
      <c r="O242" s="19"/>
    </row>
    <row r="243" spans="1:15" s="4" customFormat="1" ht="18" customHeight="1">
      <c r="A243" s="9" t="e">
        <f t="shared" ref="A243" si="197">+A242</f>
        <v>#REF!</v>
      </c>
      <c r="B243" s="21"/>
      <c r="C243" s="21"/>
      <c r="D243" s="57"/>
      <c r="E243" s="61">
        <f t="shared" si="150"/>
        <v>0</v>
      </c>
      <c r="F243" s="43"/>
      <c r="G243" s="56"/>
      <c r="H243" s="47">
        <f t="shared" si="165"/>
        <v>0</v>
      </c>
      <c r="I243" s="80"/>
      <c r="J243" s="77"/>
      <c r="K243" s="79"/>
      <c r="L243" s="19"/>
      <c r="M243" s="78">
        <f t="shared" si="151"/>
        <v>1</v>
      </c>
      <c r="N243" s="33" t="s">
        <v>36</v>
      </c>
      <c r="O243" s="19"/>
    </row>
    <row r="244" spans="1:15" s="4" customFormat="1" ht="18" customHeight="1">
      <c r="A244" s="9" t="e">
        <f t="shared" ref="A244" si="198">+A243</f>
        <v>#REF!</v>
      </c>
      <c r="B244" s="21"/>
      <c r="C244" s="21"/>
      <c r="D244" s="57"/>
      <c r="E244" s="61">
        <f t="shared" si="150"/>
        <v>0</v>
      </c>
      <c r="F244" s="43"/>
      <c r="G244" s="56"/>
      <c r="H244" s="47">
        <f t="shared" si="165"/>
        <v>0</v>
      </c>
      <c r="I244" s="80"/>
      <c r="J244" s="77"/>
      <c r="K244" s="79"/>
      <c r="L244" s="19"/>
      <c r="M244" s="78">
        <f t="shared" si="151"/>
        <v>1</v>
      </c>
      <c r="N244" s="33" t="s">
        <v>36</v>
      </c>
      <c r="O244" s="19"/>
    </row>
    <row r="245" spans="1:15" s="4" customFormat="1" ht="18" customHeight="1">
      <c r="A245" s="9" t="e">
        <f t="shared" ref="A245" si="199">+A244</f>
        <v>#REF!</v>
      </c>
      <c r="B245" s="21"/>
      <c r="C245" s="21"/>
      <c r="D245" s="57"/>
      <c r="E245" s="61">
        <f t="shared" si="150"/>
        <v>0</v>
      </c>
      <c r="F245" s="43"/>
      <c r="G245" s="56"/>
      <c r="H245" s="47">
        <f t="shared" si="165"/>
        <v>0</v>
      </c>
      <c r="I245" s="80"/>
      <c r="J245" s="77"/>
      <c r="K245" s="79"/>
      <c r="L245" s="19"/>
      <c r="M245" s="78">
        <f t="shared" si="151"/>
        <v>1</v>
      </c>
      <c r="N245" s="33" t="s">
        <v>36</v>
      </c>
      <c r="O245" s="19"/>
    </row>
    <row r="246" spans="1:15" s="4" customFormat="1" ht="18" customHeight="1">
      <c r="A246" s="9" t="e">
        <f t="shared" ref="A246" si="200">+A245</f>
        <v>#REF!</v>
      </c>
      <c r="B246" s="21"/>
      <c r="C246" s="21"/>
      <c r="D246" s="57"/>
      <c r="E246" s="61">
        <f t="shared" si="150"/>
        <v>0</v>
      </c>
      <c r="F246" s="43"/>
      <c r="G246" s="56"/>
      <c r="H246" s="47">
        <f t="shared" si="165"/>
        <v>0</v>
      </c>
      <c r="I246" s="80"/>
      <c r="J246" s="77"/>
      <c r="K246" s="79"/>
      <c r="L246" s="19"/>
      <c r="M246" s="78">
        <f t="shared" si="151"/>
        <v>1</v>
      </c>
      <c r="N246" s="33" t="s">
        <v>36</v>
      </c>
      <c r="O246" s="19"/>
    </row>
    <row r="247" spans="1:15" s="4" customFormat="1" ht="18" customHeight="1">
      <c r="A247" s="9" t="e">
        <f t="shared" ref="A247" si="201">+A246</f>
        <v>#REF!</v>
      </c>
      <c r="B247" s="21"/>
      <c r="C247" s="21"/>
      <c r="D247" s="57"/>
      <c r="E247" s="61">
        <f t="shared" si="150"/>
        <v>0</v>
      </c>
      <c r="F247" s="43"/>
      <c r="G247" s="56"/>
      <c r="H247" s="47">
        <f t="shared" si="165"/>
        <v>0</v>
      </c>
      <c r="I247" s="80"/>
      <c r="J247" s="77"/>
      <c r="K247" s="79"/>
      <c r="L247" s="19"/>
      <c r="M247" s="78">
        <f t="shared" si="151"/>
        <v>1</v>
      </c>
      <c r="N247" s="33" t="s">
        <v>36</v>
      </c>
      <c r="O247" s="19"/>
    </row>
    <row r="248" spans="1:15" s="4" customFormat="1" ht="18" customHeight="1">
      <c r="A248" s="9" t="e">
        <f t="shared" ref="A248" si="202">+A247</f>
        <v>#REF!</v>
      </c>
      <c r="B248" s="21"/>
      <c r="C248" s="21"/>
      <c r="D248" s="57"/>
      <c r="E248" s="61">
        <f t="shared" si="150"/>
        <v>0</v>
      </c>
      <c r="F248" s="43"/>
      <c r="G248" s="56"/>
      <c r="H248" s="47">
        <f t="shared" si="165"/>
        <v>0</v>
      </c>
      <c r="I248" s="80"/>
      <c r="J248" s="77"/>
      <c r="K248" s="79"/>
      <c r="L248" s="19"/>
      <c r="M248" s="78">
        <f t="shared" si="151"/>
        <v>1</v>
      </c>
      <c r="N248" s="33" t="s">
        <v>36</v>
      </c>
      <c r="O248" s="19"/>
    </row>
    <row r="249" spans="1:15" s="4" customFormat="1" ht="18" customHeight="1">
      <c r="A249" s="9" t="e">
        <f t="shared" ref="A249" si="203">+A248</f>
        <v>#REF!</v>
      </c>
      <c r="B249" s="21"/>
      <c r="C249" s="21"/>
      <c r="D249" s="57"/>
      <c r="E249" s="61">
        <f t="shared" si="150"/>
        <v>0</v>
      </c>
      <c r="F249" s="43"/>
      <c r="G249" s="56"/>
      <c r="H249" s="47">
        <f t="shared" si="165"/>
        <v>0</v>
      </c>
      <c r="I249" s="80"/>
      <c r="J249" s="77"/>
      <c r="K249" s="79"/>
      <c r="L249" s="19"/>
      <c r="M249" s="78">
        <f t="shared" si="151"/>
        <v>1</v>
      </c>
      <c r="N249" s="33" t="s">
        <v>36</v>
      </c>
      <c r="O249" s="19"/>
    </row>
    <row r="250" spans="1:15" s="4" customFormat="1" ht="18" customHeight="1">
      <c r="A250" s="9" t="e">
        <f t="shared" ref="A250" si="204">+A249</f>
        <v>#REF!</v>
      </c>
      <c r="B250" s="21"/>
      <c r="C250" s="21"/>
      <c r="D250" s="57"/>
      <c r="E250" s="61">
        <f t="shared" si="150"/>
        <v>0</v>
      </c>
      <c r="F250" s="43"/>
      <c r="G250" s="56"/>
      <c r="H250" s="47">
        <f t="shared" si="165"/>
        <v>0</v>
      </c>
      <c r="I250" s="80"/>
      <c r="J250" s="77"/>
      <c r="K250" s="79"/>
      <c r="L250" s="19"/>
      <c r="M250" s="78">
        <f t="shared" si="151"/>
        <v>1</v>
      </c>
      <c r="N250" s="33" t="s">
        <v>36</v>
      </c>
      <c r="O250" s="19"/>
    </row>
    <row r="251" spans="1:15" s="4" customFormat="1" ht="18" customHeight="1">
      <c r="A251" s="9" t="e">
        <f t="shared" ref="A251" si="205">+A250</f>
        <v>#REF!</v>
      </c>
      <c r="B251" s="21"/>
      <c r="C251" s="21"/>
      <c r="D251" s="57"/>
      <c r="E251" s="61">
        <f t="shared" si="150"/>
        <v>0</v>
      </c>
      <c r="F251" s="43"/>
      <c r="G251" s="56"/>
      <c r="H251" s="47">
        <f t="shared" si="165"/>
        <v>0</v>
      </c>
      <c r="I251" s="80"/>
      <c r="J251" s="77"/>
      <c r="K251" s="79"/>
      <c r="L251" s="19"/>
      <c r="M251" s="78">
        <f t="shared" si="151"/>
        <v>1</v>
      </c>
      <c r="N251" s="33" t="s">
        <v>36</v>
      </c>
      <c r="O251" s="19"/>
    </row>
    <row r="252" spans="1:15" s="4" customFormat="1" ht="18" customHeight="1">
      <c r="A252" s="9" t="e">
        <f t="shared" ref="A252" si="206">+A251</f>
        <v>#REF!</v>
      </c>
      <c r="B252" s="21"/>
      <c r="C252" s="21"/>
      <c r="D252" s="57"/>
      <c r="E252" s="61">
        <f t="shared" si="150"/>
        <v>0</v>
      </c>
      <c r="F252" s="43"/>
      <c r="G252" s="56"/>
      <c r="H252" s="47">
        <f t="shared" si="165"/>
        <v>0</v>
      </c>
      <c r="I252" s="80"/>
      <c r="J252" s="77"/>
      <c r="K252" s="79"/>
      <c r="L252" s="19"/>
      <c r="M252" s="78">
        <f t="shared" si="151"/>
        <v>1</v>
      </c>
      <c r="N252" s="33" t="s">
        <v>36</v>
      </c>
      <c r="O252" s="19"/>
    </row>
    <row r="253" spans="1:15" s="4" customFormat="1" ht="18" customHeight="1">
      <c r="A253" s="9" t="e">
        <f t="shared" ref="A253" si="207">+A252</f>
        <v>#REF!</v>
      </c>
      <c r="B253" s="21"/>
      <c r="C253" s="21"/>
      <c r="D253" s="57"/>
      <c r="E253" s="61">
        <f t="shared" si="150"/>
        <v>0</v>
      </c>
      <c r="F253" s="43"/>
      <c r="G253" s="56"/>
      <c r="H253" s="47">
        <f t="shared" si="165"/>
        <v>0</v>
      </c>
      <c r="I253" s="80"/>
      <c r="J253" s="77"/>
      <c r="K253" s="79"/>
      <c r="L253" s="19"/>
      <c r="M253" s="78">
        <f t="shared" si="151"/>
        <v>1</v>
      </c>
      <c r="N253" s="33" t="s">
        <v>36</v>
      </c>
      <c r="O253" s="19"/>
    </row>
    <row r="254" spans="1:15" s="4" customFormat="1" ht="18" customHeight="1">
      <c r="A254" s="9" t="e">
        <f t="shared" ref="A254" si="208">+A253</f>
        <v>#REF!</v>
      </c>
      <c r="B254" s="21"/>
      <c r="C254" s="21"/>
      <c r="D254" s="57"/>
      <c r="E254" s="61">
        <f t="shared" si="150"/>
        <v>0</v>
      </c>
      <c r="F254" s="43"/>
      <c r="G254" s="56"/>
      <c r="H254" s="47">
        <f t="shared" si="165"/>
        <v>0</v>
      </c>
      <c r="I254" s="80"/>
      <c r="J254" s="77"/>
      <c r="K254" s="79"/>
      <c r="L254" s="19"/>
      <c r="M254" s="78">
        <f t="shared" si="151"/>
        <v>1</v>
      </c>
      <c r="N254" s="33" t="s">
        <v>36</v>
      </c>
      <c r="O254" s="19"/>
    </row>
    <row r="255" spans="1:15" s="4" customFormat="1" ht="18" customHeight="1">
      <c r="A255" s="9" t="e">
        <f t="shared" ref="A255" si="209">+A254</f>
        <v>#REF!</v>
      </c>
      <c r="B255" s="21"/>
      <c r="C255" s="21"/>
      <c r="D255" s="57"/>
      <c r="E255" s="61">
        <f t="shared" si="150"/>
        <v>0</v>
      </c>
      <c r="F255" s="43"/>
      <c r="G255" s="56"/>
      <c r="H255" s="47">
        <f t="shared" si="165"/>
        <v>0</v>
      </c>
      <c r="I255" s="80"/>
      <c r="J255" s="77"/>
      <c r="K255" s="79"/>
      <c r="L255" s="19"/>
      <c r="M255" s="78">
        <f t="shared" si="151"/>
        <v>1</v>
      </c>
      <c r="N255" s="33" t="s">
        <v>36</v>
      </c>
      <c r="O255" s="19"/>
    </row>
    <row r="256" spans="1:15" s="4" customFormat="1" ht="18" customHeight="1">
      <c r="A256" s="9" t="e">
        <f t="shared" ref="A256" si="210">+A255</f>
        <v>#REF!</v>
      </c>
      <c r="B256" s="21"/>
      <c r="C256" s="21"/>
      <c r="D256" s="57"/>
      <c r="E256" s="61">
        <f t="shared" si="150"/>
        <v>0</v>
      </c>
      <c r="F256" s="43"/>
      <c r="G256" s="56"/>
      <c r="H256" s="47">
        <f t="shared" si="165"/>
        <v>0</v>
      </c>
      <c r="I256" s="80"/>
      <c r="J256" s="77"/>
      <c r="K256" s="79"/>
      <c r="L256" s="19"/>
      <c r="M256" s="78">
        <f t="shared" si="151"/>
        <v>1</v>
      </c>
      <c r="N256" s="33" t="s">
        <v>36</v>
      </c>
      <c r="O256" s="19"/>
    </row>
    <row r="257" spans="1:15" s="4" customFormat="1" ht="18" customHeight="1">
      <c r="A257" s="9" t="e">
        <f t="shared" ref="A257" si="211">+A256</f>
        <v>#REF!</v>
      </c>
      <c r="B257" s="21"/>
      <c r="C257" s="21"/>
      <c r="D257" s="57"/>
      <c r="E257" s="61">
        <f t="shared" si="150"/>
        <v>0</v>
      </c>
      <c r="F257" s="43"/>
      <c r="G257" s="56"/>
      <c r="H257" s="47">
        <f t="shared" si="165"/>
        <v>0</v>
      </c>
      <c r="I257" s="80"/>
      <c r="J257" s="77"/>
      <c r="K257" s="79"/>
      <c r="L257" s="19"/>
      <c r="M257" s="78">
        <f t="shared" si="151"/>
        <v>1</v>
      </c>
      <c r="N257" s="33" t="s">
        <v>36</v>
      </c>
      <c r="O257" s="19"/>
    </row>
    <row r="258" spans="1:15" s="4" customFormat="1" ht="18" customHeight="1">
      <c r="A258" s="9" t="e">
        <f t="shared" ref="A258" si="212">+A257</f>
        <v>#REF!</v>
      </c>
      <c r="B258" s="21"/>
      <c r="C258" s="21"/>
      <c r="D258" s="57"/>
      <c r="E258" s="61">
        <f t="shared" si="150"/>
        <v>0</v>
      </c>
      <c r="F258" s="43"/>
      <c r="G258" s="56"/>
      <c r="H258" s="47">
        <f t="shared" si="165"/>
        <v>0</v>
      </c>
      <c r="I258" s="80"/>
      <c r="J258" s="77"/>
      <c r="K258" s="79"/>
      <c r="L258" s="19"/>
      <c r="M258" s="78">
        <f t="shared" si="151"/>
        <v>1</v>
      </c>
      <c r="N258" s="33" t="s">
        <v>36</v>
      </c>
      <c r="O258" s="19"/>
    </row>
    <row r="259" spans="1:15" s="4" customFormat="1" ht="18" customHeight="1">
      <c r="A259" s="9" t="e">
        <f t="shared" ref="A259" si="213">+A258</f>
        <v>#REF!</v>
      </c>
      <c r="B259" s="21"/>
      <c r="C259" s="21"/>
      <c r="D259" s="57"/>
      <c r="E259" s="61">
        <f t="shared" si="150"/>
        <v>0</v>
      </c>
      <c r="F259" s="43"/>
      <c r="G259" s="56"/>
      <c r="H259" s="47">
        <f t="shared" si="165"/>
        <v>0</v>
      </c>
      <c r="I259" s="80"/>
      <c r="J259" s="77"/>
      <c r="K259" s="79"/>
      <c r="L259" s="19"/>
      <c r="M259" s="78">
        <f t="shared" si="151"/>
        <v>1</v>
      </c>
      <c r="N259" s="33" t="s">
        <v>36</v>
      </c>
      <c r="O259" s="19"/>
    </row>
    <row r="260" spans="1:15" s="4" customFormat="1" ht="18" customHeight="1">
      <c r="A260" s="9" t="e">
        <f t="shared" ref="A260" si="214">+A259</f>
        <v>#REF!</v>
      </c>
      <c r="B260" s="21"/>
      <c r="C260" s="21"/>
      <c r="D260" s="57"/>
      <c r="E260" s="61">
        <f t="shared" si="150"/>
        <v>0</v>
      </c>
      <c r="F260" s="43"/>
      <c r="G260" s="56"/>
      <c r="H260" s="47">
        <f t="shared" si="165"/>
        <v>0</v>
      </c>
      <c r="I260" s="80"/>
      <c r="J260" s="77"/>
      <c r="K260" s="79"/>
      <c r="L260" s="19"/>
      <c r="M260" s="78">
        <f t="shared" si="151"/>
        <v>1</v>
      </c>
      <c r="N260" s="33" t="s">
        <v>36</v>
      </c>
      <c r="O260" s="19"/>
    </row>
    <row r="261" spans="1:15" s="4" customFormat="1" ht="18" customHeight="1">
      <c r="A261" s="9" t="e">
        <f t="shared" ref="A261" si="215">+A260</f>
        <v>#REF!</v>
      </c>
      <c r="B261" s="21"/>
      <c r="C261" s="21"/>
      <c r="D261" s="57"/>
      <c r="E261" s="61">
        <f t="shared" si="150"/>
        <v>0</v>
      </c>
      <c r="F261" s="43"/>
      <c r="G261" s="56"/>
      <c r="H261" s="47">
        <f t="shared" si="165"/>
        <v>0</v>
      </c>
      <c r="I261" s="80"/>
      <c r="J261" s="77"/>
      <c r="K261" s="79"/>
      <c r="L261" s="19"/>
      <c r="M261" s="78">
        <f t="shared" si="151"/>
        <v>1</v>
      </c>
      <c r="N261" s="33" t="s">
        <v>36</v>
      </c>
      <c r="O261" s="19"/>
    </row>
    <row r="262" spans="1:15" s="4" customFormat="1" ht="18" customHeight="1">
      <c r="A262" s="9" t="e">
        <f t="shared" ref="A262" si="216">+A261</f>
        <v>#REF!</v>
      </c>
      <c r="B262" s="21"/>
      <c r="C262" s="21"/>
      <c r="D262" s="57"/>
      <c r="E262" s="61">
        <f t="shared" ref="E262:E325" si="217">+B262</f>
        <v>0</v>
      </c>
      <c r="F262" s="43"/>
      <c r="G262" s="56"/>
      <c r="H262" s="47">
        <f t="shared" si="165"/>
        <v>0</v>
      </c>
      <c r="I262" s="80"/>
      <c r="J262" s="77"/>
      <c r="K262" s="79"/>
      <c r="L262" s="19"/>
      <c r="M262" s="78">
        <f t="shared" ref="M262:M325" si="218">+WEEKNUM(K262,2)</f>
        <v>1</v>
      </c>
      <c r="N262" s="33" t="s">
        <v>36</v>
      </c>
      <c r="O262" s="19"/>
    </row>
    <row r="263" spans="1:15" s="4" customFormat="1" ht="18" customHeight="1">
      <c r="A263" s="9" t="e">
        <f t="shared" ref="A263" si="219">+A262</f>
        <v>#REF!</v>
      </c>
      <c r="B263" s="21"/>
      <c r="C263" s="21"/>
      <c r="D263" s="57"/>
      <c r="E263" s="61">
        <f t="shared" si="217"/>
        <v>0</v>
      </c>
      <c r="F263" s="43"/>
      <c r="G263" s="56"/>
      <c r="H263" s="47">
        <f t="shared" si="165"/>
        <v>0</v>
      </c>
      <c r="I263" s="80"/>
      <c r="J263" s="77"/>
      <c r="K263" s="79"/>
      <c r="L263" s="19"/>
      <c r="M263" s="78">
        <f t="shared" si="218"/>
        <v>1</v>
      </c>
      <c r="N263" s="33" t="s">
        <v>36</v>
      </c>
      <c r="O263" s="19"/>
    </row>
    <row r="264" spans="1:15" s="4" customFormat="1" ht="18" customHeight="1">
      <c r="A264" s="9" t="e">
        <f t="shared" ref="A264" si="220">+A263</f>
        <v>#REF!</v>
      </c>
      <c r="B264" s="21"/>
      <c r="C264" s="21"/>
      <c r="D264" s="57"/>
      <c r="E264" s="61">
        <f t="shared" si="217"/>
        <v>0</v>
      </c>
      <c r="F264" s="43"/>
      <c r="G264" s="56"/>
      <c r="H264" s="47">
        <f t="shared" si="165"/>
        <v>0</v>
      </c>
      <c r="I264" s="80"/>
      <c r="J264" s="77"/>
      <c r="K264" s="79"/>
      <c r="L264" s="19"/>
      <c r="M264" s="78">
        <f t="shared" si="218"/>
        <v>1</v>
      </c>
      <c r="N264" s="33" t="s">
        <v>36</v>
      </c>
      <c r="O264" s="19"/>
    </row>
    <row r="265" spans="1:15" s="4" customFormat="1" ht="18" customHeight="1">
      <c r="A265" s="9" t="e">
        <f t="shared" ref="A265" si="221">+A264</f>
        <v>#REF!</v>
      </c>
      <c r="B265" s="21"/>
      <c r="C265" s="21"/>
      <c r="D265" s="57"/>
      <c r="E265" s="61">
        <f t="shared" si="217"/>
        <v>0</v>
      </c>
      <c r="F265" s="43"/>
      <c r="G265" s="56"/>
      <c r="H265" s="47">
        <f t="shared" si="165"/>
        <v>0</v>
      </c>
      <c r="I265" s="80"/>
      <c r="J265" s="77"/>
      <c r="K265" s="79"/>
      <c r="L265" s="19"/>
      <c r="M265" s="78">
        <f t="shared" si="218"/>
        <v>1</v>
      </c>
      <c r="N265" s="33" t="s">
        <v>36</v>
      </c>
      <c r="O265" s="19"/>
    </row>
    <row r="266" spans="1:15" s="4" customFormat="1" ht="18" customHeight="1">
      <c r="A266" s="9" t="e">
        <f t="shared" ref="A266" si="222">+A265</f>
        <v>#REF!</v>
      </c>
      <c r="B266" s="21"/>
      <c r="C266" s="21"/>
      <c r="D266" s="57"/>
      <c r="E266" s="61">
        <f t="shared" si="217"/>
        <v>0</v>
      </c>
      <c r="F266" s="43"/>
      <c r="G266" s="56"/>
      <c r="H266" s="47">
        <f t="shared" si="165"/>
        <v>0</v>
      </c>
      <c r="I266" s="80"/>
      <c r="J266" s="77"/>
      <c r="K266" s="79"/>
      <c r="L266" s="19"/>
      <c r="M266" s="78">
        <f t="shared" si="218"/>
        <v>1</v>
      </c>
      <c r="N266" s="33" t="s">
        <v>36</v>
      </c>
      <c r="O266" s="19"/>
    </row>
    <row r="267" spans="1:15" s="4" customFormat="1" ht="18" customHeight="1">
      <c r="A267" s="9" t="e">
        <f t="shared" ref="A267" si="223">+A266</f>
        <v>#REF!</v>
      </c>
      <c r="B267" s="21"/>
      <c r="C267" s="21"/>
      <c r="D267" s="57"/>
      <c r="E267" s="61">
        <f t="shared" si="217"/>
        <v>0</v>
      </c>
      <c r="F267" s="43"/>
      <c r="G267" s="56"/>
      <c r="H267" s="47">
        <f t="shared" si="165"/>
        <v>0</v>
      </c>
      <c r="I267" s="80"/>
      <c r="J267" s="77"/>
      <c r="K267" s="79"/>
      <c r="L267" s="19"/>
      <c r="M267" s="78">
        <f t="shared" si="218"/>
        <v>1</v>
      </c>
      <c r="N267" s="33" t="s">
        <v>36</v>
      </c>
      <c r="O267" s="19"/>
    </row>
    <row r="268" spans="1:15" s="4" customFormat="1" ht="18" customHeight="1">
      <c r="A268" s="9" t="e">
        <f t="shared" ref="A268" si="224">+A267</f>
        <v>#REF!</v>
      </c>
      <c r="B268" s="21"/>
      <c r="C268" s="21"/>
      <c r="D268" s="57"/>
      <c r="E268" s="61">
        <f t="shared" si="217"/>
        <v>0</v>
      </c>
      <c r="F268" s="43"/>
      <c r="G268" s="56"/>
      <c r="H268" s="47">
        <f t="shared" si="165"/>
        <v>0</v>
      </c>
      <c r="I268" s="80"/>
      <c r="J268" s="77"/>
      <c r="K268" s="79"/>
      <c r="L268" s="19"/>
      <c r="M268" s="78">
        <f t="shared" si="218"/>
        <v>1</v>
      </c>
      <c r="N268" s="33" t="s">
        <v>36</v>
      </c>
      <c r="O268" s="19"/>
    </row>
    <row r="269" spans="1:15" s="4" customFormat="1" ht="18" customHeight="1">
      <c r="A269" s="9" t="e">
        <f t="shared" ref="A269" si="225">+A268</f>
        <v>#REF!</v>
      </c>
      <c r="B269" s="21"/>
      <c r="C269" s="21"/>
      <c r="D269" s="57"/>
      <c r="E269" s="61">
        <f t="shared" si="217"/>
        <v>0</v>
      </c>
      <c r="F269" s="43"/>
      <c r="G269" s="56"/>
      <c r="H269" s="47">
        <f t="shared" si="165"/>
        <v>0</v>
      </c>
      <c r="I269" s="80"/>
      <c r="J269" s="77"/>
      <c r="K269" s="79"/>
      <c r="L269" s="19"/>
      <c r="M269" s="78">
        <f t="shared" si="218"/>
        <v>1</v>
      </c>
      <c r="N269" s="33" t="s">
        <v>36</v>
      </c>
      <c r="O269" s="19"/>
    </row>
    <row r="270" spans="1:15" s="4" customFormat="1" ht="18" customHeight="1">
      <c r="A270" s="9" t="e">
        <f t="shared" ref="A270" si="226">+A269</f>
        <v>#REF!</v>
      </c>
      <c r="B270" s="21"/>
      <c r="C270" s="21"/>
      <c r="D270" s="57"/>
      <c r="E270" s="61">
        <f t="shared" si="217"/>
        <v>0</v>
      </c>
      <c r="F270" s="43"/>
      <c r="G270" s="56"/>
      <c r="H270" s="47">
        <f t="shared" si="165"/>
        <v>0</v>
      </c>
      <c r="I270" s="80"/>
      <c r="J270" s="77"/>
      <c r="K270" s="79"/>
      <c r="L270" s="19"/>
      <c r="M270" s="78">
        <f t="shared" si="218"/>
        <v>1</v>
      </c>
      <c r="N270" s="33" t="s">
        <v>36</v>
      </c>
      <c r="O270" s="19"/>
    </row>
    <row r="271" spans="1:15" s="4" customFormat="1" ht="18" customHeight="1">
      <c r="A271" s="9" t="e">
        <f t="shared" ref="A271" si="227">+A270</f>
        <v>#REF!</v>
      </c>
      <c r="B271" s="21"/>
      <c r="C271" s="21"/>
      <c r="D271" s="57"/>
      <c r="E271" s="61">
        <f t="shared" si="217"/>
        <v>0</v>
      </c>
      <c r="F271" s="43"/>
      <c r="G271" s="56"/>
      <c r="H271" s="47">
        <f t="shared" si="165"/>
        <v>0</v>
      </c>
      <c r="I271" s="80"/>
      <c r="J271" s="77"/>
      <c r="K271" s="79"/>
      <c r="L271" s="19"/>
      <c r="M271" s="78">
        <f t="shared" si="218"/>
        <v>1</v>
      </c>
      <c r="N271" s="33" t="s">
        <v>36</v>
      </c>
      <c r="O271" s="19"/>
    </row>
    <row r="272" spans="1:15" s="4" customFormat="1" ht="18" customHeight="1">
      <c r="A272" s="9" t="e">
        <f t="shared" ref="A272" si="228">+A271</f>
        <v>#REF!</v>
      </c>
      <c r="B272" s="21"/>
      <c r="C272" s="21"/>
      <c r="D272" s="57"/>
      <c r="E272" s="61">
        <f t="shared" si="217"/>
        <v>0</v>
      </c>
      <c r="F272" s="43"/>
      <c r="G272" s="56"/>
      <c r="H272" s="47">
        <f t="shared" si="165"/>
        <v>0</v>
      </c>
      <c r="I272" s="80"/>
      <c r="J272" s="77"/>
      <c r="K272" s="79"/>
      <c r="L272" s="19"/>
      <c r="M272" s="78">
        <f t="shared" si="218"/>
        <v>1</v>
      </c>
      <c r="N272" s="33" t="s">
        <v>36</v>
      </c>
      <c r="O272" s="19"/>
    </row>
    <row r="273" spans="1:15" s="4" customFormat="1" ht="18" customHeight="1">
      <c r="A273" s="9" t="e">
        <f t="shared" ref="A273" si="229">+A272</f>
        <v>#REF!</v>
      </c>
      <c r="B273" s="21"/>
      <c r="C273" s="21"/>
      <c r="D273" s="57"/>
      <c r="E273" s="61">
        <f t="shared" si="217"/>
        <v>0</v>
      </c>
      <c r="F273" s="43"/>
      <c r="G273" s="56"/>
      <c r="H273" s="47">
        <f t="shared" si="165"/>
        <v>0</v>
      </c>
      <c r="I273" s="80"/>
      <c r="J273" s="77"/>
      <c r="K273" s="79"/>
      <c r="L273" s="19"/>
      <c r="M273" s="78">
        <f t="shared" si="218"/>
        <v>1</v>
      </c>
      <c r="N273" s="33" t="s">
        <v>36</v>
      </c>
      <c r="O273" s="19"/>
    </row>
    <row r="274" spans="1:15" s="4" customFormat="1" ht="18" customHeight="1">
      <c r="A274" s="9" t="e">
        <f t="shared" ref="A274" si="230">+A273</f>
        <v>#REF!</v>
      </c>
      <c r="B274" s="21"/>
      <c r="C274" s="21"/>
      <c r="D274" s="57"/>
      <c r="E274" s="61">
        <f t="shared" si="217"/>
        <v>0</v>
      </c>
      <c r="F274" s="43"/>
      <c r="G274" s="56"/>
      <c r="H274" s="47">
        <f t="shared" si="165"/>
        <v>0</v>
      </c>
      <c r="I274" s="80"/>
      <c r="J274" s="77"/>
      <c r="K274" s="79"/>
      <c r="L274" s="19"/>
      <c r="M274" s="78">
        <f t="shared" si="218"/>
        <v>1</v>
      </c>
      <c r="N274" s="33" t="s">
        <v>36</v>
      </c>
      <c r="O274" s="19"/>
    </row>
    <row r="275" spans="1:15" s="4" customFormat="1" ht="18" customHeight="1">
      <c r="A275" s="9" t="e">
        <f t="shared" ref="A275" si="231">+A274</f>
        <v>#REF!</v>
      </c>
      <c r="B275" s="21"/>
      <c r="C275" s="21"/>
      <c r="D275" s="57"/>
      <c r="E275" s="61">
        <f t="shared" si="217"/>
        <v>0</v>
      </c>
      <c r="F275" s="43"/>
      <c r="G275" s="56"/>
      <c r="H275" s="47">
        <f t="shared" ref="H275:H338" si="232">+G275</f>
        <v>0</v>
      </c>
      <c r="I275" s="80"/>
      <c r="J275" s="77"/>
      <c r="K275" s="79"/>
      <c r="L275" s="19"/>
      <c r="M275" s="78">
        <f t="shared" si="218"/>
        <v>1</v>
      </c>
      <c r="N275" s="33" t="s">
        <v>36</v>
      </c>
      <c r="O275" s="19"/>
    </row>
    <row r="276" spans="1:15" s="4" customFormat="1" ht="18" customHeight="1">
      <c r="A276" s="9" t="e">
        <f t="shared" ref="A276" si="233">+A275</f>
        <v>#REF!</v>
      </c>
      <c r="B276" s="21"/>
      <c r="C276" s="21"/>
      <c r="D276" s="57"/>
      <c r="E276" s="61">
        <f t="shared" si="217"/>
        <v>0</v>
      </c>
      <c r="F276" s="43"/>
      <c r="G276" s="56"/>
      <c r="H276" s="47">
        <f t="shared" si="232"/>
        <v>0</v>
      </c>
      <c r="I276" s="80"/>
      <c r="J276" s="77"/>
      <c r="K276" s="79"/>
      <c r="L276" s="19"/>
      <c r="M276" s="78">
        <f t="shared" si="218"/>
        <v>1</v>
      </c>
      <c r="N276" s="33" t="s">
        <v>36</v>
      </c>
      <c r="O276" s="19"/>
    </row>
    <row r="277" spans="1:15" s="4" customFormat="1" ht="18" customHeight="1">
      <c r="A277" s="9" t="e">
        <f t="shared" ref="A277" si="234">+A276</f>
        <v>#REF!</v>
      </c>
      <c r="B277" s="21"/>
      <c r="C277" s="21"/>
      <c r="D277" s="57"/>
      <c r="E277" s="61">
        <f t="shared" si="217"/>
        <v>0</v>
      </c>
      <c r="F277" s="43"/>
      <c r="G277" s="56"/>
      <c r="H277" s="47">
        <f t="shared" si="232"/>
        <v>0</v>
      </c>
      <c r="I277" s="80"/>
      <c r="J277" s="77"/>
      <c r="K277" s="79"/>
      <c r="L277" s="19"/>
      <c r="M277" s="78">
        <f t="shared" si="218"/>
        <v>1</v>
      </c>
      <c r="N277" s="33" t="s">
        <v>36</v>
      </c>
      <c r="O277" s="19"/>
    </row>
    <row r="278" spans="1:15" s="4" customFormat="1" ht="18" customHeight="1">
      <c r="A278" s="9" t="e">
        <f t="shared" ref="A278" si="235">+A277</f>
        <v>#REF!</v>
      </c>
      <c r="B278" s="21"/>
      <c r="C278" s="21"/>
      <c r="D278" s="57"/>
      <c r="E278" s="61">
        <f t="shared" si="217"/>
        <v>0</v>
      </c>
      <c r="F278" s="43"/>
      <c r="G278" s="56"/>
      <c r="H278" s="47">
        <f t="shared" si="232"/>
        <v>0</v>
      </c>
      <c r="I278" s="80"/>
      <c r="J278" s="77"/>
      <c r="K278" s="79"/>
      <c r="L278" s="19"/>
      <c r="M278" s="78">
        <f t="shared" si="218"/>
        <v>1</v>
      </c>
      <c r="N278" s="33" t="s">
        <v>36</v>
      </c>
      <c r="O278" s="19"/>
    </row>
    <row r="279" spans="1:15" s="4" customFormat="1" ht="18" customHeight="1">
      <c r="A279" s="9" t="e">
        <f t="shared" ref="A279" si="236">+A278</f>
        <v>#REF!</v>
      </c>
      <c r="B279" s="21"/>
      <c r="C279" s="21"/>
      <c r="D279" s="57"/>
      <c r="E279" s="61">
        <f t="shared" si="217"/>
        <v>0</v>
      </c>
      <c r="F279" s="43"/>
      <c r="G279" s="56"/>
      <c r="H279" s="47">
        <f t="shared" si="232"/>
        <v>0</v>
      </c>
      <c r="I279" s="80"/>
      <c r="J279" s="77"/>
      <c r="K279" s="79"/>
      <c r="L279" s="19"/>
      <c r="M279" s="78">
        <f t="shared" si="218"/>
        <v>1</v>
      </c>
      <c r="N279" s="33" t="s">
        <v>36</v>
      </c>
      <c r="O279" s="19"/>
    </row>
    <row r="280" spans="1:15" s="4" customFormat="1" ht="18" customHeight="1">
      <c r="A280" s="9" t="e">
        <f t="shared" ref="A280" si="237">+A279</f>
        <v>#REF!</v>
      </c>
      <c r="B280" s="21"/>
      <c r="C280" s="21"/>
      <c r="D280" s="57"/>
      <c r="E280" s="61">
        <f t="shared" si="217"/>
        <v>0</v>
      </c>
      <c r="F280" s="43"/>
      <c r="G280" s="56"/>
      <c r="H280" s="47">
        <f t="shared" si="232"/>
        <v>0</v>
      </c>
      <c r="I280" s="80"/>
      <c r="J280" s="77"/>
      <c r="K280" s="79"/>
      <c r="L280" s="19"/>
      <c r="M280" s="78">
        <f t="shared" si="218"/>
        <v>1</v>
      </c>
      <c r="N280" s="33" t="s">
        <v>36</v>
      </c>
      <c r="O280" s="19"/>
    </row>
    <row r="281" spans="1:15" s="4" customFormat="1" ht="18" customHeight="1">
      <c r="A281" s="9" t="e">
        <f t="shared" ref="A281" si="238">+A280</f>
        <v>#REF!</v>
      </c>
      <c r="B281" s="21"/>
      <c r="C281" s="21"/>
      <c r="D281" s="57"/>
      <c r="E281" s="61">
        <f t="shared" si="217"/>
        <v>0</v>
      </c>
      <c r="F281" s="43"/>
      <c r="G281" s="56"/>
      <c r="H281" s="47">
        <f t="shared" si="232"/>
        <v>0</v>
      </c>
      <c r="I281" s="80"/>
      <c r="J281" s="77"/>
      <c r="K281" s="79"/>
      <c r="L281" s="19"/>
      <c r="M281" s="78">
        <f t="shared" si="218"/>
        <v>1</v>
      </c>
      <c r="N281" s="33" t="s">
        <v>36</v>
      </c>
      <c r="O281" s="19"/>
    </row>
    <row r="282" spans="1:15" s="4" customFormat="1" ht="18" customHeight="1">
      <c r="A282" s="9" t="e">
        <f t="shared" ref="A282" si="239">+A281</f>
        <v>#REF!</v>
      </c>
      <c r="B282" s="21"/>
      <c r="C282" s="21"/>
      <c r="D282" s="57"/>
      <c r="E282" s="61">
        <f t="shared" si="217"/>
        <v>0</v>
      </c>
      <c r="F282" s="43"/>
      <c r="G282" s="56"/>
      <c r="H282" s="47">
        <f t="shared" si="232"/>
        <v>0</v>
      </c>
      <c r="I282" s="80"/>
      <c r="J282" s="77"/>
      <c r="K282" s="79"/>
      <c r="L282" s="19"/>
      <c r="M282" s="78">
        <f t="shared" si="218"/>
        <v>1</v>
      </c>
      <c r="N282" s="33" t="s">
        <v>36</v>
      </c>
      <c r="O282" s="19"/>
    </row>
    <row r="283" spans="1:15" s="4" customFormat="1" ht="18" customHeight="1">
      <c r="A283" s="9" t="e">
        <f t="shared" ref="A283" si="240">+A282</f>
        <v>#REF!</v>
      </c>
      <c r="B283" s="21"/>
      <c r="C283" s="21"/>
      <c r="D283" s="57"/>
      <c r="E283" s="61">
        <f t="shared" si="217"/>
        <v>0</v>
      </c>
      <c r="F283" s="43"/>
      <c r="G283" s="56"/>
      <c r="H283" s="47">
        <f t="shared" si="232"/>
        <v>0</v>
      </c>
      <c r="I283" s="80"/>
      <c r="J283" s="77"/>
      <c r="K283" s="79"/>
      <c r="L283" s="19"/>
      <c r="M283" s="78">
        <f t="shared" si="218"/>
        <v>1</v>
      </c>
      <c r="N283" s="33" t="s">
        <v>36</v>
      </c>
      <c r="O283" s="19"/>
    </row>
    <row r="284" spans="1:15" s="4" customFormat="1" ht="18" customHeight="1">
      <c r="A284" s="9" t="e">
        <f t="shared" ref="A284" si="241">+A283</f>
        <v>#REF!</v>
      </c>
      <c r="B284" s="21"/>
      <c r="C284" s="21"/>
      <c r="D284" s="57"/>
      <c r="E284" s="61">
        <f t="shared" si="217"/>
        <v>0</v>
      </c>
      <c r="F284" s="43"/>
      <c r="G284" s="56"/>
      <c r="H284" s="47">
        <f t="shared" si="232"/>
        <v>0</v>
      </c>
      <c r="I284" s="80"/>
      <c r="J284" s="77"/>
      <c r="K284" s="79"/>
      <c r="L284" s="19"/>
      <c r="M284" s="78">
        <f t="shared" si="218"/>
        <v>1</v>
      </c>
      <c r="N284" s="33" t="s">
        <v>36</v>
      </c>
      <c r="O284" s="19"/>
    </row>
    <row r="285" spans="1:15" s="4" customFormat="1" ht="18" customHeight="1">
      <c r="A285" s="9" t="e">
        <f t="shared" ref="A285" si="242">+A284</f>
        <v>#REF!</v>
      </c>
      <c r="B285" s="21"/>
      <c r="C285" s="21"/>
      <c r="D285" s="57"/>
      <c r="E285" s="61">
        <f t="shared" si="217"/>
        <v>0</v>
      </c>
      <c r="F285" s="43"/>
      <c r="G285" s="56"/>
      <c r="H285" s="47">
        <f t="shared" si="232"/>
        <v>0</v>
      </c>
      <c r="I285" s="80"/>
      <c r="J285" s="77"/>
      <c r="K285" s="79"/>
      <c r="L285" s="19"/>
      <c r="M285" s="78">
        <f t="shared" si="218"/>
        <v>1</v>
      </c>
      <c r="N285" s="33" t="s">
        <v>36</v>
      </c>
      <c r="O285" s="19"/>
    </row>
    <row r="286" spans="1:15" s="4" customFormat="1" ht="18" customHeight="1">
      <c r="A286" s="9" t="e">
        <f t="shared" ref="A286" si="243">+A285</f>
        <v>#REF!</v>
      </c>
      <c r="B286" s="21"/>
      <c r="C286" s="21"/>
      <c r="D286" s="57"/>
      <c r="E286" s="61">
        <f t="shared" si="217"/>
        <v>0</v>
      </c>
      <c r="F286" s="43"/>
      <c r="G286" s="56"/>
      <c r="H286" s="47">
        <f t="shared" si="232"/>
        <v>0</v>
      </c>
      <c r="I286" s="80"/>
      <c r="J286" s="77"/>
      <c r="K286" s="79"/>
      <c r="L286" s="19"/>
      <c r="M286" s="78">
        <f t="shared" si="218"/>
        <v>1</v>
      </c>
      <c r="N286" s="33" t="s">
        <v>36</v>
      </c>
      <c r="O286" s="19"/>
    </row>
    <row r="287" spans="1:15" s="4" customFormat="1" ht="18" customHeight="1">
      <c r="A287" s="9" t="e">
        <f t="shared" ref="A287" si="244">+A286</f>
        <v>#REF!</v>
      </c>
      <c r="B287" s="21"/>
      <c r="C287" s="21"/>
      <c r="D287" s="57"/>
      <c r="E287" s="61">
        <f t="shared" si="217"/>
        <v>0</v>
      </c>
      <c r="F287" s="43"/>
      <c r="G287" s="56"/>
      <c r="H287" s="47">
        <f t="shared" si="232"/>
        <v>0</v>
      </c>
      <c r="I287" s="80"/>
      <c r="J287" s="77"/>
      <c r="K287" s="79"/>
      <c r="L287" s="19"/>
      <c r="M287" s="78">
        <f t="shared" si="218"/>
        <v>1</v>
      </c>
      <c r="N287" s="33" t="s">
        <v>36</v>
      </c>
      <c r="O287" s="19"/>
    </row>
    <row r="288" spans="1:15" s="4" customFormat="1" ht="18" customHeight="1">
      <c r="A288" s="9" t="e">
        <f t="shared" ref="A288" si="245">+A287</f>
        <v>#REF!</v>
      </c>
      <c r="B288" s="21"/>
      <c r="C288" s="21"/>
      <c r="D288" s="57"/>
      <c r="E288" s="61">
        <f t="shared" si="217"/>
        <v>0</v>
      </c>
      <c r="F288" s="43"/>
      <c r="G288" s="56"/>
      <c r="H288" s="47">
        <f t="shared" si="232"/>
        <v>0</v>
      </c>
      <c r="I288" s="80"/>
      <c r="J288" s="77"/>
      <c r="K288" s="79"/>
      <c r="L288" s="19"/>
      <c r="M288" s="78">
        <f t="shared" si="218"/>
        <v>1</v>
      </c>
      <c r="N288" s="33" t="s">
        <v>36</v>
      </c>
      <c r="O288" s="19"/>
    </row>
    <row r="289" spans="1:15" s="4" customFormat="1" ht="18" customHeight="1">
      <c r="A289" s="9" t="e">
        <f t="shared" ref="A289" si="246">+A288</f>
        <v>#REF!</v>
      </c>
      <c r="B289" s="21"/>
      <c r="C289" s="21"/>
      <c r="D289" s="57"/>
      <c r="E289" s="61">
        <f t="shared" si="217"/>
        <v>0</v>
      </c>
      <c r="F289" s="43"/>
      <c r="G289" s="56"/>
      <c r="H289" s="47">
        <f t="shared" si="232"/>
        <v>0</v>
      </c>
      <c r="I289" s="80"/>
      <c r="J289" s="77"/>
      <c r="K289" s="79"/>
      <c r="L289" s="19"/>
      <c r="M289" s="78">
        <f t="shared" si="218"/>
        <v>1</v>
      </c>
      <c r="N289" s="33" t="s">
        <v>36</v>
      </c>
      <c r="O289" s="19"/>
    </row>
    <row r="290" spans="1:15" s="4" customFormat="1" ht="18" customHeight="1">
      <c r="A290" s="9" t="e">
        <f t="shared" ref="A290" si="247">+A289</f>
        <v>#REF!</v>
      </c>
      <c r="B290" s="21"/>
      <c r="C290" s="21"/>
      <c r="D290" s="57"/>
      <c r="E290" s="61">
        <f t="shared" si="217"/>
        <v>0</v>
      </c>
      <c r="F290" s="43"/>
      <c r="G290" s="56"/>
      <c r="H290" s="47">
        <f t="shared" si="232"/>
        <v>0</v>
      </c>
      <c r="I290" s="80"/>
      <c r="J290" s="77"/>
      <c r="K290" s="79"/>
      <c r="L290" s="19"/>
      <c r="M290" s="78">
        <f t="shared" si="218"/>
        <v>1</v>
      </c>
      <c r="N290" s="33" t="s">
        <v>36</v>
      </c>
      <c r="O290" s="19"/>
    </row>
    <row r="291" spans="1:15" s="4" customFormat="1" ht="18" customHeight="1">
      <c r="A291" s="9" t="e">
        <f t="shared" ref="A291" si="248">+A290</f>
        <v>#REF!</v>
      </c>
      <c r="B291" s="21"/>
      <c r="C291" s="21"/>
      <c r="D291" s="57"/>
      <c r="E291" s="61">
        <f t="shared" si="217"/>
        <v>0</v>
      </c>
      <c r="F291" s="43"/>
      <c r="G291" s="56"/>
      <c r="H291" s="47">
        <f t="shared" si="232"/>
        <v>0</v>
      </c>
      <c r="I291" s="80"/>
      <c r="J291" s="77"/>
      <c r="K291" s="79"/>
      <c r="L291" s="19"/>
      <c r="M291" s="78">
        <f t="shared" si="218"/>
        <v>1</v>
      </c>
      <c r="N291" s="33" t="s">
        <v>36</v>
      </c>
      <c r="O291" s="19"/>
    </row>
    <row r="292" spans="1:15" s="4" customFormat="1" ht="18" customHeight="1">
      <c r="A292" s="9" t="e">
        <f t="shared" ref="A292" si="249">+A291</f>
        <v>#REF!</v>
      </c>
      <c r="B292" s="21"/>
      <c r="C292" s="21"/>
      <c r="D292" s="57"/>
      <c r="E292" s="61">
        <f t="shared" si="217"/>
        <v>0</v>
      </c>
      <c r="F292" s="43"/>
      <c r="G292" s="56"/>
      <c r="H292" s="47">
        <f t="shared" si="232"/>
        <v>0</v>
      </c>
      <c r="I292" s="80"/>
      <c r="J292" s="77"/>
      <c r="K292" s="79"/>
      <c r="L292" s="19"/>
      <c r="M292" s="78">
        <f t="shared" si="218"/>
        <v>1</v>
      </c>
      <c r="N292" s="33" t="s">
        <v>36</v>
      </c>
      <c r="O292" s="19"/>
    </row>
    <row r="293" spans="1:15" s="4" customFormat="1" ht="18" customHeight="1">
      <c r="A293" s="9" t="e">
        <f t="shared" ref="A293" si="250">+A292</f>
        <v>#REF!</v>
      </c>
      <c r="B293" s="21"/>
      <c r="C293" s="21"/>
      <c r="D293" s="57"/>
      <c r="E293" s="61">
        <f t="shared" si="217"/>
        <v>0</v>
      </c>
      <c r="F293" s="43"/>
      <c r="G293" s="56"/>
      <c r="H293" s="47">
        <f t="shared" si="232"/>
        <v>0</v>
      </c>
      <c r="I293" s="80"/>
      <c r="J293" s="77"/>
      <c r="K293" s="79"/>
      <c r="L293" s="19"/>
      <c r="M293" s="78">
        <f t="shared" si="218"/>
        <v>1</v>
      </c>
      <c r="N293" s="33" t="s">
        <v>36</v>
      </c>
      <c r="O293" s="19"/>
    </row>
    <row r="294" spans="1:15" s="4" customFormat="1" ht="18" customHeight="1">
      <c r="A294" s="9" t="e">
        <f t="shared" ref="A294" si="251">+A293</f>
        <v>#REF!</v>
      </c>
      <c r="B294" s="21"/>
      <c r="C294" s="21"/>
      <c r="D294" s="57"/>
      <c r="E294" s="61">
        <f t="shared" si="217"/>
        <v>0</v>
      </c>
      <c r="F294" s="43"/>
      <c r="G294" s="56"/>
      <c r="H294" s="47">
        <f t="shared" si="232"/>
        <v>0</v>
      </c>
      <c r="I294" s="80"/>
      <c r="J294" s="77"/>
      <c r="K294" s="79"/>
      <c r="L294" s="19"/>
      <c r="M294" s="78">
        <f t="shared" si="218"/>
        <v>1</v>
      </c>
      <c r="N294" s="33" t="s">
        <v>36</v>
      </c>
      <c r="O294" s="19"/>
    </row>
    <row r="295" spans="1:15" s="4" customFormat="1" ht="18" customHeight="1">
      <c r="A295" s="9" t="e">
        <f t="shared" ref="A295" si="252">+A294</f>
        <v>#REF!</v>
      </c>
      <c r="B295" s="21"/>
      <c r="C295" s="21"/>
      <c r="D295" s="57"/>
      <c r="E295" s="61">
        <f t="shared" si="217"/>
        <v>0</v>
      </c>
      <c r="F295" s="43"/>
      <c r="G295" s="56"/>
      <c r="H295" s="47">
        <f t="shared" si="232"/>
        <v>0</v>
      </c>
      <c r="I295" s="80"/>
      <c r="J295" s="77"/>
      <c r="K295" s="79"/>
      <c r="L295" s="19"/>
      <c r="M295" s="78">
        <f t="shared" si="218"/>
        <v>1</v>
      </c>
      <c r="N295" s="33" t="s">
        <v>36</v>
      </c>
      <c r="O295" s="19"/>
    </row>
    <row r="296" spans="1:15" s="4" customFormat="1" ht="18" customHeight="1">
      <c r="A296" s="9" t="e">
        <f t="shared" ref="A296" si="253">+A295</f>
        <v>#REF!</v>
      </c>
      <c r="B296" s="21"/>
      <c r="C296" s="21"/>
      <c r="D296" s="57"/>
      <c r="E296" s="61">
        <f t="shared" si="217"/>
        <v>0</v>
      </c>
      <c r="F296" s="43"/>
      <c r="G296" s="56"/>
      <c r="H296" s="47">
        <f t="shared" si="232"/>
        <v>0</v>
      </c>
      <c r="I296" s="80"/>
      <c r="J296" s="77"/>
      <c r="K296" s="79"/>
      <c r="L296" s="19"/>
      <c r="M296" s="78">
        <f t="shared" si="218"/>
        <v>1</v>
      </c>
      <c r="N296" s="33" t="s">
        <v>36</v>
      </c>
      <c r="O296" s="19"/>
    </row>
    <row r="297" spans="1:15" s="4" customFormat="1" ht="18" customHeight="1">
      <c r="A297" s="9" t="e">
        <f t="shared" ref="A297" si="254">+A296</f>
        <v>#REF!</v>
      </c>
      <c r="B297" s="21"/>
      <c r="C297" s="21"/>
      <c r="D297" s="57"/>
      <c r="E297" s="61">
        <f t="shared" si="217"/>
        <v>0</v>
      </c>
      <c r="F297" s="43"/>
      <c r="G297" s="56"/>
      <c r="H297" s="47">
        <f t="shared" si="232"/>
        <v>0</v>
      </c>
      <c r="I297" s="80"/>
      <c r="J297" s="77"/>
      <c r="K297" s="79"/>
      <c r="L297" s="19"/>
      <c r="M297" s="78">
        <f t="shared" si="218"/>
        <v>1</v>
      </c>
      <c r="N297" s="33" t="s">
        <v>36</v>
      </c>
      <c r="O297" s="19"/>
    </row>
    <row r="298" spans="1:15" s="4" customFormat="1" ht="18" customHeight="1">
      <c r="A298" s="9" t="e">
        <f t="shared" ref="A298" si="255">+A297</f>
        <v>#REF!</v>
      </c>
      <c r="B298" s="21"/>
      <c r="C298" s="21"/>
      <c r="D298" s="57"/>
      <c r="E298" s="61">
        <f t="shared" si="217"/>
        <v>0</v>
      </c>
      <c r="F298" s="43"/>
      <c r="G298" s="56"/>
      <c r="H298" s="47">
        <f t="shared" si="232"/>
        <v>0</v>
      </c>
      <c r="I298" s="80"/>
      <c r="J298" s="77"/>
      <c r="K298" s="79"/>
      <c r="L298" s="19"/>
      <c r="M298" s="78">
        <f t="shared" si="218"/>
        <v>1</v>
      </c>
      <c r="N298" s="33" t="s">
        <v>36</v>
      </c>
      <c r="O298" s="19"/>
    </row>
    <row r="299" spans="1:15" s="4" customFormat="1" ht="18" customHeight="1">
      <c r="A299" s="9" t="e">
        <f t="shared" ref="A299" si="256">+A298</f>
        <v>#REF!</v>
      </c>
      <c r="B299" s="21"/>
      <c r="C299" s="21"/>
      <c r="D299" s="57"/>
      <c r="E299" s="61">
        <f t="shared" si="217"/>
        <v>0</v>
      </c>
      <c r="F299" s="43"/>
      <c r="G299" s="56"/>
      <c r="H299" s="47">
        <f t="shared" si="232"/>
        <v>0</v>
      </c>
      <c r="I299" s="80"/>
      <c r="J299" s="77"/>
      <c r="K299" s="79"/>
      <c r="L299" s="19"/>
      <c r="M299" s="78">
        <f t="shared" si="218"/>
        <v>1</v>
      </c>
      <c r="N299" s="33" t="s">
        <v>36</v>
      </c>
      <c r="O299" s="19"/>
    </row>
    <row r="300" spans="1:15" s="4" customFormat="1" ht="18" customHeight="1">
      <c r="A300" s="9" t="e">
        <f t="shared" ref="A300" si="257">+A299</f>
        <v>#REF!</v>
      </c>
      <c r="B300" s="21"/>
      <c r="C300" s="21"/>
      <c r="D300" s="57"/>
      <c r="E300" s="61">
        <f t="shared" si="217"/>
        <v>0</v>
      </c>
      <c r="F300" s="43"/>
      <c r="G300" s="56"/>
      <c r="H300" s="47">
        <f t="shared" si="232"/>
        <v>0</v>
      </c>
      <c r="I300" s="80"/>
      <c r="J300" s="77"/>
      <c r="K300" s="79"/>
      <c r="L300" s="19"/>
      <c r="M300" s="78">
        <f t="shared" si="218"/>
        <v>1</v>
      </c>
      <c r="N300" s="33" t="s">
        <v>36</v>
      </c>
      <c r="O300" s="19"/>
    </row>
    <row r="301" spans="1:15" s="4" customFormat="1" ht="18" customHeight="1">
      <c r="A301" s="9" t="e">
        <f t="shared" ref="A301" si="258">+A300</f>
        <v>#REF!</v>
      </c>
      <c r="B301" s="21"/>
      <c r="C301" s="21"/>
      <c r="D301" s="57"/>
      <c r="E301" s="61">
        <f t="shared" si="217"/>
        <v>0</v>
      </c>
      <c r="F301" s="43"/>
      <c r="G301" s="56"/>
      <c r="H301" s="47">
        <f t="shared" si="232"/>
        <v>0</v>
      </c>
      <c r="I301" s="80"/>
      <c r="J301" s="77"/>
      <c r="K301" s="79"/>
      <c r="L301" s="19"/>
      <c r="M301" s="78">
        <f t="shared" si="218"/>
        <v>1</v>
      </c>
      <c r="N301" s="33" t="s">
        <v>36</v>
      </c>
      <c r="O301" s="19"/>
    </row>
    <row r="302" spans="1:15" s="4" customFormat="1" ht="18" customHeight="1">
      <c r="A302" s="9" t="e">
        <f t="shared" ref="A302" si="259">+A301</f>
        <v>#REF!</v>
      </c>
      <c r="B302" s="21"/>
      <c r="C302" s="21"/>
      <c r="D302" s="57"/>
      <c r="E302" s="61">
        <f t="shared" si="217"/>
        <v>0</v>
      </c>
      <c r="F302" s="43"/>
      <c r="G302" s="56"/>
      <c r="H302" s="47">
        <f t="shared" si="232"/>
        <v>0</v>
      </c>
      <c r="I302" s="80"/>
      <c r="J302" s="77"/>
      <c r="K302" s="79"/>
      <c r="L302" s="19"/>
      <c r="M302" s="78">
        <f t="shared" si="218"/>
        <v>1</v>
      </c>
      <c r="N302" s="33" t="s">
        <v>36</v>
      </c>
      <c r="O302" s="19"/>
    </row>
    <row r="303" spans="1:15" s="4" customFormat="1" ht="18" customHeight="1">
      <c r="A303" s="9" t="e">
        <f t="shared" ref="A303" si="260">+A302</f>
        <v>#REF!</v>
      </c>
      <c r="B303" s="21"/>
      <c r="C303" s="21"/>
      <c r="D303" s="57"/>
      <c r="E303" s="61">
        <f t="shared" si="217"/>
        <v>0</v>
      </c>
      <c r="F303" s="43"/>
      <c r="G303" s="56"/>
      <c r="H303" s="47">
        <f t="shared" si="232"/>
        <v>0</v>
      </c>
      <c r="I303" s="80"/>
      <c r="J303" s="77"/>
      <c r="K303" s="79"/>
      <c r="L303" s="19"/>
      <c r="M303" s="78">
        <f t="shared" si="218"/>
        <v>1</v>
      </c>
      <c r="N303" s="33" t="s">
        <v>36</v>
      </c>
      <c r="O303" s="19"/>
    </row>
    <row r="304" spans="1:15" s="4" customFormat="1" ht="18" customHeight="1">
      <c r="A304" s="9" t="e">
        <f t="shared" ref="A304" si="261">+A303</f>
        <v>#REF!</v>
      </c>
      <c r="B304" s="21"/>
      <c r="C304" s="21"/>
      <c r="D304" s="57"/>
      <c r="E304" s="61">
        <f t="shared" si="217"/>
        <v>0</v>
      </c>
      <c r="F304" s="43"/>
      <c r="G304" s="56"/>
      <c r="H304" s="47">
        <f t="shared" si="232"/>
        <v>0</v>
      </c>
      <c r="I304" s="80"/>
      <c r="J304" s="77"/>
      <c r="K304" s="79"/>
      <c r="L304" s="19"/>
      <c r="M304" s="78">
        <f t="shared" si="218"/>
        <v>1</v>
      </c>
      <c r="N304" s="33" t="s">
        <v>36</v>
      </c>
      <c r="O304" s="19"/>
    </row>
    <row r="305" spans="1:15" s="4" customFormat="1" ht="18" customHeight="1">
      <c r="A305" s="9" t="e">
        <f t="shared" ref="A305" si="262">+A304</f>
        <v>#REF!</v>
      </c>
      <c r="B305" s="21"/>
      <c r="C305" s="21"/>
      <c r="D305" s="57"/>
      <c r="E305" s="61">
        <f t="shared" si="217"/>
        <v>0</v>
      </c>
      <c r="F305" s="43"/>
      <c r="G305" s="56"/>
      <c r="H305" s="47">
        <f t="shared" si="232"/>
        <v>0</v>
      </c>
      <c r="I305" s="80"/>
      <c r="J305" s="77"/>
      <c r="K305" s="79"/>
      <c r="L305" s="19"/>
      <c r="M305" s="78">
        <f t="shared" si="218"/>
        <v>1</v>
      </c>
      <c r="N305" s="33" t="s">
        <v>36</v>
      </c>
      <c r="O305" s="19"/>
    </row>
    <row r="306" spans="1:15" s="4" customFormat="1" ht="18" customHeight="1">
      <c r="A306" s="9" t="e">
        <f t="shared" ref="A306" si="263">+A305</f>
        <v>#REF!</v>
      </c>
      <c r="B306" s="21"/>
      <c r="C306" s="21"/>
      <c r="D306" s="57"/>
      <c r="E306" s="61">
        <f t="shared" si="217"/>
        <v>0</v>
      </c>
      <c r="F306" s="43"/>
      <c r="G306" s="56"/>
      <c r="H306" s="47">
        <f t="shared" si="232"/>
        <v>0</v>
      </c>
      <c r="I306" s="80"/>
      <c r="J306" s="77"/>
      <c r="K306" s="79"/>
      <c r="L306" s="19"/>
      <c r="M306" s="78">
        <f t="shared" si="218"/>
        <v>1</v>
      </c>
      <c r="N306" s="33" t="s">
        <v>36</v>
      </c>
      <c r="O306" s="19"/>
    </row>
    <row r="307" spans="1:15" s="4" customFormat="1" ht="18" customHeight="1">
      <c r="A307" s="9" t="e">
        <f t="shared" ref="A307" si="264">+A306</f>
        <v>#REF!</v>
      </c>
      <c r="B307" s="21"/>
      <c r="C307" s="21"/>
      <c r="D307" s="57"/>
      <c r="E307" s="61">
        <f t="shared" si="217"/>
        <v>0</v>
      </c>
      <c r="F307" s="43"/>
      <c r="G307" s="56"/>
      <c r="H307" s="47">
        <f t="shared" si="232"/>
        <v>0</v>
      </c>
      <c r="I307" s="80"/>
      <c r="J307" s="77"/>
      <c r="K307" s="79"/>
      <c r="L307" s="19"/>
      <c r="M307" s="78">
        <f t="shared" si="218"/>
        <v>1</v>
      </c>
      <c r="N307" s="33" t="s">
        <v>36</v>
      </c>
      <c r="O307" s="19"/>
    </row>
    <row r="308" spans="1:15" s="4" customFormat="1" ht="18" customHeight="1">
      <c r="A308" s="9" t="e">
        <f t="shared" ref="A308" si="265">+A307</f>
        <v>#REF!</v>
      </c>
      <c r="B308" s="21"/>
      <c r="C308" s="21"/>
      <c r="D308" s="57"/>
      <c r="E308" s="61">
        <f t="shared" si="217"/>
        <v>0</v>
      </c>
      <c r="F308" s="43"/>
      <c r="G308" s="56"/>
      <c r="H308" s="47">
        <f t="shared" si="232"/>
        <v>0</v>
      </c>
      <c r="I308" s="80"/>
      <c r="J308" s="77"/>
      <c r="K308" s="79"/>
      <c r="L308" s="19"/>
      <c r="M308" s="78">
        <f t="shared" si="218"/>
        <v>1</v>
      </c>
      <c r="N308" s="33" t="s">
        <v>36</v>
      </c>
      <c r="O308" s="19"/>
    </row>
    <row r="309" spans="1:15" s="4" customFormat="1" ht="18" customHeight="1">
      <c r="A309" s="9" t="e">
        <f t="shared" ref="A309" si="266">+A308</f>
        <v>#REF!</v>
      </c>
      <c r="B309" s="21"/>
      <c r="C309" s="21"/>
      <c r="D309" s="57"/>
      <c r="E309" s="61">
        <f t="shared" si="217"/>
        <v>0</v>
      </c>
      <c r="F309" s="43"/>
      <c r="G309" s="56"/>
      <c r="H309" s="47">
        <f t="shared" si="232"/>
        <v>0</v>
      </c>
      <c r="I309" s="80"/>
      <c r="J309" s="77"/>
      <c r="K309" s="79"/>
      <c r="L309" s="19"/>
      <c r="M309" s="78">
        <f t="shared" si="218"/>
        <v>1</v>
      </c>
      <c r="N309" s="33" t="s">
        <v>36</v>
      </c>
      <c r="O309" s="19"/>
    </row>
    <row r="310" spans="1:15" s="63" customFormat="1" ht="18" customHeight="1">
      <c r="A310" s="9" t="e">
        <f t="shared" ref="A310" si="267">+A309</f>
        <v>#REF!</v>
      </c>
      <c r="B310" s="21"/>
      <c r="C310" s="21"/>
      <c r="D310" s="57"/>
      <c r="E310" s="61">
        <f t="shared" si="217"/>
        <v>0</v>
      </c>
      <c r="F310" s="43"/>
      <c r="G310" s="56"/>
      <c r="H310" s="47">
        <f t="shared" si="232"/>
        <v>0</v>
      </c>
      <c r="I310" s="80"/>
      <c r="J310" s="77"/>
      <c r="K310" s="79"/>
      <c r="L310" s="19"/>
      <c r="M310" s="78">
        <f t="shared" si="218"/>
        <v>1</v>
      </c>
      <c r="N310" s="33" t="s">
        <v>36</v>
      </c>
      <c r="O310" s="19"/>
    </row>
    <row r="311" spans="1:15" s="63" customFormat="1" ht="18" customHeight="1">
      <c r="A311" s="9" t="e">
        <f t="shared" ref="A311" si="268">+A310</f>
        <v>#REF!</v>
      </c>
      <c r="B311" s="21"/>
      <c r="C311" s="21"/>
      <c r="D311" s="57"/>
      <c r="E311" s="61">
        <f t="shared" si="217"/>
        <v>0</v>
      </c>
      <c r="F311" s="43"/>
      <c r="G311" s="56"/>
      <c r="H311" s="47">
        <f t="shared" si="232"/>
        <v>0</v>
      </c>
      <c r="I311" s="80"/>
      <c r="J311" s="77"/>
      <c r="K311" s="79"/>
      <c r="L311" s="19"/>
      <c r="M311" s="78">
        <f t="shared" si="218"/>
        <v>1</v>
      </c>
      <c r="N311" s="33" t="s">
        <v>36</v>
      </c>
      <c r="O311" s="19"/>
    </row>
    <row r="312" spans="1:15" s="4" customFormat="1" ht="18" customHeight="1">
      <c r="A312" s="9" t="e">
        <f t="shared" ref="A312" si="269">+A311</f>
        <v>#REF!</v>
      </c>
      <c r="B312" s="21"/>
      <c r="C312" s="21"/>
      <c r="D312" s="57"/>
      <c r="E312" s="61">
        <f t="shared" si="217"/>
        <v>0</v>
      </c>
      <c r="F312" s="43"/>
      <c r="G312" s="56"/>
      <c r="H312" s="47">
        <f t="shared" si="232"/>
        <v>0</v>
      </c>
      <c r="I312" s="80"/>
      <c r="J312" s="77"/>
      <c r="K312" s="79"/>
      <c r="L312" s="19"/>
      <c r="M312" s="78">
        <f t="shared" si="218"/>
        <v>1</v>
      </c>
      <c r="N312" s="33" t="s">
        <v>36</v>
      </c>
      <c r="O312" s="19"/>
    </row>
    <row r="313" spans="1:15" s="4" customFormat="1" ht="18" customHeight="1">
      <c r="A313" s="9" t="e">
        <f t="shared" ref="A313" si="270">+A312</f>
        <v>#REF!</v>
      </c>
      <c r="B313" s="21"/>
      <c r="C313" s="21"/>
      <c r="D313" s="57"/>
      <c r="E313" s="61">
        <f t="shared" si="217"/>
        <v>0</v>
      </c>
      <c r="F313" s="43"/>
      <c r="G313" s="56"/>
      <c r="H313" s="47">
        <f t="shared" si="232"/>
        <v>0</v>
      </c>
      <c r="I313" s="80"/>
      <c r="J313" s="77"/>
      <c r="K313" s="79"/>
      <c r="L313" s="19"/>
      <c r="M313" s="78">
        <f t="shared" si="218"/>
        <v>1</v>
      </c>
      <c r="N313" s="33" t="s">
        <v>36</v>
      </c>
      <c r="O313" s="19"/>
    </row>
    <row r="314" spans="1:15" s="4" customFormat="1" ht="18" customHeight="1">
      <c r="A314" s="9" t="e">
        <f t="shared" ref="A314" si="271">+A313</f>
        <v>#REF!</v>
      </c>
      <c r="B314" s="21"/>
      <c r="C314" s="21"/>
      <c r="D314" s="57"/>
      <c r="E314" s="61">
        <f t="shared" si="217"/>
        <v>0</v>
      </c>
      <c r="F314" s="43"/>
      <c r="G314" s="56"/>
      <c r="H314" s="47">
        <f t="shared" si="232"/>
        <v>0</v>
      </c>
      <c r="I314" s="80"/>
      <c r="J314" s="77"/>
      <c r="K314" s="79"/>
      <c r="L314" s="19"/>
      <c r="M314" s="78">
        <f t="shared" si="218"/>
        <v>1</v>
      </c>
      <c r="N314" s="33" t="s">
        <v>36</v>
      </c>
      <c r="O314" s="19"/>
    </row>
    <row r="315" spans="1:15" s="4" customFormat="1" ht="18" customHeight="1">
      <c r="A315" s="9" t="e">
        <f t="shared" ref="A315" si="272">+A314</f>
        <v>#REF!</v>
      </c>
      <c r="B315" s="21"/>
      <c r="C315" s="21"/>
      <c r="D315" s="57"/>
      <c r="E315" s="61">
        <f t="shared" si="217"/>
        <v>0</v>
      </c>
      <c r="F315" s="43"/>
      <c r="G315" s="56"/>
      <c r="H315" s="47">
        <f t="shared" si="232"/>
        <v>0</v>
      </c>
      <c r="I315" s="80"/>
      <c r="J315" s="77"/>
      <c r="K315" s="79"/>
      <c r="L315" s="19"/>
      <c r="M315" s="78">
        <f t="shared" si="218"/>
        <v>1</v>
      </c>
      <c r="N315" s="33" t="s">
        <v>36</v>
      </c>
      <c r="O315" s="19"/>
    </row>
    <row r="316" spans="1:15" s="4" customFormat="1" ht="18" customHeight="1">
      <c r="A316" s="9" t="e">
        <f t="shared" ref="A316" si="273">+A315</f>
        <v>#REF!</v>
      </c>
      <c r="B316" s="21"/>
      <c r="C316" s="21"/>
      <c r="D316" s="57"/>
      <c r="E316" s="61">
        <f t="shared" si="217"/>
        <v>0</v>
      </c>
      <c r="F316" s="43"/>
      <c r="G316" s="56"/>
      <c r="H316" s="47">
        <f t="shared" si="232"/>
        <v>0</v>
      </c>
      <c r="I316" s="80"/>
      <c r="J316" s="77"/>
      <c r="K316" s="79"/>
      <c r="L316" s="19"/>
      <c r="M316" s="78">
        <f t="shared" si="218"/>
        <v>1</v>
      </c>
      <c r="N316" s="33" t="s">
        <v>36</v>
      </c>
      <c r="O316" s="19"/>
    </row>
    <row r="317" spans="1:15" s="4" customFormat="1" ht="18" customHeight="1">
      <c r="A317" s="9" t="e">
        <f t="shared" ref="A317" si="274">+A316</f>
        <v>#REF!</v>
      </c>
      <c r="B317" s="21"/>
      <c r="C317" s="21"/>
      <c r="D317" s="57"/>
      <c r="E317" s="61">
        <f t="shared" si="217"/>
        <v>0</v>
      </c>
      <c r="F317" s="43"/>
      <c r="G317" s="56"/>
      <c r="H317" s="47">
        <f t="shared" si="232"/>
        <v>0</v>
      </c>
      <c r="I317" s="80"/>
      <c r="J317" s="77"/>
      <c r="K317" s="79"/>
      <c r="L317" s="19"/>
      <c r="M317" s="78">
        <f t="shared" si="218"/>
        <v>1</v>
      </c>
      <c r="N317" s="33" t="s">
        <v>36</v>
      </c>
      <c r="O317" s="19"/>
    </row>
    <row r="318" spans="1:15" s="4" customFormat="1" ht="18" customHeight="1">
      <c r="A318" s="9" t="e">
        <f t="shared" ref="A318" si="275">+A317</f>
        <v>#REF!</v>
      </c>
      <c r="B318" s="21"/>
      <c r="C318" s="21"/>
      <c r="D318" s="57"/>
      <c r="E318" s="61">
        <f t="shared" si="217"/>
        <v>0</v>
      </c>
      <c r="F318" s="43"/>
      <c r="G318" s="56"/>
      <c r="H318" s="47">
        <f t="shared" si="232"/>
        <v>0</v>
      </c>
      <c r="I318" s="80"/>
      <c r="J318" s="77"/>
      <c r="K318" s="79"/>
      <c r="L318" s="19"/>
      <c r="M318" s="78">
        <f t="shared" si="218"/>
        <v>1</v>
      </c>
      <c r="N318" s="33" t="s">
        <v>36</v>
      </c>
      <c r="O318" s="19"/>
    </row>
    <row r="319" spans="1:15" s="4" customFormat="1" ht="18" customHeight="1">
      <c r="A319" s="9" t="e">
        <f t="shared" ref="A319" si="276">+A318</f>
        <v>#REF!</v>
      </c>
      <c r="B319" s="21"/>
      <c r="C319" s="21"/>
      <c r="D319" s="57"/>
      <c r="E319" s="61">
        <f t="shared" si="217"/>
        <v>0</v>
      </c>
      <c r="F319" s="43"/>
      <c r="G319" s="56"/>
      <c r="H319" s="47">
        <f t="shared" si="232"/>
        <v>0</v>
      </c>
      <c r="I319" s="80"/>
      <c r="J319" s="77"/>
      <c r="K319" s="79"/>
      <c r="L319" s="19"/>
      <c r="M319" s="78">
        <f t="shared" si="218"/>
        <v>1</v>
      </c>
      <c r="N319" s="33" t="s">
        <v>36</v>
      </c>
      <c r="O319" s="19"/>
    </row>
    <row r="320" spans="1:15" s="4" customFormat="1" ht="18" customHeight="1">
      <c r="A320" s="9" t="e">
        <f t="shared" ref="A320" si="277">+A319</f>
        <v>#REF!</v>
      </c>
      <c r="B320" s="21"/>
      <c r="C320" s="21"/>
      <c r="D320" s="57"/>
      <c r="E320" s="61">
        <f t="shared" si="217"/>
        <v>0</v>
      </c>
      <c r="F320" s="43"/>
      <c r="G320" s="56"/>
      <c r="H320" s="47">
        <f t="shared" si="232"/>
        <v>0</v>
      </c>
      <c r="I320" s="80"/>
      <c r="J320" s="77"/>
      <c r="K320" s="79"/>
      <c r="L320" s="19"/>
      <c r="M320" s="78">
        <f t="shared" si="218"/>
        <v>1</v>
      </c>
      <c r="N320" s="33" t="s">
        <v>36</v>
      </c>
      <c r="O320" s="19"/>
    </row>
    <row r="321" spans="1:15" s="4" customFormat="1" ht="18" customHeight="1">
      <c r="A321" s="9" t="e">
        <f t="shared" ref="A321" si="278">+A320</f>
        <v>#REF!</v>
      </c>
      <c r="B321" s="21"/>
      <c r="C321" s="21"/>
      <c r="D321" s="57"/>
      <c r="E321" s="61">
        <f t="shared" si="217"/>
        <v>0</v>
      </c>
      <c r="F321" s="43"/>
      <c r="G321" s="56"/>
      <c r="H321" s="47">
        <f t="shared" si="232"/>
        <v>0</v>
      </c>
      <c r="I321" s="80"/>
      <c r="J321" s="77"/>
      <c r="K321" s="79"/>
      <c r="L321" s="19"/>
      <c r="M321" s="78">
        <f t="shared" si="218"/>
        <v>1</v>
      </c>
      <c r="N321" s="33" t="s">
        <v>36</v>
      </c>
      <c r="O321" s="19"/>
    </row>
    <row r="322" spans="1:15" s="4" customFormat="1" ht="18" customHeight="1">
      <c r="A322" s="9" t="e">
        <f t="shared" ref="A322" si="279">+A321</f>
        <v>#REF!</v>
      </c>
      <c r="B322" s="21"/>
      <c r="C322" s="21"/>
      <c r="D322" s="57"/>
      <c r="E322" s="61">
        <f t="shared" si="217"/>
        <v>0</v>
      </c>
      <c r="F322" s="43"/>
      <c r="G322" s="56"/>
      <c r="H322" s="47">
        <f t="shared" si="232"/>
        <v>0</v>
      </c>
      <c r="I322" s="80"/>
      <c r="J322" s="77"/>
      <c r="K322" s="79"/>
      <c r="L322" s="19"/>
      <c r="M322" s="78">
        <f t="shared" si="218"/>
        <v>1</v>
      </c>
      <c r="N322" s="33" t="s">
        <v>36</v>
      </c>
      <c r="O322" s="19"/>
    </row>
    <row r="323" spans="1:15" s="4" customFormat="1" ht="18" customHeight="1">
      <c r="A323" s="9" t="e">
        <f t="shared" ref="A323" si="280">+A322</f>
        <v>#REF!</v>
      </c>
      <c r="B323" s="21"/>
      <c r="C323" s="21"/>
      <c r="D323" s="57"/>
      <c r="E323" s="61">
        <f t="shared" si="217"/>
        <v>0</v>
      </c>
      <c r="F323" s="43"/>
      <c r="G323" s="56"/>
      <c r="H323" s="47">
        <f t="shared" si="232"/>
        <v>0</v>
      </c>
      <c r="I323" s="80"/>
      <c r="J323" s="77"/>
      <c r="K323" s="79"/>
      <c r="L323" s="19"/>
      <c r="M323" s="78">
        <f t="shared" si="218"/>
        <v>1</v>
      </c>
      <c r="N323" s="33" t="s">
        <v>36</v>
      </c>
      <c r="O323" s="19"/>
    </row>
    <row r="324" spans="1:15" s="63" customFormat="1" ht="19.5" customHeight="1">
      <c r="A324" s="9" t="e">
        <f t="shared" ref="A324" si="281">+A323</f>
        <v>#REF!</v>
      </c>
      <c r="B324" s="21"/>
      <c r="C324" s="21"/>
      <c r="D324" s="57"/>
      <c r="E324" s="61">
        <f t="shared" si="217"/>
        <v>0</v>
      </c>
      <c r="F324" s="43"/>
      <c r="G324" s="56"/>
      <c r="H324" s="47">
        <f t="shared" si="232"/>
        <v>0</v>
      </c>
      <c r="I324" s="80"/>
      <c r="J324" s="77"/>
      <c r="K324" s="79"/>
      <c r="L324" s="19"/>
      <c r="M324" s="78">
        <f t="shared" si="218"/>
        <v>1</v>
      </c>
      <c r="N324" s="33" t="s">
        <v>36</v>
      </c>
      <c r="O324" s="19"/>
    </row>
    <row r="325" spans="1:15" s="4" customFormat="1" ht="19.5" customHeight="1">
      <c r="A325" s="9" t="e">
        <f t="shared" ref="A325" si="282">+A324</f>
        <v>#REF!</v>
      </c>
      <c r="B325" s="21"/>
      <c r="C325" s="21"/>
      <c r="D325" s="57"/>
      <c r="E325" s="61">
        <f t="shared" si="217"/>
        <v>0</v>
      </c>
      <c r="F325" s="43"/>
      <c r="G325" s="56"/>
      <c r="H325" s="47">
        <f t="shared" si="232"/>
        <v>0</v>
      </c>
      <c r="I325" s="80"/>
      <c r="J325" s="77"/>
      <c r="K325" s="79"/>
      <c r="L325" s="19"/>
      <c r="M325" s="78">
        <f t="shared" si="218"/>
        <v>1</v>
      </c>
      <c r="N325" s="33" t="s">
        <v>36</v>
      </c>
      <c r="O325" s="19"/>
    </row>
    <row r="326" spans="1:15" s="4" customFormat="1" ht="19.5" customHeight="1">
      <c r="A326" s="9" t="e">
        <f t="shared" ref="A326" si="283">+A325</f>
        <v>#REF!</v>
      </c>
      <c r="B326" s="21"/>
      <c r="C326" s="21"/>
      <c r="D326" s="57"/>
      <c r="E326" s="61">
        <f t="shared" ref="E326:E389" si="284">+B326</f>
        <v>0</v>
      </c>
      <c r="F326" s="43"/>
      <c r="G326" s="56"/>
      <c r="H326" s="47">
        <f t="shared" si="232"/>
        <v>0</v>
      </c>
      <c r="I326" s="80"/>
      <c r="J326" s="77"/>
      <c r="K326" s="79"/>
      <c r="L326" s="19"/>
      <c r="M326" s="78">
        <f t="shared" ref="M326:M389" si="285">+WEEKNUM(K326,2)</f>
        <v>1</v>
      </c>
      <c r="N326" s="33" t="s">
        <v>36</v>
      </c>
      <c r="O326" s="19"/>
    </row>
    <row r="327" spans="1:15" s="4" customFormat="1" ht="18" customHeight="1">
      <c r="A327" s="9" t="e">
        <f t="shared" ref="A327" si="286">+A326</f>
        <v>#REF!</v>
      </c>
      <c r="B327" s="21"/>
      <c r="C327" s="21"/>
      <c r="D327" s="57"/>
      <c r="E327" s="61">
        <f t="shared" si="284"/>
        <v>0</v>
      </c>
      <c r="F327" s="43"/>
      <c r="G327" s="56"/>
      <c r="H327" s="47">
        <f t="shared" si="232"/>
        <v>0</v>
      </c>
      <c r="I327" s="80"/>
      <c r="J327" s="77"/>
      <c r="K327" s="79"/>
      <c r="L327" s="19"/>
      <c r="M327" s="78">
        <f t="shared" si="285"/>
        <v>1</v>
      </c>
      <c r="N327" s="33" t="s">
        <v>36</v>
      </c>
      <c r="O327" s="19"/>
    </row>
    <row r="328" spans="1:15" s="4" customFormat="1" ht="18" customHeight="1">
      <c r="A328" s="9" t="e">
        <f t="shared" ref="A328" si="287">+A327</f>
        <v>#REF!</v>
      </c>
      <c r="B328" s="21"/>
      <c r="C328" s="21"/>
      <c r="D328" s="57"/>
      <c r="E328" s="61">
        <f t="shared" si="284"/>
        <v>0</v>
      </c>
      <c r="F328" s="43"/>
      <c r="G328" s="56"/>
      <c r="H328" s="47">
        <f t="shared" si="232"/>
        <v>0</v>
      </c>
      <c r="I328" s="80"/>
      <c r="J328" s="77"/>
      <c r="K328" s="79"/>
      <c r="L328" s="19"/>
      <c r="M328" s="78">
        <f t="shared" si="285"/>
        <v>1</v>
      </c>
      <c r="N328" s="33" t="s">
        <v>36</v>
      </c>
      <c r="O328" s="19"/>
    </row>
    <row r="329" spans="1:15" s="4" customFormat="1" ht="18" customHeight="1">
      <c r="A329" s="9" t="e">
        <f t="shared" ref="A329" si="288">+A328</f>
        <v>#REF!</v>
      </c>
      <c r="B329" s="21"/>
      <c r="C329" s="21"/>
      <c r="D329" s="57"/>
      <c r="E329" s="61">
        <f t="shared" si="284"/>
        <v>0</v>
      </c>
      <c r="F329" s="43"/>
      <c r="G329" s="56"/>
      <c r="H329" s="47">
        <f t="shared" si="232"/>
        <v>0</v>
      </c>
      <c r="I329" s="80"/>
      <c r="J329" s="77"/>
      <c r="K329" s="79"/>
      <c r="L329" s="19"/>
      <c r="M329" s="78">
        <f t="shared" si="285"/>
        <v>1</v>
      </c>
      <c r="N329" s="33" t="s">
        <v>36</v>
      </c>
      <c r="O329" s="19"/>
    </row>
    <row r="330" spans="1:15" s="4" customFormat="1" ht="18" customHeight="1">
      <c r="A330" s="9" t="e">
        <f t="shared" ref="A330" si="289">+A329</f>
        <v>#REF!</v>
      </c>
      <c r="B330" s="21"/>
      <c r="C330" s="21"/>
      <c r="D330" s="57"/>
      <c r="E330" s="61">
        <f t="shared" si="284"/>
        <v>0</v>
      </c>
      <c r="F330" s="43"/>
      <c r="G330" s="56"/>
      <c r="H330" s="47">
        <f t="shared" si="232"/>
        <v>0</v>
      </c>
      <c r="I330" s="80"/>
      <c r="J330" s="77"/>
      <c r="K330" s="79"/>
      <c r="L330" s="19"/>
      <c r="M330" s="78">
        <f t="shared" si="285"/>
        <v>1</v>
      </c>
      <c r="N330" s="33" t="s">
        <v>36</v>
      </c>
      <c r="O330" s="19"/>
    </row>
    <row r="331" spans="1:15" s="4" customFormat="1" ht="18" customHeight="1">
      <c r="A331" s="9" t="e">
        <f t="shared" ref="A331" si="290">+A330</f>
        <v>#REF!</v>
      </c>
      <c r="B331" s="21"/>
      <c r="C331" s="21"/>
      <c r="D331" s="57"/>
      <c r="E331" s="61">
        <f t="shared" si="284"/>
        <v>0</v>
      </c>
      <c r="F331" s="43"/>
      <c r="G331" s="56"/>
      <c r="H331" s="47">
        <f t="shared" si="232"/>
        <v>0</v>
      </c>
      <c r="I331" s="80"/>
      <c r="J331" s="77"/>
      <c r="K331" s="79"/>
      <c r="L331" s="19"/>
      <c r="M331" s="78">
        <f t="shared" si="285"/>
        <v>1</v>
      </c>
      <c r="N331" s="33" t="s">
        <v>36</v>
      </c>
      <c r="O331" s="19"/>
    </row>
    <row r="332" spans="1:15" s="4" customFormat="1" ht="18" customHeight="1">
      <c r="A332" s="9" t="e">
        <f t="shared" ref="A332" si="291">+A331</f>
        <v>#REF!</v>
      </c>
      <c r="B332" s="21"/>
      <c r="C332" s="21"/>
      <c r="D332" s="57"/>
      <c r="E332" s="61">
        <f t="shared" si="284"/>
        <v>0</v>
      </c>
      <c r="F332" s="43"/>
      <c r="G332" s="56"/>
      <c r="H332" s="47">
        <f t="shared" si="232"/>
        <v>0</v>
      </c>
      <c r="I332" s="80"/>
      <c r="J332" s="77"/>
      <c r="K332" s="79"/>
      <c r="L332" s="19"/>
      <c r="M332" s="78">
        <f t="shared" si="285"/>
        <v>1</v>
      </c>
      <c r="N332" s="33" t="s">
        <v>36</v>
      </c>
      <c r="O332" s="19"/>
    </row>
    <row r="333" spans="1:15" s="4" customFormat="1" ht="18" customHeight="1">
      <c r="A333" s="9" t="e">
        <f t="shared" ref="A333" si="292">+A332</f>
        <v>#REF!</v>
      </c>
      <c r="B333" s="21"/>
      <c r="C333" s="21"/>
      <c r="D333" s="57"/>
      <c r="E333" s="61">
        <f t="shared" si="284"/>
        <v>0</v>
      </c>
      <c r="F333" s="43"/>
      <c r="G333" s="56"/>
      <c r="H333" s="47">
        <f t="shared" si="232"/>
        <v>0</v>
      </c>
      <c r="I333" s="80"/>
      <c r="J333" s="77"/>
      <c r="K333" s="79"/>
      <c r="L333" s="19"/>
      <c r="M333" s="78">
        <f t="shared" si="285"/>
        <v>1</v>
      </c>
      <c r="N333" s="33" t="s">
        <v>36</v>
      </c>
      <c r="O333" s="19"/>
    </row>
    <row r="334" spans="1:15" s="4" customFormat="1" ht="18" customHeight="1">
      <c r="A334" s="9" t="e">
        <f t="shared" ref="A334" si="293">+A333</f>
        <v>#REF!</v>
      </c>
      <c r="B334" s="21"/>
      <c r="C334" s="21"/>
      <c r="D334" s="57"/>
      <c r="E334" s="61">
        <f t="shared" si="284"/>
        <v>0</v>
      </c>
      <c r="F334" s="43"/>
      <c r="G334" s="56"/>
      <c r="H334" s="47">
        <f t="shared" si="232"/>
        <v>0</v>
      </c>
      <c r="I334" s="80"/>
      <c r="J334" s="77"/>
      <c r="K334" s="79"/>
      <c r="L334" s="19"/>
      <c r="M334" s="78">
        <f t="shared" si="285"/>
        <v>1</v>
      </c>
      <c r="N334" s="33" t="s">
        <v>36</v>
      </c>
      <c r="O334" s="19"/>
    </row>
    <row r="335" spans="1:15" s="4" customFormat="1" ht="18" customHeight="1">
      <c r="A335" s="9" t="e">
        <f t="shared" ref="A335" si="294">+A334</f>
        <v>#REF!</v>
      </c>
      <c r="B335" s="21"/>
      <c r="C335" s="21"/>
      <c r="D335" s="57"/>
      <c r="E335" s="61">
        <f t="shared" si="284"/>
        <v>0</v>
      </c>
      <c r="F335" s="43"/>
      <c r="G335" s="56"/>
      <c r="H335" s="47">
        <f t="shared" si="232"/>
        <v>0</v>
      </c>
      <c r="I335" s="80"/>
      <c r="J335" s="77"/>
      <c r="K335" s="79"/>
      <c r="L335" s="19"/>
      <c r="M335" s="78">
        <f t="shared" si="285"/>
        <v>1</v>
      </c>
      <c r="N335" s="33" t="s">
        <v>36</v>
      </c>
      <c r="O335" s="19"/>
    </row>
    <row r="336" spans="1:15" s="4" customFormat="1" ht="18" customHeight="1">
      <c r="A336" s="9" t="e">
        <f t="shared" ref="A336" si="295">+A335</f>
        <v>#REF!</v>
      </c>
      <c r="B336" s="21"/>
      <c r="C336" s="21"/>
      <c r="D336" s="57"/>
      <c r="E336" s="61">
        <f t="shared" si="284"/>
        <v>0</v>
      </c>
      <c r="F336" s="43"/>
      <c r="G336" s="56"/>
      <c r="H336" s="47">
        <f t="shared" si="232"/>
        <v>0</v>
      </c>
      <c r="I336" s="80"/>
      <c r="J336" s="77"/>
      <c r="K336" s="79"/>
      <c r="L336" s="19"/>
      <c r="M336" s="78">
        <f t="shared" si="285"/>
        <v>1</v>
      </c>
      <c r="N336" s="33" t="s">
        <v>36</v>
      </c>
      <c r="O336" s="19"/>
    </row>
    <row r="337" spans="1:15" s="4" customFormat="1" ht="18" customHeight="1">
      <c r="A337" s="9" t="e">
        <f t="shared" ref="A337" si="296">+A336</f>
        <v>#REF!</v>
      </c>
      <c r="B337" s="21"/>
      <c r="C337" s="21"/>
      <c r="D337" s="57"/>
      <c r="E337" s="61">
        <f t="shared" si="284"/>
        <v>0</v>
      </c>
      <c r="F337" s="43"/>
      <c r="G337" s="56"/>
      <c r="H337" s="47">
        <f t="shared" si="232"/>
        <v>0</v>
      </c>
      <c r="I337" s="80"/>
      <c r="J337" s="77"/>
      <c r="K337" s="79"/>
      <c r="L337" s="19"/>
      <c r="M337" s="78">
        <f t="shared" si="285"/>
        <v>1</v>
      </c>
      <c r="N337" s="33" t="s">
        <v>36</v>
      </c>
      <c r="O337" s="19"/>
    </row>
    <row r="338" spans="1:15" s="4" customFormat="1" ht="18" customHeight="1">
      <c r="A338" s="9" t="e">
        <f t="shared" ref="A338" si="297">+A337</f>
        <v>#REF!</v>
      </c>
      <c r="B338" s="21"/>
      <c r="C338" s="21"/>
      <c r="D338" s="57"/>
      <c r="E338" s="61">
        <f t="shared" si="284"/>
        <v>0</v>
      </c>
      <c r="F338" s="43"/>
      <c r="G338" s="56"/>
      <c r="H338" s="47">
        <f t="shared" si="232"/>
        <v>0</v>
      </c>
      <c r="I338" s="80"/>
      <c r="J338" s="77"/>
      <c r="K338" s="79"/>
      <c r="L338" s="19"/>
      <c r="M338" s="78">
        <f t="shared" si="285"/>
        <v>1</v>
      </c>
      <c r="N338" s="33" t="s">
        <v>36</v>
      </c>
      <c r="O338" s="19"/>
    </row>
    <row r="339" spans="1:15" s="4" customFormat="1" ht="18" customHeight="1">
      <c r="A339" s="9" t="e">
        <f t="shared" ref="A339" si="298">+A338</f>
        <v>#REF!</v>
      </c>
      <c r="B339" s="21"/>
      <c r="C339" s="21"/>
      <c r="D339" s="57"/>
      <c r="E339" s="61">
        <f t="shared" si="284"/>
        <v>0</v>
      </c>
      <c r="F339" s="43"/>
      <c r="G339" s="56"/>
      <c r="H339" s="47">
        <f t="shared" ref="H339:H401" si="299">+G339</f>
        <v>0</v>
      </c>
      <c r="I339" s="80"/>
      <c r="J339" s="77"/>
      <c r="K339" s="79"/>
      <c r="L339" s="19"/>
      <c r="M339" s="78">
        <f t="shared" si="285"/>
        <v>1</v>
      </c>
      <c r="N339" s="33" t="s">
        <v>36</v>
      </c>
      <c r="O339" s="19"/>
    </row>
    <row r="340" spans="1:15" s="4" customFormat="1" ht="18" customHeight="1">
      <c r="A340" s="9" t="e">
        <f t="shared" ref="A340" si="300">+A339</f>
        <v>#REF!</v>
      </c>
      <c r="B340" s="21"/>
      <c r="C340" s="21"/>
      <c r="D340" s="57"/>
      <c r="E340" s="61">
        <f t="shared" si="284"/>
        <v>0</v>
      </c>
      <c r="F340" s="43"/>
      <c r="G340" s="56"/>
      <c r="H340" s="47">
        <f t="shared" si="299"/>
        <v>0</v>
      </c>
      <c r="I340" s="80"/>
      <c r="J340" s="77"/>
      <c r="K340" s="79"/>
      <c r="L340" s="19"/>
      <c r="M340" s="78">
        <f t="shared" si="285"/>
        <v>1</v>
      </c>
      <c r="N340" s="33" t="s">
        <v>36</v>
      </c>
      <c r="O340" s="19"/>
    </row>
    <row r="341" spans="1:15" s="4" customFormat="1" ht="18" customHeight="1">
      <c r="A341" s="9" t="e">
        <f t="shared" ref="A341" si="301">+A340</f>
        <v>#REF!</v>
      </c>
      <c r="B341" s="21"/>
      <c r="C341" s="21"/>
      <c r="D341" s="57"/>
      <c r="E341" s="61">
        <f t="shared" si="284"/>
        <v>0</v>
      </c>
      <c r="F341" s="43"/>
      <c r="G341" s="56"/>
      <c r="H341" s="47">
        <f t="shared" si="299"/>
        <v>0</v>
      </c>
      <c r="I341" s="80"/>
      <c r="J341" s="77"/>
      <c r="K341" s="79"/>
      <c r="L341" s="19"/>
      <c r="M341" s="78">
        <f t="shared" si="285"/>
        <v>1</v>
      </c>
      <c r="N341" s="33" t="s">
        <v>36</v>
      </c>
      <c r="O341" s="19"/>
    </row>
    <row r="342" spans="1:15" s="4" customFormat="1" ht="18" customHeight="1">
      <c r="A342" s="9" t="e">
        <f t="shared" ref="A342" si="302">+A341</f>
        <v>#REF!</v>
      </c>
      <c r="B342" s="21"/>
      <c r="C342" s="21"/>
      <c r="D342" s="57"/>
      <c r="E342" s="61">
        <f t="shared" si="284"/>
        <v>0</v>
      </c>
      <c r="F342" s="43"/>
      <c r="G342" s="56"/>
      <c r="H342" s="47">
        <f t="shared" si="299"/>
        <v>0</v>
      </c>
      <c r="I342" s="80"/>
      <c r="J342" s="77"/>
      <c r="K342" s="79"/>
      <c r="L342" s="19"/>
      <c r="M342" s="78">
        <f t="shared" si="285"/>
        <v>1</v>
      </c>
      <c r="N342" s="33" t="s">
        <v>36</v>
      </c>
      <c r="O342" s="19"/>
    </row>
    <row r="343" spans="1:15" s="4" customFormat="1" ht="18" customHeight="1">
      <c r="A343" s="9" t="e">
        <f t="shared" ref="A343" si="303">+A342</f>
        <v>#REF!</v>
      </c>
      <c r="B343" s="21"/>
      <c r="C343" s="21"/>
      <c r="D343" s="57"/>
      <c r="E343" s="61">
        <f t="shared" si="284"/>
        <v>0</v>
      </c>
      <c r="F343" s="43"/>
      <c r="G343" s="56"/>
      <c r="H343" s="47">
        <f t="shared" si="299"/>
        <v>0</v>
      </c>
      <c r="I343" s="80"/>
      <c r="J343" s="77"/>
      <c r="K343" s="79"/>
      <c r="L343" s="19"/>
      <c r="M343" s="78">
        <f t="shared" si="285"/>
        <v>1</v>
      </c>
      <c r="N343" s="33" t="s">
        <v>36</v>
      </c>
      <c r="O343" s="19"/>
    </row>
    <row r="344" spans="1:15" s="4" customFormat="1" ht="18" customHeight="1">
      <c r="A344" s="9" t="e">
        <f t="shared" ref="A344" si="304">+A343</f>
        <v>#REF!</v>
      </c>
      <c r="B344" s="21"/>
      <c r="C344" s="21"/>
      <c r="D344" s="57"/>
      <c r="E344" s="61">
        <f t="shared" si="284"/>
        <v>0</v>
      </c>
      <c r="F344" s="43"/>
      <c r="G344" s="56"/>
      <c r="H344" s="47">
        <f t="shared" si="299"/>
        <v>0</v>
      </c>
      <c r="I344" s="80"/>
      <c r="J344" s="77"/>
      <c r="K344" s="79"/>
      <c r="L344" s="19"/>
      <c r="M344" s="78">
        <f t="shared" si="285"/>
        <v>1</v>
      </c>
      <c r="N344" s="33" t="s">
        <v>36</v>
      </c>
      <c r="O344" s="19"/>
    </row>
    <row r="345" spans="1:15" s="4" customFormat="1" ht="18" customHeight="1">
      <c r="A345" s="9" t="e">
        <f t="shared" ref="A345" si="305">+A344</f>
        <v>#REF!</v>
      </c>
      <c r="B345" s="21"/>
      <c r="C345" s="21"/>
      <c r="D345" s="57"/>
      <c r="E345" s="61">
        <f t="shared" si="284"/>
        <v>0</v>
      </c>
      <c r="F345" s="43"/>
      <c r="G345" s="56"/>
      <c r="H345" s="47">
        <f t="shared" si="299"/>
        <v>0</v>
      </c>
      <c r="I345" s="80"/>
      <c r="J345" s="77"/>
      <c r="K345" s="79"/>
      <c r="L345" s="19"/>
      <c r="M345" s="78">
        <f t="shared" si="285"/>
        <v>1</v>
      </c>
      <c r="N345" s="33" t="s">
        <v>36</v>
      </c>
      <c r="O345" s="19"/>
    </row>
    <row r="346" spans="1:15" s="4" customFormat="1" ht="18" customHeight="1">
      <c r="A346" s="9" t="e">
        <f t="shared" ref="A346" si="306">+A345</f>
        <v>#REF!</v>
      </c>
      <c r="B346" s="21"/>
      <c r="C346" s="21"/>
      <c r="D346" s="57"/>
      <c r="E346" s="61">
        <f t="shared" si="284"/>
        <v>0</v>
      </c>
      <c r="F346" s="43"/>
      <c r="G346" s="56"/>
      <c r="H346" s="47">
        <f t="shared" si="299"/>
        <v>0</v>
      </c>
      <c r="I346" s="80"/>
      <c r="J346" s="77"/>
      <c r="K346" s="79"/>
      <c r="L346" s="19"/>
      <c r="M346" s="78">
        <f t="shared" si="285"/>
        <v>1</v>
      </c>
      <c r="N346" s="33" t="s">
        <v>36</v>
      </c>
      <c r="O346" s="19"/>
    </row>
    <row r="347" spans="1:15" s="4" customFormat="1" ht="18" customHeight="1">
      <c r="A347" s="9" t="e">
        <f t="shared" ref="A347" si="307">+A346</f>
        <v>#REF!</v>
      </c>
      <c r="B347" s="21"/>
      <c r="C347" s="21"/>
      <c r="D347" s="57"/>
      <c r="E347" s="61">
        <f t="shared" si="284"/>
        <v>0</v>
      </c>
      <c r="F347" s="43"/>
      <c r="G347" s="56"/>
      <c r="H347" s="47">
        <f t="shared" si="299"/>
        <v>0</v>
      </c>
      <c r="I347" s="80"/>
      <c r="J347" s="77"/>
      <c r="K347" s="79"/>
      <c r="L347" s="19"/>
      <c r="M347" s="78">
        <f t="shared" si="285"/>
        <v>1</v>
      </c>
      <c r="N347" s="33" t="s">
        <v>36</v>
      </c>
      <c r="O347" s="19"/>
    </row>
    <row r="348" spans="1:15" s="4" customFormat="1" ht="18" customHeight="1">
      <c r="A348" s="9" t="e">
        <f t="shared" ref="A348" si="308">+A347</f>
        <v>#REF!</v>
      </c>
      <c r="B348" s="21"/>
      <c r="C348" s="21"/>
      <c r="D348" s="57"/>
      <c r="E348" s="61">
        <f t="shared" si="284"/>
        <v>0</v>
      </c>
      <c r="F348" s="43"/>
      <c r="G348" s="56"/>
      <c r="H348" s="47">
        <f t="shared" si="299"/>
        <v>0</v>
      </c>
      <c r="I348" s="80"/>
      <c r="J348" s="77"/>
      <c r="K348" s="79"/>
      <c r="L348" s="19"/>
      <c r="M348" s="78">
        <f t="shared" si="285"/>
        <v>1</v>
      </c>
      <c r="N348" s="33" t="s">
        <v>36</v>
      </c>
      <c r="O348" s="19"/>
    </row>
    <row r="349" spans="1:15" s="4" customFormat="1" ht="18" customHeight="1">
      <c r="A349" s="9" t="e">
        <f t="shared" ref="A349" si="309">+A348</f>
        <v>#REF!</v>
      </c>
      <c r="B349" s="21"/>
      <c r="C349" s="21"/>
      <c r="D349" s="57"/>
      <c r="E349" s="61">
        <f t="shared" si="284"/>
        <v>0</v>
      </c>
      <c r="F349" s="43"/>
      <c r="G349" s="56"/>
      <c r="H349" s="47">
        <f t="shared" si="299"/>
        <v>0</v>
      </c>
      <c r="I349" s="80"/>
      <c r="J349" s="77"/>
      <c r="K349" s="79"/>
      <c r="L349" s="19"/>
      <c r="M349" s="78">
        <f t="shared" si="285"/>
        <v>1</v>
      </c>
      <c r="N349" s="33" t="s">
        <v>36</v>
      </c>
      <c r="O349" s="19"/>
    </row>
    <row r="350" spans="1:15" s="4" customFormat="1" ht="18" customHeight="1">
      <c r="A350" s="9" t="e">
        <f t="shared" ref="A350" si="310">+A349</f>
        <v>#REF!</v>
      </c>
      <c r="B350" s="21"/>
      <c r="C350" s="21"/>
      <c r="D350" s="57"/>
      <c r="E350" s="61">
        <f t="shared" si="284"/>
        <v>0</v>
      </c>
      <c r="F350" s="43"/>
      <c r="G350" s="56"/>
      <c r="H350" s="47">
        <f t="shared" si="299"/>
        <v>0</v>
      </c>
      <c r="I350" s="80"/>
      <c r="J350" s="77"/>
      <c r="K350" s="79"/>
      <c r="L350" s="19"/>
      <c r="M350" s="78">
        <f t="shared" si="285"/>
        <v>1</v>
      </c>
      <c r="N350" s="33" t="s">
        <v>36</v>
      </c>
      <c r="O350" s="19"/>
    </row>
    <row r="351" spans="1:15" s="4" customFormat="1" ht="18" customHeight="1">
      <c r="A351" s="9" t="e">
        <f t="shared" ref="A351" si="311">+A350</f>
        <v>#REF!</v>
      </c>
      <c r="B351" s="21"/>
      <c r="C351" s="21"/>
      <c r="D351" s="57"/>
      <c r="E351" s="61">
        <f t="shared" si="284"/>
        <v>0</v>
      </c>
      <c r="F351" s="43"/>
      <c r="G351" s="56"/>
      <c r="H351" s="47">
        <f t="shared" si="299"/>
        <v>0</v>
      </c>
      <c r="I351" s="80"/>
      <c r="J351" s="77"/>
      <c r="K351" s="79"/>
      <c r="L351" s="19"/>
      <c r="M351" s="78">
        <f t="shared" si="285"/>
        <v>1</v>
      </c>
      <c r="N351" s="33" t="s">
        <v>36</v>
      </c>
      <c r="O351" s="19"/>
    </row>
    <row r="352" spans="1:15" s="4" customFormat="1" ht="18" customHeight="1">
      <c r="A352" s="9" t="e">
        <f t="shared" ref="A352" si="312">+A351</f>
        <v>#REF!</v>
      </c>
      <c r="B352" s="21"/>
      <c r="C352" s="21"/>
      <c r="D352" s="57"/>
      <c r="E352" s="61">
        <f t="shared" si="284"/>
        <v>0</v>
      </c>
      <c r="F352" s="43"/>
      <c r="G352" s="56"/>
      <c r="H352" s="47">
        <f t="shared" si="299"/>
        <v>0</v>
      </c>
      <c r="I352" s="80"/>
      <c r="J352" s="77"/>
      <c r="K352" s="79"/>
      <c r="L352" s="19"/>
      <c r="M352" s="78">
        <f t="shared" si="285"/>
        <v>1</v>
      </c>
      <c r="N352" s="33" t="s">
        <v>36</v>
      </c>
      <c r="O352" s="19"/>
    </row>
    <row r="353" spans="1:15" s="4" customFormat="1" ht="18" customHeight="1">
      <c r="A353" s="9" t="e">
        <f t="shared" ref="A353" si="313">+A352</f>
        <v>#REF!</v>
      </c>
      <c r="B353" s="21"/>
      <c r="C353" s="21"/>
      <c r="D353" s="57"/>
      <c r="E353" s="61">
        <f t="shared" si="284"/>
        <v>0</v>
      </c>
      <c r="F353" s="43"/>
      <c r="G353" s="56"/>
      <c r="H353" s="47">
        <f t="shared" si="299"/>
        <v>0</v>
      </c>
      <c r="I353" s="80"/>
      <c r="J353" s="77"/>
      <c r="K353" s="79"/>
      <c r="L353" s="19"/>
      <c r="M353" s="78">
        <f t="shared" si="285"/>
        <v>1</v>
      </c>
      <c r="N353" s="33" t="s">
        <v>36</v>
      </c>
      <c r="O353" s="19"/>
    </row>
    <row r="354" spans="1:15" s="4" customFormat="1" ht="18" customHeight="1">
      <c r="A354" s="9" t="e">
        <f t="shared" ref="A354" si="314">+A353</f>
        <v>#REF!</v>
      </c>
      <c r="B354" s="21"/>
      <c r="C354" s="21"/>
      <c r="D354" s="57"/>
      <c r="E354" s="61">
        <f t="shared" si="284"/>
        <v>0</v>
      </c>
      <c r="F354" s="43"/>
      <c r="G354" s="56"/>
      <c r="H354" s="47">
        <f t="shared" si="299"/>
        <v>0</v>
      </c>
      <c r="I354" s="80"/>
      <c r="J354" s="77"/>
      <c r="K354" s="79"/>
      <c r="L354" s="19"/>
      <c r="M354" s="78">
        <f t="shared" si="285"/>
        <v>1</v>
      </c>
      <c r="N354" s="33" t="s">
        <v>36</v>
      </c>
      <c r="O354" s="19"/>
    </row>
    <row r="355" spans="1:15" s="4" customFormat="1" ht="18" customHeight="1">
      <c r="A355" s="9" t="e">
        <f t="shared" ref="A355" si="315">+A354</f>
        <v>#REF!</v>
      </c>
      <c r="B355" s="21"/>
      <c r="C355" s="21"/>
      <c r="D355" s="57"/>
      <c r="E355" s="61">
        <f t="shared" si="284"/>
        <v>0</v>
      </c>
      <c r="F355" s="43"/>
      <c r="G355" s="56"/>
      <c r="H355" s="47">
        <f t="shared" si="299"/>
        <v>0</v>
      </c>
      <c r="I355" s="80"/>
      <c r="J355" s="77"/>
      <c r="K355" s="79"/>
      <c r="L355" s="19"/>
      <c r="M355" s="78">
        <f t="shared" si="285"/>
        <v>1</v>
      </c>
      <c r="N355" s="33" t="s">
        <v>36</v>
      </c>
      <c r="O355" s="19"/>
    </row>
    <row r="356" spans="1:15" s="4" customFormat="1" ht="18" customHeight="1">
      <c r="A356" s="9" t="e">
        <f t="shared" ref="A356" si="316">+A355</f>
        <v>#REF!</v>
      </c>
      <c r="B356" s="21"/>
      <c r="C356" s="21"/>
      <c r="D356" s="57"/>
      <c r="E356" s="61">
        <f t="shared" si="284"/>
        <v>0</v>
      </c>
      <c r="F356" s="43"/>
      <c r="G356" s="56"/>
      <c r="H356" s="47">
        <f t="shared" si="299"/>
        <v>0</v>
      </c>
      <c r="I356" s="80"/>
      <c r="J356" s="77"/>
      <c r="K356" s="79"/>
      <c r="L356" s="19"/>
      <c r="M356" s="78">
        <f t="shared" si="285"/>
        <v>1</v>
      </c>
      <c r="N356" s="33" t="s">
        <v>36</v>
      </c>
      <c r="O356" s="19"/>
    </row>
    <row r="357" spans="1:15" s="4" customFormat="1" ht="18" customHeight="1">
      <c r="A357" s="9" t="e">
        <f t="shared" ref="A357" si="317">+A356</f>
        <v>#REF!</v>
      </c>
      <c r="B357" s="21"/>
      <c r="C357" s="21"/>
      <c r="D357" s="57"/>
      <c r="E357" s="61">
        <f t="shared" si="284"/>
        <v>0</v>
      </c>
      <c r="F357" s="43"/>
      <c r="G357" s="56"/>
      <c r="H357" s="47">
        <f t="shared" si="299"/>
        <v>0</v>
      </c>
      <c r="I357" s="80"/>
      <c r="J357" s="77"/>
      <c r="K357" s="79"/>
      <c r="L357" s="19"/>
      <c r="M357" s="78">
        <f t="shared" si="285"/>
        <v>1</v>
      </c>
      <c r="N357" s="33" t="s">
        <v>36</v>
      </c>
      <c r="O357" s="19"/>
    </row>
    <row r="358" spans="1:15" s="4" customFormat="1" ht="18" customHeight="1">
      <c r="A358" s="9" t="e">
        <f t="shared" ref="A358" si="318">+A357</f>
        <v>#REF!</v>
      </c>
      <c r="B358" s="21"/>
      <c r="C358" s="21"/>
      <c r="D358" s="57"/>
      <c r="E358" s="61">
        <f t="shared" si="284"/>
        <v>0</v>
      </c>
      <c r="F358" s="43"/>
      <c r="G358" s="56"/>
      <c r="H358" s="47">
        <f t="shared" si="299"/>
        <v>0</v>
      </c>
      <c r="I358" s="80"/>
      <c r="J358" s="77"/>
      <c r="K358" s="79"/>
      <c r="L358" s="19"/>
      <c r="M358" s="78">
        <f t="shared" si="285"/>
        <v>1</v>
      </c>
      <c r="N358" s="33" t="s">
        <v>36</v>
      </c>
      <c r="O358" s="19"/>
    </row>
    <row r="359" spans="1:15" s="4" customFormat="1" ht="18" customHeight="1">
      <c r="A359" s="9" t="e">
        <f t="shared" ref="A359" si="319">+A358</f>
        <v>#REF!</v>
      </c>
      <c r="B359" s="21"/>
      <c r="C359" s="21"/>
      <c r="D359" s="57"/>
      <c r="E359" s="61">
        <f t="shared" si="284"/>
        <v>0</v>
      </c>
      <c r="F359" s="43"/>
      <c r="G359" s="56"/>
      <c r="H359" s="47">
        <f t="shared" si="299"/>
        <v>0</v>
      </c>
      <c r="I359" s="80"/>
      <c r="J359" s="77"/>
      <c r="K359" s="79"/>
      <c r="L359" s="19"/>
      <c r="M359" s="78">
        <f t="shared" si="285"/>
        <v>1</v>
      </c>
      <c r="N359" s="33" t="s">
        <v>36</v>
      </c>
      <c r="O359" s="19"/>
    </row>
    <row r="360" spans="1:15" s="4" customFormat="1" ht="18" customHeight="1">
      <c r="A360" s="9" t="e">
        <f t="shared" ref="A360" si="320">+A359</f>
        <v>#REF!</v>
      </c>
      <c r="B360" s="21"/>
      <c r="C360" s="21"/>
      <c r="D360" s="57"/>
      <c r="E360" s="61">
        <f t="shared" si="284"/>
        <v>0</v>
      </c>
      <c r="F360" s="43"/>
      <c r="G360" s="56"/>
      <c r="H360" s="47">
        <f t="shared" si="299"/>
        <v>0</v>
      </c>
      <c r="I360" s="80"/>
      <c r="J360" s="77"/>
      <c r="K360" s="79"/>
      <c r="L360" s="19"/>
      <c r="M360" s="78">
        <f t="shared" si="285"/>
        <v>1</v>
      </c>
      <c r="N360" s="33" t="s">
        <v>36</v>
      </c>
      <c r="O360" s="19"/>
    </row>
    <row r="361" spans="1:15" s="4" customFormat="1" ht="18" customHeight="1">
      <c r="A361" s="9" t="e">
        <f t="shared" ref="A361" si="321">+A360</f>
        <v>#REF!</v>
      </c>
      <c r="B361" s="21"/>
      <c r="C361" s="21"/>
      <c r="D361" s="57"/>
      <c r="E361" s="61">
        <f t="shared" si="284"/>
        <v>0</v>
      </c>
      <c r="F361" s="43"/>
      <c r="G361" s="56"/>
      <c r="H361" s="47">
        <f t="shared" si="299"/>
        <v>0</v>
      </c>
      <c r="I361" s="80"/>
      <c r="J361" s="77"/>
      <c r="K361" s="79"/>
      <c r="L361" s="19"/>
      <c r="M361" s="78">
        <f t="shared" si="285"/>
        <v>1</v>
      </c>
      <c r="N361" s="33" t="s">
        <v>36</v>
      </c>
      <c r="O361" s="19"/>
    </row>
    <row r="362" spans="1:15" s="4" customFormat="1" ht="18" customHeight="1">
      <c r="A362" s="9" t="e">
        <f t="shared" ref="A362" si="322">+A361</f>
        <v>#REF!</v>
      </c>
      <c r="B362" s="21"/>
      <c r="C362" s="21"/>
      <c r="D362" s="57"/>
      <c r="E362" s="61">
        <f t="shared" si="284"/>
        <v>0</v>
      </c>
      <c r="F362" s="43"/>
      <c r="G362" s="56"/>
      <c r="H362" s="47">
        <f t="shared" si="299"/>
        <v>0</v>
      </c>
      <c r="I362" s="80"/>
      <c r="J362" s="77"/>
      <c r="K362" s="79"/>
      <c r="L362" s="19"/>
      <c r="M362" s="78">
        <f t="shared" si="285"/>
        <v>1</v>
      </c>
      <c r="N362" s="33" t="s">
        <v>36</v>
      </c>
      <c r="O362" s="19"/>
    </row>
    <row r="363" spans="1:15" s="4" customFormat="1" ht="18" customHeight="1">
      <c r="A363" s="9" t="e">
        <f t="shared" ref="A363" si="323">+A362</f>
        <v>#REF!</v>
      </c>
      <c r="B363" s="21"/>
      <c r="C363" s="21"/>
      <c r="D363" s="57"/>
      <c r="E363" s="61">
        <f t="shared" si="284"/>
        <v>0</v>
      </c>
      <c r="F363" s="43"/>
      <c r="G363" s="56"/>
      <c r="H363" s="47">
        <f t="shared" si="299"/>
        <v>0</v>
      </c>
      <c r="I363" s="80"/>
      <c r="J363" s="77"/>
      <c r="K363" s="79"/>
      <c r="L363" s="19"/>
      <c r="M363" s="78">
        <f t="shared" si="285"/>
        <v>1</v>
      </c>
      <c r="N363" s="33" t="s">
        <v>36</v>
      </c>
      <c r="O363" s="19"/>
    </row>
    <row r="364" spans="1:15" s="4" customFormat="1" ht="18" customHeight="1">
      <c r="A364" s="9" t="e">
        <f t="shared" ref="A364" si="324">+A363</f>
        <v>#REF!</v>
      </c>
      <c r="B364" s="21"/>
      <c r="C364" s="21"/>
      <c r="D364" s="57"/>
      <c r="E364" s="61">
        <f t="shared" si="284"/>
        <v>0</v>
      </c>
      <c r="F364" s="43"/>
      <c r="G364" s="56"/>
      <c r="H364" s="47">
        <f t="shared" si="299"/>
        <v>0</v>
      </c>
      <c r="I364" s="80"/>
      <c r="J364" s="77"/>
      <c r="K364" s="79"/>
      <c r="L364" s="19"/>
      <c r="M364" s="78">
        <f t="shared" si="285"/>
        <v>1</v>
      </c>
      <c r="N364" s="33" t="s">
        <v>36</v>
      </c>
      <c r="O364" s="19"/>
    </row>
    <row r="365" spans="1:15" s="4" customFormat="1" ht="18" customHeight="1">
      <c r="A365" s="9" t="e">
        <f t="shared" ref="A365" si="325">+A364</f>
        <v>#REF!</v>
      </c>
      <c r="B365" s="21"/>
      <c r="C365" s="21"/>
      <c r="D365" s="57"/>
      <c r="E365" s="61">
        <f t="shared" si="284"/>
        <v>0</v>
      </c>
      <c r="F365" s="43"/>
      <c r="G365" s="56"/>
      <c r="H365" s="47">
        <f t="shared" si="299"/>
        <v>0</v>
      </c>
      <c r="I365" s="80"/>
      <c r="J365" s="77"/>
      <c r="K365" s="79"/>
      <c r="L365" s="19"/>
      <c r="M365" s="78">
        <f t="shared" si="285"/>
        <v>1</v>
      </c>
      <c r="N365" s="33" t="s">
        <v>36</v>
      </c>
      <c r="O365" s="19"/>
    </row>
    <row r="366" spans="1:15" s="4" customFormat="1" ht="18" customHeight="1">
      <c r="A366" s="9" t="e">
        <f t="shared" ref="A366" si="326">+A365</f>
        <v>#REF!</v>
      </c>
      <c r="B366" s="21"/>
      <c r="C366" s="21"/>
      <c r="D366" s="57"/>
      <c r="E366" s="61">
        <f t="shared" si="284"/>
        <v>0</v>
      </c>
      <c r="F366" s="43"/>
      <c r="G366" s="56"/>
      <c r="H366" s="47">
        <f t="shared" si="299"/>
        <v>0</v>
      </c>
      <c r="I366" s="80"/>
      <c r="J366" s="77"/>
      <c r="K366" s="79"/>
      <c r="L366" s="19"/>
      <c r="M366" s="78">
        <f t="shared" si="285"/>
        <v>1</v>
      </c>
      <c r="N366" s="33" t="s">
        <v>36</v>
      </c>
      <c r="O366" s="19"/>
    </row>
    <row r="367" spans="1:15" s="4" customFormat="1" ht="18" customHeight="1">
      <c r="A367" s="9" t="e">
        <f t="shared" ref="A367" si="327">+A366</f>
        <v>#REF!</v>
      </c>
      <c r="B367" s="21"/>
      <c r="C367" s="21"/>
      <c r="D367" s="57"/>
      <c r="E367" s="61">
        <f t="shared" si="284"/>
        <v>0</v>
      </c>
      <c r="F367" s="43"/>
      <c r="G367" s="56"/>
      <c r="H367" s="47">
        <f t="shared" si="299"/>
        <v>0</v>
      </c>
      <c r="I367" s="80"/>
      <c r="J367" s="77"/>
      <c r="K367" s="79"/>
      <c r="L367" s="19"/>
      <c r="M367" s="78">
        <f t="shared" si="285"/>
        <v>1</v>
      </c>
      <c r="N367" s="33" t="s">
        <v>36</v>
      </c>
      <c r="O367" s="19"/>
    </row>
    <row r="368" spans="1:15" s="4" customFormat="1" ht="18" customHeight="1">
      <c r="A368" s="9" t="e">
        <f t="shared" ref="A368" si="328">+A367</f>
        <v>#REF!</v>
      </c>
      <c r="B368" s="21"/>
      <c r="C368" s="21"/>
      <c r="D368" s="57"/>
      <c r="E368" s="61">
        <f t="shared" si="284"/>
        <v>0</v>
      </c>
      <c r="F368" s="43"/>
      <c r="G368" s="56"/>
      <c r="H368" s="47">
        <f t="shared" si="299"/>
        <v>0</v>
      </c>
      <c r="I368" s="80"/>
      <c r="J368" s="77"/>
      <c r="K368" s="79"/>
      <c r="L368" s="19"/>
      <c r="M368" s="78">
        <f t="shared" si="285"/>
        <v>1</v>
      </c>
      <c r="N368" s="33" t="s">
        <v>36</v>
      </c>
      <c r="O368" s="19"/>
    </row>
    <row r="369" spans="1:15" s="4" customFormat="1" ht="18" customHeight="1">
      <c r="A369" s="9" t="e">
        <f t="shared" ref="A369" si="329">+A368</f>
        <v>#REF!</v>
      </c>
      <c r="B369" s="21"/>
      <c r="C369" s="21"/>
      <c r="D369" s="57"/>
      <c r="E369" s="61">
        <f t="shared" si="284"/>
        <v>0</v>
      </c>
      <c r="F369" s="43"/>
      <c r="G369" s="56"/>
      <c r="H369" s="47">
        <f t="shared" si="299"/>
        <v>0</v>
      </c>
      <c r="I369" s="80"/>
      <c r="J369" s="77"/>
      <c r="K369" s="79"/>
      <c r="L369" s="19"/>
      <c r="M369" s="78">
        <f t="shared" si="285"/>
        <v>1</v>
      </c>
      <c r="N369" s="33" t="s">
        <v>36</v>
      </c>
      <c r="O369" s="19"/>
    </row>
    <row r="370" spans="1:15" s="4" customFormat="1" ht="18" customHeight="1">
      <c r="A370" s="9" t="e">
        <f t="shared" ref="A370" si="330">+A369</f>
        <v>#REF!</v>
      </c>
      <c r="B370" s="21"/>
      <c r="C370" s="21"/>
      <c r="D370" s="57"/>
      <c r="E370" s="61">
        <f t="shared" si="284"/>
        <v>0</v>
      </c>
      <c r="F370" s="43"/>
      <c r="G370" s="56"/>
      <c r="H370" s="47">
        <f t="shared" si="299"/>
        <v>0</v>
      </c>
      <c r="I370" s="80"/>
      <c r="J370" s="77"/>
      <c r="K370" s="79"/>
      <c r="L370" s="19"/>
      <c r="M370" s="78">
        <f t="shared" si="285"/>
        <v>1</v>
      </c>
      <c r="N370" s="33" t="s">
        <v>36</v>
      </c>
      <c r="O370" s="19"/>
    </row>
    <row r="371" spans="1:15" s="4" customFormat="1" ht="18" customHeight="1">
      <c r="A371" s="9" t="e">
        <f t="shared" ref="A371" si="331">+A370</f>
        <v>#REF!</v>
      </c>
      <c r="B371" s="21"/>
      <c r="C371" s="21"/>
      <c r="D371" s="57"/>
      <c r="E371" s="61">
        <f t="shared" si="284"/>
        <v>0</v>
      </c>
      <c r="F371" s="43"/>
      <c r="G371" s="56"/>
      <c r="H371" s="47">
        <f t="shared" si="299"/>
        <v>0</v>
      </c>
      <c r="I371" s="80"/>
      <c r="J371" s="77"/>
      <c r="K371" s="79"/>
      <c r="L371" s="19"/>
      <c r="M371" s="78">
        <f t="shared" si="285"/>
        <v>1</v>
      </c>
      <c r="N371" s="33" t="s">
        <v>36</v>
      </c>
      <c r="O371" s="19"/>
    </row>
    <row r="372" spans="1:15" s="4" customFormat="1" ht="18" customHeight="1">
      <c r="A372" s="9" t="e">
        <f t="shared" ref="A372" si="332">+A371</f>
        <v>#REF!</v>
      </c>
      <c r="B372" s="21"/>
      <c r="C372" s="21"/>
      <c r="D372" s="57"/>
      <c r="E372" s="61">
        <f t="shared" si="284"/>
        <v>0</v>
      </c>
      <c r="F372" s="43"/>
      <c r="G372" s="56"/>
      <c r="H372" s="47">
        <f t="shared" si="299"/>
        <v>0</v>
      </c>
      <c r="I372" s="80"/>
      <c r="J372" s="77"/>
      <c r="K372" s="79"/>
      <c r="L372" s="19"/>
      <c r="M372" s="78">
        <f t="shared" si="285"/>
        <v>1</v>
      </c>
      <c r="N372" s="33" t="s">
        <v>36</v>
      </c>
      <c r="O372" s="19"/>
    </row>
    <row r="373" spans="1:15" s="4" customFormat="1" ht="18" customHeight="1">
      <c r="A373" s="9" t="e">
        <f t="shared" ref="A373" si="333">+A372</f>
        <v>#REF!</v>
      </c>
      <c r="B373" s="21"/>
      <c r="C373" s="21"/>
      <c r="D373" s="57"/>
      <c r="E373" s="61">
        <f t="shared" si="284"/>
        <v>0</v>
      </c>
      <c r="F373" s="43"/>
      <c r="G373" s="56"/>
      <c r="H373" s="47">
        <f t="shared" si="299"/>
        <v>0</v>
      </c>
      <c r="I373" s="80"/>
      <c r="J373" s="77"/>
      <c r="K373" s="79"/>
      <c r="L373" s="19"/>
      <c r="M373" s="78">
        <f t="shared" si="285"/>
        <v>1</v>
      </c>
      <c r="N373" s="33" t="s">
        <v>36</v>
      </c>
      <c r="O373" s="19"/>
    </row>
    <row r="374" spans="1:15" s="4" customFormat="1" ht="18" customHeight="1">
      <c r="A374" s="9" t="e">
        <f t="shared" ref="A374" si="334">+A373</f>
        <v>#REF!</v>
      </c>
      <c r="B374" s="21"/>
      <c r="C374" s="21"/>
      <c r="D374" s="57"/>
      <c r="E374" s="61">
        <f t="shared" si="284"/>
        <v>0</v>
      </c>
      <c r="F374" s="43"/>
      <c r="G374" s="56"/>
      <c r="H374" s="47">
        <f t="shared" si="299"/>
        <v>0</v>
      </c>
      <c r="I374" s="80"/>
      <c r="J374" s="77"/>
      <c r="K374" s="79"/>
      <c r="L374" s="19"/>
      <c r="M374" s="78">
        <f t="shared" si="285"/>
        <v>1</v>
      </c>
      <c r="N374" s="33" t="s">
        <v>36</v>
      </c>
      <c r="O374" s="19"/>
    </row>
    <row r="375" spans="1:15" s="4" customFormat="1" ht="18" customHeight="1">
      <c r="A375" s="9" t="e">
        <f t="shared" ref="A375" si="335">+A374</f>
        <v>#REF!</v>
      </c>
      <c r="B375" s="21"/>
      <c r="C375" s="21"/>
      <c r="D375" s="57"/>
      <c r="E375" s="61">
        <f t="shared" si="284"/>
        <v>0</v>
      </c>
      <c r="F375" s="43"/>
      <c r="G375" s="56"/>
      <c r="H375" s="47">
        <f t="shared" si="299"/>
        <v>0</v>
      </c>
      <c r="I375" s="80"/>
      <c r="J375" s="77"/>
      <c r="K375" s="79"/>
      <c r="L375" s="19"/>
      <c r="M375" s="78">
        <f t="shared" si="285"/>
        <v>1</v>
      </c>
      <c r="N375" s="33" t="s">
        <v>36</v>
      </c>
      <c r="O375" s="19"/>
    </row>
    <row r="376" spans="1:15" s="4" customFormat="1" ht="18" customHeight="1">
      <c r="A376" s="9" t="e">
        <f t="shared" ref="A376" si="336">+A375</f>
        <v>#REF!</v>
      </c>
      <c r="B376" s="21"/>
      <c r="C376" s="21"/>
      <c r="D376" s="57"/>
      <c r="E376" s="61">
        <f t="shared" si="284"/>
        <v>0</v>
      </c>
      <c r="F376" s="43"/>
      <c r="G376" s="56"/>
      <c r="H376" s="47">
        <f t="shared" si="299"/>
        <v>0</v>
      </c>
      <c r="I376" s="80"/>
      <c r="J376" s="77"/>
      <c r="K376" s="79"/>
      <c r="L376" s="19"/>
      <c r="M376" s="78">
        <f t="shared" si="285"/>
        <v>1</v>
      </c>
      <c r="N376" s="33" t="s">
        <v>36</v>
      </c>
      <c r="O376" s="19"/>
    </row>
    <row r="377" spans="1:15" s="4" customFormat="1" ht="18" customHeight="1">
      <c r="A377" s="9" t="e">
        <f t="shared" ref="A377" si="337">+A376</f>
        <v>#REF!</v>
      </c>
      <c r="B377" s="21"/>
      <c r="C377" s="21"/>
      <c r="D377" s="57"/>
      <c r="E377" s="61">
        <f t="shared" si="284"/>
        <v>0</v>
      </c>
      <c r="F377" s="43"/>
      <c r="G377" s="56"/>
      <c r="H377" s="47">
        <f t="shared" si="299"/>
        <v>0</v>
      </c>
      <c r="I377" s="80"/>
      <c r="J377" s="77"/>
      <c r="K377" s="79"/>
      <c r="L377" s="19"/>
      <c r="M377" s="78">
        <f t="shared" si="285"/>
        <v>1</v>
      </c>
      <c r="N377" s="33" t="s">
        <v>36</v>
      </c>
      <c r="O377" s="19"/>
    </row>
    <row r="378" spans="1:15" s="4" customFormat="1" ht="18" customHeight="1">
      <c r="A378" s="9" t="e">
        <f t="shared" ref="A378" si="338">+A377</f>
        <v>#REF!</v>
      </c>
      <c r="B378" s="21"/>
      <c r="C378" s="21"/>
      <c r="D378" s="57"/>
      <c r="E378" s="61">
        <f t="shared" si="284"/>
        <v>0</v>
      </c>
      <c r="F378" s="43"/>
      <c r="G378" s="56"/>
      <c r="H378" s="47">
        <f t="shared" si="299"/>
        <v>0</v>
      </c>
      <c r="I378" s="80"/>
      <c r="J378" s="77"/>
      <c r="K378" s="79"/>
      <c r="L378" s="19"/>
      <c r="M378" s="78">
        <f t="shared" si="285"/>
        <v>1</v>
      </c>
      <c r="N378" s="33" t="s">
        <v>36</v>
      </c>
      <c r="O378" s="19"/>
    </row>
    <row r="379" spans="1:15" s="4" customFormat="1" ht="18" customHeight="1">
      <c r="A379" s="9" t="e">
        <f t="shared" ref="A379" si="339">+A378</f>
        <v>#REF!</v>
      </c>
      <c r="B379" s="21"/>
      <c r="C379" s="21"/>
      <c r="D379" s="57"/>
      <c r="E379" s="61">
        <f t="shared" si="284"/>
        <v>0</v>
      </c>
      <c r="F379" s="43"/>
      <c r="G379" s="56"/>
      <c r="H379" s="47">
        <f t="shared" si="299"/>
        <v>0</v>
      </c>
      <c r="I379" s="80"/>
      <c r="J379" s="77"/>
      <c r="K379" s="79"/>
      <c r="L379" s="19"/>
      <c r="M379" s="78">
        <f t="shared" si="285"/>
        <v>1</v>
      </c>
      <c r="N379" s="33" t="s">
        <v>36</v>
      </c>
      <c r="O379" s="19"/>
    </row>
    <row r="380" spans="1:15" s="4" customFormat="1" ht="18" customHeight="1">
      <c r="A380" s="9" t="e">
        <f t="shared" ref="A380" si="340">+A379</f>
        <v>#REF!</v>
      </c>
      <c r="B380" s="21"/>
      <c r="C380" s="21"/>
      <c r="D380" s="57"/>
      <c r="E380" s="61">
        <f t="shared" si="284"/>
        <v>0</v>
      </c>
      <c r="F380" s="43"/>
      <c r="G380" s="56"/>
      <c r="H380" s="47">
        <f t="shared" si="299"/>
        <v>0</v>
      </c>
      <c r="I380" s="80"/>
      <c r="J380" s="77"/>
      <c r="K380" s="79"/>
      <c r="L380" s="19"/>
      <c r="M380" s="78">
        <f t="shared" si="285"/>
        <v>1</v>
      </c>
      <c r="N380" s="33" t="s">
        <v>36</v>
      </c>
      <c r="O380" s="19"/>
    </row>
    <row r="381" spans="1:15" s="4" customFormat="1" ht="18" customHeight="1">
      <c r="A381" s="9" t="e">
        <f t="shared" ref="A381" si="341">+A380</f>
        <v>#REF!</v>
      </c>
      <c r="B381" s="21"/>
      <c r="C381" s="21"/>
      <c r="D381" s="57"/>
      <c r="E381" s="61">
        <f t="shared" si="284"/>
        <v>0</v>
      </c>
      <c r="F381" s="43"/>
      <c r="G381" s="56"/>
      <c r="H381" s="47">
        <f t="shared" si="299"/>
        <v>0</v>
      </c>
      <c r="I381" s="80"/>
      <c r="J381" s="77"/>
      <c r="K381" s="79"/>
      <c r="L381" s="19"/>
      <c r="M381" s="78">
        <f t="shared" si="285"/>
        <v>1</v>
      </c>
      <c r="N381" s="33" t="s">
        <v>36</v>
      </c>
      <c r="O381" s="19"/>
    </row>
    <row r="382" spans="1:15" s="63" customFormat="1" ht="18" customHeight="1">
      <c r="A382" s="9" t="e">
        <f t="shared" ref="A382" si="342">+A381</f>
        <v>#REF!</v>
      </c>
      <c r="B382" s="21"/>
      <c r="C382" s="21"/>
      <c r="D382" s="57"/>
      <c r="E382" s="61">
        <f t="shared" si="284"/>
        <v>0</v>
      </c>
      <c r="F382" s="43"/>
      <c r="G382" s="56"/>
      <c r="H382" s="47">
        <f t="shared" si="299"/>
        <v>0</v>
      </c>
      <c r="I382" s="80"/>
      <c r="J382" s="77"/>
      <c r="K382" s="79"/>
      <c r="L382" s="19"/>
      <c r="M382" s="78">
        <f t="shared" si="285"/>
        <v>1</v>
      </c>
      <c r="N382" s="33" t="s">
        <v>36</v>
      </c>
      <c r="O382" s="19"/>
    </row>
    <row r="383" spans="1:15" s="4" customFormat="1" ht="18" customHeight="1">
      <c r="A383" s="9" t="e">
        <f t="shared" ref="A383" si="343">+A382</f>
        <v>#REF!</v>
      </c>
      <c r="B383" s="21"/>
      <c r="C383" s="21"/>
      <c r="D383" s="57"/>
      <c r="E383" s="61">
        <f t="shared" si="284"/>
        <v>0</v>
      </c>
      <c r="F383" s="43"/>
      <c r="G383" s="56"/>
      <c r="H383" s="47">
        <f t="shared" si="299"/>
        <v>0</v>
      </c>
      <c r="I383" s="80"/>
      <c r="J383" s="77"/>
      <c r="K383" s="79"/>
      <c r="L383" s="19"/>
      <c r="M383" s="78">
        <f t="shared" si="285"/>
        <v>1</v>
      </c>
      <c r="N383" s="33" t="s">
        <v>36</v>
      </c>
      <c r="O383" s="19"/>
    </row>
    <row r="384" spans="1:15" s="4" customFormat="1" ht="18" customHeight="1">
      <c r="A384" s="9" t="e">
        <f t="shared" ref="A384" si="344">+A383</f>
        <v>#REF!</v>
      </c>
      <c r="B384" s="21"/>
      <c r="C384" s="21"/>
      <c r="D384" s="57"/>
      <c r="E384" s="61">
        <f t="shared" si="284"/>
        <v>0</v>
      </c>
      <c r="F384" s="43"/>
      <c r="G384" s="56"/>
      <c r="H384" s="47">
        <f t="shared" si="299"/>
        <v>0</v>
      </c>
      <c r="I384" s="80"/>
      <c r="J384" s="77"/>
      <c r="K384" s="79"/>
      <c r="L384" s="19"/>
      <c r="M384" s="78">
        <f t="shared" si="285"/>
        <v>1</v>
      </c>
      <c r="N384" s="33" t="s">
        <v>36</v>
      </c>
      <c r="O384" s="19"/>
    </row>
    <row r="385" spans="1:15" s="4" customFormat="1" ht="18" customHeight="1">
      <c r="A385" s="9" t="e">
        <f t="shared" ref="A385" si="345">+A384</f>
        <v>#REF!</v>
      </c>
      <c r="B385" s="21"/>
      <c r="C385" s="21"/>
      <c r="D385" s="57"/>
      <c r="E385" s="61">
        <f t="shared" si="284"/>
        <v>0</v>
      </c>
      <c r="F385" s="43"/>
      <c r="G385" s="56"/>
      <c r="H385" s="47">
        <f t="shared" si="299"/>
        <v>0</v>
      </c>
      <c r="I385" s="80"/>
      <c r="J385" s="77"/>
      <c r="K385" s="79"/>
      <c r="L385" s="19"/>
      <c r="M385" s="78">
        <f t="shared" si="285"/>
        <v>1</v>
      </c>
      <c r="N385" s="33" t="s">
        <v>36</v>
      </c>
      <c r="O385" s="19"/>
    </row>
    <row r="386" spans="1:15" s="4" customFormat="1" ht="18" customHeight="1">
      <c r="A386" s="9" t="e">
        <f t="shared" ref="A386" si="346">+A385</f>
        <v>#REF!</v>
      </c>
      <c r="B386" s="21"/>
      <c r="C386" s="21"/>
      <c r="D386" s="57"/>
      <c r="E386" s="61">
        <f t="shared" si="284"/>
        <v>0</v>
      </c>
      <c r="F386" s="43"/>
      <c r="G386" s="56"/>
      <c r="H386" s="47">
        <f t="shared" si="299"/>
        <v>0</v>
      </c>
      <c r="I386" s="80"/>
      <c r="J386" s="77"/>
      <c r="K386" s="79"/>
      <c r="L386" s="19"/>
      <c r="M386" s="78">
        <f t="shared" si="285"/>
        <v>1</v>
      </c>
      <c r="N386" s="33" t="s">
        <v>36</v>
      </c>
      <c r="O386" s="19"/>
    </row>
    <row r="387" spans="1:15" s="4" customFormat="1" ht="18" customHeight="1">
      <c r="A387" s="9" t="e">
        <f t="shared" ref="A387" si="347">+A386</f>
        <v>#REF!</v>
      </c>
      <c r="B387" s="21"/>
      <c r="C387" s="21"/>
      <c r="D387" s="57"/>
      <c r="E387" s="61">
        <f t="shared" si="284"/>
        <v>0</v>
      </c>
      <c r="F387" s="43"/>
      <c r="G387" s="56"/>
      <c r="H387" s="47">
        <f t="shared" si="299"/>
        <v>0</v>
      </c>
      <c r="I387" s="80"/>
      <c r="J387" s="77"/>
      <c r="K387" s="79"/>
      <c r="L387" s="19"/>
      <c r="M387" s="78">
        <f t="shared" si="285"/>
        <v>1</v>
      </c>
      <c r="N387" s="33" t="s">
        <v>36</v>
      </c>
      <c r="O387" s="19"/>
    </row>
    <row r="388" spans="1:15" s="4" customFormat="1" ht="18" customHeight="1">
      <c r="A388" s="9" t="e">
        <f t="shared" ref="A388" si="348">+A387</f>
        <v>#REF!</v>
      </c>
      <c r="B388" s="21"/>
      <c r="C388" s="21"/>
      <c r="D388" s="57"/>
      <c r="E388" s="61">
        <f t="shared" si="284"/>
        <v>0</v>
      </c>
      <c r="F388" s="43"/>
      <c r="G388" s="56"/>
      <c r="H388" s="47">
        <f t="shared" si="299"/>
        <v>0</v>
      </c>
      <c r="I388" s="80"/>
      <c r="J388" s="77"/>
      <c r="K388" s="79"/>
      <c r="L388" s="19"/>
      <c r="M388" s="78">
        <f t="shared" si="285"/>
        <v>1</v>
      </c>
      <c r="N388" s="33" t="s">
        <v>36</v>
      </c>
      <c r="O388" s="19"/>
    </row>
    <row r="389" spans="1:15" s="4" customFormat="1" ht="18" customHeight="1">
      <c r="A389" s="9" t="e">
        <f t="shared" ref="A389" si="349">+A388</f>
        <v>#REF!</v>
      </c>
      <c r="B389" s="21"/>
      <c r="C389" s="21"/>
      <c r="D389" s="57"/>
      <c r="E389" s="61">
        <f t="shared" si="284"/>
        <v>0</v>
      </c>
      <c r="F389" s="43"/>
      <c r="G389" s="56"/>
      <c r="H389" s="47">
        <f t="shared" si="299"/>
        <v>0</v>
      </c>
      <c r="I389" s="80"/>
      <c r="J389" s="77"/>
      <c r="K389" s="79"/>
      <c r="L389" s="19"/>
      <c r="M389" s="78">
        <f t="shared" si="285"/>
        <v>1</v>
      </c>
      <c r="N389" s="33" t="s">
        <v>36</v>
      </c>
      <c r="O389" s="19"/>
    </row>
    <row r="390" spans="1:15" s="4" customFormat="1">
      <c r="A390" s="9" t="e">
        <f t="shared" ref="A390" si="350">+A389</f>
        <v>#REF!</v>
      </c>
      <c r="B390" s="21"/>
      <c r="C390" s="21"/>
      <c r="D390" s="57"/>
      <c r="E390" s="61">
        <f t="shared" ref="E390:E401" si="351">+B390</f>
        <v>0</v>
      </c>
      <c r="F390" s="43"/>
      <c r="G390" s="56"/>
      <c r="H390" s="47">
        <f t="shared" si="299"/>
        <v>0</v>
      </c>
      <c r="I390" s="80"/>
      <c r="J390" s="77"/>
      <c r="K390" s="79"/>
      <c r="L390" s="19"/>
      <c r="M390" s="78">
        <f t="shared" ref="M390:M401" si="352">+WEEKNUM(K390,2)</f>
        <v>1</v>
      </c>
      <c r="N390" s="33" t="s">
        <v>36</v>
      </c>
      <c r="O390" s="19"/>
    </row>
    <row r="391" spans="1:15" s="4" customFormat="1" ht="18" customHeight="1">
      <c r="A391" s="9" t="e">
        <f t="shared" ref="A391" si="353">+A390</f>
        <v>#REF!</v>
      </c>
      <c r="B391" s="21"/>
      <c r="C391" s="21"/>
      <c r="D391" s="57"/>
      <c r="E391" s="61">
        <f t="shared" si="351"/>
        <v>0</v>
      </c>
      <c r="F391" s="43"/>
      <c r="G391" s="56"/>
      <c r="H391" s="47">
        <f t="shared" si="299"/>
        <v>0</v>
      </c>
      <c r="I391" s="80"/>
      <c r="J391" s="77"/>
      <c r="K391" s="79"/>
      <c r="L391" s="19"/>
      <c r="M391" s="78">
        <f t="shared" si="352"/>
        <v>1</v>
      </c>
      <c r="N391" s="33" t="s">
        <v>36</v>
      </c>
      <c r="O391" s="19"/>
    </row>
    <row r="392" spans="1:15" s="4" customFormat="1" ht="18" customHeight="1">
      <c r="A392" s="9" t="e">
        <f t="shared" ref="A392" si="354">+A391</f>
        <v>#REF!</v>
      </c>
      <c r="B392" s="21"/>
      <c r="C392" s="21"/>
      <c r="D392" s="57"/>
      <c r="E392" s="61">
        <f t="shared" si="351"/>
        <v>0</v>
      </c>
      <c r="F392" s="43"/>
      <c r="G392" s="56"/>
      <c r="H392" s="47">
        <f t="shared" si="299"/>
        <v>0</v>
      </c>
      <c r="I392" s="80"/>
      <c r="J392" s="77"/>
      <c r="K392" s="79"/>
      <c r="L392" s="19"/>
      <c r="M392" s="78">
        <f t="shared" si="352"/>
        <v>1</v>
      </c>
      <c r="N392" s="33" t="s">
        <v>36</v>
      </c>
      <c r="O392" s="19"/>
    </row>
    <row r="393" spans="1:15" s="4" customFormat="1" ht="18" customHeight="1">
      <c r="A393" s="9" t="e">
        <f t="shared" ref="A393" si="355">+A392</f>
        <v>#REF!</v>
      </c>
      <c r="B393" s="21"/>
      <c r="C393" s="21"/>
      <c r="D393" s="57"/>
      <c r="E393" s="61">
        <f t="shared" si="351"/>
        <v>0</v>
      </c>
      <c r="F393" s="43"/>
      <c r="G393" s="56"/>
      <c r="H393" s="47">
        <f t="shared" si="299"/>
        <v>0</v>
      </c>
      <c r="I393" s="80"/>
      <c r="J393" s="77"/>
      <c r="K393" s="79"/>
      <c r="L393" s="19"/>
      <c r="M393" s="78">
        <f t="shared" si="352"/>
        <v>1</v>
      </c>
      <c r="N393" s="33" t="s">
        <v>36</v>
      </c>
      <c r="O393" s="19"/>
    </row>
    <row r="394" spans="1:15" s="4" customFormat="1" ht="18" customHeight="1">
      <c r="A394" s="9" t="e">
        <f t="shared" ref="A394" si="356">+A393</f>
        <v>#REF!</v>
      </c>
      <c r="B394" s="21"/>
      <c r="C394" s="21"/>
      <c r="D394" s="57"/>
      <c r="E394" s="61">
        <f t="shared" si="351"/>
        <v>0</v>
      </c>
      <c r="F394" s="43"/>
      <c r="G394" s="56"/>
      <c r="H394" s="47">
        <f t="shared" si="299"/>
        <v>0</v>
      </c>
      <c r="I394" s="80"/>
      <c r="J394" s="77"/>
      <c r="K394" s="79"/>
      <c r="L394" s="19"/>
      <c r="M394" s="78">
        <f t="shared" si="352"/>
        <v>1</v>
      </c>
      <c r="N394" s="33" t="s">
        <v>36</v>
      </c>
      <c r="O394" s="19"/>
    </row>
    <row r="395" spans="1:15" s="4" customFormat="1" ht="18" customHeight="1">
      <c r="A395" s="9" t="e">
        <f t="shared" ref="A395" si="357">+A394</f>
        <v>#REF!</v>
      </c>
      <c r="B395" s="21"/>
      <c r="C395" s="21"/>
      <c r="D395" s="57"/>
      <c r="E395" s="61">
        <f t="shared" si="351"/>
        <v>0</v>
      </c>
      <c r="F395" s="43"/>
      <c r="G395" s="56"/>
      <c r="H395" s="47">
        <f t="shared" si="299"/>
        <v>0</v>
      </c>
      <c r="I395" s="80"/>
      <c r="J395" s="77"/>
      <c r="K395" s="79"/>
      <c r="L395" s="19"/>
      <c r="M395" s="78">
        <f t="shared" si="352"/>
        <v>1</v>
      </c>
      <c r="N395" s="33" t="s">
        <v>36</v>
      </c>
      <c r="O395" s="19"/>
    </row>
    <row r="396" spans="1:15" s="4" customFormat="1" ht="18" customHeight="1">
      <c r="A396" s="9" t="e">
        <f t="shared" ref="A396" si="358">+A395</f>
        <v>#REF!</v>
      </c>
      <c r="B396" s="21"/>
      <c r="C396" s="21"/>
      <c r="D396" s="57"/>
      <c r="E396" s="61">
        <f t="shared" si="351"/>
        <v>0</v>
      </c>
      <c r="F396" s="43"/>
      <c r="G396" s="56"/>
      <c r="H396" s="47">
        <f t="shared" si="299"/>
        <v>0</v>
      </c>
      <c r="I396" s="80"/>
      <c r="J396" s="77"/>
      <c r="K396" s="79"/>
      <c r="L396" s="19"/>
      <c r="M396" s="78">
        <f t="shared" si="352"/>
        <v>1</v>
      </c>
      <c r="N396" s="33" t="s">
        <v>36</v>
      </c>
      <c r="O396" s="19"/>
    </row>
    <row r="397" spans="1:15" s="4" customFormat="1" ht="18" customHeight="1">
      <c r="A397" s="9" t="e">
        <f t="shared" ref="A397" si="359">+A396</f>
        <v>#REF!</v>
      </c>
      <c r="B397" s="21"/>
      <c r="C397" s="21"/>
      <c r="D397" s="57"/>
      <c r="E397" s="61">
        <f t="shared" si="351"/>
        <v>0</v>
      </c>
      <c r="F397" s="43"/>
      <c r="G397" s="56"/>
      <c r="H397" s="47">
        <f t="shared" si="299"/>
        <v>0</v>
      </c>
      <c r="I397" s="80"/>
      <c r="J397" s="77"/>
      <c r="K397" s="79"/>
      <c r="L397" s="19"/>
      <c r="M397" s="78">
        <f t="shared" si="352"/>
        <v>1</v>
      </c>
      <c r="N397" s="33" t="s">
        <v>36</v>
      </c>
      <c r="O397" s="19"/>
    </row>
    <row r="398" spans="1:15" s="4" customFormat="1" ht="18" customHeight="1">
      <c r="A398" s="9" t="e">
        <f t="shared" ref="A398" si="360">+A397</f>
        <v>#REF!</v>
      </c>
      <c r="B398" s="21"/>
      <c r="C398" s="21"/>
      <c r="D398" s="57"/>
      <c r="E398" s="61">
        <f t="shared" si="351"/>
        <v>0</v>
      </c>
      <c r="F398" s="43"/>
      <c r="G398" s="56"/>
      <c r="H398" s="47">
        <f t="shared" si="299"/>
        <v>0</v>
      </c>
      <c r="I398" s="80"/>
      <c r="J398" s="77"/>
      <c r="K398" s="79"/>
      <c r="L398" s="19"/>
      <c r="M398" s="78">
        <f t="shared" si="352"/>
        <v>1</v>
      </c>
      <c r="N398" s="33" t="s">
        <v>36</v>
      </c>
      <c r="O398" s="19"/>
    </row>
    <row r="399" spans="1:15" s="4" customFormat="1" ht="18" customHeight="1">
      <c r="A399" s="9" t="e">
        <f t="shared" ref="A399" si="361">+A398</f>
        <v>#REF!</v>
      </c>
      <c r="B399" s="21"/>
      <c r="C399" s="21"/>
      <c r="D399" s="57"/>
      <c r="E399" s="61">
        <f t="shared" si="351"/>
        <v>0</v>
      </c>
      <c r="F399" s="43"/>
      <c r="G399" s="56"/>
      <c r="H399" s="47">
        <f t="shared" si="299"/>
        <v>0</v>
      </c>
      <c r="I399" s="80"/>
      <c r="J399" s="77"/>
      <c r="K399" s="79"/>
      <c r="L399" s="19"/>
      <c r="M399" s="78">
        <f t="shared" si="352"/>
        <v>1</v>
      </c>
      <c r="N399" s="33" t="s">
        <v>36</v>
      </c>
      <c r="O399" s="19"/>
    </row>
    <row r="400" spans="1:15" s="4" customFormat="1" ht="18" customHeight="1">
      <c r="A400" s="9" t="e">
        <f t="shared" ref="A400" si="362">+A399</f>
        <v>#REF!</v>
      </c>
      <c r="B400" s="21"/>
      <c r="C400" s="21"/>
      <c r="D400" s="57"/>
      <c r="E400" s="61">
        <f t="shared" si="351"/>
        <v>0</v>
      </c>
      <c r="F400" s="43"/>
      <c r="G400" s="56"/>
      <c r="H400" s="47">
        <f t="shared" si="299"/>
        <v>0</v>
      </c>
      <c r="I400" s="80"/>
      <c r="J400" s="77"/>
      <c r="K400" s="79"/>
      <c r="L400" s="19"/>
      <c r="M400" s="78">
        <f t="shared" si="352"/>
        <v>1</v>
      </c>
      <c r="N400" s="33" t="s">
        <v>36</v>
      </c>
      <c r="O400" s="19"/>
    </row>
    <row r="401" spans="1:22" s="4" customFormat="1" ht="18" customHeight="1">
      <c r="A401" s="9" t="e">
        <f t="shared" ref="A401" si="363">+A400</f>
        <v>#REF!</v>
      </c>
      <c r="B401" s="21"/>
      <c r="C401" s="21"/>
      <c r="D401" s="57"/>
      <c r="E401" s="61">
        <f t="shared" si="351"/>
        <v>0</v>
      </c>
      <c r="F401" s="43"/>
      <c r="G401" s="56"/>
      <c r="H401" s="47">
        <f t="shared" si="299"/>
        <v>0</v>
      </c>
      <c r="I401" s="80"/>
      <c r="J401" s="77"/>
      <c r="K401" s="79"/>
      <c r="L401" s="19"/>
      <c r="M401" s="78">
        <f t="shared" si="352"/>
        <v>1</v>
      </c>
      <c r="N401" s="33" t="s">
        <v>36</v>
      </c>
      <c r="O401" s="19"/>
    </row>
    <row r="402" spans="1:22" ht="18" customHeight="1">
      <c r="A402" s="7"/>
      <c r="B402" s="7"/>
      <c r="C402" s="7"/>
      <c r="D402" s="7"/>
      <c r="E402" s="15"/>
      <c r="F402" s="8"/>
      <c r="G402" s="7"/>
      <c r="H402" s="7"/>
      <c r="I402" s="7"/>
      <c r="J402" s="7"/>
      <c r="K402" s="15"/>
      <c r="L402" s="15"/>
      <c r="M402" s="51"/>
      <c r="N402" s="34"/>
      <c r="O402" s="15"/>
    </row>
    <row r="403" spans="1:22" s="72" customFormat="1">
      <c r="A403" s="1"/>
      <c r="B403" s="1"/>
      <c r="C403" s="1"/>
      <c r="D403" s="1"/>
      <c r="E403" s="5"/>
      <c r="F403" s="6"/>
      <c r="G403" s="1"/>
      <c r="H403" s="1"/>
      <c r="I403" s="1"/>
      <c r="J403" s="5"/>
      <c r="K403" s="5"/>
      <c r="L403" s="5"/>
      <c r="M403" s="52"/>
      <c r="N403" s="35"/>
      <c r="O403" s="5"/>
      <c r="P403" s="1"/>
      <c r="Q403" s="1"/>
      <c r="R403" s="1"/>
      <c r="S403" s="1"/>
      <c r="T403" s="1"/>
      <c r="U403" s="1"/>
      <c r="V403" s="1"/>
    </row>
    <row r="405" spans="1:22" s="72" customFormat="1">
      <c r="A405" s="1"/>
      <c r="B405" s="1"/>
      <c r="C405" s="1"/>
      <c r="D405" s="1"/>
      <c r="E405" s="5"/>
      <c r="F405" s="6"/>
      <c r="G405" s="30"/>
      <c r="H405" s="30"/>
      <c r="I405" s="1"/>
      <c r="J405" s="5"/>
      <c r="K405" s="5"/>
      <c r="L405" s="5"/>
      <c r="M405" s="52"/>
      <c r="N405" s="35"/>
      <c r="O405" s="5"/>
      <c r="P405" s="1"/>
      <c r="Q405" s="1"/>
      <c r="R405" s="1"/>
      <c r="S405" s="1"/>
      <c r="T405" s="1"/>
      <c r="U405" s="1"/>
      <c r="V405" s="1"/>
    </row>
    <row r="407" spans="1:22" s="72" customFormat="1">
      <c r="A407" s="1"/>
      <c r="B407" s="1"/>
      <c r="C407" s="1"/>
      <c r="D407" s="1"/>
      <c r="E407" s="29"/>
      <c r="F407" s="6"/>
      <c r="G407" s="1"/>
      <c r="H407" s="1"/>
      <c r="I407" s="1"/>
      <c r="J407" s="5"/>
      <c r="K407" s="5"/>
      <c r="L407" s="5"/>
      <c r="M407" s="52"/>
      <c r="N407" s="35"/>
      <c r="O407" s="5"/>
      <c r="P407" s="1"/>
      <c r="Q407" s="1"/>
      <c r="R407" s="1"/>
      <c r="S407" s="1"/>
      <c r="T407" s="1"/>
      <c r="U407" s="1"/>
      <c r="V407" s="1"/>
    </row>
  </sheetData>
  <autoFilter ref="A1:T402">
    <sortState ref="A10:BE1529">
      <sortCondition sortBy="cellColor" ref="M1:M1576" dxfId="3"/>
    </sortState>
  </autoFilter>
  <printOptions horizontalCentered="1" verticalCentered="1"/>
  <pageMargins left="0.2" right="0.2" top="0.39000000000000007" bottom="0.39000000000000007" header="0.51" footer="0.12000000000000001"/>
  <pageSetup paperSize="9" scale="25" fitToHeight="2" orientation="portrait" r:id="rId1"/>
  <headerFooter>
    <oddHeader>&amp;A</oddHeader>
    <oddFooter>&amp;L&amp;"Lucida Grande,Normal"&amp;10BP - Musicals&amp;C&amp;"Lucida Grande,Normal"Confidentiel&amp;R&amp;"Lucida Grande,Normal"&amp;10&amp;D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5"/>
  <sheetViews>
    <sheetView zoomScale="60" zoomScaleNormal="60" zoomScaleSheetLayoutView="75" workbookViewId="0">
      <pane ySplit="1" topLeftCell="A29" activePane="bottomLeft" state="frozen"/>
      <selection pane="bottomLeft" activeCell="D52" sqref="D52"/>
    </sheetView>
  </sheetViews>
  <sheetFormatPr baseColWidth="10" defaultColWidth="11.5546875" defaultRowHeight="18"/>
  <cols>
    <col min="1" max="1" width="31.21875" style="1" customWidth="1"/>
    <col min="2" max="2" width="14.33203125" style="1" customWidth="1"/>
    <col min="3" max="3" width="8" style="1" customWidth="1"/>
    <col min="4" max="4" width="61.44140625" style="1" customWidth="1"/>
    <col min="5" max="5" width="26.6640625" style="5" customWidth="1"/>
    <col min="6" max="6" width="18.33203125" style="6" customWidth="1"/>
    <col min="7" max="8" width="20.21875" style="6" customWidth="1"/>
    <col min="9" max="9" width="18.109375" style="1" bestFit="1" customWidth="1"/>
    <col min="10" max="10" width="18.44140625" style="1" customWidth="1"/>
    <col min="11" max="11" width="21.21875" style="1" customWidth="1"/>
    <col min="12" max="12" width="17.88671875" style="5" customWidth="1"/>
    <col min="13" max="13" width="25.33203125" style="5" bestFit="1" customWidth="1"/>
    <col min="14" max="14" width="18.21875" style="5" customWidth="1"/>
    <col min="15" max="15" width="13.109375" style="28" bestFit="1" customWidth="1"/>
    <col min="16" max="16384" width="11.5546875" style="1"/>
  </cols>
  <sheetData>
    <row r="1" spans="1:15" s="3" customFormat="1" ht="21.75" thickTop="1">
      <c r="A1" s="11" t="s">
        <v>1</v>
      </c>
      <c r="B1" s="11" t="s">
        <v>8</v>
      </c>
      <c r="C1" s="11" t="s">
        <v>11</v>
      </c>
      <c r="D1" s="11" t="s">
        <v>2</v>
      </c>
      <c r="E1" s="12" t="s">
        <v>0</v>
      </c>
      <c r="F1" s="36" t="s">
        <v>25</v>
      </c>
      <c r="G1" s="44" t="s">
        <v>34</v>
      </c>
      <c r="H1" s="50" t="s">
        <v>443</v>
      </c>
      <c r="I1" s="50" t="s">
        <v>15</v>
      </c>
      <c r="J1" s="50" t="s">
        <v>16</v>
      </c>
      <c r="K1" s="12" t="s">
        <v>5</v>
      </c>
      <c r="L1" s="76" t="s">
        <v>6</v>
      </c>
      <c r="M1" s="12" t="s">
        <v>366</v>
      </c>
      <c r="N1" s="12" t="s">
        <v>37</v>
      </c>
      <c r="O1" s="23" t="s">
        <v>367</v>
      </c>
    </row>
    <row r="2" spans="1:15" s="17" customFormat="1" ht="18" customHeight="1">
      <c r="A2" s="10" t="s">
        <v>360</v>
      </c>
      <c r="B2" s="10" t="s">
        <v>505</v>
      </c>
      <c r="C2" s="10"/>
      <c r="D2" s="10"/>
      <c r="E2" s="14"/>
      <c r="F2" s="93"/>
      <c r="G2" s="45"/>
      <c r="H2" s="45"/>
      <c r="I2" s="46"/>
      <c r="J2" s="46"/>
      <c r="K2" s="14"/>
      <c r="L2" s="14"/>
      <c r="M2" s="14"/>
      <c r="N2" s="14"/>
      <c r="O2" s="24"/>
    </row>
    <row r="3" spans="1:15" s="4" customFormat="1" ht="18" customHeight="1">
      <c r="A3" s="9" t="str">
        <f t="shared" ref="A3:B34" si="0">+A2</f>
        <v>1 -Recette CABINET</v>
      </c>
      <c r="B3" s="21" t="str">
        <f t="shared" si="0"/>
        <v>A-SOINS</v>
      </c>
      <c r="C3" s="21"/>
      <c r="D3" s="57" t="s">
        <v>506</v>
      </c>
      <c r="E3" s="61" t="s">
        <v>361</v>
      </c>
      <c r="F3" s="43"/>
      <c r="G3" s="60">
        <f>+$F$2/(52*3)</f>
        <v>0</v>
      </c>
      <c r="H3" s="97" t="s">
        <v>442</v>
      </c>
      <c r="I3" s="56">
        <f>2545.56+307.39+173</f>
        <v>3025.95</v>
      </c>
      <c r="J3" s="47">
        <f t="shared" ref="J3:J114" si="1">+I3</f>
        <v>3025.95</v>
      </c>
      <c r="K3" s="39" t="s">
        <v>363</v>
      </c>
      <c r="L3" s="19"/>
      <c r="M3" s="98" t="str">
        <f>+RIGHT(D3,2)</f>
        <v xml:space="preserve"> 1</v>
      </c>
      <c r="N3" s="19" t="str">
        <f>+IF(H3="CB/Chèques","Crédit Agricole","Société Générale")</f>
        <v>Crédit Agricole</v>
      </c>
      <c r="O3" s="33" t="s">
        <v>36</v>
      </c>
    </row>
    <row r="4" spans="1:15" s="4" customFormat="1" ht="18" customHeight="1">
      <c r="A4" s="9" t="str">
        <f t="shared" si="0"/>
        <v>1 -Recette CABINET</v>
      </c>
      <c r="B4" s="21" t="str">
        <f t="shared" si="0"/>
        <v>A-SOINS</v>
      </c>
      <c r="C4" s="21"/>
      <c r="D4" s="57" t="s">
        <v>506</v>
      </c>
      <c r="E4" s="61" t="s">
        <v>361</v>
      </c>
      <c r="F4" s="43"/>
      <c r="G4" s="60">
        <f t="shared" ref="G4:G67" si="2">+$F$2/(52*3)</f>
        <v>0</v>
      </c>
      <c r="H4" s="97" t="s">
        <v>364</v>
      </c>
      <c r="I4" s="56">
        <v>0</v>
      </c>
      <c r="J4" s="47">
        <f t="shared" si="1"/>
        <v>0</v>
      </c>
      <c r="K4" s="39" t="s">
        <v>363</v>
      </c>
      <c r="L4" s="19"/>
      <c r="M4" s="98" t="str">
        <f t="shared" ref="M4:M5" si="3">+RIGHT(D4,2)</f>
        <v xml:space="preserve"> 1</v>
      </c>
      <c r="N4" s="19" t="str">
        <f t="shared" ref="N4:N67" si="4">+IF(H4="CB/Chèques","Crédit Agricole","Société Générale")</f>
        <v>Société Générale</v>
      </c>
      <c r="O4" s="33" t="s">
        <v>36</v>
      </c>
    </row>
    <row r="5" spans="1:15" s="4" customFormat="1" ht="18" customHeight="1">
      <c r="A5" s="9" t="str">
        <f t="shared" si="0"/>
        <v>1 -Recette CABINET</v>
      </c>
      <c r="B5" s="21" t="str">
        <f t="shared" si="0"/>
        <v>A-SOINS</v>
      </c>
      <c r="C5" s="21"/>
      <c r="D5" s="57" t="s">
        <v>506</v>
      </c>
      <c r="E5" s="61" t="s">
        <v>361</v>
      </c>
      <c r="F5" s="43"/>
      <c r="G5" s="60">
        <f t="shared" si="2"/>
        <v>0</v>
      </c>
      <c r="H5" s="97" t="s">
        <v>365</v>
      </c>
      <c r="I5" s="56">
        <v>0</v>
      </c>
      <c r="J5" s="47">
        <f t="shared" si="1"/>
        <v>0</v>
      </c>
      <c r="K5" s="39" t="s">
        <v>363</v>
      </c>
      <c r="L5" s="19"/>
      <c r="M5" s="98" t="str">
        <f t="shared" si="3"/>
        <v xml:space="preserve"> 1</v>
      </c>
      <c r="N5" s="19" t="str">
        <f t="shared" si="4"/>
        <v>Société Générale</v>
      </c>
      <c r="O5" s="33" t="s">
        <v>36</v>
      </c>
    </row>
    <row r="6" spans="1:15" s="4" customFormat="1" ht="18" customHeight="1">
      <c r="A6" s="9" t="str">
        <f t="shared" si="0"/>
        <v>1 -Recette CABINET</v>
      </c>
      <c r="B6" s="21" t="str">
        <f t="shared" si="0"/>
        <v>A-SOINS</v>
      </c>
      <c r="C6" s="21"/>
      <c r="D6" s="57" t="s">
        <v>507</v>
      </c>
      <c r="E6" s="61" t="s">
        <v>361</v>
      </c>
      <c r="F6" s="43"/>
      <c r="G6" s="60">
        <f t="shared" si="2"/>
        <v>0</v>
      </c>
      <c r="H6" s="97" t="s">
        <v>442</v>
      </c>
      <c r="I6" s="56">
        <f>1977.56+1879.82+87.66</f>
        <v>3945.04</v>
      </c>
      <c r="J6" s="47">
        <f t="shared" si="1"/>
        <v>3945.04</v>
      </c>
      <c r="K6" s="39" t="s">
        <v>363</v>
      </c>
      <c r="L6" s="19"/>
      <c r="M6" s="98" t="str">
        <f t="shared" ref="M6:M66" si="5">+RIGHT(D6,2)</f>
        <v xml:space="preserve"> 2</v>
      </c>
      <c r="N6" s="19" t="str">
        <f t="shared" si="4"/>
        <v>Crédit Agricole</v>
      </c>
      <c r="O6" s="33" t="s">
        <v>36</v>
      </c>
    </row>
    <row r="7" spans="1:15" s="4" customFormat="1" ht="18" customHeight="1">
      <c r="A7" s="9" t="str">
        <f t="shared" si="0"/>
        <v>1 -Recette CABINET</v>
      </c>
      <c r="B7" s="21" t="str">
        <f t="shared" si="0"/>
        <v>A-SOINS</v>
      </c>
      <c r="C7" s="21"/>
      <c r="D7" s="57" t="s">
        <v>507</v>
      </c>
      <c r="E7" s="61" t="s">
        <v>361</v>
      </c>
      <c r="F7" s="43"/>
      <c r="G7" s="60">
        <f t="shared" si="2"/>
        <v>0</v>
      </c>
      <c r="H7" s="97" t="s">
        <v>364</v>
      </c>
      <c r="I7" s="56">
        <v>0</v>
      </c>
      <c r="J7" s="47">
        <f t="shared" si="1"/>
        <v>0</v>
      </c>
      <c r="K7" s="39" t="s">
        <v>363</v>
      </c>
      <c r="L7" s="19"/>
      <c r="M7" s="98" t="str">
        <f t="shared" si="5"/>
        <v xml:space="preserve"> 2</v>
      </c>
      <c r="N7" s="19" t="str">
        <f t="shared" si="4"/>
        <v>Société Générale</v>
      </c>
      <c r="O7" s="33" t="s">
        <v>36</v>
      </c>
    </row>
    <row r="8" spans="1:15" s="4" customFormat="1" ht="18" customHeight="1">
      <c r="A8" s="9" t="str">
        <f t="shared" si="0"/>
        <v>1 -Recette CABINET</v>
      </c>
      <c r="B8" s="21" t="str">
        <f t="shared" si="0"/>
        <v>A-SOINS</v>
      </c>
      <c r="C8" s="21"/>
      <c r="D8" s="57" t="s">
        <v>507</v>
      </c>
      <c r="E8" s="61" t="s">
        <v>361</v>
      </c>
      <c r="F8" s="43"/>
      <c r="G8" s="60">
        <f t="shared" si="2"/>
        <v>0</v>
      </c>
      <c r="H8" s="97" t="s">
        <v>365</v>
      </c>
      <c r="I8" s="56">
        <v>79.569999999999993</v>
      </c>
      <c r="J8" s="47">
        <f t="shared" si="1"/>
        <v>79.569999999999993</v>
      </c>
      <c r="K8" s="39" t="s">
        <v>363</v>
      </c>
      <c r="L8" s="19"/>
      <c r="M8" s="98" t="str">
        <f>+M12</f>
        <v xml:space="preserve"> 4</v>
      </c>
      <c r="N8" s="19" t="str">
        <f t="shared" si="4"/>
        <v>Société Générale</v>
      </c>
      <c r="O8" s="33" t="s">
        <v>36</v>
      </c>
    </row>
    <row r="9" spans="1:15" s="4" customFormat="1" ht="18" customHeight="1">
      <c r="A9" s="9" t="str">
        <f t="shared" si="0"/>
        <v>1 -Recette CABINET</v>
      </c>
      <c r="B9" s="21" t="str">
        <f t="shared" si="0"/>
        <v>A-SOINS</v>
      </c>
      <c r="C9" s="21"/>
      <c r="D9" s="57" t="s">
        <v>508</v>
      </c>
      <c r="E9" s="61" t="s">
        <v>361</v>
      </c>
      <c r="F9" s="43"/>
      <c r="G9" s="60">
        <f t="shared" si="2"/>
        <v>0</v>
      </c>
      <c r="H9" s="97" t="s">
        <v>442</v>
      </c>
      <c r="I9" s="56">
        <f>2449.95+765.32</f>
        <v>3215.27</v>
      </c>
      <c r="J9" s="47">
        <f t="shared" si="1"/>
        <v>3215.27</v>
      </c>
      <c r="K9" s="39" t="s">
        <v>363</v>
      </c>
      <c r="L9" s="19"/>
      <c r="M9" s="98" t="str">
        <f>+RIGHT(D9,2)</f>
        <v xml:space="preserve"> 3</v>
      </c>
      <c r="N9" s="19" t="str">
        <f t="shared" si="4"/>
        <v>Crédit Agricole</v>
      </c>
      <c r="O9" s="33" t="s">
        <v>36</v>
      </c>
    </row>
    <row r="10" spans="1:15" s="4" customFormat="1" ht="18" customHeight="1">
      <c r="A10" s="9" t="str">
        <f t="shared" si="0"/>
        <v>1 -Recette CABINET</v>
      </c>
      <c r="B10" s="21" t="str">
        <f t="shared" si="0"/>
        <v>A-SOINS</v>
      </c>
      <c r="C10" s="21"/>
      <c r="D10" s="57" t="s">
        <v>508</v>
      </c>
      <c r="E10" s="61" t="s">
        <v>361</v>
      </c>
      <c r="F10" s="43"/>
      <c r="G10" s="60">
        <f t="shared" si="2"/>
        <v>0</v>
      </c>
      <c r="H10" s="97" t="s">
        <v>364</v>
      </c>
      <c r="I10" s="56">
        <v>0</v>
      </c>
      <c r="J10" s="47">
        <f t="shared" si="1"/>
        <v>0</v>
      </c>
      <c r="K10" s="39" t="s">
        <v>363</v>
      </c>
      <c r="L10" s="19"/>
      <c r="M10" s="98" t="str">
        <f t="shared" ref="M10:M11" si="6">+RIGHT(D10,2)</f>
        <v xml:space="preserve"> 3</v>
      </c>
      <c r="N10" s="19" t="str">
        <f t="shared" si="4"/>
        <v>Société Générale</v>
      </c>
      <c r="O10" s="33" t="s">
        <v>36</v>
      </c>
    </row>
    <row r="11" spans="1:15" s="4" customFormat="1" ht="18" customHeight="1">
      <c r="A11" s="9" t="str">
        <f t="shared" si="0"/>
        <v>1 -Recette CABINET</v>
      </c>
      <c r="B11" s="21" t="str">
        <f t="shared" si="0"/>
        <v>A-SOINS</v>
      </c>
      <c r="C11" s="21"/>
      <c r="D11" s="57" t="s">
        <v>508</v>
      </c>
      <c r="E11" s="61" t="s">
        <v>361</v>
      </c>
      <c r="F11" s="43"/>
      <c r="G11" s="60">
        <f t="shared" si="2"/>
        <v>0</v>
      </c>
      <c r="H11" s="97" t="s">
        <v>365</v>
      </c>
      <c r="I11" s="56">
        <v>0</v>
      </c>
      <c r="J11" s="47">
        <f t="shared" si="1"/>
        <v>0</v>
      </c>
      <c r="K11" s="39" t="s">
        <v>363</v>
      </c>
      <c r="L11" s="19"/>
      <c r="M11" s="98" t="str">
        <f t="shared" si="6"/>
        <v xml:space="preserve"> 3</v>
      </c>
      <c r="N11" s="19" t="str">
        <f t="shared" si="4"/>
        <v>Société Générale</v>
      </c>
      <c r="O11" s="33" t="s">
        <v>36</v>
      </c>
    </row>
    <row r="12" spans="1:15" s="4" customFormat="1" ht="18" customHeight="1">
      <c r="A12" s="9" t="str">
        <f t="shared" si="0"/>
        <v>1 -Recette CABINET</v>
      </c>
      <c r="B12" s="21" t="str">
        <f t="shared" si="0"/>
        <v>A-SOINS</v>
      </c>
      <c r="C12" s="21"/>
      <c r="D12" s="57" t="s">
        <v>509</v>
      </c>
      <c r="E12" s="61" t="s">
        <v>361</v>
      </c>
      <c r="F12" s="43"/>
      <c r="G12" s="60">
        <f t="shared" si="2"/>
        <v>0</v>
      </c>
      <c r="H12" s="97" t="s">
        <v>442</v>
      </c>
      <c r="I12" s="56">
        <f>2085.57+853.17+615.19</f>
        <v>3553.9300000000003</v>
      </c>
      <c r="J12" s="47">
        <f t="shared" si="1"/>
        <v>3553.9300000000003</v>
      </c>
      <c r="K12" s="39" t="s">
        <v>363</v>
      </c>
      <c r="L12" s="19"/>
      <c r="M12" s="98" t="str">
        <f t="shared" si="5"/>
        <v xml:space="preserve"> 4</v>
      </c>
      <c r="N12" s="19" t="str">
        <f t="shared" si="4"/>
        <v>Crédit Agricole</v>
      </c>
      <c r="O12" s="33" t="s">
        <v>36</v>
      </c>
    </row>
    <row r="13" spans="1:15" s="4" customFormat="1" ht="18" customHeight="1">
      <c r="A13" s="9" t="str">
        <f t="shared" si="0"/>
        <v>1 -Recette CABINET</v>
      </c>
      <c r="B13" s="21" t="str">
        <f t="shared" si="0"/>
        <v>A-SOINS</v>
      </c>
      <c r="C13" s="21"/>
      <c r="D13" s="57" t="s">
        <v>509</v>
      </c>
      <c r="E13" s="61" t="s">
        <v>361</v>
      </c>
      <c r="F13" s="43"/>
      <c r="G13" s="60">
        <f t="shared" si="2"/>
        <v>0</v>
      </c>
      <c r="H13" s="97" t="s">
        <v>364</v>
      </c>
      <c r="I13" s="56">
        <v>0</v>
      </c>
      <c r="J13" s="47">
        <f t="shared" si="1"/>
        <v>0</v>
      </c>
      <c r="K13" s="39" t="s">
        <v>363</v>
      </c>
      <c r="L13" s="19"/>
      <c r="M13" s="98" t="str">
        <f t="shared" si="5"/>
        <v xml:space="preserve"> 4</v>
      </c>
      <c r="N13" s="19" t="str">
        <f t="shared" si="4"/>
        <v>Société Générale</v>
      </c>
      <c r="O13" s="33" t="s">
        <v>36</v>
      </c>
    </row>
    <row r="14" spans="1:15" s="4" customFormat="1" ht="18" customHeight="1">
      <c r="A14" s="9" t="str">
        <f t="shared" si="0"/>
        <v>1 -Recette CABINET</v>
      </c>
      <c r="B14" s="21" t="str">
        <f t="shared" si="0"/>
        <v>A-SOINS</v>
      </c>
      <c r="C14" s="21"/>
      <c r="D14" s="57" t="s">
        <v>509</v>
      </c>
      <c r="E14" s="61" t="s">
        <v>361</v>
      </c>
      <c r="F14" s="43"/>
      <c r="G14" s="60">
        <f t="shared" si="2"/>
        <v>0</v>
      </c>
      <c r="H14" s="97" t="s">
        <v>365</v>
      </c>
      <c r="I14" s="56">
        <v>0</v>
      </c>
      <c r="J14" s="47">
        <f t="shared" si="1"/>
        <v>0</v>
      </c>
      <c r="K14" s="39" t="s">
        <v>363</v>
      </c>
      <c r="L14" s="19"/>
      <c r="M14" s="98" t="str">
        <f t="shared" si="5"/>
        <v xml:space="preserve"> 4</v>
      </c>
      <c r="N14" s="19" t="str">
        <f t="shared" si="4"/>
        <v>Société Générale</v>
      </c>
      <c r="O14" s="33" t="s">
        <v>36</v>
      </c>
    </row>
    <row r="15" spans="1:15" s="4" customFormat="1" ht="18" customHeight="1">
      <c r="A15" s="9" t="str">
        <f t="shared" si="0"/>
        <v>1 -Recette CABINET</v>
      </c>
      <c r="B15" s="21" t="str">
        <f t="shared" si="0"/>
        <v>A-SOINS</v>
      </c>
      <c r="C15" s="21"/>
      <c r="D15" s="57" t="s">
        <v>510</v>
      </c>
      <c r="E15" s="61" t="s">
        <v>361</v>
      </c>
      <c r="F15" s="43"/>
      <c r="G15" s="60">
        <f t="shared" si="2"/>
        <v>0</v>
      </c>
      <c r="H15" s="97" t="s">
        <v>442</v>
      </c>
      <c r="I15" s="56">
        <f>2808.35+2324.4</f>
        <v>5132.75</v>
      </c>
      <c r="J15" s="47">
        <f t="shared" si="1"/>
        <v>5132.75</v>
      </c>
      <c r="K15" s="39" t="s">
        <v>363</v>
      </c>
      <c r="L15" s="19"/>
      <c r="M15" s="98" t="str">
        <f t="shared" si="5"/>
        <v xml:space="preserve"> 5</v>
      </c>
      <c r="N15" s="19" t="str">
        <f t="shared" si="4"/>
        <v>Crédit Agricole</v>
      </c>
      <c r="O15" s="33" t="s">
        <v>36</v>
      </c>
    </row>
    <row r="16" spans="1:15" s="4" customFormat="1" ht="18" customHeight="1">
      <c r="A16" s="9" t="str">
        <f t="shared" si="0"/>
        <v>1 -Recette CABINET</v>
      </c>
      <c r="B16" s="21" t="str">
        <f t="shared" si="0"/>
        <v>A-SOINS</v>
      </c>
      <c r="C16" s="21"/>
      <c r="D16" s="57" t="s">
        <v>510</v>
      </c>
      <c r="E16" s="61" t="s">
        <v>361</v>
      </c>
      <c r="F16" s="43"/>
      <c r="G16" s="60">
        <f t="shared" si="2"/>
        <v>0</v>
      </c>
      <c r="H16" s="97" t="s">
        <v>364</v>
      </c>
      <c r="I16" s="56">
        <v>0</v>
      </c>
      <c r="J16" s="47">
        <f t="shared" si="1"/>
        <v>0</v>
      </c>
      <c r="K16" s="39" t="s">
        <v>363</v>
      </c>
      <c r="L16" s="19"/>
      <c r="M16" s="98" t="str">
        <f t="shared" si="5"/>
        <v xml:space="preserve"> 5</v>
      </c>
      <c r="N16" s="19" t="str">
        <f t="shared" si="4"/>
        <v>Société Générale</v>
      </c>
      <c r="O16" s="33" t="s">
        <v>36</v>
      </c>
    </row>
    <row r="17" spans="1:15" s="4" customFormat="1" ht="18" customHeight="1">
      <c r="A17" s="9" t="str">
        <f t="shared" si="0"/>
        <v>1 -Recette CABINET</v>
      </c>
      <c r="B17" s="21" t="str">
        <f t="shared" si="0"/>
        <v>A-SOINS</v>
      </c>
      <c r="C17" s="21"/>
      <c r="D17" s="57" t="s">
        <v>510</v>
      </c>
      <c r="E17" s="61" t="s">
        <v>361</v>
      </c>
      <c r="F17" s="43"/>
      <c r="G17" s="60">
        <f t="shared" si="2"/>
        <v>0</v>
      </c>
      <c r="H17" s="97" t="s">
        <v>365</v>
      </c>
      <c r="I17" s="56">
        <v>28.68</v>
      </c>
      <c r="J17" s="47">
        <f t="shared" si="1"/>
        <v>28.68</v>
      </c>
      <c r="K17" s="39" t="s">
        <v>363</v>
      </c>
      <c r="L17" s="19"/>
      <c r="M17" s="98" t="str">
        <f>+M21</f>
        <v xml:space="preserve"> 7</v>
      </c>
      <c r="N17" s="19" t="str">
        <f t="shared" si="4"/>
        <v>Société Générale</v>
      </c>
      <c r="O17" s="33" t="s">
        <v>36</v>
      </c>
    </row>
    <row r="18" spans="1:15" s="4" customFormat="1" ht="18" customHeight="1">
      <c r="A18" s="9" t="str">
        <f t="shared" si="0"/>
        <v>1 -Recette CABINET</v>
      </c>
      <c r="B18" s="21" t="str">
        <f t="shared" si="0"/>
        <v>A-SOINS</v>
      </c>
      <c r="C18" s="21"/>
      <c r="D18" s="57" t="s">
        <v>511</v>
      </c>
      <c r="E18" s="61" t="s">
        <v>361</v>
      </c>
      <c r="F18" s="43"/>
      <c r="G18" s="60">
        <f t="shared" si="2"/>
        <v>0</v>
      </c>
      <c r="H18" s="97" t="s">
        <v>442</v>
      </c>
      <c r="I18" s="56">
        <f>2450.4+1459.01</f>
        <v>3909.41</v>
      </c>
      <c r="J18" s="47">
        <f t="shared" si="1"/>
        <v>3909.41</v>
      </c>
      <c r="K18" s="39" t="s">
        <v>363</v>
      </c>
      <c r="L18" s="19"/>
      <c r="M18" s="98" t="str">
        <f t="shared" si="5"/>
        <v xml:space="preserve"> 6</v>
      </c>
      <c r="N18" s="19" t="str">
        <f t="shared" si="4"/>
        <v>Crédit Agricole</v>
      </c>
      <c r="O18" s="33" t="s">
        <v>36</v>
      </c>
    </row>
    <row r="19" spans="1:15" s="4" customFormat="1" ht="18" customHeight="1">
      <c r="A19" s="9" t="str">
        <f t="shared" si="0"/>
        <v>1 -Recette CABINET</v>
      </c>
      <c r="B19" s="21" t="str">
        <f t="shared" si="0"/>
        <v>A-SOINS</v>
      </c>
      <c r="C19" s="21"/>
      <c r="D19" s="57" t="s">
        <v>511</v>
      </c>
      <c r="E19" s="61" t="s">
        <v>361</v>
      </c>
      <c r="F19" s="43"/>
      <c r="G19" s="60">
        <f t="shared" si="2"/>
        <v>0</v>
      </c>
      <c r="H19" s="97" t="s">
        <v>364</v>
      </c>
      <c r="I19" s="56">
        <v>0</v>
      </c>
      <c r="J19" s="47">
        <f t="shared" si="1"/>
        <v>0</v>
      </c>
      <c r="K19" s="39" t="s">
        <v>363</v>
      </c>
      <c r="L19" s="19"/>
      <c r="M19" s="98" t="str">
        <f t="shared" si="5"/>
        <v xml:space="preserve"> 6</v>
      </c>
      <c r="N19" s="19" t="str">
        <f t="shared" si="4"/>
        <v>Société Générale</v>
      </c>
      <c r="O19" s="33" t="s">
        <v>36</v>
      </c>
    </row>
    <row r="20" spans="1:15" s="4" customFormat="1" ht="18" customHeight="1">
      <c r="A20" s="9" t="str">
        <f t="shared" si="0"/>
        <v>1 -Recette CABINET</v>
      </c>
      <c r="B20" s="21" t="str">
        <f t="shared" si="0"/>
        <v>A-SOINS</v>
      </c>
      <c r="C20" s="21"/>
      <c r="D20" s="57" t="s">
        <v>511</v>
      </c>
      <c r="E20" s="61" t="s">
        <v>361</v>
      </c>
      <c r="F20" s="43"/>
      <c r="G20" s="60">
        <f t="shared" si="2"/>
        <v>0</v>
      </c>
      <c r="H20" s="97" t="s">
        <v>365</v>
      </c>
      <c r="I20" s="56">
        <v>180.4</v>
      </c>
      <c r="J20" s="47">
        <f t="shared" si="1"/>
        <v>180.4</v>
      </c>
      <c r="K20" s="39" t="s">
        <v>363</v>
      </c>
      <c r="L20" s="19"/>
      <c r="M20" s="98" t="str">
        <f>+M24</f>
        <v xml:space="preserve"> 8</v>
      </c>
      <c r="N20" s="19" t="str">
        <f t="shared" si="4"/>
        <v>Société Générale</v>
      </c>
      <c r="O20" s="33" t="s">
        <v>36</v>
      </c>
    </row>
    <row r="21" spans="1:15" s="4" customFormat="1" ht="18" customHeight="1">
      <c r="A21" s="9" t="str">
        <f t="shared" si="0"/>
        <v>1 -Recette CABINET</v>
      </c>
      <c r="B21" s="21" t="str">
        <f t="shared" si="0"/>
        <v>A-SOINS</v>
      </c>
      <c r="C21" s="21"/>
      <c r="D21" s="57" t="s">
        <v>512</v>
      </c>
      <c r="E21" s="61" t="s">
        <v>361</v>
      </c>
      <c r="F21" s="43"/>
      <c r="G21" s="60">
        <f t="shared" si="2"/>
        <v>0</v>
      </c>
      <c r="H21" s="97" t="s">
        <v>442</v>
      </c>
      <c r="I21" s="56">
        <f>1990.38+634.78+418.54</f>
        <v>3043.7</v>
      </c>
      <c r="J21" s="47">
        <f t="shared" si="1"/>
        <v>3043.7</v>
      </c>
      <c r="K21" s="39" t="s">
        <v>363</v>
      </c>
      <c r="L21" s="19"/>
      <c r="M21" s="98" t="str">
        <f t="shared" si="5"/>
        <v xml:space="preserve"> 7</v>
      </c>
      <c r="N21" s="19" t="str">
        <f t="shared" si="4"/>
        <v>Crédit Agricole</v>
      </c>
      <c r="O21" s="33" t="s">
        <v>36</v>
      </c>
    </row>
    <row r="22" spans="1:15" s="4" customFormat="1" ht="18" customHeight="1">
      <c r="A22" s="9" t="str">
        <f t="shared" si="0"/>
        <v>1 -Recette CABINET</v>
      </c>
      <c r="B22" s="21" t="str">
        <f t="shared" si="0"/>
        <v>A-SOINS</v>
      </c>
      <c r="C22" s="21"/>
      <c r="D22" s="57" t="s">
        <v>512</v>
      </c>
      <c r="E22" s="61" t="s">
        <v>361</v>
      </c>
      <c r="F22" s="43"/>
      <c r="G22" s="60">
        <f t="shared" si="2"/>
        <v>0</v>
      </c>
      <c r="H22" s="97" t="s">
        <v>364</v>
      </c>
      <c r="I22" s="56">
        <v>0</v>
      </c>
      <c r="J22" s="47">
        <f t="shared" si="1"/>
        <v>0</v>
      </c>
      <c r="K22" s="39" t="s">
        <v>363</v>
      </c>
      <c r="L22" s="19"/>
      <c r="M22" s="98" t="str">
        <f t="shared" si="5"/>
        <v xml:space="preserve"> 7</v>
      </c>
      <c r="N22" s="19" t="str">
        <f t="shared" si="4"/>
        <v>Société Générale</v>
      </c>
      <c r="O22" s="33" t="s">
        <v>36</v>
      </c>
    </row>
    <row r="23" spans="1:15" s="4" customFormat="1" ht="18" customHeight="1">
      <c r="A23" s="9" t="str">
        <f t="shared" si="0"/>
        <v>1 -Recette CABINET</v>
      </c>
      <c r="B23" s="21" t="str">
        <f t="shared" si="0"/>
        <v>A-SOINS</v>
      </c>
      <c r="C23" s="21"/>
      <c r="D23" s="57" t="s">
        <v>512</v>
      </c>
      <c r="E23" s="61" t="s">
        <v>361</v>
      </c>
      <c r="F23" s="43"/>
      <c r="G23" s="60">
        <f t="shared" si="2"/>
        <v>0</v>
      </c>
      <c r="H23" s="97" t="s">
        <v>365</v>
      </c>
      <c r="I23" s="56">
        <v>477.35</v>
      </c>
      <c r="J23" s="47">
        <f t="shared" si="1"/>
        <v>477.35</v>
      </c>
      <c r="K23" s="39" t="s">
        <v>363</v>
      </c>
      <c r="L23" s="19"/>
      <c r="M23" s="98" t="str">
        <f>+M27</f>
        <v xml:space="preserve"> 9</v>
      </c>
      <c r="N23" s="19" t="str">
        <f t="shared" si="4"/>
        <v>Société Générale</v>
      </c>
      <c r="O23" s="33" t="s">
        <v>36</v>
      </c>
    </row>
    <row r="24" spans="1:15" s="4" customFormat="1" ht="18" customHeight="1">
      <c r="A24" s="9" t="str">
        <f t="shared" si="0"/>
        <v>1 -Recette CABINET</v>
      </c>
      <c r="B24" s="21" t="str">
        <f t="shared" si="0"/>
        <v>A-SOINS</v>
      </c>
      <c r="C24" s="21"/>
      <c r="D24" s="57" t="s">
        <v>513</v>
      </c>
      <c r="E24" s="61" t="s">
        <v>361</v>
      </c>
      <c r="F24" s="43"/>
      <c r="G24" s="60">
        <f t="shared" si="2"/>
        <v>0</v>
      </c>
      <c r="H24" s="97" t="s">
        <v>442</v>
      </c>
      <c r="I24" s="56">
        <f>2061.66+1108.94+100</f>
        <v>3270.6</v>
      </c>
      <c r="J24" s="47">
        <f t="shared" si="1"/>
        <v>3270.6</v>
      </c>
      <c r="K24" s="39" t="s">
        <v>363</v>
      </c>
      <c r="L24" s="19"/>
      <c r="M24" s="98" t="str">
        <f t="shared" si="5"/>
        <v xml:space="preserve"> 8</v>
      </c>
      <c r="N24" s="19" t="str">
        <f t="shared" si="4"/>
        <v>Crédit Agricole</v>
      </c>
      <c r="O24" s="33" t="s">
        <v>36</v>
      </c>
    </row>
    <row r="25" spans="1:15" s="4" customFormat="1" ht="18" customHeight="1">
      <c r="A25" s="9" t="str">
        <f t="shared" si="0"/>
        <v>1 -Recette CABINET</v>
      </c>
      <c r="B25" s="21" t="str">
        <f t="shared" si="0"/>
        <v>A-SOINS</v>
      </c>
      <c r="C25" s="21"/>
      <c r="D25" s="57" t="s">
        <v>513</v>
      </c>
      <c r="E25" s="61" t="s">
        <v>361</v>
      </c>
      <c r="F25" s="43"/>
      <c r="G25" s="60">
        <f t="shared" si="2"/>
        <v>0</v>
      </c>
      <c r="H25" s="97" t="s">
        <v>364</v>
      </c>
      <c r="I25" s="56">
        <v>204.85</v>
      </c>
      <c r="J25" s="47">
        <f t="shared" si="1"/>
        <v>204.85</v>
      </c>
      <c r="K25" s="39" t="s">
        <v>363</v>
      </c>
      <c r="L25" s="19"/>
      <c r="M25" s="98" t="str">
        <f t="shared" si="5"/>
        <v xml:space="preserve"> 8</v>
      </c>
      <c r="N25" s="19" t="str">
        <f t="shared" si="4"/>
        <v>Société Générale</v>
      </c>
      <c r="O25" s="33" t="s">
        <v>36</v>
      </c>
    </row>
    <row r="26" spans="1:15" s="4" customFormat="1" ht="18" customHeight="1">
      <c r="A26" s="9" t="str">
        <f t="shared" si="0"/>
        <v>1 -Recette CABINET</v>
      </c>
      <c r="B26" s="21" t="str">
        <f t="shared" si="0"/>
        <v>A-SOINS</v>
      </c>
      <c r="C26" s="21"/>
      <c r="D26" s="57" t="s">
        <v>513</v>
      </c>
      <c r="E26" s="61" t="s">
        <v>361</v>
      </c>
      <c r="F26" s="43"/>
      <c r="G26" s="60">
        <f t="shared" si="2"/>
        <v>0</v>
      </c>
      <c r="H26" s="97" t="s">
        <v>365</v>
      </c>
      <c r="I26" s="56">
        <v>0</v>
      </c>
      <c r="J26" s="47">
        <f t="shared" si="1"/>
        <v>0</v>
      </c>
      <c r="K26" s="39" t="s">
        <v>363</v>
      </c>
      <c r="L26" s="19"/>
      <c r="M26" s="98" t="str">
        <f>+M24</f>
        <v xml:space="preserve"> 8</v>
      </c>
      <c r="N26" s="19" t="str">
        <f t="shared" si="4"/>
        <v>Société Générale</v>
      </c>
      <c r="O26" s="33" t="s">
        <v>36</v>
      </c>
    </row>
    <row r="27" spans="1:15" s="4" customFormat="1" ht="18" customHeight="1">
      <c r="A27" s="9" t="str">
        <f t="shared" si="0"/>
        <v>1 -Recette CABINET</v>
      </c>
      <c r="B27" s="21" t="str">
        <f t="shared" si="0"/>
        <v>A-SOINS</v>
      </c>
      <c r="C27" s="21"/>
      <c r="D27" s="57" t="s">
        <v>514</v>
      </c>
      <c r="E27" s="61" t="s">
        <v>361</v>
      </c>
      <c r="F27" s="43"/>
      <c r="G27" s="60">
        <f t="shared" si="2"/>
        <v>0</v>
      </c>
      <c r="H27" s="97" t="s">
        <v>442</v>
      </c>
      <c r="I27" s="56">
        <f>3297.35+172.01+146.6</f>
        <v>3615.9599999999996</v>
      </c>
      <c r="J27" s="47">
        <f t="shared" si="1"/>
        <v>3615.9599999999996</v>
      </c>
      <c r="K27" s="39" t="s">
        <v>363</v>
      </c>
      <c r="L27" s="19"/>
      <c r="M27" s="98" t="str">
        <f t="shared" si="5"/>
        <v xml:space="preserve"> 9</v>
      </c>
      <c r="N27" s="19" t="str">
        <f t="shared" si="4"/>
        <v>Crédit Agricole</v>
      </c>
      <c r="O27" s="33" t="s">
        <v>36</v>
      </c>
    </row>
    <row r="28" spans="1:15" s="4" customFormat="1" ht="18" customHeight="1">
      <c r="A28" s="9" t="str">
        <f t="shared" si="0"/>
        <v>1 -Recette CABINET</v>
      </c>
      <c r="B28" s="21" t="str">
        <f t="shared" si="0"/>
        <v>A-SOINS</v>
      </c>
      <c r="C28" s="21"/>
      <c r="D28" s="57" t="s">
        <v>514</v>
      </c>
      <c r="E28" s="61" t="s">
        <v>361</v>
      </c>
      <c r="F28" s="43"/>
      <c r="G28" s="60">
        <f t="shared" si="2"/>
        <v>0</v>
      </c>
      <c r="H28" s="97" t="s">
        <v>364</v>
      </c>
      <c r="I28" s="56">
        <v>0</v>
      </c>
      <c r="J28" s="47">
        <f t="shared" si="1"/>
        <v>0</v>
      </c>
      <c r="K28" s="39" t="s">
        <v>363</v>
      </c>
      <c r="L28" s="19"/>
      <c r="M28" s="98" t="str">
        <f t="shared" si="5"/>
        <v xml:space="preserve"> 9</v>
      </c>
      <c r="N28" s="19" t="str">
        <f t="shared" si="4"/>
        <v>Société Générale</v>
      </c>
      <c r="O28" s="33" t="s">
        <v>36</v>
      </c>
    </row>
    <row r="29" spans="1:15" s="4" customFormat="1" ht="18" customHeight="1">
      <c r="A29" s="9" t="str">
        <f t="shared" si="0"/>
        <v>1 -Recette CABINET</v>
      </c>
      <c r="B29" s="21" t="str">
        <f t="shared" si="0"/>
        <v>A-SOINS</v>
      </c>
      <c r="C29" s="21"/>
      <c r="D29" s="57" t="s">
        <v>514</v>
      </c>
      <c r="E29" s="61" t="s">
        <v>361</v>
      </c>
      <c r="F29" s="43"/>
      <c r="G29" s="60">
        <f t="shared" si="2"/>
        <v>0</v>
      </c>
      <c r="H29" s="97" t="s">
        <v>365</v>
      </c>
      <c r="I29" s="56">
        <v>0</v>
      </c>
      <c r="J29" s="47">
        <f t="shared" si="1"/>
        <v>0</v>
      </c>
      <c r="K29" s="39" t="s">
        <v>363</v>
      </c>
      <c r="L29" s="19"/>
      <c r="M29" s="98" t="str">
        <f t="shared" si="5"/>
        <v xml:space="preserve"> 9</v>
      </c>
      <c r="N29" s="19" t="str">
        <f t="shared" si="4"/>
        <v>Société Générale</v>
      </c>
      <c r="O29" s="33" t="s">
        <v>36</v>
      </c>
    </row>
    <row r="30" spans="1:15" s="4" customFormat="1" ht="18" customHeight="1">
      <c r="A30" s="9" t="str">
        <f t="shared" si="0"/>
        <v>1 -Recette CABINET</v>
      </c>
      <c r="B30" s="21" t="str">
        <f t="shared" si="0"/>
        <v>A-SOINS</v>
      </c>
      <c r="C30" s="21"/>
      <c r="D30" s="57" t="s">
        <v>515</v>
      </c>
      <c r="E30" s="61" t="s">
        <v>361</v>
      </c>
      <c r="F30" s="43"/>
      <c r="G30" s="60">
        <f t="shared" si="2"/>
        <v>0</v>
      </c>
      <c r="H30" s="97" t="s">
        <v>442</v>
      </c>
      <c r="I30" s="56">
        <f>1866.18+364.72</f>
        <v>2230.9</v>
      </c>
      <c r="J30" s="47">
        <f t="shared" si="1"/>
        <v>2230.9</v>
      </c>
      <c r="K30" s="39" t="s">
        <v>363</v>
      </c>
      <c r="L30" s="19"/>
      <c r="M30" s="98" t="str">
        <f t="shared" si="5"/>
        <v>10</v>
      </c>
      <c r="N30" s="19" t="str">
        <f t="shared" si="4"/>
        <v>Crédit Agricole</v>
      </c>
      <c r="O30" s="33" t="s">
        <v>36</v>
      </c>
    </row>
    <row r="31" spans="1:15" s="4" customFormat="1" ht="18" customHeight="1">
      <c r="A31" s="9" t="str">
        <f t="shared" si="0"/>
        <v>1 -Recette CABINET</v>
      </c>
      <c r="B31" s="21" t="str">
        <f t="shared" si="0"/>
        <v>A-SOINS</v>
      </c>
      <c r="C31" s="21"/>
      <c r="D31" s="57" t="s">
        <v>515</v>
      </c>
      <c r="E31" s="61" t="s">
        <v>361</v>
      </c>
      <c r="F31" s="43"/>
      <c r="G31" s="60">
        <f t="shared" si="2"/>
        <v>0</v>
      </c>
      <c r="H31" s="97" t="s">
        <v>364</v>
      </c>
      <c r="I31" s="56">
        <v>0</v>
      </c>
      <c r="J31" s="47">
        <f t="shared" si="1"/>
        <v>0</v>
      </c>
      <c r="K31" s="39" t="s">
        <v>363</v>
      </c>
      <c r="L31" s="19"/>
      <c r="M31" s="98" t="str">
        <f t="shared" si="5"/>
        <v>10</v>
      </c>
      <c r="N31" s="19" t="str">
        <f t="shared" si="4"/>
        <v>Société Générale</v>
      </c>
      <c r="O31" s="33" t="s">
        <v>36</v>
      </c>
    </row>
    <row r="32" spans="1:15" s="4" customFormat="1" ht="18" customHeight="1">
      <c r="A32" s="9" t="str">
        <f t="shared" si="0"/>
        <v>1 -Recette CABINET</v>
      </c>
      <c r="B32" s="21" t="str">
        <f t="shared" si="0"/>
        <v>A-SOINS</v>
      </c>
      <c r="C32" s="21"/>
      <c r="D32" s="57" t="s">
        <v>515</v>
      </c>
      <c r="E32" s="61" t="s">
        <v>361</v>
      </c>
      <c r="F32" s="43"/>
      <c r="G32" s="60">
        <f t="shared" si="2"/>
        <v>0</v>
      </c>
      <c r="H32" s="97" t="s">
        <v>365</v>
      </c>
      <c r="I32" s="56">
        <v>0</v>
      </c>
      <c r="J32" s="47">
        <f t="shared" si="1"/>
        <v>0</v>
      </c>
      <c r="K32" s="39" t="s">
        <v>363</v>
      </c>
      <c r="L32" s="19"/>
      <c r="M32" s="98" t="str">
        <f t="shared" si="5"/>
        <v>10</v>
      </c>
      <c r="N32" s="19" t="str">
        <f t="shared" si="4"/>
        <v>Société Générale</v>
      </c>
      <c r="O32" s="33" t="s">
        <v>36</v>
      </c>
    </row>
    <row r="33" spans="1:15" s="4" customFormat="1" ht="18" customHeight="1">
      <c r="A33" s="9" t="str">
        <f t="shared" si="0"/>
        <v>1 -Recette CABINET</v>
      </c>
      <c r="B33" s="21" t="str">
        <f t="shared" si="0"/>
        <v>A-SOINS</v>
      </c>
      <c r="C33" s="21"/>
      <c r="D33" s="57" t="s">
        <v>516</v>
      </c>
      <c r="E33" s="61" t="s">
        <v>361</v>
      </c>
      <c r="F33" s="43"/>
      <c r="G33" s="60">
        <f t="shared" si="2"/>
        <v>0</v>
      </c>
      <c r="H33" s="97" t="s">
        <v>442</v>
      </c>
      <c r="I33" s="115">
        <f>1408.22+87.66</f>
        <v>1495.88</v>
      </c>
      <c r="J33" s="47">
        <f t="shared" si="1"/>
        <v>1495.88</v>
      </c>
      <c r="K33" s="1"/>
      <c r="L33" s="77" t="s">
        <v>362</v>
      </c>
      <c r="M33" s="98" t="str">
        <f t="shared" si="5"/>
        <v>11</v>
      </c>
      <c r="N33" s="19" t="str">
        <f t="shared" si="4"/>
        <v>Crédit Agricole</v>
      </c>
      <c r="O33" s="33" t="s">
        <v>36</v>
      </c>
    </row>
    <row r="34" spans="1:15" s="4" customFormat="1" ht="18" customHeight="1">
      <c r="A34" s="9" t="str">
        <f t="shared" si="0"/>
        <v>1 -Recette CABINET</v>
      </c>
      <c r="B34" s="21" t="str">
        <f t="shared" si="0"/>
        <v>A-SOINS</v>
      </c>
      <c r="C34" s="21"/>
      <c r="D34" s="57" t="s">
        <v>516</v>
      </c>
      <c r="E34" s="61" t="s">
        <v>361</v>
      </c>
      <c r="F34" s="43"/>
      <c r="G34" s="60">
        <f t="shared" si="2"/>
        <v>0</v>
      </c>
      <c r="H34" s="97" t="s">
        <v>364</v>
      </c>
      <c r="I34" s="115">
        <v>0</v>
      </c>
      <c r="J34" s="47">
        <f t="shared" si="1"/>
        <v>0</v>
      </c>
      <c r="K34" s="1"/>
      <c r="L34" s="77" t="s">
        <v>362</v>
      </c>
      <c r="M34" s="98" t="str">
        <f t="shared" si="5"/>
        <v>11</v>
      </c>
      <c r="N34" s="19" t="str">
        <f t="shared" si="4"/>
        <v>Société Générale</v>
      </c>
      <c r="O34" s="33" t="s">
        <v>36</v>
      </c>
    </row>
    <row r="35" spans="1:15" s="4" customFormat="1" ht="18" customHeight="1">
      <c r="A35" s="9" t="str">
        <f t="shared" ref="A35:B66" si="7">+A34</f>
        <v>1 -Recette CABINET</v>
      </c>
      <c r="B35" s="21" t="str">
        <f t="shared" si="7"/>
        <v>A-SOINS</v>
      </c>
      <c r="C35" s="21"/>
      <c r="D35" s="57" t="s">
        <v>516</v>
      </c>
      <c r="E35" s="61" t="s">
        <v>361</v>
      </c>
      <c r="F35" s="43"/>
      <c r="G35" s="60">
        <f t="shared" si="2"/>
        <v>0</v>
      </c>
      <c r="H35" s="97" t="s">
        <v>365</v>
      </c>
      <c r="I35" s="115">
        <v>0</v>
      </c>
      <c r="J35" s="47">
        <f t="shared" si="1"/>
        <v>0</v>
      </c>
      <c r="K35" s="1"/>
      <c r="L35" s="77" t="s">
        <v>362</v>
      </c>
      <c r="M35" s="98" t="str">
        <f t="shared" si="5"/>
        <v>11</v>
      </c>
      <c r="N35" s="19" t="str">
        <f t="shared" si="4"/>
        <v>Société Générale</v>
      </c>
      <c r="O35" s="33" t="s">
        <v>36</v>
      </c>
    </row>
    <row r="36" spans="1:15" s="4" customFormat="1" ht="18" customHeight="1">
      <c r="A36" s="9" t="str">
        <f t="shared" si="7"/>
        <v>1 -Recette CABINET</v>
      </c>
      <c r="B36" s="21" t="str">
        <f t="shared" si="7"/>
        <v>A-SOINS</v>
      </c>
      <c r="C36" s="21"/>
      <c r="D36" s="57" t="s">
        <v>517</v>
      </c>
      <c r="E36" s="61" t="s">
        <v>361</v>
      </c>
      <c r="F36" s="43"/>
      <c r="G36" s="60">
        <f t="shared" si="2"/>
        <v>0</v>
      </c>
      <c r="H36" s="97" t="s">
        <v>442</v>
      </c>
      <c r="I36" s="56">
        <f t="shared" ref="I36:I67" si="8">+IF(L36="A RECEVOIR",G36,"ERREUR")</f>
        <v>0</v>
      </c>
      <c r="J36" s="47">
        <f t="shared" si="1"/>
        <v>0</v>
      </c>
      <c r="K36" s="1"/>
      <c r="L36" s="77" t="s">
        <v>362</v>
      </c>
      <c r="M36" s="98" t="str">
        <f t="shared" si="5"/>
        <v>12</v>
      </c>
      <c r="N36" s="19" t="str">
        <f t="shared" si="4"/>
        <v>Crédit Agricole</v>
      </c>
      <c r="O36" s="33" t="s">
        <v>36</v>
      </c>
    </row>
    <row r="37" spans="1:15" s="4" customFormat="1" ht="18" customHeight="1">
      <c r="A37" s="9" t="str">
        <f t="shared" si="7"/>
        <v>1 -Recette CABINET</v>
      </c>
      <c r="B37" s="21" t="str">
        <f t="shared" si="7"/>
        <v>A-SOINS</v>
      </c>
      <c r="C37" s="21"/>
      <c r="D37" s="57" t="s">
        <v>517</v>
      </c>
      <c r="E37" s="61" t="s">
        <v>361</v>
      </c>
      <c r="F37" s="43"/>
      <c r="G37" s="60">
        <f t="shared" si="2"/>
        <v>0</v>
      </c>
      <c r="H37" s="97" t="s">
        <v>364</v>
      </c>
      <c r="I37" s="56">
        <f t="shared" si="8"/>
        <v>0</v>
      </c>
      <c r="J37" s="47">
        <f t="shared" si="1"/>
        <v>0</v>
      </c>
      <c r="K37" s="1"/>
      <c r="L37" s="77" t="s">
        <v>362</v>
      </c>
      <c r="M37" s="98"/>
      <c r="N37" s="19" t="str">
        <f t="shared" si="4"/>
        <v>Société Générale</v>
      </c>
      <c r="O37" s="33" t="s">
        <v>36</v>
      </c>
    </row>
    <row r="38" spans="1:15" s="4" customFormat="1" ht="18" customHeight="1">
      <c r="A38" s="9" t="str">
        <f t="shared" si="7"/>
        <v>1 -Recette CABINET</v>
      </c>
      <c r="B38" s="21" t="str">
        <f t="shared" si="7"/>
        <v>A-SOINS</v>
      </c>
      <c r="C38" s="21"/>
      <c r="D38" s="57" t="s">
        <v>517</v>
      </c>
      <c r="E38" s="61" t="s">
        <v>361</v>
      </c>
      <c r="F38" s="43"/>
      <c r="G38" s="60">
        <f t="shared" si="2"/>
        <v>0</v>
      </c>
      <c r="H38" s="97" t="s">
        <v>365</v>
      </c>
      <c r="I38" s="56">
        <f t="shared" si="8"/>
        <v>0</v>
      </c>
      <c r="J38" s="47">
        <f t="shared" si="1"/>
        <v>0</v>
      </c>
      <c r="K38" s="1"/>
      <c r="L38" s="77" t="s">
        <v>362</v>
      </c>
      <c r="M38" s="98"/>
      <c r="N38" s="19" t="str">
        <f t="shared" si="4"/>
        <v>Société Générale</v>
      </c>
      <c r="O38" s="33" t="s">
        <v>36</v>
      </c>
    </row>
    <row r="39" spans="1:15" s="4" customFormat="1" ht="18" customHeight="1">
      <c r="A39" s="9" t="str">
        <f t="shared" si="7"/>
        <v>1 -Recette CABINET</v>
      </c>
      <c r="B39" s="21" t="str">
        <f t="shared" si="7"/>
        <v>A-SOINS</v>
      </c>
      <c r="C39" s="21"/>
      <c r="D39" s="57" t="s">
        <v>518</v>
      </c>
      <c r="E39" s="61" t="s">
        <v>361</v>
      </c>
      <c r="F39" s="43"/>
      <c r="G39" s="60">
        <f t="shared" si="2"/>
        <v>0</v>
      </c>
      <c r="H39" s="97" t="s">
        <v>442</v>
      </c>
      <c r="I39" s="56">
        <f t="shared" si="8"/>
        <v>0</v>
      </c>
      <c r="J39" s="47">
        <f t="shared" si="1"/>
        <v>0</v>
      </c>
      <c r="K39" s="1"/>
      <c r="L39" s="77" t="s">
        <v>362</v>
      </c>
      <c r="M39" s="98" t="str">
        <f t="shared" si="5"/>
        <v>13</v>
      </c>
      <c r="N39" s="19" t="str">
        <f t="shared" si="4"/>
        <v>Crédit Agricole</v>
      </c>
      <c r="O39" s="33" t="s">
        <v>36</v>
      </c>
    </row>
    <row r="40" spans="1:15" s="4" customFormat="1" ht="18" customHeight="1">
      <c r="A40" s="9" t="str">
        <f t="shared" si="7"/>
        <v>1 -Recette CABINET</v>
      </c>
      <c r="B40" s="21" t="str">
        <f t="shared" si="7"/>
        <v>A-SOINS</v>
      </c>
      <c r="C40" s="21"/>
      <c r="D40" s="57" t="s">
        <v>518</v>
      </c>
      <c r="E40" s="61" t="s">
        <v>361</v>
      </c>
      <c r="F40" s="43"/>
      <c r="G40" s="60">
        <f t="shared" si="2"/>
        <v>0</v>
      </c>
      <c r="H40" s="97" t="s">
        <v>364</v>
      </c>
      <c r="I40" s="56">
        <f t="shared" si="8"/>
        <v>0</v>
      </c>
      <c r="J40" s="47">
        <f t="shared" si="1"/>
        <v>0</v>
      </c>
      <c r="K40" s="1"/>
      <c r="L40" s="77" t="s">
        <v>362</v>
      </c>
      <c r="M40" s="98"/>
      <c r="N40" s="19" t="str">
        <f t="shared" si="4"/>
        <v>Société Générale</v>
      </c>
      <c r="O40" s="33" t="s">
        <v>36</v>
      </c>
    </row>
    <row r="41" spans="1:15" s="4" customFormat="1" ht="18" customHeight="1">
      <c r="A41" s="9" t="str">
        <f t="shared" si="7"/>
        <v>1 -Recette CABINET</v>
      </c>
      <c r="B41" s="21" t="str">
        <f t="shared" si="7"/>
        <v>A-SOINS</v>
      </c>
      <c r="C41" s="21"/>
      <c r="D41" s="57" t="s">
        <v>518</v>
      </c>
      <c r="E41" s="61" t="s">
        <v>361</v>
      </c>
      <c r="F41" s="43"/>
      <c r="G41" s="60">
        <f t="shared" si="2"/>
        <v>0</v>
      </c>
      <c r="H41" s="97" t="s">
        <v>365</v>
      </c>
      <c r="I41" s="56">
        <f t="shared" si="8"/>
        <v>0</v>
      </c>
      <c r="J41" s="47">
        <f t="shared" si="1"/>
        <v>0</v>
      </c>
      <c r="K41" s="1"/>
      <c r="L41" s="77" t="s">
        <v>362</v>
      </c>
      <c r="M41" s="98"/>
      <c r="N41" s="19" t="str">
        <f t="shared" si="4"/>
        <v>Société Générale</v>
      </c>
      <c r="O41" s="33" t="s">
        <v>36</v>
      </c>
    </row>
    <row r="42" spans="1:15" s="4" customFormat="1" ht="18" customHeight="1">
      <c r="A42" s="9" t="str">
        <f t="shared" si="7"/>
        <v>1 -Recette CABINET</v>
      </c>
      <c r="B42" s="21" t="str">
        <f t="shared" si="7"/>
        <v>A-SOINS</v>
      </c>
      <c r="C42" s="21"/>
      <c r="D42" s="57" t="s">
        <v>519</v>
      </c>
      <c r="E42" s="61" t="s">
        <v>361</v>
      </c>
      <c r="F42" s="43"/>
      <c r="G42" s="60">
        <f t="shared" si="2"/>
        <v>0</v>
      </c>
      <c r="H42" s="97" t="s">
        <v>442</v>
      </c>
      <c r="I42" s="56">
        <f t="shared" si="8"/>
        <v>0</v>
      </c>
      <c r="J42" s="47">
        <f t="shared" si="1"/>
        <v>0</v>
      </c>
      <c r="K42" s="1"/>
      <c r="L42" s="77" t="s">
        <v>362</v>
      </c>
      <c r="M42" s="98" t="str">
        <f t="shared" si="5"/>
        <v>14</v>
      </c>
      <c r="N42" s="19" t="str">
        <f t="shared" si="4"/>
        <v>Crédit Agricole</v>
      </c>
      <c r="O42" s="33" t="s">
        <v>36</v>
      </c>
    </row>
    <row r="43" spans="1:15" s="4" customFormat="1" ht="18" customHeight="1">
      <c r="A43" s="9" t="str">
        <f t="shared" si="7"/>
        <v>1 -Recette CABINET</v>
      </c>
      <c r="B43" s="21" t="str">
        <f t="shared" si="7"/>
        <v>A-SOINS</v>
      </c>
      <c r="C43" s="21"/>
      <c r="D43" s="57" t="s">
        <v>519</v>
      </c>
      <c r="E43" s="61" t="s">
        <v>361</v>
      </c>
      <c r="F43" s="43"/>
      <c r="G43" s="60">
        <f t="shared" si="2"/>
        <v>0</v>
      </c>
      <c r="H43" s="97" t="s">
        <v>364</v>
      </c>
      <c r="I43" s="56">
        <f t="shared" si="8"/>
        <v>0</v>
      </c>
      <c r="J43" s="47">
        <f t="shared" si="1"/>
        <v>0</v>
      </c>
      <c r="K43" s="1"/>
      <c r="L43" s="77" t="s">
        <v>362</v>
      </c>
      <c r="M43" s="98"/>
      <c r="N43" s="19" t="str">
        <f t="shared" si="4"/>
        <v>Société Générale</v>
      </c>
      <c r="O43" s="33" t="s">
        <v>36</v>
      </c>
    </row>
    <row r="44" spans="1:15" s="4" customFormat="1" ht="18" customHeight="1">
      <c r="A44" s="9" t="str">
        <f t="shared" si="7"/>
        <v>1 -Recette CABINET</v>
      </c>
      <c r="B44" s="21" t="str">
        <f t="shared" si="7"/>
        <v>A-SOINS</v>
      </c>
      <c r="C44" s="21"/>
      <c r="D44" s="57" t="s">
        <v>519</v>
      </c>
      <c r="E44" s="61" t="s">
        <v>361</v>
      </c>
      <c r="F44" s="43"/>
      <c r="G44" s="60">
        <f t="shared" si="2"/>
        <v>0</v>
      </c>
      <c r="H44" s="97" t="s">
        <v>365</v>
      </c>
      <c r="I44" s="56">
        <f t="shared" si="8"/>
        <v>0</v>
      </c>
      <c r="J44" s="47">
        <f t="shared" si="1"/>
        <v>0</v>
      </c>
      <c r="K44" s="1"/>
      <c r="L44" s="77" t="s">
        <v>362</v>
      </c>
      <c r="M44" s="98"/>
      <c r="N44" s="19" t="str">
        <f t="shared" si="4"/>
        <v>Société Générale</v>
      </c>
      <c r="O44" s="33" t="s">
        <v>36</v>
      </c>
    </row>
    <row r="45" spans="1:15" s="4" customFormat="1" ht="18" customHeight="1">
      <c r="A45" s="9" t="str">
        <f t="shared" si="7"/>
        <v>1 -Recette CABINET</v>
      </c>
      <c r="B45" s="21" t="str">
        <f t="shared" si="7"/>
        <v>A-SOINS</v>
      </c>
      <c r="C45" s="21"/>
      <c r="D45" s="57" t="s">
        <v>520</v>
      </c>
      <c r="E45" s="61" t="s">
        <v>361</v>
      </c>
      <c r="F45" s="43"/>
      <c r="G45" s="60">
        <f t="shared" si="2"/>
        <v>0</v>
      </c>
      <c r="H45" s="97" t="s">
        <v>442</v>
      </c>
      <c r="I45" s="56">
        <f t="shared" si="8"/>
        <v>0</v>
      </c>
      <c r="J45" s="47">
        <f t="shared" si="1"/>
        <v>0</v>
      </c>
      <c r="K45" s="1"/>
      <c r="L45" s="77" t="s">
        <v>362</v>
      </c>
      <c r="M45" s="98" t="str">
        <f t="shared" si="5"/>
        <v>15</v>
      </c>
      <c r="N45" s="19" t="str">
        <f t="shared" si="4"/>
        <v>Crédit Agricole</v>
      </c>
      <c r="O45" s="33" t="s">
        <v>36</v>
      </c>
    </row>
    <row r="46" spans="1:15" s="4" customFormat="1" ht="18" customHeight="1">
      <c r="A46" s="9" t="str">
        <f t="shared" si="7"/>
        <v>1 -Recette CABINET</v>
      </c>
      <c r="B46" s="21" t="str">
        <f t="shared" si="7"/>
        <v>A-SOINS</v>
      </c>
      <c r="C46" s="21"/>
      <c r="D46" s="57" t="s">
        <v>520</v>
      </c>
      <c r="E46" s="61" t="s">
        <v>361</v>
      </c>
      <c r="F46" s="43"/>
      <c r="G46" s="60">
        <f t="shared" si="2"/>
        <v>0</v>
      </c>
      <c r="H46" s="97" t="s">
        <v>364</v>
      </c>
      <c r="I46" s="56">
        <f t="shared" si="8"/>
        <v>0</v>
      </c>
      <c r="J46" s="47">
        <f t="shared" si="1"/>
        <v>0</v>
      </c>
      <c r="K46" s="1"/>
      <c r="L46" s="77" t="s">
        <v>362</v>
      </c>
      <c r="M46" s="98"/>
      <c r="N46" s="19" t="str">
        <f t="shared" si="4"/>
        <v>Société Générale</v>
      </c>
      <c r="O46" s="33" t="s">
        <v>36</v>
      </c>
    </row>
    <row r="47" spans="1:15" s="4" customFormat="1" ht="18" customHeight="1">
      <c r="A47" s="9" t="str">
        <f t="shared" si="7"/>
        <v>1 -Recette CABINET</v>
      </c>
      <c r="B47" s="21" t="str">
        <f t="shared" si="7"/>
        <v>A-SOINS</v>
      </c>
      <c r="C47" s="21"/>
      <c r="D47" s="57" t="s">
        <v>520</v>
      </c>
      <c r="E47" s="61" t="s">
        <v>361</v>
      </c>
      <c r="F47" s="43"/>
      <c r="G47" s="60">
        <f t="shared" si="2"/>
        <v>0</v>
      </c>
      <c r="H47" s="97" t="s">
        <v>365</v>
      </c>
      <c r="I47" s="56">
        <f t="shared" si="8"/>
        <v>0</v>
      </c>
      <c r="J47" s="47">
        <f t="shared" si="1"/>
        <v>0</v>
      </c>
      <c r="K47" s="1"/>
      <c r="L47" s="77" t="s">
        <v>362</v>
      </c>
      <c r="M47" s="98"/>
      <c r="N47" s="19" t="str">
        <f t="shared" si="4"/>
        <v>Société Générale</v>
      </c>
      <c r="O47" s="33" t="s">
        <v>36</v>
      </c>
    </row>
    <row r="48" spans="1:15" s="4" customFormat="1" ht="18" customHeight="1">
      <c r="A48" s="9" t="str">
        <f t="shared" si="7"/>
        <v>1 -Recette CABINET</v>
      </c>
      <c r="B48" s="21" t="str">
        <f t="shared" si="7"/>
        <v>A-SOINS</v>
      </c>
      <c r="C48" s="21"/>
      <c r="D48" s="57" t="s">
        <v>521</v>
      </c>
      <c r="E48" s="61" t="s">
        <v>361</v>
      </c>
      <c r="F48" s="43"/>
      <c r="G48" s="60">
        <f t="shared" si="2"/>
        <v>0</v>
      </c>
      <c r="H48" s="97" t="s">
        <v>442</v>
      </c>
      <c r="I48" s="56">
        <f t="shared" si="8"/>
        <v>0</v>
      </c>
      <c r="J48" s="47">
        <f t="shared" si="1"/>
        <v>0</v>
      </c>
      <c r="K48" s="1"/>
      <c r="L48" s="77" t="s">
        <v>362</v>
      </c>
      <c r="M48" s="98" t="str">
        <f t="shared" si="5"/>
        <v>16</v>
      </c>
      <c r="N48" s="19" t="str">
        <f t="shared" si="4"/>
        <v>Crédit Agricole</v>
      </c>
      <c r="O48" s="33" t="s">
        <v>36</v>
      </c>
    </row>
    <row r="49" spans="1:15" s="4" customFormat="1" ht="18" customHeight="1">
      <c r="A49" s="9" t="str">
        <f t="shared" si="7"/>
        <v>1 -Recette CABINET</v>
      </c>
      <c r="B49" s="21" t="str">
        <f t="shared" si="7"/>
        <v>A-SOINS</v>
      </c>
      <c r="C49" s="21"/>
      <c r="D49" s="57" t="s">
        <v>521</v>
      </c>
      <c r="E49" s="61" t="s">
        <v>361</v>
      </c>
      <c r="F49" s="43"/>
      <c r="G49" s="60">
        <f t="shared" si="2"/>
        <v>0</v>
      </c>
      <c r="H49" s="97" t="s">
        <v>364</v>
      </c>
      <c r="I49" s="56">
        <f t="shared" si="8"/>
        <v>0</v>
      </c>
      <c r="J49" s="47">
        <f t="shared" si="1"/>
        <v>0</v>
      </c>
      <c r="K49" s="1"/>
      <c r="L49" s="77" t="s">
        <v>362</v>
      </c>
      <c r="M49" s="98"/>
      <c r="N49" s="19" t="str">
        <f t="shared" si="4"/>
        <v>Société Générale</v>
      </c>
      <c r="O49" s="33" t="s">
        <v>36</v>
      </c>
    </row>
    <row r="50" spans="1:15" s="4" customFormat="1" ht="18" customHeight="1">
      <c r="A50" s="9" t="str">
        <f t="shared" si="7"/>
        <v>1 -Recette CABINET</v>
      </c>
      <c r="B50" s="21" t="str">
        <f t="shared" si="7"/>
        <v>A-SOINS</v>
      </c>
      <c r="C50" s="21"/>
      <c r="D50" s="57" t="s">
        <v>521</v>
      </c>
      <c r="E50" s="61" t="s">
        <v>361</v>
      </c>
      <c r="F50" s="43"/>
      <c r="G50" s="60">
        <f t="shared" si="2"/>
        <v>0</v>
      </c>
      <c r="H50" s="97" t="s">
        <v>365</v>
      </c>
      <c r="I50" s="56">
        <f t="shared" si="8"/>
        <v>0</v>
      </c>
      <c r="J50" s="47">
        <f t="shared" si="1"/>
        <v>0</v>
      </c>
      <c r="K50" s="1"/>
      <c r="L50" s="77" t="s">
        <v>362</v>
      </c>
      <c r="M50" s="98"/>
      <c r="N50" s="19" t="str">
        <f t="shared" si="4"/>
        <v>Société Générale</v>
      </c>
      <c r="O50" s="33" t="s">
        <v>36</v>
      </c>
    </row>
    <row r="51" spans="1:15" s="4" customFormat="1" ht="18" customHeight="1">
      <c r="A51" s="9" t="str">
        <f t="shared" si="7"/>
        <v>1 -Recette CABINET</v>
      </c>
      <c r="B51" s="21" t="str">
        <f t="shared" si="7"/>
        <v>A-SOINS</v>
      </c>
      <c r="C51" s="21"/>
      <c r="D51" s="57" t="s">
        <v>522</v>
      </c>
      <c r="E51" s="61" t="s">
        <v>361</v>
      </c>
      <c r="F51" s="43"/>
      <c r="G51" s="60">
        <f t="shared" si="2"/>
        <v>0</v>
      </c>
      <c r="H51" s="97" t="s">
        <v>442</v>
      </c>
      <c r="I51" s="56">
        <f t="shared" si="8"/>
        <v>0</v>
      </c>
      <c r="J51" s="47">
        <f t="shared" si="1"/>
        <v>0</v>
      </c>
      <c r="K51" s="1"/>
      <c r="L51" s="77" t="s">
        <v>362</v>
      </c>
      <c r="M51" s="98" t="str">
        <f t="shared" si="5"/>
        <v>17</v>
      </c>
      <c r="N51" s="19" t="str">
        <f t="shared" si="4"/>
        <v>Crédit Agricole</v>
      </c>
      <c r="O51" s="33" t="s">
        <v>36</v>
      </c>
    </row>
    <row r="52" spans="1:15" s="4" customFormat="1" ht="18" customHeight="1">
      <c r="A52" s="9" t="str">
        <f t="shared" si="7"/>
        <v>1 -Recette CABINET</v>
      </c>
      <c r="B52" s="21" t="str">
        <f t="shared" si="7"/>
        <v>A-SOINS</v>
      </c>
      <c r="C52" s="21"/>
      <c r="D52" s="57" t="s">
        <v>522</v>
      </c>
      <c r="E52" s="61" t="s">
        <v>361</v>
      </c>
      <c r="F52" s="43"/>
      <c r="G52" s="60">
        <f t="shared" si="2"/>
        <v>0</v>
      </c>
      <c r="H52" s="97" t="s">
        <v>364</v>
      </c>
      <c r="I52" s="56">
        <f t="shared" si="8"/>
        <v>0</v>
      </c>
      <c r="J52" s="47">
        <f t="shared" si="1"/>
        <v>0</v>
      </c>
      <c r="K52" s="1"/>
      <c r="L52" s="77" t="s">
        <v>362</v>
      </c>
      <c r="M52" s="98"/>
      <c r="N52" s="19" t="str">
        <f t="shared" si="4"/>
        <v>Société Générale</v>
      </c>
      <c r="O52" s="33" t="s">
        <v>36</v>
      </c>
    </row>
    <row r="53" spans="1:15" s="4" customFormat="1" ht="18" customHeight="1">
      <c r="A53" s="9" t="str">
        <f t="shared" si="7"/>
        <v>1 -Recette CABINET</v>
      </c>
      <c r="B53" s="21" t="str">
        <f t="shared" si="7"/>
        <v>A-SOINS</v>
      </c>
      <c r="C53" s="21"/>
      <c r="D53" s="57" t="s">
        <v>522</v>
      </c>
      <c r="E53" s="61" t="s">
        <v>361</v>
      </c>
      <c r="F53" s="43"/>
      <c r="G53" s="60">
        <f t="shared" si="2"/>
        <v>0</v>
      </c>
      <c r="H53" s="97" t="s">
        <v>365</v>
      </c>
      <c r="I53" s="56">
        <f t="shared" si="8"/>
        <v>0</v>
      </c>
      <c r="J53" s="47">
        <f t="shared" si="1"/>
        <v>0</v>
      </c>
      <c r="K53" s="1"/>
      <c r="L53" s="77" t="s">
        <v>362</v>
      </c>
      <c r="M53" s="98"/>
      <c r="N53" s="19" t="str">
        <f t="shared" si="4"/>
        <v>Société Générale</v>
      </c>
      <c r="O53" s="33" t="s">
        <v>36</v>
      </c>
    </row>
    <row r="54" spans="1:15" s="4" customFormat="1" ht="18" customHeight="1">
      <c r="A54" s="9" t="str">
        <f t="shared" si="7"/>
        <v>1 -Recette CABINET</v>
      </c>
      <c r="B54" s="21" t="str">
        <f t="shared" si="7"/>
        <v>A-SOINS</v>
      </c>
      <c r="C54" s="21"/>
      <c r="D54" s="57" t="s">
        <v>523</v>
      </c>
      <c r="E54" s="61" t="s">
        <v>361</v>
      </c>
      <c r="F54" s="43"/>
      <c r="G54" s="60">
        <f t="shared" si="2"/>
        <v>0</v>
      </c>
      <c r="H54" s="97" t="s">
        <v>442</v>
      </c>
      <c r="I54" s="56">
        <f t="shared" si="8"/>
        <v>0</v>
      </c>
      <c r="J54" s="47">
        <f t="shared" si="1"/>
        <v>0</v>
      </c>
      <c r="K54" s="1"/>
      <c r="L54" s="77" t="s">
        <v>362</v>
      </c>
      <c r="M54" s="98" t="str">
        <f t="shared" si="5"/>
        <v>18</v>
      </c>
      <c r="N54" s="19" t="str">
        <f t="shared" si="4"/>
        <v>Crédit Agricole</v>
      </c>
      <c r="O54" s="33" t="s">
        <v>36</v>
      </c>
    </row>
    <row r="55" spans="1:15" s="4" customFormat="1" ht="18" customHeight="1">
      <c r="A55" s="9" t="str">
        <f t="shared" si="7"/>
        <v>1 -Recette CABINET</v>
      </c>
      <c r="B55" s="21" t="str">
        <f t="shared" si="7"/>
        <v>A-SOINS</v>
      </c>
      <c r="C55" s="21"/>
      <c r="D55" s="57" t="s">
        <v>523</v>
      </c>
      <c r="E55" s="61" t="s">
        <v>361</v>
      </c>
      <c r="F55" s="43"/>
      <c r="G55" s="60">
        <f t="shared" si="2"/>
        <v>0</v>
      </c>
      <c r="H55" s="97" t="s">
        <v>364</v>
      </c>
      <c r="I55" s="56">
        <f t="shared" si="8"/>
        <v>0</v>
      </c>
      <c r="J55" s="47">
        <f t="shared" si="1"/>
        <v>0</v>
      </c>
      <c r="K55" s="1"/>
      <c r="L55" s="77" t="s">
        <v>362</v>
      </c>
      <c r="M55" s="98"/>
      <c r="N55" s="19" t="str">
        <f t="shared" si="4"/>
        <v>Société Générale</v>
      </c>
      <c r="O55" s="33" t="s">
        <v>36</v>
      </c>
    </row>
    <row r="56" spans="1:15" s="4" customFormat="1" ht="18" customHeight="1">
      <c r="A56" s="9" t="str">
        <f t="shared" si="7"/>
        <v>1 -Recette CABINET</v>
      </c>
      <c r="B56" s="21" t="str">
        <f t="shared" si="7"/>
        <v>A-SOINS</v>
      </c>
      <c r="C56" s="21"/>
      <c r="D56" s="57" t="s">
        <v>523</v>
      </c>
      <c r="E56" s="61" t="s">
        <v>361</v>
      </c>
      <c r="F56" s="43"/>
      <c r="G56" s="60">
        <f t="shared" si="2"/>
        <v>0</v>
      </c>
      <c r="H56" s="97" t="s">
        <v>365</v>
      </c>
      <c r="I56" s="56">
        <f t="shared" si="8"/>
        <v>0</v>
      </c>
      <c r="J56" s="47">
        <f t="shared" si="1"/>
        <v>0</v>
      </c>
      <c r="K56" s="1"/>
      <c r="L56" s="77" t="s">
        <v>362</v>
      </c>
      <c r="M56" s="98"/>
      <c r="N56" s="19" t="str">
        <f t="shared" si="4"/>
        <v>Société Générale</v>
      </c>
      <c r="O56" s="33" t="s">
        <v>36</v>
      </c>
    </row>
    <row r="57" spans="1:15" s="4" customFormat="1" ht="18" customHeight="1">
      <c r="A57" s="9" t="str">
        <f t="shared" si="7"/>
        <v>1 -Recette CABINET</v>
      </c>
      <c r="B57" s="21" t="str">
        <f t="shared" si="7"/>
        <v>A-SOINS</v>
      </c>
      <c r="C57" s="21"/>
      <c r="D57" s="57" t="s">
        <v>524</v>
      </c>
      <c r="E57" s="61" t="s">
        <v>361</v>
      </c>
      <c r="F57" s="43"/>
      <c r="G57" s="60">
        <f t="shared" si="2"/>
        <v>0</v>
      </c>
      <c r="H57" s="97" t="s">
        <v>442</v>
      </c>
      <c r="I57" s="56">
        <f t="shared" si="8"/>
        <v>0</v>
      </c>
      <c r="J57" s="47">
        <f t="shared" si="1"/>
        <v>0</v>
      </c>
      <c r="K57" s="1"/>
      <c r="L57" s="77" t="s">
        <v>362</v>
      </c>
      <c r="M57" s="98" t="str">
        <f t="shared" si="5"/>
        <v>19</v>
      </c>
      <c r="N57" s="19" t="str">
        <f t="shared" si="4"/>
        <v>Crédit Agricole</v>
      </c>
      <c r="O57" s="33" t="s">
        <v>36</v>
      </c>
    </row>
    <row r="58" spans="1:15" s="4" customFormat="1" ht="18" customHeight="1">
      <c r="A58" s="9" t="str">
        <f t="shared" si="7"/>
        <v>1 -Recette CABINET</v>
      </c>
      <c r="B58" s="21" t="str">
        <f t="shared" si="7"/>
        <v>A-SOINS</v>
      </c>
      <c r="C58" s="21"/>
      <c r="D58" s="57" t="s">
        <v>524</v>
      </c>
      <c r="E58" s="61" t="s">
        <v>361</v>
      </c>
      <c r="F58" s="43"/>
      <c r="G58" s="60">
        <f t="shared" si="2"/>
        <v>0</v>
      </c>
      <c r="H58" s="97" t="s">
        <v>364</v>
      </c>
      <c r="I58" s="56">
        <f t="shared" si="8"/>
        <v>0</v>
      </c>
      <c r="J58" s="47">
        <f t="shared" si="1"/>
        <v>0</v>
      </c>
      <c r="K58" s="1"/>
      <c r="L58" s="77" t="s">
        <v>362</v>
      </c>
      <c r="M58" s="98"/>
      <c r="N58" s="19" t="str">
        <f t="shared" si="4"/>
        <v>Société Générale</v>
      </c>
      <c r="O58" s="33" t="s">
        <v>36</v>
      </c>
    </row>
    <row r="59" spans="1:15" s="4" customFormat="1" ht="18" customHeight="1">
      <c r="A59" s="9" t="str">
        <f t="shared" si="7"/>
        <v>1 -Recette CABINET</v>
      </c>
      <c r="B59" s="21" t="str">
        <f t="shared" si="7"/>
        <v>A-SOINS</v>
      </c>
      <c r="C59" s="21"/>
      <c r="D59" s="57" t="s">
        <v>524</v>
      </c>
      <c r="E59" s="61" t="s">
        <v>361</v>
      </c>
      <c r="F59" s="43"/>
      <c r="G59" s="60">
        <f t="shared" si="2"/>
        <v>0</v>
      </c>
      <c r="H59" s="97" t="s">
        <v>365</v>
      </c>
      <c r="I59" s="56">
        <f t="shared" si="8"/>
        <v>0</v>
      </c>
      <c r="J59" s="47">
        <f t="shared" si="1"/>
        <v>0</v>
      </c>
      <c r="K59" s="1"/>
      <c r="L59" s="77" t="s">
        <v>362</v>
      </c>
      <c r="M59" s="98"/>
      <c r="N59" s="19" t="str">
        <f t="shared" si="4"/>
        <v>Société Générale</v>
      </c>
      <c r="O59" s="33" t="s">
        <v>36</v>
      </c>
    </row>
    <row r="60" spans="1:15" s="4" customFormat="1" ht="18" customHeight="1">
      <c r="A60" s="9" t="str">
        <f t="shared" si="7"/>
        <v>1 -Recette CABINET</v>
      </c>
      <c r="B60" s="21" t="str">
        <f t="shared" si="7"/>
        <v>A-SOINS</v>
      </c>
      <c r="C60" s="21"/>
      <c r="D60" s="57" t="s">
        <v>525</v>
      </c>
      <c r="E60" s="61" t="s">
        <v>361</v>
      </c>
      <c r="F60" s="43"/>
      <c r="G60" s="60">
        <f t="shared" si="2"/>
        <v>0</v>
      </c>
      <c r="H60" s="97" t="s">
        <v>442</v>
      </c>
      <c r="I60" s="56">
        <f t="shared" si="8"/>
        <v>0</v>
      </c>
      <c r="J60" s="47">
        <f t="shared" si="1"/>
        <v>0</v>
      </c>
      <c r="K60" s="1"/>
      <c r="L60" s="77" t="s">
        <v>362</v>
      </c>
      <c r="M60" s="98" t="str">
        <f t="shared" si="5"/>
        <v>20</v>
      </c>
      <c r="N60" s="19" t="str">
        <f t="shared" si="4"/>
        <v>Crédit Agricole</v>
      </c>
      <c r="O60" s="33" t="s">
        <v>36</v>
      </c>
    </row>
    <row r="61" spans="1:15" s="4" customFormat="1" ht="18" customHeight="1">
      <c r="A61" s="9" t="str">
        <f t="shared" si="7"/>
        <v>1 -Recette CABINET</v>
      </c>
      <c r="B61" s="21" t="str">
        <f t="shared" si="7"/>
        <v>A-SOINS</v>
      </c>
      <c r="C61" s="21"/>
      <c r="D61" s="57" t="s">
        <v>525</v>
      </c>
      <c r="E61" s="61" t="s">
        <v>361</v>
      </c>
      <c r="F61" s="43"/>
      <c r="G61" s="60">
        <f t="shared" si="2"/>
        <v>0</v>
      </c>
      <c r="H61" s="97" t="s">
        <v>364</v>
      </c>
      <c r="I61" s="56">
        <f t="shared" si="8"/>
        <v>0</v>
      </c>
      <c r="J61" s="47">
        <f t="shared" si="1"/>
        <v>0</v>
      </c>
      <c r="K61" s="1"/>
      <c r="L61" s="77" t="s">
        <v>362</v>
      </c>
      <c r="M61" s="98"/>
      <c r="N61" s="19" t="str">
        <f t="shared" si="4"/>
        <v>Société Générale</v>
      </c>
      <c r="O61" s="33" t="s">
        <v>36</v>
      </c>
    </row>
    <row r="62" spans="1:15" s="4" customFormat="1" ht="18" customHeight="1">
      <c r="A62" s="9" t="str">
        <f t="shared" si="7"/>
        <v>1 -Recette CABINET</v>
      </c>
      <c r="B62" s="21" t="str">
        <f t="shared" si="7"/>
        <v>A-SOINS</v>
      </c>
      <c r="C62" s="21"/>
      <c r="D62" s="57" t="s">
        <v>525</v>
      </c>
      <c r="E62" s="61" t="s">
        <v>361</v>
      </c>
      <c r="F62" s="43"/>
      <c r="G62" s="60">
        <f t="shared" si="2"/>
        <v>0</v>
      </c>
      <c r="H62" s="97" t="s">
        <v>365</v>
      </c>
      <c r="I62" s="56">
        <f t="shared" si="8"/>
        <v>0</v>
      </c>
      <c r="J62" s="47">
        <f t="shared" si="1"/>
        <v>0</v>
      </c>
      <c r="K62" s="1"/>
      <c r="L62" s="77" t="s">
        <v>362</v>
      </c>
      <c r="M62" s="98"/>
      <c r="N62" s="19" t="str">
        <f t="shared" si="4"/>
        <v>Société Générale</v>
      </c>
      <c r="O62" s="33" t="s">
        <v>36</v>
      </c>
    </row>
    <row r="63" spans="1:15" s="4" customFormat="1" ht="18" customHeight="1">
      <c r="A63" s="9" t="str">
        <f t="shared" si="7"/>
        <v>1 -Recette CABINET</v>
      </c>
      <c r="B63" s="21" t="str">
        <f t="shared" si="7"/>
        <v>A-SOINS</v>
      </c>
      <c r="C63" s="21"/>
      <c r="D63" s="57" t="s">
        <v>526</v>
      </c>
      <c r="E63" s="61" t="s">
        <v>361</v>
      </c>
      <c r="F63" s="43"/>
      <c r="G63" s="60">
        <f t="shared" si="2"/>
        <v>0</v>
      </c>
      <c r="H63" s="97" t="s">
        <v>442</v>
      </c>
      <c r="I63" s="56">
        <f t="shared" si="8"/>
        <v>0</v>
      </c>
      <c r="J63" s="47">
        <f t="shared" si="1"/>
        <v>0</v>
      </c>
      <c r="K63" s="1"/>
      <c r="L63" s="77" t="s">
        <v>362</v>
      </c>
      <c r="M63" s="98" t="str">
        <f t="shared" si="5"/>
        <v>21</v>
      </c>
      <c r="N63" s="19" t="str">
        <f t="shared" si="4"/>
        <v>Crédit Agricole</v>
      </c>
      <c r="O63" s="33" t="s">
        <v>36</v>
      </c>
    </row>
    <row r="64" spans="1:15" s="4" customFormat="1" ht="18" customHeight="1">
      <c r="A64" s="9" t="str">
        <f t="shared" si="7"/>
        <v>1 -Recette CABINET</v>
      </c>
      <c r="B64" s="21" t="str">
        <f t="shared" si="7"/>
        <v>A-SOINS</v>
      </c>
      <c r="C64" s="21"/>
      <c r="D64" s="57" t="s">
        <v>526</v>
      </c>
      <c r="E64" s="61" t="s">
        <v>361</v>
      </c>
      <c r="F64" s="43"/>
      <c r="G64" s="60">
        <f t="shared" si="2"/>
        <v>0</v>
      </c>
      <c r="H64" s="97" t="s">
        <v>364</v>
      </c>
      <c r="I64" s="56">
        <f t="shared" si="8"/>
        <v>0</v>
      </c>
      <c r="J64" s="47">
        <f t="shared" si="1"/>
        <v>0</v>
      </c>
      <c r="K64" s="1"/>
      <c r="L64" s="77" t="s">
        <v>362</v>
      </c>
      <c r="M64" s="98"/>
      <c r="N64" s="19" t="str">
        <f t="shared" si="4"/>
        <v>Société Générale</v>
      </c>
      <c r="O64" s="33" t="s">
        <v>36</v>
      </c>
    </row>
    <row r="65" spans="1:15" s="4" customFormat="1" ht="18" customHeight="1">
      <c r="A65" s="9" t="str">
        <f t="shared" si="7"/>
        <v>1 -Recette CABINET</v>
      </c>
      <c r="B65" s="21" t="str">
        <f t="shared" si="7"/>
        <v>A-SOINS</v>
      </c>
      <c r="C65" s="21"/>
      <c r="D65" s="57" t="s">
        <v>526</v>
      </c>
      <c r="E65" s="61" t="s">
        <v>361</v>
      </c>
      <c r="F65" s="43"/>
      <c r="G65" s="60">
        <f t="shared" si="2"/>
        <v>0</v>
      </c>
      <c r="H65" s="97" t="s">
        <v>365</v>
      </c>
      <c r="I65" s="56">
        <f t="shared" si="8"/>
        <v>0</v>
      </c>
      <c r="J65" s="47">
        <f t="shared" si="1"/>
        <v>0</v>
      </c>
      <c r="K65" s="1"/>
      <c r="L65" s="77" t="s">
        <v>362</v>
      </c>
      <c r="M65" s="98"/>
      <c r="N65" s="19" t="str">
        <f t="shared" si="4"/>
        <v>Société Générale</v>
      </c>
      <c r="O65" s="33" t="s">
        <v>36</v>
      </c>
    </row>
    <row r="66" spans="1:15" s="4" customFormat="1" ht="18" customHeight="1">
      <c r="A66" s="9" t="str">
        <f t="shared" si="7"/>
        <v>1 -Recette CABINET</v>
      </c>
      <c r="B66" s="21" t="str">
        <f t="shared" si="7"/>
        <v>A-SOINS</v>
      </c>
      <c r="C66" s="21"/>
      <c r="D66" s="57" t="s">
        <v>527</v>
      </c>
      <c r="E66" s="61" t="s">
        <v>361</v>
      </c>
      <c r="F66" s="43"/>
      <c r="G66" s="60">
        <f t="shared" si="2"/>
        <v>0</v>
      </c>
      <c r="H66" s="97" t="s">
        <v>442</v>
      </c>
      <c r="I66" s="56">
        <f t="shared" si="8"/>
        <v>0</v>
      </c>
      <c r="J66" s="47">
        <f t="shared" si="1"/>
        <v>0</v>
      </c>
      <c r="K66" s="1"/>
      <c r="L66" s="77" t="s">
        <v>362</v>
      </c>
      <c r="M66" s="98" t="str">
        <f t="shared" si="5"/>
        <v>22</v>
      </c>
      <c r="N66" s="19" t="str">
        <f t="shared" si="4"/>
        <v>Crédit Agricole</v>
      </c>
      <c r="O66" s="33" t="s">
        <v>36</v>
      </c>
    </row>
    <row r="67" spans="1:15" s="4" customFormat="1" ht="18" customHeight="1">
      <c r="A67" s="9" t="str">
        <f t="shared" ref="A67:B98" si="9">+A66</f>
        <v>1 -Recette CABINET</v>
      </c>
      <c r="B67" s="21" t="str">
        <f t="shared" si="9"/>
        <v>A-SOINS</v>
      </c>
      <c r="C67" s="21"/>
      <c r="D67" s="57" t="s">
        <v>527</v>
      </c>
      <c r="E67" s="61" t="s">
        <v>361</v>
      </c>
      <c r="F67" s="43"/>
      <c r="G67" s="60">
        <f t="shared" si="2"/>
        <v>0</v>
      </c>
      <c r="H67" s="97" t="s">
        <v>364</v>
      </c>
      <c r="I67" s="56">
        <f t="shared" si="8"/>
        <v>0</v>
      </c>
      <c r="J67" s="47">
        <f t="shared" si="1"/>
        <v>0</v>
      </c>
      <c r="K67" s="1"/>
      <c r="L67" s="77" t="s">
        <v>362</v>
      </c>
      <c r="M67" s="98"/>
      <c r="N67" s="19" t="str">
        <f t="shared" si="4"/>
        <v>Société Générale</v>
      </c>
      <c r="O67" s="33" t="s">
        <v>36</v>
      </c>
    </row>
    <row r="68" spans="1:15" s="4" customFormat="1" ht="18" customHeight="1">
      <c r="A68" s="9" t="str">
        <f t="shared" si="9"/>
        <v>1 -Recette CABINET</v>
      </c>
      <c r="B68" s="21" t="str">
        <f t="shared" si="9"/>
        <v>A-SOINS</v>
      </c>
      <c r="C68" s="21"/>
      <c r="D68" s="57" t="s">
        <v>527</v>
      </c>
      <c r="E68" s="61" t="s">
        <v>361</v>
      </c>
      <c r="F68" s="43"/>
      <c r="G68" s="60">
        <f t="shared" ref="G68:G131" si="10">+$F$2/(52*3)</f>
        <v>0</v>
      </c>
      <c r="H68" s="97" t="s">
        <v>365</v>
      </c>
      <c r="I68" s="56">
        <f t="shared" ref="I68:I131" si="11">+IF(L68="A RECEVOIR",G68,"ERREUR")</f>
        <v>0</v>
      </c>
      <c r="J68" s="47">
        <f t="shared" si="1"/>
        <v>0</v>
      </c>
      <c r="K68" s="1"/>
      <c r="L68" s="77" t="s">
        <v>362</v>
      </c>
      <c r="M68" s="98"/>
      <c r="N68" s="19" t="str">
        <f t="shared" ref="N68:N131" si="12">+IF(H68="CB/Chèques","Crédit Agricole","Société Générale")</f>
        <v>Société Générale</v>
      </c>
      <c r="O68" s="33" t="s">
        <v>36</v>
      </c>
    </row>
    <row r="69" spans="1:15" s="4" customFormat="1" ht="18" customHeight="1">
      <c r="A69" s="9" t="str">
        <f t="shared" si="9"/>
        <v>1 -Recette CABINET</v>
      </c>
      <c r="B69" s="21" t="str">
        <f t="shared" si="9"/>
        <v>A-SOINS</v>
      </c>
      <c r="C69" s="21"/>
      <c r="D69" s="57" t="s">
        <v>528</v>
      </c>
      <c r="E69" s="61" t="s">
        <v>361</v>
      </c>
      <c r="F69" s="43"/>
      <c r="G69" s="60">
        <f t="shared" si="10"/>
        <v>0</v>
      </c>
      <c r="H69" s="97" t="s">
        <v>442</v>
      </c>
      <c r="I69" s="56">
        <f t="shared" si="11"/>
        <v>0</v>
      </c>
      <c r="J69" s="47">
        <f t="shared" si="1"/>
        <v>0</v>
      </c>
      <c r="K69" s="1"/>
      <c r="L69" s="77" t="s">
        <v>362</v>
      </c>
      <c r="M69" s="98" t="str">
        <f t="shared" ref="M69:M129" si="13">+RIGHT(D69,2)</f>
        <v>23</v>
      </c>
      <c r="N69" s="19" t="str">
        <f t="shared" si="12"/>
        <v>Crédit Agricole</v>
      </c>
      <c r="O69" s="33" t="s">
        <v>36</v>
      </c>
    </row>
    <row r="70" spans="1:15" s="4" customFormat="1" ht="18" customHeight="1">
      <c r="A70" s="9" t="str">
        <f t="shared" si="9"/>
        <v>1 -Recette CABINET</v>
      </c>
      <c r="B70" s="21" t="str">
        <f t="shared" si="9"/>
        <v>A-SOINS</v>
      </c>
      <c r="C70" s="21"/>
      <c r="D70" s="57" t="s">
        <v>528</v>
      </c>
      <c r="E70" s="61" t="s">
        <v>361</v>
      </c>
      <c r="F70" s="43"/>
      <c r="G70" s="60">
        <f t="shared" si="10"/>
        <v>0</v>
      </c>
      <c r="H70" s="97" t="s">
        <v>364</v>
      </c>
      <c r="I70" s="56">
        <f t="shared" si="11"/>
        <v>0</v>
      </c>
      <c r="J70" s="47">
        <f t="shared" si="1"/>
        <v>0</v>
      </c>
      <c r="K70" s="1"/>
      <c r="L70" s="77" t="s">
        <v>362</v>
      </c>
      <c r="M70" s="98"/>
      <c r="N70" s="19" t="str">
        <f t="shared" si="12"/>
        <v>Société Générale</v>
      </c>
      <c r="O70" s="33" t="s">
        <v>36</v>
      </c>
    </row>
    <row r="71" spans="1:15" s="4" customFormat="1" ht="18" customHeight="1">
      <c r="A71" s="9" t="str">
        <f t="shared" si="9"/>
        <v>1 -Recette CABINET</v>
      </c>
      <c r="B71" s="21" t="str">
        <f t="shared" si="9"/>
        <v>A-SOINS</v>
      </c>
      <c r="C71" s="21"/>
      <c r="D71" s="57" t="s">
        <v>528</v>
      </c>
      <c r="E71" s="61" t="s">
        <v>361</v>
      </c>
      <c r="F71" s="43"/>
      <c r="G71" s="60">
        <f t="shared" si="10"/>
        <v>0</v>
      </c>
      <c r="H71" s="97" t="s">
        <v>365</v>
      </c>
      <c r="I71" s="56">
        <f t="shared" si="11"/>
        <v>0</v>
      </c>
      <c r="J71" s="47">
        <f t="shared" si="1"/>
        <v>0</v>
      </c>
      <c r="K71" s="1"/>
      <c r="L71" s="77" t="s">
        <v>362</v>
      </c>
      <c r="M71" s="98"/>
      <c r="N71" s="19" t="str">
        <f t="shared" si="12"/>
        <v>Société Générale</v>
      </c>
      <c r="O71" s="33" t="s">
        <v>36</v>
      </c>
    </row>
    <row r="72" spans="1:15" s="4" customFormat="1" ht="18" customHeight="1">
      <c r="A72" s="9" t="str">
        <f t="shared" si="9"/>
        <v>1 -Recette CABINET</v>
      </c>
      <c r="B72" s="21" t="str">
        <f t="shared" si="9"/>
        <v>A-SOINS</v>
      </c>
      <c r="C72" s="21"/>
      <c r="D72" s="57" t="s">
        <v>529</v>
      </c>
      <c r="E72" s="61" t="s">
        <v>361</v>
      </c>
      <c r="F72" s="43"/>
      <c r="G72" s="60">
        <f t="shared" si="10"/>
        <v>0</v>
      </c>
      <c r="H72" s="97" t="s">
        <v>442</v>
      </c>
      <c r="I72" s="56">
        <f t="shared" si="11"/>
        <v>0</v>
      </c>
      <c r="J72" s="47">
        <f t="shared" si="1"/>
        <v>0</v>
      </c>
      <c r="K72" s="1"/>
      <c r="L72" s="77" t="s">
        <v>362</v>
      </c>
      <c r="M72" s="98" t="str">
        <f t="shared" si="13"/>
        <v>24</v>
      </c>
      <c r="N72" s="19" t="str">
        <f t="shared" si="12"/>
        <v>Crédit Agricole</v>
      </c>
      <c r="O72" s="33" t="s">
        <v>36</v>
      </c>
    </row>
    <row r="73" spans="1:15" s="4" customFormat="1" ht="18" customHeight="1">
      <c r="A73" s="9" t="str">
        <f t="shared" si="9"/>
        <v>1 -Recette CABINET</v>
      </c>
      <c r="B73" s="21" t="str">
        <f t="shared" si="9"/>
        <v>A-SOINS</v>
      </c>
      <c r="C73" s="21"/>
      <c r="D73" s="57" t="s">
        <v>529</v>
      </c>
      <c r="E73" s="61" t="s">
        <v>361</v>
      </c>
      <c r="F73" s="43"/>
      <c r="G73" s="60">
        <f t="shared" si="10"/>
        <v>0</v>
      </c>
      <c r="H73" s="97" t="s">
        <v>364</v>
      </c>
      <c r="I73" s="56">
        <f t="shared" si="11"/>
        <v>0</v>
      </c>
      <c r="J73" s="47">
        <f t="shared" si="1"/>
        <v>0</v>
      </c>
      <c r="K73" s="1"/>
      <c r="L73" s="77" t="s">
        <v>362</v>
      </c>
      <c r="M73" s="98"/>
      <c r="N73" s="19" t="str">
        <f t="shared" si="12"/>
        <v>Société Générale</v>
      </c>
      <c r="O73" s="33" t="s">
        <v>36</v>
      </c>
    </row>
    <row r="74" spans="1:15" s="4" customFormat="1" ht="18" customHeight="1">
      <c r="A74" s="9" t="str">
        <f t="shared" si="9"/>
        <v>1 -Recette CABINET</v>
      </c>
      <c r="B74" s="21" t="str">
        <f t="shared" si="9"/>
        <v>A-SOINS</v>
      </c>
      <c r="C74" s="21"/>
      <c r="D74" s="57" t="s">
        <v>529</v>
      </c>
      <c r="E74" s="61" t="s">
        <v>361</v>
      </c>
      <c r="F74" s="43"/>
      <c r="G74" s="60">
        <f t="shared" si="10"/>
        <v>0</v>
      </c>
      <c r="H74" s="97" t="s">
        <v>365</v>
      </c>
      <c r="I74" s="56">
        <f t="shared" si="11"/>
        <v>0</v>
      </c>
      <c r="J74" s="47">
        <f t="shared" si="1"/>
        <v>0</v>
      </c>
      <c r="K74" s="1"/>
      <c r="L74" s="77" t="s">
        <v>362</v>
      </c>
      <c r="M74" s="98"/>
      <c r="N74" s="19" t="str">
        <f t="shared" si="12"/>
        <v>Société Générale</v>
      </c>
      <c r="O74" s="33" t="s">
        <v>36</v>
      </c>
    </row>
    <row r="75" spans="1:15" s="4" customFormat="1" ht="18" customHeight="1">
      <c r="A75" s="9" t="str">
        <f t="shared" si="9"/>
        <v>1 -Recette CABINET</v>
      </c>
      <c r="B75" s="21" t="str">
        <f t="shared" si="9"/>
        <v>A-SOINS</v>
      </c>
      <c r="C75" s="21"/>
      <c r="D75" s="57" t="s">
        <v>530</v>
      </c>
      <c r="E75" s="61" t="s">
        <v>361</v>
      </c>
      <c r="F75" s="43"/>
      <c r="G75" s="60">
        <f t="shared" si="10"/>
        <v>0</v>
      </c>
      <c r="H75" s="97" t="s">
        <v>442</v>
      </c>
      <c r="I75" s="56">
        <f t="shared" si="11"/>
        <v>0</v>
      </c>
      <c r="J75" s="47">
        <f t="shared" si="1"/>
        <v>0</v>
      </c>
      <c r="K75" s="1"/>
      <c r="L75" s="77" t="s">
        <v>362</v>
      </c>
      <c r="M75" s="98" t="str">
        <f t="shared" si="13"/>
        <v>25</v>
      </c>
      <c r="N75" s="19" t="str">
        <f t="shared" si="12"/>
        <v>Crédit Agricole</v>
      </c>
      <c r="O75" s="33" t="s">
        <v>36</v>
      </c>
    </row>
    <row r="76" spans="1:15" s="4" customFormat="1" ht="18" customHeight="1">
      <c r="A76" s="9" t="str">
        <f t="shared" si="9"/>
        <v>1 -Recette CABINET</v>
      </c>
      <c r="B76" s="21" t="str">
        <f t="shared" si="9"/>
        <v>A-SOINS</v>
      </c>
      <c r="C76" s="21"/>
      <c r="D76" s="57" t="s">
        <v>530</v>
      </c>
      <c r="E76" s="61" t="s">
        <v>361</v>
      </c>
      <c r="F76" s="43"/>
      <c r="G76" s="60">
        <f t="shared" si="10"/>
        <v>0</v>
      </c>
      <c r="H76" s="97" t="s">
        <v>364</v>
      </c>
      <c r="I76" s="56">
        <f t="shared" si="11"/>
        <v>0</v>
      </c>
      <c r="J76" s="47">
        <f t="shared" si="1"/>
        <v>0</v>
      </c>
      <c r="K76" s="1"/>
      <c r="L76" s="77" t="s">
        <v>362</v>
      </c>
      <c r="M76" s="98"/>
      <c r="N76" s="19" t="str">
        <f t="shared" si="12"/>
        <v>Société Générale</v>
      </c>
      <c r="O76" s="33" t="s">
        <v>36</v>
      </c>
    </row>
    <row r="77" spans="1:15" s="4" customFormat="1" ht="18" customHeight="1">
      <c r="A77" s="9" t="str">
        <f t="shared" si="9"/>
        <v>1 -Recette CABINET</v>
      </c>
      <c r="B77" s="21" t="str">
        <f t="shared" si="9"/>
        <v>A-SOINS</v>
      </c>
      <c r="C77" s="21"/>
      <c r="D77" s="57" t="s">
        <v>530</v>
      </c>
      <c r="E77" s="61" t="s">
        <v>361</v>
      </c>
      <c r="F77" s="43"/>
      <c r="G77" s="60">
        <f t="shared" si="10"/>
        <v>0</v>
      </c>
      <c r="H77" s="97" t="s">
        <v>365</v>
      </c>
      <c r="I77" s="56">
        <f t="shared" si="11"/>
        <v>0</v>
      </c>
      <c r="J77" s="47">
        <f t="shared" si="1"/>
        <v>0</v>
      </c>
      <c r="K77" s="1"/>
      <c r="L77" s="77" t="s">
        <v>362</v>
      </c>
      <c r="M77" s="98"/>
      <c r="N77" s="19" t="str">
        <f t="shared" si="12"/>
        <v>Société Générale</v>
      </c>
      <c r="O77" s="33" t="s">
        <v>36</v>
      </c>
    </row>
    <row r="78" spans="1:15" s="4" customFormat="1" ht="18" customHeight="1">
      <c r="A78" s="9" t="str">
        <f t="shared" si="9"/>
        <v>1 -Recette CABINET</v>
      </c>
      <c r="B78" s="21" t="str">
        <f t="shared" si="9"/>
        <v>A-SOINS</v>
      </c>
      <c r="C78" s="21"/>
      <c r="D78" s="57" t="s">
        <v>531</v>
      </c>
      <c r="E78" s="61" t="s">
        <v>361</v>
      </c>
      <c r="F78" s="43"/>
      <c r="G78" s="60">
        <f t="shared" si="10"/>
        <v>0</v>
      </c>
      <c r="H78" s="97" t="s">
        <v>442</v>
      </c>
      <c r="I78" s="56">
        <f t="shared" si="11"/>
        <v>0</v>
      </c>
      <c r="J78" s="47">
        <f t="shared" si="1"/>
        <v>0</v>
      </c>
      <c r="K78" s="1"/>
      <c r="L78" s="77" t="s">
        <v>362</v>
      </c>
      <c r="M78" s="98" t="str">
        <f t="shared" si="13"/>
        <v>26</v>
      </c>
      <c r="N78" s="19" t="str">
        <f t="shared" si="12"/>
        <v>Crédit Agricole</v>
      </c>
      <c r="O78" s="33" t="s">
        <v>36</v>
      </c>
    </row>
    <row r="79" spans="1:15" s="4" customFormat="1" ht="18" customHeight="1">
      <c r="A79" s="9" t="str">
        <f t="shared" si="9"/>
        <v>1 -Recette CABINET</v>
      </c>
      <c r="B79" s="21" t="str">
        <f t="shared" si="9"/>
        <v>A-SOINS</v>
      </c>
      <c r="C79" s="21"/>
      <c r="D79" s="57" t="s">
        <v>531</v>
      </c>
      <c r="E79" s="61" t="s">
        <v>361</v>
      </c>
      <c r="F79" s="43"/>
      <c r="G79" s="60">
        <f t="shared" si="10"/>
        <v>0</v>
      </c>
      <c r="H79" s="97" t="s">
        <v>364</v>
      </c>
      <c r="I79" s="56">
        <f t="shared" si="11"/>
        <v>0</v>
      </c>
      <c r="J79" s="47">
        <f t="shared" si="1"/>
        <v>0</v>
      </c>
      <c r="K79" s="1"/>
      <c r="L79" s="77" t="s">
        <v>362</v>
      </c>
      <c r="M79" s="98"/>
      <c r="N79" s="19" t="str">
        <f t="shared" si="12"/>
        <v>Société Générale</v>
      </c>
      <c r="O79" s="33" t="s">
        <v>36</v>
      </c>
    </row>
    <row r="80" spans="1:15" s="4" customFormat="1" ht="18" customHeight="1">
      <c r="A80" s="9" t="str">
        <f t="shared" si="9"/>
        <v>1 -Recette CABINET</v>
      </c>
      <c r="B80" s="21" t="str">
        <f t="shared" si="9"/>
        <v>A-SOINS</v>
      </c>
      <c r="C80" s="21"/>
      <c r="D80" s="57" t="s">
        <v>531</v>
      </c>
      <c r="E80" s="61" t="s">
        <v>361</v>
      </c>
      <c r="F80" s="43"/>
      <c r="G80" s="60">
        <f t="shared" si="10"/>
        <v>0</v>
      </c>
      <c r="H80" s="97" t="s">
        <v>365</v>
      </c>
      <c r="I80" s="56">
        <f t="shared" si="11"/>
        <v>0</v>
      </c>
      <c r="J80" s="47">
        <f t="shared" si="1"/>
        <v>0</v>
      </c>
      <c r="K80" s="1"/>
      <c r="L80" s="77" t="s">
        <v>362</v>
      </c>
      <c r="M80" s="98"/>
      <c r="N80" s="19" t="str">
        <f t="shared" si="12"/>
        <v>Société Générale</v>
      </c>
      <c r="O80" s="33" t="s">
        <v>36</v>
      </c>
    </row>
    <row r="81" spans="1:15" s="4" customFormat="1" ht="18" customHeight="1">
      <c r="A81" s="9" t="str">
        <f t="shared" si="9"/>
        <v>1 -Recette CABINET</v>
      </c>
      <c r="B81" s="21" t="str">
        <f t="shared" si="9"/>
        <v>A-SOINS</v>
      </c>
      <c r="C81" s="21"/>
      <c r="D81" s="57" t="s">
        <v>532</v>
      </c>
      <c r="E81" s="61" t="s">
        <v>361</v>
      </c>
      <c r="F81" s="43"/>
      <c r="G81" s="60">
        <f t="shared" si="10"/>
        <v>0</v>
      </c>
      <c r="H81" s="97" t="s">
        <v>442</v>
      </c>
      <c r="I81" s="56">
        <f t="shared" si="11"/>
        <v>0</v>
      </c>
      <c r="J81" s="47">
        <f t="shared" si="1"/>
        <v>0</v>
      </c>
      <c r="K81" s="1"/>
      <c r="L81" s="77" t="s">
        <v>362</v>
      </c>
      <c r="M81" s="98" t="str">
        <f t="shared" si="13"/>
        <v>27</v>
      </c>
      <c r="N81" s="19" t="str">
        <f t="shared" si="12"/>
        <v>Crédit Agricole</v>
      </c>
      <c r="O81" s="33" t="s">
        <v>36</v>
      </c>
    </row>
    <row r="82" spans="1:15" s="4" customFormat="1" ht="18" customHeight="1">
      <c r="A82" s="9" t="str">
        <f t="shared" si="9"/>
        <v>1 -Recette CABINET</v>
      </c>
      <c r="B82" s="21" t="str">
        <f t="shared" si="9"/>
        <v>A-SOINS</v>
      </c>
      <c r="C82" s="21"/>
      <c r="D82" s="57" t="s">
        <v>532</v>
      </c>
      <c r="E82" s="61" t="s">
        <v>361</v>
      </c>
      <c r="F82" s="43"/>
      <c r="G82" s="60">
        <f t="shared" si="10"/>
        <v>0</v>
      </c>
      <c r="H82" s="97" t="s">
        <v>364</v>
      </c>
      <c r="I82" s="56">
        <f t="shared" si="11"/>
        <v>0</v>
      </c>
      <c r="J82" s="47">
        <f t="shared" si="1"/>
        <v>0</v>
      </c>
      <c r="K82" s="1"/>
      <c r="L82" s="77" t="s">
        <v>362</v>
      </c>
      <c r="M82" s="98"/>
      <c r="N82" s="19" t="str">
        <f t="shared" si="12"/>
        <v>Société Générale</v>
      </c>
      <c r="O82" s="33" t="s">
        <v>36</v>
      </c>
    </row>
    <row r="83" spans="1:15" s="4" customFormat="1" ht="18" customHeight="1">
      <c r="A83" s="9" t="str">
        <f t="shared" si="9"/>
        <v>1 -Recette CABINET</v>
      </c>
      <c r="B83" s="21" t="str">
        <f t="shared" si="9"/>
        <v>A-SOINS</v>
      </c>
      <c r="C83" s="21"/>
      <c r="D83" s="57" t="s">
        <v>532</v>
      </c>
      <c r="E83" s="61" t="s">
        <v>361</v>
      </c>
      <c r="F83" s="43"/>
      <c r="G83" s="60">
        <f t="shared" si="10"/>
        <v>0</v>
      </c>
      <c r="H83" s="97" t="s">
        <v>365</v>
      </c>
      <c r="I83" s="56">
        <f t="shared" si="11"/>
        <v>0</v>
      </c>
      <c r="J83" s="47">
        <f t="shared" si="1"/>
        <v>0</v>
      </c>
      <c r="K83" s="1"/>
      <c r="L83" s="77" t="s">
        <v>362</v>
      </c>
      <c r="M83" s="98"/>
      <c r="N83" s="19" t="str">
        <f t="shared" si="12"/>
        <v>Société Générale</v>
      </c>
      <c r="O83" s="33" t="s">
        <v>36</v>
      </c>
    </row>
    <row r="84" spans="1:15" s="4" customFormat="1" ht="18" customHeight="1">
      <c r="A84" s="9" t="str">
        <f t="shared" si="9"/>
        <v>1 -Recette CABINET</v>
      </c>
      <c r="B84" s="21" t="str">
        <f t="shared" si="9"/>
        <v>A-SOINS</v>
      </c>
      <c r="C84" s="21"/>
      <c r="D84" s="57" t="s">
        <v>533</v>
      </c>
      <c r="E84" s="61" t="s">
        <v>361</v>
      </c>
      <c r="F84" s="43"/>
      <c r="G84" s="60">
        <f t="shared" si="10"/>
        <v>0</v>
      </c>
      <c r="H84" s="97" t="s">
        <v>442</v>
      </c>
      <c r="I84" s="56">
        <f t="shared" si="11"/>
        <v>0</v>
      </c>
      <c r="J84" s="47">
        <f t="shared" si="1"/>
        <v>0</v>
      </c>
      <c r="K84" s="1"/>
      <c r="L84" s="77" t="s">
        <v>362</v>
      </c>
      <c r="M84" s="98" t="str">
        <f t="shared" si="13"/>
        <v>28</v>
      </c>
      <c r="N84" s="19" t="str">
        <f t="shared" si="12"/>
        <v>Crédit Agricole</v>
      </c>
      <c r="O84" s="33" t="s">
        <v>36</v>
      </c>
    </row>
    <row r="85" spans="1:15" s="4" customFormat="1" ht="18" customHeight="1">
      <c r="A85" s="9" t="str">
        <f t="shared" si="9"/>
        <v>1 -Recette CABINET</v>
      </c>
      <c r="B85" s="21" t="str">
        <f t="shared" si="9"/>
        <v>A-SOINS</v>
      </c>
      <c r="C85" s="21"/>
      <c r="D85" s="57" t="s">
        <v>533</v>
      </c>
      <c r="E85" s="61" t="s">
        <v>361</v>
      </c>
      <c r="F85" s="43"/>
      <c r="G85" s="60">
        <f t="shared" si="10"/>
        <v>0</v>
      </c>
      <c r="H85" s="97" t="s">
        <v>364</v>
      </c>
      <c r="I85" s="56">
        <f t="shared" si="11"/>
        <v>0</v>
      </c>
      <c r="J85" s="47">
        <f t="shared" si="1"/>
        <v>0</v>
      </c>
      <c r="K85" s="1"/>
      <c r="L85" s="77" t="s">
        <v>362</v>
      </c>
      <c r="M85" s="98"/>
      <c r="N85" s="19" t="str">
        <f t="shared" si="12"/>
        <v>Société Générale</v>
      </c>
      <c r="O85" s="33" t="s">
        <v>36</v>
      </c>
    </row>
    <row r="86" spans="1:15" s="4" customFormat="1" ht="18" customHeight="1">
      <c r="A86" s="9" t="str">
        <f t="shared" si="9"/>
        <v>1 -Recette CABINET</v>
      </c>
      <c r="B86" s="21" t="str">
        <f t="shared" si="9"/>
        <v>A-SOINS</v>
      </c>
      <c r="C86" s="21"/>
      <c r="D86" s="57" t="s">
        <v>533</v>
      </c>
      <c r="E86" s="61" t="s">
        <v>361</v>
      </c>
      <c r="F86" s="43"/>
      <c r="G86" s="60">
        <f t="shared" si="10"/>
        <v>0</v>
      </c>
      <c r="H86" s="97" t="s">
        <v>365</v>
      </c>
      <c r="I86" s="56">
        <f t="shared" si="11"/>
        <v>0</v>
      </c>
      <c r="J86" s="47">
        <f t="shared" si="1"/>
        <v>0</v>
      </c>
      <c r="K86" s="1"/>
      <c r="L86" s="77" t="s">
        <v>362</v>
      </c>
      <c r="M86" s="98"/>
      <c r="N86" s="19" t="str">
        <f t="shared" si="12"/>
        <v>Société Générale</v>
      </c>
      <c r="O86" s="33" t="s">
        <v>36</v>
      </c>
    </row>
    <row r="87" spans="1:15" s="4" customFormat="1" ht="18" customHeight="1">
      <c r="A87" s="9" t="str">
        <f t="shared" si="9"/>
        <v>1 -Recette CABINET</v>
      </c>
      <c r="B87" s="21" t="str">
        <f t="shared" si="9"/>
        <v>A-SOINS</v>
      </c>
      <c r="C87" s="21"/>
      <c r="D87" s="57" t="s">
        <v>534</v>
      </c>
      <c r="E87" s="61" t="s">
        <v>361</v>
      </c>
      <c r="F87" s="43"/>
      <c r="G87" s="60">
        <f t="shared" si="10"/>
        <v>0</v>
      </c>
      <c r="H87" s="97" t="s">
        <v>442</v>
      </c>
      <c r="I87" s="56">
        <f t="shared" si="11"/>
        <v>0</v>
      </c>
      <c r="J87" s="47">
        <f t="shared" si="1"/>
        <v>0</v>
      </c>
      <c r="K87" s="1"/>
      <c r="L87" s="77" t="s">
        <v>362</v>
      </c>
      <c r="M87" s="98" t="str">
        <f t="shared" si="13"/>
        <v>29</v>
      </c>
      <c r="N87" s="19" t="str">
        <f t="shared" si="12"/>
        <v>Crédit Agricole</v>
      </c>
      <c r="O87" s="33" t="s">
        <v>36</v>
      </c>
    </row>
    <row r="88" spans="1:15" s="4" customFormat="1" ht="18" customHeight="1">
      <c r="A88" s="9" t="str">
        <f t="shared" si="9"/>
        <v>1 -Recette CABINET</v>
      </c>
      <c r="B88" s="21" t="str">
        <f t="shared" si="9"/>
        <v>A-SOINS</v>
      </c>
      <c r="C88" s="21"/>
      <c r="D88" s="57" t="s">
        <v>534</v>
      </c>
      <c r="E88" s="61" t="s">
        <v>361</v>
      </c>
      <c r="F88" s="43"/>
      <c r="G88" s="60">
        <f t="shared" si="10"/>
        <v>0</v>
      </c>
      <c r="H88" s="97" t="s">
        <v>364</v>
      </c>
      <c r="I88" s="56">
        <f t="shared" si="11"/>
        <v>0</v>
      </c>
      <c r="J88" s="47">
        <f t="shared" si="1"/>
        <v>0</v>
      </c>
      <c r="K88" s="1"/>
      <c r="L88" s="77" t="s">
        <v>362</v>
      </c>
      <c r="M88" s="98"/>
      <c r="N88" s="19" t="str">
        <f t="shared" si="12"/>
        <v>Société Générale</v>
      </c>
      <c r="O88" s="33" t="s">
        <v>36</v>
      </c>
    </row>
    <row r="89" spans="1:15" s="4" customFormat="1" ht="18" customHeight="1">
      <c r="A89" s="9" t="str">
        <f t="shared" si="9"/>
        <v>1 -Recette CABINET</v>
      </c>
      <c r="B89" s="21" t="str">
        <f t="shared" si="9"/>
        <v>A-SOINS</v>
      </c>
      <c r="C89" s="21"/>
      <c r="D89" s="57" t="s">
        <v>534</v>
      </c>
      <c r="E89" s="61" t="s">
        <v>361</v>
      </c>
      <c r="F89" s="43"/>
      <c r="G89" s="60">
        <f t="shared" si="10"/>
        <v>0</v>
      </c>
      <c r="H89" s="97" t="s">
        <v>365</v>
      </c>
      <c r="I89" s="56">
        <f t="shared" si="11"/>
        <v>0</v>
      </c>
      <c r="J89" s="47">
        <f t="shared" si="1"/>
        <v>0</v>
      </c>
      <c r="K89" s="1"/>
      <c r="L89" s="77" t="s">
        <v>362</v>
      </c>
      <c r="M89" s="98"/>
      <c r="N89" s="19" t="str">
        <f t="shared" si="12"/>
        <v>Société Générale</v>
      </c>
      <c r="O89" s="33" t="s">
        <v>36</v>
      </c>
    </row>
    <row r="90" spans="1:15" s="4" customFormat="1" ht="18" customHeight="1">
      <c r="A90" s="9" t="str">
        <f t="shared" si="9"/>
        <v>1 -Recette CABINET</v>
      </c>
      <c r="B90" s="21" t="str">
        <f t="shared" si="9"/>
        <v>A-SOINS</v>
      </c>
      <c r="C90" s="21"/>
      <c r="D90" s="57" t="s">
        <v>535</v>
      </c>
      <c r="E90" s="61" t="s">
        <v>361</v>
      </c>
      <c r="F90" s="43"/>
      <c r="G90" s="60">
        <f t="shared" si="10"/>
        <v>0</v>
      </c>
      <c r="H90" s="97" t="s">
        <v>442</v>
      </c>
      <c r="I90" s="56">
        <f t="shared" si="11"/>
        <v>0</v>
      </c>
      <c r="J90" s="47">
        <f t="shared" si="1"/>
        <v>0</v>
      </c>
      <c r="K90" s="1"/>
      <c r="L90" s="77" t="s">
        <v>362</v>
      </c>
      <c r="M90" s="98" t="str">
        <f t="shared" si="13"/>
        <v>30</v>
      </c>
      <c r="N90" s="19" t="str">
        <f t="shared" si="12"/>
        <v>Crédit Agricole</v>
      </c>
      <c r="O90" s="33" t="s">
        <v>36</v>
      </c>
    </row>
    <row r="91" spans="1:15" s="4" customFormat="1" ht="18" customHeight="1">
      <c r="A91" s="9" t="str">
        <f t="shared" si="9"/>
        <v>1 -Recette CABINET</v>
      </c>
      <c r="B91" s="21" t="str">
        <f t="shared" si="9"/>
        <v>A-SOINS</v>
      </c>
      <c r="C91" s="21"/>
      <c r="D91" s="57" t="s">
        <v>535</v>
      </c>
      <c r="E91" s="61" t="s">
        <v>361</v>
      </c>
      <c r="F91" s="43"/>
      <c r="G91" s="60">
        <f t="shared" si="10"/>
        <v>0</v>
      </c>
      <c r="H91" s="97" t="s">
        <v>364</v>
      </c>
      <c r="I91" s="56">
        <f t="shared" si="11"/>
        <v>0</v>
      </c>
      <c r="J91" s="47">
        <f t="shared" si="1"/>
        <v>0</v>
      </c>
      <c r="K91" s="1"/>
      <c r="L91" s="77" t="s">
        <v>362</v>
      </c>
      <c r="M91" s="98"/>
      <c r="N91" s="19" t="str">
        <f t="shared" si="12"/>
        <v>Société Générale</v>
      </c>
      <c r="O91" s="33" t="s">
        <v>36</v>
      </c>
    </row>
    <row r="92" spans="1:15" s="4" customFormat="1" ht="18" customHeight="1">
      <c r="A92" s="9" t="str">
        <f t="shared" si="9"/>
        <v>1 -Recette CABINET</v>
      </c>
      <c r="B92" s="21" t="str">
        <f t="shared" si="9"/>
        <v>A-SOINS</v>
      </c>
      <c r="C92" s="21"/>
      <c r="D92" s="57" t="s">
        <v>535</v>
      </c>
      <c r="E92" s="61" t="s">
        <v>361</v>
      </c>
      <c r="F92" s="43"/>
      <c r="G92" s="60">
        <f t="shared" si="10"/>
        <v>0</v>
      </c>
      <c r="H92" s="97" t="s">
        <v>365</v>
      </c>
      <c r="I92" s="56">
        <f t="shared" si="11"/>
        <v>0</v>
      </c>
      <c r="J92" s="47">
        <f t="shared" si="1"/>
        <v>0</v>
      </c>
      <c r="K92" s="1"/>
      <c r="L92" s="77" t="s">
        <v>362</v>
      </c>
      <c r="M92" s="98"/>
      <c r="N92" s="19" t="str">
        <f t="shared" si="12"/>
        <v>Société Générale</v>
      </c>
      <c r="O92" s="33" t="s">
        <v>36</v>
      </c>
    </row>
    <row r="93" spans="1:15" s="4" customFormat="1" ht="18" customHeight="1">
      <c r="A93" s="9" t="str">
        <f t="shared" si="9"/>
        <v>1 -Recette CABINET</v>
      </c>
      <c r="B93" s="21" t="str">
        <f t="shared" si="9"/>
        <v>A-SOINS</v>
      </c>
      <c r="C93" s="21"/>
      <c r="D93" s="57" t="s">
        <v>536</v>
      </c>
      <c r="E93" s="61" t="s">
        <v>361</v>
      </c>
      <c r="F93" s="43"/>
      <c r="G93" s="60">
        <f t="shared" si="10"/>
        <v>0</v>
      </c>
      <c r="H93" s="97" t="s">
        <v>442</v>
      </c>
      <c r="I93" s="56">
        <f t="shared" si="11"/>
        <v>0</v>
      </c>
      <c r="J93" s="47">
        <f t="shared" si="1"/>
        <v>0</v>
      </c>
      <c r="K93" s="1"/>
      <c r="L93" s="77" t="s">
        <v>362</v>
      </c>
      <c r="M93" s="98" t="str">
        <f t="shared" si="13"/>
        <v>31</v>
      </c>
      <c r="N93" s="19" t="str">
        <f t="shared" si="12"/>
        <v>Crédit Agricole</v>
      </c>
      <c r="O93" s="33" t="s">
        <v>36</v>
      </c>
    </row>
    <row r="94" spans="1:15" s="4" customFormat="1" ht="18" customHeight="1">
      <c r="A94" s="9" t="str">
        <f t="shared" si="9"/>
        <v>1 -Recette CABINET</v>
      </c>
      <c r="B94" s="21" t="str">
        <f t="shared" si="9"/>
        <v>A-SOINS</v>
      </c>
      <c r="C94" s="21"/>
      <c r="D94" s="57" t="s">
        <v>536</v>
      </c>
      <c r="E94" s="61" t="s">
        <v>361</v>
      </c>
      <c r="F94" s="43"/>
      <c r="G94" s="60">
        <f t="shared" si="10"/>
        <v>0</v>
      </c>
      <c r="H94" s="97" t="s">
        <v>364</v>
      </c>
      <c r="I94" s="56">
        <f t="shared" si="11"/>
        <v>0</v>
      </c>
      <c r="J94" s="47">
        <f t="shared" si="1"/>
        <v>0</v>
      </c>
      <c r="K94" s="1"/>
      <c r="L94" s="77" t="s">
        <v>362</v>
      </c>
      <c r="M94" s="98"/>
      <c r="N94" s="19" t="str">
        <f t="shared" si="12"/>
        <v>Société Générale</v>
      </c>
      <c r="O94" s="33" t="s">
        <v>36</v>
      </c>
    </row>
    <row r="95" spans="1:15" s="4" customFormat="1" ht="18" customHeight="1">
      <c r="A95" s="9" t="str">
        <f t="shared" si="9"/>
        <v>1 -Recette CABINET</v>
      </c>
      <c r="B95" s="21" t="str">
        <f t="shared" si="9"/>
        <v>A-SOINS</v>
      </c>
      <c r="C95" s="21"/>
      <c r="D95" s="57" t="s">
        <v>536</v>
      </c>
      <c r="E95" s="61" t="s">
        <v>361</v>
      </c>
      <c r="F95" s="43"/>
      <c r="G95" s="60">
        <f t="shared" si="10"/>
        <v>0</v>
      </c>
      <c r="H95" s="97" t="s">
        <v>365</v>
      </c>
      <c r="I95" s="56">
        <f t="shared" si="11"/>
        <v>0</v>
      </c>
      <c r="J95" s="47">
        <f t="shared" si="1"/>
        <v>0</v>
      </c>
      <c r="K95" s="1"/>
      <c r="L95" s="77" t="s">
        <v>362</v>
      </c>
      <c r="M95" s="98"/>
      <c r="N95" s="19" t="str">
        <f t="shared" si="12"/>
        <v>Société Générale</v>
      </c>
      <c r="O95" s="33" t="s">
        <v>36</v>
      </c>
    </row>
    <row r="96" spans="1:15" s="4" customFormat="1" ht="18" customHeight="1">
      <c r="A96" s="9" t="str">
        <f t="shared" si="9"/>
        <v>1 -Recette CABINET</v>
      </c>
      <c r="B96" s="21" t="str">
        <f t="shared" si="9"/>
        <v>A-SOINS</v>
      </c>
      <c r="C96" s="21"/>
      <c r="D96" s="57" t="s">
        <v>537</v>
      </c>
      <c r="E96" s="61" t="s">
        <v>361</v>
      </c>
      <c r="F96" s="43"/>
      <c r="G96" s="60">
        <f t="shared" si="10"/>
        <v>0</v>
      </c>
      <c r="H96" s="97" t="s">
        <v>442</v>
      </c>
      <c r="I96" s="56">
        <f t="shared" si="11"/>
        <v>0</v>
      </c>
      <c r="J96" s="47">
        <f t="shared" si="1"/>
        <v>0</v>
      </c>
      <c r="K96" s="1"/>
      <c r="L96" s="77" t="s">
        <v>362</v>
      </c>
      <c r="M96" s="98" t="str">
        <f t="shared" si="13"/>
        <v>32</v>
      </c>
      <c r="N96" s="19" t="str">
        <f t="shared" si="12"/>
        <v>Crédit Agricole</v>
      </c>
      <c r="O96" s="33" t="s">
        <v>36</v>
      </c>
    </row>
    <row r="97" spans="1:15" s="4" customFormat="1" ht="18" customHeight="1">
      <c r="A97" s="9" t="str">
        <f t="shared" si="9"/>
        <v>1 -Recette CABINET</v>
      </c>
      <c r="B97" s="21" t="str">
        <f t="shared" si="9"/>
        <v>A-SOINS</v>
      </c>
      <c r="C97" s="21"/>
      <c r="D97" s="57" t="s">
        <v>537</v>
      </c>
      <c r="E97" s="61" t="s">
        <v>361</v>
      </c>
      <c r="F97" s="43"/>
      <c r="G97" s="60">
        <f t="shared" si="10"/>
        <v>0</v>
      </c>
      <c r="H97" s="97" t="s">
        <v>364</v>
      </c>
      <c r="I97" s="56">
        <f t="shared" si="11"/>
        <v>0</v>
      </c>
      <c r="J97" s="47">
        <f t="shared" si="1"/>
        <v>0</v>
      </c>
      <c r="K97" s="1"/>
      <c r="L97" s="77" t="s">
        <v>362</v>
      </c>
      <c r="M97" s="98"/>
      <c r="N97" s="19" t="str">
        <f t="shared" si="12"/>
        <v>Société Générale</v>
      </c>
      <c r="O97" s="33" t="s">
        <v>36</v>
      </c>
    </row>
    <row r="98" spans="1:15" s="4" customFormat="1" ht="18" customHeight="1">
      <c r="A98" s="9" t="str">
        <f t="shared" si="9"/>
        <v>1 -Recette CABINET</v>
      </c>
      <c r="B98" s="21" t="str">
        <f t="shared" si="9"/>
        <v>A-SOINS</v>
      </c>
      <c r="C98" s="21"/>
      <c r="D98" s="57" t="s">
        <v>537</v>
      </c>
      <c r="E98" s="61" t="s">
        <v>361</v>
      </c>
      <c r="F98" s="43"/>
      <c r="G98" s="60">
        <f t="shared" si="10"/>
        <v>0</v>
      </c>
      <c r="H98" s="97" t="s">
        <v>365</v>
      </c>
      <c r="I98" s="56">
        <f t="shared" si="11"/>
        <v>0</v>
      </c>
      <c r="J98" s="47">
        <f t="shared" si="1"/>
        <v>0</v>
      </c>
      <c r="K98" s="1"/>
      <c r="L98" s="77" t="s">
        <v>362</v>
      </c>
      <c r="M98" s="98"/>
      <c r="N98" s="19" t="str">
        <f t="shared" si="12"/>
        <v>Société Générale</v>
      </c>
      <c r="O98" s="33" t="s">
        <v>36</v>
      </c>
    </row>
    <row r="99" spans="1:15" s="4" customFormat="1" ht="18" customHeight="1">
      <c r="A99" s="9" t="str">
        <f t="shared" ref="A99:B130" si="14">+A98</f>
        <v>1 -Recette CABINET</v>
      </c>
      <c r="B99" s="21" t="str">
        <f t="shared" si="14"/>
        <v>A-SOINS</v>
      </c>
      <c r="C99" s="21"/>
      <c r="D99" s="57" t="s">
        <v>538</v>
      </c>
      <c r="E99" s="61" t="s">
        <v>361</v>
      </c>
      <c r="F99" s="43"/>
      <c r="G99" s="60">
        <f t="shared" si="10"/>
        <v>0</v>
      </c>
      <c r="H99" s="97" t="s">
        <v>442</v>
      </c>
      <c r="I99" s="56">
        <f t="shared" si="11"/>
        <v>0</v>
      </c>
      <c r="J99" s="47">
        <f t="shared" si="1"/>
        <v>0</v>
      </c>
      <c r="K99" s="1"/>
      <c r="L99" s="77" t="s">
        <v>362</v>
      </c>
      <c r="M99" s="98" t="str">
        <f t="shared" si="13"/>
        <v>33</v>
      </c>
      <c r="N99" s="19" t="str">
        <f t="shared" si="12"/>
        <v>Crédit Agricole</v>
      </c>
      <c r="O99" s="33" t="s">
        <v>36</v>
      </c>
    </row>
    <row r="100" spans="1:15" s="4" customFormat="1" ht="18" customHeight="1">
      <c r="A100" s="9" t="str">
        <f t="shared" si="14"/>
        <v>1 -Recette CABINET</v>
      </c>
      <c r="B100" s="21" t="str">
        <f t="shared" si="14"/>
        <v>A-SOINS</v>
      </c>
      <c r="C100" s="21"/>
      <c r="D100" s="57" t="s">
        <v>538</v>
      </c>
      <c r="E100" s="61" t="s">
        <v>361</v>
      </c>
      <c r="F100" s="43"/>
      <c r="G100" s="60">
        <f t="shared" si="10"/>
        <v>0</v>
      </c>
      <c r="H100" s="97" t="s">
        <v>364</v>
      </c>
      <c r="I100" s="56">
        <f t="shared" si="11"/>
        <v>0</v>
      </c>
      <c r="J100" s="47">
        <f t="shared" si="1"/>
        <v>0</v>
      </c>
      <c r="K100" s="1"/>
      <c r="L100" s="77" t="s">
        <v>362</v>
      </c>
      <c r="M100" s="98"/>
      <c r="N100" s="19" t="str">
        <f t="shared" si="12"/>
        <v>Société Générale</v>
      </c>
      <c r="O100" s="33" t="s">
        <v>36</v>
      </c>
    </row>
    <row r="101" spans="1:15" s="4" customFormat="1" ht="18" customHeight="1">
      <c r="A101" s="9" t="str">
        <f t="shared" si="14"/>
        <v>1 -Recette CABINET</v>
      </c>
      <c r="B101" s="21" t="str">
        <f t="shared" si="14"/>
        <v>A-SOINS</v>
      </c>
      <c r="C101" s="21"/>
      <c r="D101" s="57" t="s">
        <v>538</v>
      </c>
      <c r="E101" s="61" t="s">
        <v>361</v>
      </c>
      <c r="F101" s="43"/>
      <c r="G101" s="60">
        <f t="shared" si="10"/>
        <v>0</v>
      </c>
      <c r="H101" s="97" t="s">
        <v>365</v>
      </c>
      <c r="I101" s="56">
        <f t="shared" si="11"/>
        <v>0</v>
      </c>
      <c r="J101" s="47">
        <f t="shared" si="1"/>
        <v>0</v>
      </c>
      <c r="K101" s="1"/>
      <c r="L101" s="77" t="s">
        <v>362</v>
      </c>
      <c r="M101" s="98"/>
      <c r="N101" s="19" t="str">
        <f t="shared" si="12"/>
        <v>Société Générale</v>
      </c>
      <c r="O101" s="33" t="s">
        <v>36</v>
      </c>
    </row>
    <row r="102" spans="1:15" s="4" customFormat="1" ht="18" customHeight="1">
      <c r="A102" s="9" t="str">
        <f t="shared" si="14"/>
        <v>1 -Recette CABINET</v>
      </c>
      <c r="B102" s="21" t="str">
        <f t="shared" si="14"/>
        <v>A-SOINS</v>
      </c>
      <c r="C102" s="21"/>
      <c r="D102" s="57" t="s">
        <v>539</v>
      </c>
      <c r="E102" s="61" t="s">
        <v>361</v>
      </c>
      <c r="F102" s="43"/>
      <c r="G102" s="60">
        <f t="shared" si="10"/>
        <v>0</v>
      </c>
      <c r="H102" s="97" t="s">
        <v>442</v>
      </c>
      <c r="I102" s="56">
        <f t="shared" si="11"/>
        <v>0</v>
      </c>
      <c r="J102" s="47">
        <f t="shared" si="1"/>
        <v>0</v>
      </c>
      <c r="K102" s="1"/>
      <c r="L102" s="77" t="s">
        <v>362</v>
      </c>
      <c r="M102" s="98" t="str">
        <f t="shared" si="13"/>
        <v>34</v>
      </c>
      <c r="N102" s="19" t="str">
        <f t="shared" si="12"/>
        <v>Crédit Agricole</v>
      </c>
      <c r="O102" s="33" t="s">
        <v>36</v>
      </c>
    </row>
    <row r="103" spans="1:15" s="4" customFormat="1" ht="18" customHeight="1">
      <c r="A103" s="9" t="str">
        <f t="shared" si="14"/>
        <v>1 -Recette CABINET</v>
      </c>
      <c r="B103" s="21" t="str">
        <f t="shared" si="14"/>
        <v>A-SOINS</v>
      </c>
      <c r="C103" s="21"/>
      <c r="D103" s="57" t="s">
        <v>539</v>
      </c>
      <c r="E103" s="61" t="s">
        <v>361</v>
      </c>
      <c r="F103" s="43"/>
      <c r="G103" s="60">
        <f t="shared" si="10"/>
        <v>0</v>
      </c>
      <c r="H103" s="97" t="s">
        <v>364</v>
      </c>
      <c r="I103" s="56">
        <f t="shared" si="11"/>
        <v>0</v>
      </c>
      <c r="J103" s="47">
        <f t="shared" si="1"/>
        <v>0</v>
      </c>
      <c r="K103" s="1"/>
      <c r="L103" s="77" t="s">
        <v>362</v>
      </c>
      <c r="M103" s="98"/>
      <c r="N103" s="19" t="str">
        <f t="shared" si="12"/>
        <v>Société Générale</v>
      </c>
      <c r="O103" s="33" t="s">
        <v>36</v>
      </c>
    </row>
    <row r="104" spans="1:15" s="4" customFormat="1" ht="18" customHeight="1">
      <c r="A104" s="9" t="str">
        <f t="shared" si="14"/>
        <v>1 -Recette CABINET</v>
      </c>
      <c r="B104" s="21" t="str">
        <f t="shared" si="14"/>
        <v>A-SOINS</v>
      </c>
      <c r="C104" s="21"/>
      <c r="D104" s="57" t="s">
        <v>539</v>
      </c>
      <c r="E104" s="61" t="s">
        <v>361</v>
      </c>
      <c r="F104" s="43"/>
      <c r="G104" s="60">
        <f t="shared" si="10"/>
        <v>0</v>
      </c>
      <c r="H104" s="97" t="s">
        <v>365</v>
      </c>
      <c r="I104" s="56">
        <f t="shared" si="11"/>
        <v>0</v>
      </c>
      <c r="J104" s="47">
        <f t="shared" si="1"/>
        <v>0</v>
      </c>
      <c r="K104" s="1"/>
      <c r="L104" s="77" t="s">
        <v>362</v>
      </c>
      <c r="M104" s="98"/>
      <c r="N104" s="19" t="str">
        <f t="shared" si="12"/>
        <v>Société Générale</v>
      </c>
      <c r="O104" s="33" t="s">
        <v>36</v>
      </c>
    </row>
    <row r="105" spans="1:15" s="4" customFormat="1" ht="18" customHeight="1">
      <c r="A105" s="9" t="str">
        <f t="shared" si="14"/>
        <v>1 -Recette CABINET</v>
      </c>
      <c r="B105" s="21" t="str">
        <f t="shared" si="14"/>
        <v>A-SOINS</v>
      </c>
      <c r="C105" s="21"/>
      <c r="D105" s="57" t="s">
        <v>540</v>
      </c>
      <c r="E105" s="61" t="s">
        <v>361</v>
      </c>
      <c r="F105" s="43"/>
      <c r="G105" s="60">
        <f t="shared" si="10"/>
        <v>0</v>
      </c>
      <c r="H105" s="97" t="s">
        <v>442</v>
      </c>
      <c r="I105" s="56">
        <f t="shared" si="11"/>
        <v>0</v>
      </c>
      <c r="J105" s="47">
        <f t="shared" si="1"/>
        <v>0</v>
      </c>
      <c r="K105" s="1"/>
      <c r="L105" s="77" t="s">
        <v>362</v>
      </c>
      <c r="M105" s="98" t="str">
        <f t="shared" si="13"/>
        <v>35</v>
      </c>
      <c r="N105" s="19" t="str">
        <f t="shared" si="12"/>
        <v>Crédit Agricole</v>
      </c>
      <c r="O105" s="33" t="s">
        <v>36</v>
      </c>
    </row>
    <row r="106" spans="1:15" s="4" customFormat="1" ht="18" customHeight="1">
      <c r="A106" s="9" t="str">
        <f t="shared" si="14"/>
        <v>1 -Recette CABINET</v>
      </c>
      <c r="B106" s="21" t="str">
        <f t="shared" si="14"/>
        <v>A-SOINS</v>
      </c>
      <c r="C106" s="21"/>
      <c r="D106" s="57" t="s">
        <v>540</v>
      </c>
      <c r="E106" s="61" t="s">
        <v>361</v>
      </c>
      <c r="F106" s="43"/>
      <c r="G106" s="60">
        <f t="shared" si="10"/>
        <v>0</v>
      </c>
      <c r="H106" s="97" t="s">
        <v>364</v>
      </c>
      <c r="I106" s="56">
        <f t="shared" si="11"/>
        <v>0</v>
      </c>
      <c r="J106" s="47">
        <f t="shared" si="1"/>
        <v>0</v>
      </c>
      <c r="K106" s="1"/>
      <c r="L106" s="77" t="s">
        <v>362</v>
      </c>
      <c r="M106" s="98"/>
      <c r="N106" s="19" t="str">
        <f t="shared" si="12"/>
        <v>Société Générale</v>
      </c>
      <c r="O106" s="33" t="s">
        <v>36</v>
      </c>
    </row>
    <row r="107" spans="1:15" s="4" customFormat="1" ht="18" customHeight="1">
      <c r="A107" s="9" t="str">
        <f t="shared" si="14"/>
        <v>1 -Recette CABINET</v>
      </c>
      <c r="B107" s="21" t="str">
        <f t="shared" si="14"/>
        <v>A-SOINS</v>
      </c>
      <c r="C107" s="21"/>
      <c r="D107" s="57" t="s">
        <v>540</v>
      </c>
      <c r="E107" s="61" t="s">
        <v>361</v>
      </c>
      <c r="F107" s="43"/>
      <c r="G107" s="60">
        <f t="shared" si="10"/>
        <v>0</v>
      </c>
      <c r="H107" s="97" t="s">
        <v>365</v>
      </c>
      <c r="I107" s="56">
        <f t="shared" si="11"/>
        <v>0</v>
      </c>
      <c r="J107" s="47">
        <f t="shared" si="1"/>
        <v>0</v>
      </c>
      <c r="K107" s="1"/>
      <c r="L107" s="77" t="s">
        <v>362</v>
      </c>
      <c r="M107" s="98"/>
      <c r="N107" s="19" t="str">
        <f t="shared" si="12"/>
        <v>Société Générale</v>
      </c>
      <c r="O107" s="33" t="s">
        <v>36</v>
      </c>
    </row>
    <row r="108" spans="1:15" s="4" customFormat="1" ht="18" customHeight="1">
      <c r="A108" s="9" t="str">
        <f t="shared" si="14"/>
        <v>1 -Recette CABINET</v>
      </c>
      <c r="B108" s="21" t="str">
        <f t="shared" si="14"/>
        <v>A-SOINS</v>
      </c>
      <c r="C108" s="21"/>
      <c r="D108" s="57" t="s">
        <v>541</v>
      </c>
      <c r="E108" s="61" t="s">
        <v>361</v>
      </c>
      <c r="F108" s="43"/>
      <c r="G108" s="60">
        <f t="shared" si="10"/>
        <v>0</v>
      </c>
      <c r="H108" s="97" t="s">
        <v>442</v>
      </c>
      <c r="I108" s="56">
        <f t="shared" si="11"/>
        <v>0</v>
      </c>
      <c r="J108" s="47">
        <f t="shared" si="1"/>
        <v>0</v>
      </c>
      <c r="K108" s="1"/>
      <c r="L108" s="77" t="s">
        <v>362</v>
      </c>
      <c r="M108" s="98" t="str">
        <f t="shared" si="13"/>
        <v>36</v>
      </c>
      <c r="N108" s="19" t="str">
        <f t="shared" si="12"/>
        <v>Crédit Agricole</v>
      </c>
      <c r="O108" s="33" t="s">
        <v>36</v>
      </c>
    </row>
    <row r="109" spans="1:15" s="4" customFormat="1" ht="18" customHeight="1">
      <c r="A109" s="9" t="str">
        <f t="shared" si="14"/>
        <v>1 -Recette CABINET</v>
      </c>
      <c r="B109" s="21" t="str">
        <f t="shared" si="14"/>
        <v>A-SOINS</v>
      </c>
      <c r="C109" s="21"/>
      <c r="D109" s="57" t="s">
        <v>541</v>
      </c>
      <c r="E109" s="61" t="s">
        <v>361</v>
      </c>
      <c r="F109" s="43"/>
      <c r="G109" s="60">
        <f t="shared" si="10"/>
        <v>0</v>
      </c>
      <c r="H109" s="97" t="s">
        <v>364</v>
      </c>
      <c r="I109" s="56">
        <f t="shared" si="11"/>
        <v>0</v>
      </c>
      <c r="J109" s="47">
        <f t="shared" si="1"/>
        <v>0</v>
      </c>
      <c r="K109" s="1"/>
      <c r="L109" s="77" t="s">
        <v>362</v>
      </c>
      <c r="M109" s="98"/>
      <c r="N109" s="19" t="str">
        <f t="shared" si="12"/>
        <v>Société Générale</v>
      </c>
      <c r="O109" s="33" t="s">
        <v>36</v>
      </c>
    </row>
    <row r="110" spans="1:15" s="4" customFormat="1" ht="18" customHeight="1">
      <c r="A110" s="9" t="str">
        <f t="shared" si="14"/>
        <v>1 -Recette CABINET</v>
      </c>
      <c r="B110" s="21" t="str">
        <f t="shared" si="14"/>
        <v>A-SOINS</v>
      </c>
      <c r="C110" s="21"/>
      <c r="D110" s="57" t="s">
        <v>541</v>
      </c>
      <c r="E110" s="61" t="s">
        <v>361</v>
      </c>
      <c r="F110" s="43"/>
      <c r="G110" s="60">
        <f t="shared" si="10"/>
        <v>0</v>
      </c>
      <c r="H110" s="97" t="s">
        <v>365</v>
      </c>
      <c r="I110" s="56">
        <f t="shared" si="11"/>
        <v>0</v>
      </c>
      <c r="J110" s="47">
        <f t="shared" si="1"/>
        <v>0</v>
      </c>
      <c r="K110" s="1"/>
      <c r="L110" s="77" t="s">
        <v>362</v>
      </c>
      <c r="M110" s="98"/>
      <c r="N110" s="19" t="str">
        <f t="shared" si="12"/>
        <v>Société Générale</v>
      </c>
      <c r="O110" s="33" t="s">
        <v>36</v>
      </c>
    </row>
    <row r="111" spans="1:15" s="4" customFormat="1" ht="18" customHeight="1">
      <c r="A111" s="9" t="str">
        <f t="shared" si="14"/>
        <v>1 -Recette CABINET</v>
      </c>
      <c r="B111" s="21" t="str">
        <f t="shared" si="14"/>
        <v>A-SOINS</v>
      </c>
      <c r="C111" s="21"/>
      <c r="D111" s="57" t="s">
        <v>542</v>
      </c>
      <c r="E111" s="61" t="s">
        <v>361</v>
      </c>
      <c r="F111" s="43"/>
      <c r="G111" s="60">
        <f t="shared" si="10"/>
        <v>0</v>
      </c>
      <c r="H111" s="97" t="s">
        <v>442</v>
      </c>
      <c r="I111" s="56">
        <f t="shared" si="11"/>
        <v>0</v>
      </c>
      <c r="J111" s="47">
        <f t="shared" si="1"/>
        <v>0</v>
      </c>
      <c r="K111" s="1"/>
      <c r="L111" s="77" t="s">
        <v>362</v>
      </c>
      <c r="M111" s="98" t="str">
        <f t="shared" si="13"/>
        <v>37</v>
      </c>
      <c r="N111" s="19" t="str">
        <f t="shared" si="12"/>
        <v>Crédit Agricole</v>
      </c>
      <c r="O111" s="33" t="s">
        <v>36</v>
      </c>
    </row>
    <row r="112" spans="1:15" s="4" customFormat="1" ht="18" customHeight="1">
      <c r="A112" s="9" t="str">
        <f t="shared" si="14"/>
        <v>1 -Recette CABINET</v>
      </c>
      <c r="B112" s="21" t="str">
        <f t="shared" si="14"/>
        <v>A-SOINS</v>
      </c>
      <c r="C112" s="21"/>
      <c r="D112" s="57" t="s">
        <v>542</v>
      </c>
      <c r="E112" s="61" t="s">
        <v>361</v>
      </c>
      <c r="F112" s="43"/>
      <c r="G112" s="60">
        <f t="shared" si="10"/>
        <v>0</v>
      </c>
      <c r="H112" s="97" t="s">
        <v>364</v>
      </c>
      <c r="I112" s="56">
        <f t="shared" si="11"/>
        <v>0</v>
      </c>
      <c r="J112" s="47">
        <f t="shared" si="1"/>
        <v>0</v>
      </c>
      <c r="K112" s="1"/>
      <c r="L112" s="77" t="s">
        <v>362</v>
      </c>
      <c r="M112" s="98"/>
      <c r="N112" s="19" t="str">
        <f t="shared" si="12"/>
        <v>Société Générale</v>
      </c>
      <c r="O112" s="33" t="s">
        <v>36</v>
      </c>
    </row>
    <row r="113" spans="1:15" s="4" customFormat="1" ht="18" customHeight="1">
      <c r="A113" s="9" t="str">
        <f t="shared" si="14"/>
        <v>1 -Recette CABINET</v>
      </c>
      <c r="B113" s="21" t="str">
        <f t="shared" si="14"/>
        <v>A-SOINS</v>
      </c>
      <c r="C113" s="21"/>
      <c r="D113" s="57" t="s">
        <v>542</v>
      </c>
      <c r="E113" s="61" t="s">
        <v>361</v>
      </c>
      <c r="F113" s="43"/>
      <c r="G113" s="60">
        <f t="shared" si="10"/>
        <v>0</v>
      </c>
      <c r="H113" s="97" t="s">
        <v>365</v>
      </c>
      <c r="I113" s="56">
        <f t="shared" si="11"/>
        <v>0</v>
      </c>
      <c r="J113" s="47">
        <f t="shared" si="1"/>
        <v>0</v>
      </c>
      <c r="K113" s="1"/>
      <c r="L113" s="77" t="s">
        <v>362</v>
      </c>
      <c r="M113" s="98"/>
      <c r="N113" s="19" t="str">
        <f t="shared" si="12"/>
        <v>Société Générale</v>
      </c>
      <c r="O113" s="33" t="s">
        <v>36</v>
      </c>
    </row>
    <row r="114" spans="1:15" s="4" customFormat="1" ht="18" customHeight="1">
      <c r="A114" s="9" t="str">
        <f t="shared" si="14"/>
        <v>1 -Recette CABINET</v>
      </c>
      <c r="B114" s="21" t="str">
        <f t="shared" si="14"/>
        <v>A-SOINS</v>
      </c>
      <c r="C114" s="21"/>
      <c r="D114" s="57" t="s">
        <v>543</v>
      </c>
      <c r="E114" s="61" t="s">
        <v>361</v>
      </c>
      <c r="F114" s="43"/>
      <c r="G114" s="60">
        <f t="shared" si="10"/>
        <v>0</v>
      </c>
      <c r="H114" s="97" t="s">
        <v>442</v>
      </c>
      <c r="I114" s="56">
        <f t="shared" si="11"/>
        <v>0</v>
      </c>
      <c r="J114" s="47">
        <f t="shared" si="1"/>
        <v>0</v>
      </c>
      <c r="K114" s="1"/>
      <c r="L114" s="77" t="s">
        <v>362</v>
      </c>
      <c r="M114" s="98" t="str">
        <f t="shared" si="13"/>
        <v>38</v>
      </c>
      <c r="N114" s="19" t="str">
        <f t="shared" si="12"/>
        <v>Crédit Agricole</v>
      </c>
      <c r="O114" s="33" t="s">
        <v>36</v>
      </c>
    </row>
    <row r="115" spans="1:15" s="4" customFormat="1" ht="18" customHeight="1">
      <c r="A115" s="9" t="str">
        <f t="shared" si="14"/>
        <v>1 -Recette CABINET</v>
      </c>
      <c r="B115" s="21" t="str">
        <f t="shared" si="14"/>
        <v>A-SOINS</v>
      </c>
      <c r="C115" s="21"/>
      <c r="D115" s="57" t="s">
        <v>543</v>
      </c>
      <c r="E115" s="61" t="s">
        <v>361</v>
      </c>
      <c r="F115" s="43"/>
      <c r="G115" s="60">
        <f t="shared" si="10"/>
        <v>0</v>
      </c>
      <c r="H115" s="97" t="s">
        <v>364</v>
      </c>
      <c r="I115" s="56">
        <f t="shared" si="11"/>
        <v>0</v>
      </c>
      <c r="J115" s="47">
        <f t="shared" ref="J115:J158" si="15">+I115</f>
        <v>0</v>
      </c>
      <c r="K115" s="1"/>
      <c r="L115" s="77" t="s">
        <v>362</v>
      </c>
      <c r="M115" s="98"/>
      <c r="N115" s="19" t="str">
        <f t="shared" si="12"/>
        <v>Société Générale</v>
      </c>
      <c r="O115" s="33" t="s">
        <v>36</v>
      </c>
    </row>
    <row r="116" spans="1:15" s="4" customFormat="1" ht="18" customHeight="1">
      <c r="A116" s="9" t="str">
        <f t="shared" si="14"/>
        <v>1 -Recette CABINET</v>
      </c>
      <c r="B116" s="21" t="str">
        <f t="shared" si="14"/>
        <v>A-SOINS</v>
      </c>
      <c r="C116" s="21"/>
      <c r="D116" s="57" t="s">
        <v>543</v>
      </c>
      <c r="E116" s="61" t="s">
        <v>361</v>
      </c>
      <c r="F116" s="43"/>
      <c r="G116" s="60">
        <f t="shared" si="10"/>
        <v>0</v>
      </c>
      <c r="H116" s="97" t="s">
        <v>365</v>
      </c>
      <c r="I116" s="56">
        <f t="shared" si="11"/>
        <v>0</v>
      </c>
      <c r="J116" s="47">
        <f t="shared" si="15"/>
        <v>0</v>
      </c>
      <c r="K116" s="1"/>
      <c r="L116" s="77" t="s">
        <v>362</v>
      </c>
      <c r="M116" s="98"/>
      <c r="N116" s="19" t="str">
        <f t="shared" si="12"/>
        <v>Société Générale</v>
      </c>
      <c r="O116" s="33" t="s">
        <v>36</v>
      </c>
    </row>
    <row r="117" spans="1:15">
      <c r="A117" s="9" t="str">
        <f t="shared" si="14"/>
        <v>1 -Recette CABINET</v>
      </c>
      <c r="B117" s="21" t="str">
        <f t="shared" si="14"/>
        <v>A-SOINS</v>
      </c>
      <c r="C117" s="21"/>
      <c r="D117" s="57" t="s">
        <v>544</v>
      </c>
      <c r="E117" s="61" t="s">
        <v>361</v>
      </c>
      <c r="F117" s="43"/>
      <c r="G117" s="60">
        <f t="shared" si="10"/>
        <v>0</v>
      </c>
      <c r="H117" s="97" t="s">
        <v>442</v>
      </c>
      <c r="I117" s="56">
        <f t="shared" si="11"/>
        <v>0</v>
      </c>
      <c r="J117" s="47">
        <f t="shared" si="15"/>
        <v>0</v>
      </c>
      <c r="L117" s="77" t="s">
        <v>362</v>
      </c>
      <c r="M117" s="98" t="str">
        <f t="shared" si="13"/>
        <v>39</v>
      </c>
      <c r="N117" s="19" t="str">
        <f t="shared" si="12"/>
        <v>Crédit Agricole</v>
      </c>
      <c r="O117" s="33" t="s">
        <v>36</v>
      </c>
    </row>
    <row r="118" spans="1:15">
      <c r="A118" s="9" t="str">
        <f t="shared" si="14"/>
        <v>1 -Recette CABINET</v>
      </c>
      <c r="B118" s="21" t="str">
        <f t="shared" si="14"/>
        <v>A-SOINS</v>
      </c>
      <c r="C118" s="21"/>
      <c r="D118" s="57" t="s">
        <v>544</v>
      </c>
      <c r="E118" s="61" t="s">
        <v>361</v>
      </c>
      <c r="F118" s="43"/>
      <c r="G118" s="60">
        <f t="shared" si="10"/>
        <v>0</v>
      </c>
      <c r="H118" s="97" t="s">
        <v>364</v>
      </c>
      <c r="I118" s="56">
        <f t="shared" si="11"/>
        <v>0</v>
      </c>
      <c r="J118" s="47">
        <f t="shared" si="15"/>
        <v>0</v>
      </c>
      <c r="L118" s="77" t="s">
        <v>362</v>
      </c>
      <c r="M118" s="98"/>
      <c r="N118" s="19" t="str">
        <f t="shared" si="12"/>
        <v>Société Générale</v>
      </c>
      <c r="O118" s="33" t="s">
        <v>36</v>
      </c>
    </row>
    <row r="119" spans="1:15">
      <c r="A119" s="9" t="str">
        <f t="shared" si="14"/>
        <v>1 -Recette CABINET</v>
      </c>
      <c r="B119" s="21" t="str">
        <f t="shared" si="14"/>
        <v>A-SOINS</v>
      </c>
      <c r="C119" s="21"/>
      <c r="D119" s="57" t="s">
        <v>544</v>
      </c>
      <c r="E119" s="61" t="s">
        <v>361</v>
      </c>
      <c r="F119" s="43"/>
      <c r="G119" s="60">
        <f t="shared" si="10"/>
        <v>0</v>
      </c>
      <c r="H119" s="97" t="s">
        <v>365</v>
      </c>
      <c r="I119" s="56">
        <f t="shared" si="11"/>
        <v>0</v>
      </c>
      <c r="J119" s="47">
        <f t="shared" si="15"/>
        <v>0</v>
      </c>
      <c r="L119" s="77" t="s">
        <v>362</v>
      </c>
      <c r="M119" s="98"/>
      <c r="N119" s="19" t="str">
        <f t="shared" si="12"/>
        <v>Société Générale</v>
      </c>
      <c r="O119" s="33" t="s">
        <v>36</v>
      </c>
    </row>
    <row r="120" spans="1:15">
      <c r="A120" s="9" t="str">
        <f t="shared" si="14"/>
        <v>1 -Recette CABINET</v>
      </c>
      <c r="B120" s="21" t="str">
        <f t="shared" si="14"/>
        <v>A-SOINS</v>
      </c>
      <c r="C120" s="21"/>
      <c r="D120" s="57" t="s">
        <v>545</v>
      </c>
      <c r="E120" s="61" t="s">
        <v>361</v>
      </c>
      <c r="F120" s="43"/>
      <c r="G120" s="60">
        <f t="shared" si="10"/>
        <v>0</v>
      </c>
      <c r="H120" s="97" t="s">
        <v>442</v>
      </c>
      <c r="I120" s="56">
        <f t="shared" si="11"/>
        <v>0</v>
      </c>
      <c r="J120" s="47">
        <f t="shared" si="15"/>
        <v>0</v>
      </c>
      <c r="L120" s="77" t="s">
        <v>362</v>
      </c>
      <c r="M120" s="98" t="str">
        <f t="shared" si="13"/>
        <v>40</v>
      </c>
      <c r="N120" s="19" t="str">
        <f t="shared" si="12"/>
        <v>Crédit Agricole</v>
      </c>
      <c r="O120" s="33" t="s">
        <v>36</v>
      </c>
    </row>
    <row r="121" spans="1:15">
      <c r="A121" s="9" t="str">
        <f t="shared" si="14"/>
        <v>1 -Recette CABINET</v>
      </c>
      <c r="B121" s="21" t="str">
        <f t="shared" si="14"/>
        <v>A-SOINS</v>
      </c>
      <c r="C121" s="21"/>
      <c r="D121" s="57" t="s">
        <v>545</v>
      </c>
      <c r="E121" s="61" t="s">
        <v>361</v>
      </c>
      <c r="F121" s="43"/>
      <c r="G121" s="60">
        <f t="shared" si="10"/>
        <v>0</v>
      </c>
      <c r="H121" s="97" t="s">
        <v>364</v>
      </c>
      <c r="I121" s="56">
        <f t="shared" si="11"/>
        <v>0</v>
      </c>
      <c r="J121" s="47">
        <f t="shared" si="15"/>
        <v>0</v>
      </c>
      <c r="L121" s="77" t="s">
        <v>362</v>
      </c>
      <c r="M121" s="98"/>
      <c r="N121" s="19" t="str">
        <f t="shared" si="12"/>
        <v>Société Générale</v>
      </c>
      <c r="O121" s="33" t="s">
        <v>36</v>
      </c>
    </row>
    <row r="122" spans="1:15">
      <c r="A122" s="9" t="str">
        <f t="shared" si="14"/>
        <v>1 -Recette CABINET</v>
      </c>
      <c r="B122" s="21" t="str">
        <f t="shared" si="14"/>
        <v>A-SOINS</v>
      </c>
      <c r="C122" s="21"/>
      <c r="D122" s="57" t="s">
        <v>545</v>
      </c>
      <c r="E122" s="61" t="s">
        <v>361</v>
      </c>
      <c r="F122" s="43"/>
      <c r="G122" s="60">
        <f t="shared" si="10"/>
        <v>0</v>
      </c>
      <c r="H122" s="97" t="s">
        <v>365</v>
      </c>
      <c r="I122" s="56">
        <f t="shared" si="11"/>
        <v>0</v>
      </c>
      <c r="J122" s="47">
        <f t="shared" si="15"/>
        <v>0</v>
      </c>
      <c r="L122" s="77" t="s">
        <v>362</v>
      </c>
      <c r="M122" s="98"/>
      <c r="N122" s="19" t="str">
        <f t="shared" si="12"/>
        <v>Société Générale</v>
      </c>
      <c r="O122" s="33" t="s">
        <v>36</v>
      </c>
    </row>
    <row r="123" spans="1:15">
      <c r="A123" s="9" t="str">
        <f t="shared" si="14"/>
        <v>1 -Recette CABINET</v>
      </c>
      <c r="B123" s="21" t="str">
        <f t="shared" si="14"/>
        <v>A-SOINS</v>
      </c>
      <c r="C123" s="21"/>
      <c r="D123" s="57" t="s">
        <v>546</v>
      </c>
      <c r="E123" s="61" t="s">
        <v>361</v>
      </c>
      <c r="F123" s="43"/>
      <c r="G123" s="60">
        <f t="shared" si="10"/>
        <v>0</v>
      </c>
      <c r="H123" s="97" t="s">
        <v>442</v>
      </c>
      <c r="I123" s="56">
        <f t="shared" si="11"/>
        <v>0</v>
      </c>
      <c r="J123" s="47">
        <f t="shared" si="15"/>
        <v>0</v>
      </c>
      <c r="L123" s="77" t="s">
        <v>362</v>
      </c>
      <c r="M123" s="98" t="str">
        <f t="shared" si="13"/>
        <v>41</v>
      </c>
      <c r="N123" s="19" t="str">
        <f t="shared" si="12"/>
        <v>Crédit Agricole</v>
      </c>
      <c r="O123" s="33" t="s">
        <v>36</v>
      </c>
    </row>
    <row r="124" spans="1:15">
      <c r="A124" s="9" t="str">
        <f t="shared" si="14"/>
        <v>1 -Recette CABINET</v>
      </c>
      <c r="B124" s="21" t="str">
        <f t="shared" si="14"/>
        <v>A-SOINS</v>
      </c>
      <c r="C124" s="21"/>
      <c r="D124" s="57" t="s">
        <v>546</v>
      </c>
      <c r="E124" s="61" t="s">
        <v>361</v>
      </c>
      <c r="F124" s="43"/>
      <c r="G124" s="60">
        <f t="shared" si="10"/>
        <v>0</v>
      </c>
      <c r="H124" s="97" t="s">
        <v>364</v>
      </c>
      <c r="I124" s="56">
        <f t="shared" si="11"/>
        <v>0</v>
      </c>
      <c r="J124" s="47">
        <f t="shared" si="15"/>
        <v>0</v>
      </c>
      <c r="L124" s="77" t="s">
        <v>362</v>
      </c>
      <c r="M124" s="98"/>
      <c r="N124" s="19" t="str">
        <f t="shared" si="12"/>
        <v>Société Générale</v>
      </c>
      <c r="O124" s="33" t="s">
        <v>36</v>
      </c>
    </row>
    <row r="125" spans="1:15">
      <c r="A125" s="9" t="str">
        <f t="shared" si="14"/>
        <v>1 -Recette CABINET</v>
      </c>
      <c r="B125" s="21" t="str">
        <f t="shared" si="14"/>
        <v>A-SOINS</v>
      </c>
      <c r="C125" s="21"/>
      <c r="D125" s="57" t="s">
        <v>546</v>
      </c>
      <c r="E125" s="61" t="s">
        <v>361</v>
      </c>
      <c r="F125" s="43"/>
      <c r="G125" s="60">
        <f t="shared" si="10"/>
        <v>0</v>
      </c>
      <c r="H125" s="97" t="s">
        <v>365</v>
      </c>
      <c r="I125" s="56">
        <f t="shared" si="11"/>
        <v>0</v>
      </c>
      <c r="J125" s="47">
        <f t="shared" si="15"/>
        <v>0</v>
      </c>
      <c r="L125" s="77" t="s">
        <v>362</v>
      </c>
      <c r="M125" s="98"/>
      <c r="N125" s="19" t="str">
        <f t="shared" si="12"/>
        <v>Société Générale</v>
      </c>
      <c r="O125" s="33" t="s">
        <v>36</v>
      </c>
    </row>
    <row r="126" spans="1:15">
      <c r="A126" s="9" t="str">
        <f t="shared" si="14"/>
        <v>1 -Recette CABINET</v>
      </c>
      <c r="B126" s="21" t="str">
        <f t="shared" si="14"/>
        <v>A-SOINS</v>
      </c>
      <c r="C126" s="21"/>
      <c r="D126" s="57" t="s">
        <v>547</v>
      </c>
      <c r="E126" s="61" t="s">
        <v>361</v>
      </c>
      <c r="F126" s="43"/>
      <c r="G126" s="60">
        <f t="shared" si="10"/>
        <v>0</v>
      </c>
      <c r="H126" s="97" t="s">
        <v>442</v>
      </c>
      <c r="I126" s="56">
        <f t="shared" si="11"/>
        <v>0</v>
      </c>
      <c r="J126" s="47">
        <f t="shared" si="15"/>
        <v>0</v>
      </c>
      <c r="L126" s="77" t="s">
        <v>362</v>
      </c>
      <c r="M126" s="98" t="str">
        <f t="shared" si="13"/>
        <v>42</v>
      </c>
      <c r="N126" s="19" t="str">
        <f t="shared" si="12"/>
        <v>Crédit Agricole</v>
      </c>
      <c r="O126" s="33" t="s">
        <v>36</v>
      </c>
    </row>
    <row r="127" spans="1:15">
      <c r="A127" s="9" t="str">
        <f t="shared" si="14"/>
        <v>1 -Recette CABINET</v>
      </c>
      <c r="B127" s="21" t="str">
        <f t="shared" si="14"/>
        <v>A-SOINS</v>
      </c>
      <c r="C127" s="21"/>
      <c r="D127" s="57" t="s">
        <v>547</v>
      </c>
      <c r="E127" s="61" t="s">
        <v>361</v>
      </c>
      <c r="F127" s="43"/>
      <c r="G127" s="60">
        <f t="shared" si="10"/>
        <v>0</v>
      </c>
      <c r="H127" s="97" t="s">
        <v>364</v>
      </c>
      <c r="I127" s="56">
        <f t="shared" si="11"/>
        <v>0</v>
      </c>
      <c r="J127" s="47">
        <f t="shared" si="15"/>
        <v>0</v>
      </c>
      <c r="L127" s="77" t="s">
        <v>362</v>
      </c>
      <c r="M127" s="98"/>
      <c r="N127" s="19" t="str">
        <f t="shared" si="12"/>
        <v>Société Générale</v>
      </c>
      <c r="O127" s="33" t="s">
        <v>36</v>
      </c>
    </row>
    <row r="128" spans="1:15">
      <c r="A128" s="9" t="str">
        <f t="shared" si="14"/>
        <v>1 -Recette CABINET</v>
      </c>
      <c r="B128" s="21" t="str">
        <f t="shared" si="14"/>
        <v>A-SOINS</v>
      </c>
      <c r="C128" s="21"/>
      <c r="D128" s="57" t="s">
        <v>547</v>
      </c>
      <c r="E128" s="61" t="s">
        <v>361</v>
      </c>
      <c r="F128" s="43"/>
      <c r="G128" s="60">
        <f t="shared" si="10"/>
        <v>0</v>
      </c>
      <c r="H128" s="97" t="s">
        <v>365</v>
      </c>
      <c r="I128" s="56">
        <f t="shared" si="11"/>
        <v>0</v>
      </c>
      <c r="J128" s="47">
        <f t="shared" si="15"/>
        <v>0</v>
      </c>
      <c r="L128" s="77" t="s">
        <v>362</v>
      </c>
      <c r="M128" s="98"/>
      <c r="N128" s="19" t="str">
        <f t="shared" si="12"/>
        <v>Société Générale</v>
      </c>
      <c r="O128" s="33" t="s">
        <v>36</v>
      </c>
    </row>
    <row r="129" spans="1:15">
      <c r="A129" s="9" t="str">
        <f t="shared" si="14"/>
        <v>1 -Recette CABINET</v>
      </c>
      <c r="B129" s="21" t="str">
        <f t="shared" si="14"/>
        <v>A-SOINS</v>
      </c>
      <c r="C129" s="21"/>
      <c r="D129" s="57" t="s">
        <v>548</v>
      </c>
      <c r="E129" s="61" t="s">
        <v>361</v>
      </c>
      <c r="F129" s="43"/>
      <c r="G129" s="60">
        <f t="shared" si="10"/>
        <v>0</v>
      </c>
      <c r="H129" s="97" t="s">
        <v>442</v>
      </c>
      <c r="I129" s="56">
        <f t="shared" si="11"/>
        <v>0</v>
      </c>
      <c r="J129" s="47">
        <f t="shared" si="15"/>
        <v>0</v>
      </c>
      <c r="L129" s="77" t="s">
        <v>362</v>
      </c>
      <c r="M129" s="98" t="str">
        <f t="shared" si="13"/>
        <v>43</v>
      </c>
      <c r="N129" s="19" t="str">
        <f t="shared" si="12"/>
        <v>Crédit Agricole</v>
      </c>
      <c r="O129" s="33" t="s">
        <v>36</v>
      </c>
    </row>
    <row r="130" spans="1:15">
      <c r="A130" s="9" t="str">
        <f t="shared" si="14"/>
        <v>1 -Recette CABINET</v>
      </c>
      <c r="B130" s="21" t="str">
        <f t="shared" si="14"/>
        <v>A-SOINS</v>
      </c>
      <c r="C130" s="21"/>
      <c r="D130" s="57" t="s">
        <v>548</v>
      </c>
      <c r="E130" s="61" t="s">
        <v>361</v>
      </c>
      <c r="F130" s="43"/>
      <c r="G130" s="60">
        <f t="shared" si="10"/>
        <v>0</v>
      </c>
      <c r="H130" s="97" t="s">
        <v>364</v>
      </c>
      <c r="I130" s="56">
        <f t="shared" si="11"/>
        <v>0</v>
      </c>
      <c r="J130" s="47">
        <f t="shared" si="15"/>
        <v>0</v>
      </c>
      <c r="L130" s="77" t="s">
        <v>362</v>
      </c>
      <c r="M130" s="98"/>
      <c r="N130" s="19" t="str">
        <f t="shared" si="12"/>
        <v>Société Générale</v>
      </c>
      <c r="O130" s="33" t="s">
        <v>36</v>
      </c>
    </row>
    <row r="131" spans="1:15">
      <c r="A131" s="9" t="str">
        <f t="shared" ref="A131:B157" si="16">+A130</f>
        <v>1 -Recette CABINET</v>
      </c>
      <c r="B131" s="21" t="str">
        <f t="shared" si="16"/>
        <v>A-SOINS</v>
      </c>
      <c r="C131" s="21"/>
      <c r="D131" s="57" t="s">
        <v>548</v>
      </c>
      <c r="E131" s="61" t="s">
        <v>361</v>
      </c>
      <c r="F131" s="43"/>
      <c r="G131" s="60">
        <f t="shared" si="10"/>
        <v>0</v>
      </c>
      <c r="H131" s="97" t="s">
        <v>365</v>
      </c>
      <c r="I131" s="56">
        <f t="shared" si="11"/>
        <v>0</v>
      </c>
      <c r="J131" s="47">
        <f t="shared" si="15"/>
        <v>0</v>
      </c>
      <c r="L131" s="77" t="s">
        <v>362</v>
      </c>
      <c r="M131" s="98"/>
      <c r="N131" s="19" t="str">
        <f t="shared" si="12"/>
        <v>Société Générale</v>
      </c>
      <c r="O131" s="33" t="s">
        <v>36</v>
      </c>
    </row>
    <row r="132" spans="1:15">
      <c r="A132" s="9" t="str">
        <f t="shared" si="16"/>
        <v>1 -Recette CABINET</v>
      </c>
      <c r="B132" s="21" t="str">
        <f t="shared" si="16"/>
        <v>A-SOINS</v>
      </c>
      <c r="C132" s="21"/>
      <c r="D132" s="57" t="s">
        <v>549</v>
      </c>
      <c r="E132" s="61" t="s">
        <v>361</v>
      </c>
      <c r="F132" s="43"/>
      <c r="G132" s="60">
        <f t="shared" ref="G132:G158" si="17">+$F$2/(52*3)</f>
        <v>0</v>
      </c>
      <c r="H132" s="97" t="s">
        <v>442</v>
      </c>
      <c r="I132" s="56">
        <f t="shared" ref="I132:I158" si="18">+IF(L132="A RECEVOIR",G132,"ERREUR")</f>
        <v>0</v>
      </c>
      <c r="J132" s="47">
        <f t="shared" si="15"/>
        <v>0</v>
      </c>
      <c r="L132" s="77" t="s">
        <v>362</v>
      </c>
      <c r="M132" s="98" t="str">
        <f t="shared" ref="M132:M156" si="19">+RIGHT(D132,2)</f>
        <v>44</v>
      </c>
      <c r="N132" s="19" t="str">
        <f t="shared" ref="N132:N158" si="20">+IF(H132="CB/Chèques","Crédit Agricole","Société Générale")</f>
        <v>Crédit Agricole</v>
      </c>
      <c r="O132" s="33" t="s">
        <v>36</v>
      </c>
    </row>
    <row r="133" spans="1:15">
      <c r="A133" s="9" t="str">
        <f t="shared" si="16"/>
        <v>1 -Recette CABINET</v>
      </c>
      <c r="B133" s="21" t="str">
        <f t="shared" si="16"/>
        <v>A-SOINS</v>
      </c>
      <c r="C133" s="21"/>
      <c r="D133" s="57" t="s">
        <v>549</v>
      </c>
      <c r="E133" s="61" t="s">
        <v>361</v>
      </c>
      <c r="F133" s="43"/>
      <c r="G133" s="60">
        <f t="shared" si="17"/>
        <v>0</v>
      </c>
      <c r="H133" s="97" t="s">
        <v>364</v>
      </c>
      <c r="I133" s="56">
        <f t="shared" si="18"/>
        <v>0</v>
      </c>
      <c r="J133" s="47">
        <f t="shared" si="15"/>
        <v>0</v>
      </c>
      <c r="L133" s="77" t="s">
        <v>362</v>
      </c>
      <c r="M133" s="98"/>
      <c r="N133" s="19" t="str">
        <f t="shared" si="20"/>
        <v>Société Générale</v>
      </c>
      <c r="O133" s="33" t="s">
        <v>36</v>
      </c>
    </row>
    <row r="134" spans="1:15">
      <c r="A134" s="9" t="str">
        <f t="shared" si="16"/>
        <v>1 -Recette CABINET</v>
      </c>
      <c r="B134" s="21" t="str">
        <f t="shared" si="16"/>
        <v>A-SOINS</v>
      </c>
      <c r="C134" s="21"/>
      <c r="D134" s="57" t="s">
        <v>549</v>
      </c>
      <c r="E134" s="61" t="s">
        <v>361</v>
      </c>
      <c r="F134" s="43"/>
      <c r="G134" s="60">
        <f t="shared" si="17"/>
        <v>0</v>
      </c>
      <c r="H134" s="97" t="s">
        <v>365</v>
      </c>
      <c r="I134" s="56">
        <f t="shared" si="18"/>
        <v>0</v>
      </c>
      <c r="J134" s="47">
        <f t="shared" si="15"/>
        <v>0</v>
      </c>
      <c r="L134" s="77" t="s">
        <v>362</v>
      </c>
      <c r="M134" s="98"/>
      <c r="N134" s="19" t="str">
        <f t="shared" si="20"/>
        <v>Société Générale</v>
      </c>
      <c r="O134" s="33" t="s">
        <v>36</v>
      </c>
    </row>
    <row r="135" spans="1:15">
      <c r="A135" s="9" t="str">
        <f t="shared" si="16"/>
        <v>1 -Recette CABINET</v>
      </c>
      <c r="B135" s="21" t="str">
        <f t="shared" si="16"/>
        <v>A-SOINS</v>
      </c>
      <c r="C135" s="21"/>
      <c r="D135" s="57" t="s">
        <v>550</v>
      </c>
      <c r="E135" s="61" t="s">
        <v>361</v>
      </c>
      <c r="F135" s="43"/>
      <c r="G135" s="60">
        <f t="shared" si="17"/>
        <v>0</v>
      </c>
      <c r="H135" s="97" t="s">
        <v>442</v>
      </c>
      <c r="I135" s="56">
        <f t="shared" si="18"/>
        <v>0</v>
      </c>
      <c r="J135" s="47">
        <f t="shared" si="15"/>
        <v>0</v>
      </c>
      <c r="L135" s="77" t="s">
        <v>362</v>
      </c>
      <c r="M135" s="98" t="str">
        <f t="shared" si="19"/>
        <v>45</v>
      </c>
      <c r="N135" s="19" t="str">
        <f t="shared" si="20"/>
        <v>Crédit Agricole</v>
      </c>
      <c r="O135" s="33" t="s">
        <v>36</v>
      </c>
    </row>
    <row r="136" spans="1:15">
      <c r="A136" s="9" t="str">
        <f t="shared" si="16"/>
        <v>1 -Recette CABINET</v>
      </c>
      <c r="B136" s="21" t="str">
        <f t="shared" si="16"/>
        <v>A-SOINS</v>
      </c>
      <c r="C136" s="21"/>
      <c r="D136" s="57" t="s">
        <v>550</v>
      </c>
      <c r="E136" s="61" t="s">
        <v>361</v>
      </c>
      <c r="F136" s="43"/>
      <c r="G136" s="60">
        <f t="shared" si="17"/>
        <v>0</v>
      </c>
      <c r="H136" s="97" t="s">
        <v>364</v>
      </c>
      <c r="I136" s="56">
        <f t="shared" si="18"/>
        <v>0</v>
      </c>
      <c r="J136" s="47">
        <f t="shared" si="15"/>
        <v>0</v>
      </c>
      <c r="L136" s="77" t="s">
        <v>362</v>
      </c>
      <c r="M136" s="98"/>
      <c r="N136" s="19" t="str">
        <f t="shared" si="20"/>
        <v>Société Générale</v>
      </c>
      <c r="O136" s="33" t="s">
        <v>36</v>
      </c>
    </row>
    <row r="137" spans="1:15">
      <c r="A137" s="9" t="str">
        <f t="shared" si="16"/>
        <v>1 -Recette CABINET</v>
      </c>
      <c r="B137" s="21" t="str">
        <f t="shared" si="16"/>
        <v>A-SOINS</v>
      </c>
      <c r="C137" s="21"/>
      <c r="D137" s="57" t="s">
        <v>550</v>
      </c>
      <c r="E137" s="61" t="s">
        <v>361</v>
      </c>
      <c r="F137" s="43"/>
      <c r="G137" s="60">
        <f t="shared" si="17"/>
        <v>0</v>
      </c>
      <c r="H137" s="97" t="s">
        <v>365</v>
      </c>
      <c r="I137" s="56">
        <f t="shared" si="18"/>
        <v>0</v>
      </c>
      <c r="J137" s="47">
        <f t="shared" si="15"/>
        <v>0</v>
      </c>
      <c r="L137" s="77" t="s">
        <v>362</v>
      </c>
      <c r="M137" s="98"/>
      <c r="N137" s="19" t="str">
        <f t="shared" si="20"/>
        <v>Société Générale</v>
      </c>
      <c r="O137" s="33" t="s">
        <v>36</v>
      </c>
    </row>
    <row r="138" spans="1:15">
      <c r="A138" s="9" t="str">
        <f t="shared" si="16"/>
        <v>1 -Recette CABINET</v>
      </c>
      <c r="B138" s="21" t="str">
        <f t="shared" si="16"/>
        <v>A-SOINS</v>
      </c>
      <c r="C138" s="21"/>
      <c r="D138" s="57" t="s">
        <v>551</v>
      </c>
      <c r="E138" s="61" t="s">
        <v>361</v>
      </c>
      <c r="F138" s="43"/>
      <c r="G138" s="60">
        <f t="shared" si="17"/>
        <v>0</v>
      </c>
      <c r="H138" s="97" t="s">
        <v>442</v>
      </c>
      <c r="I138" s="56">
        <f t="shared" si="18"/>
        <v>0</v>
      </c>
      <c r="J138" s="47">
        <f t="shared" si="15"/>
        <v>0</v>
      </c>
      <c r="L138" s="77" t="s">
        <v>362</v>
      </c>
      <c r="M138" s="98" t="str">
        <f t="shared" si="19"/>
        <v>46</v>
      </c>
      <c r="N138" s="19" t="str">
        <f t="shared" si="20"/>
        <v>Crédit Agricole</v>
      </c>
      <c r="O138" s="33" t="s">
        <v>36</v>
      </c>
    </row>
    <row r="139" spans="1:15">
      <c r="A139" s="9" t="str">
        <f t="shared" si="16"/>
        <v>1 -Recette CABINET</v>
      </c>
      <c r="B139" s="21" t="str">
        <f t="shared" si="16"/>
        <v>A-SOINS</v>
      </c>
      <c r="C139" s="21"/>
      <c r="D139" s="57" t="s">
        <v>551</v>
      </c>
      <c r="E139" s="61" t="s">
        <v>361</v>
      </c>
      <c r="F139" s="43"/>
      <c r="G139" s="60">
        <f t="shared" si="17"/>
        <v>0</v>
      </c>
      <c r="H139" s="97" t="s">
        <v>364</v>
      </c>
      <c r="I139" s="56">
        <f t="shared" si="18"/>
        <v>0</v>
      </c>
      <c r="J139" s="47">
        <f t="shared" si="15"/>
        <v>0</v>
      </c>
      <c r="L139" s="77" t="s">
        <v>362</v>
      </c>
      <c r="M139" s="98"/>
      <c r="N139" s="19" t="str">
        <f t="shared" si="20"/>
        <v>Société Générale</v>
      </c>
      <c r="O139" s="33" t="s">
        <v>36</v>
      </c>
    </row>
    <row r="140" spans="1:15">
      <c r="A140" s="9" t="str">
        <f t="shared" si="16"/>
        <v>1 -Recette CABINET</v>
      </c>
      <c r="B140" s="21" t="str">
        <f t="shared" si="16"/>
        <v>A-SOINS</v>
      </c>
      <c r="C140" s="21"/>
      <c r="D140" s="57" t="s">
        <v>551</v>
      </c>
      <c r="E140" s="61" t="s">
        <v>361</v>
      </c>
      <c r="F140" s="43"/>
      <c r="G140" s="60">
        <f t="shared" si="17"/>
        <v>0</v>
      </c>
      <c r="H140" s="97" t="s">
        <v>365</v>
      </c>
      <c r="I140" s="56">
        <f t="shared" si="18"/>
        <v>0</v>
      </c>
      <c r="J140" s="47">
        <f t="shared" si="15"/>
        <v>0</v>
      </c>
      <c r="L140" s="77" t="s">
        <v>362</v>
      </c>
      <c r="M140" s="98"/>
      <c r="N140" s="19" t="str">
        <f t="shared" si="20"/>
        <v>Société Générale</v>
      </c>
      <c r="O140" s="33" t="s">
        <v>36</v>
      </c>
    </row>
    <row r="141" spans="1:15">
      <c r="A141" s="9" t="str">
        <f t="shared" si="16"/>
        <v>1 -Recette CABINET</v>
      </c>
      <c r="B141" s="21" t="str">
        <f t="shared" si="16"/>
        <v>A-SOINS</v>
      </c>
      <c r="C141" s="21"/>
      <c r="D141" s="57" t="s">
        <v>552</v>
      </c>
      <c r="E141" s="61" t="s">
        <v>361</v>
      </c>
      <c r="F141" s="43"/>
      <c r="G141" s="60">
        <f t="shared" si="17"/>
        <v>0</v>
      </c>
      <c r="H141" s="97" t="s">
        <v>442</v>
      </c>
      <c r="I141" s="56">
        <f t="shared" si="18"/>
        <v>0</v>
      </c>
      <c r="J141" s="47">
        <f t="shared" si="15"/>
        <v>0</v>
      </c>
      <c r="L141" s="77" t="s">
        <v>362</v>
      </c>
      <c r="M141" s="98" t="str">
        <f t="shared" si="19"/>
        <v>47</v>
      </c>
      <c r="N141" s="19" t="str">
        <f t="shared" si="20"/>
        <v>Crédit Agricole</v>
      </c>
      <c r="O141" s="33" t="s">
        <v>36</v>
      </c>
    </row>
    <row r="142" spans="1:15">
      <c r="A142" s="9" t="str">
        <f t="shared" si="16"/>
        <v>1 -Recette CABINET</v>
      </c>
      <c r="B142" s="21" t="str">
        <f t="shared" si="16"/>
        <v>A-SOINS</v>
      </c>
      <c r="C142" s="21"/>
      <c r="D142" s="57" t="s">
        <v>552</v>
      </c>
      <c r="E142" s="61" t="s">
        <v>361</v>
      </c>
      <c r="F142" s="43"/>
      <c r="G142" s="60">
        <f t="shared" si="17"/>
        <v>0</v>
      </c>
      <c r="H142" s="97" t="s">
        <v>364</v>
      </c>
      <c r="I142" s="56">
        <f t="shared" si="18"/>
        <v>0</v>
      </c>
      <c r="J142" s="47">
        <f t="shared" si="15"/>
        <v>0</v>
      </c>
      <c r="L142" s="77" t="s">
        <v>362</v>
      </c>
      <c r="M142" s="98"/>
      <c r="N142" s="19" t="str">
        <f t="shared" si="20"/>
        <v>Société Générale</v>
      </c>
      <c r="O142" s="33" t="s">
        <v>36</v>
      </c>
    </row>
    <row r="143" spans="1:15">
      <c r="A143" s="9" t="str">
        <f t="shared" si="16"/>
        <v>1 -Recette CABINET</v>
      </c>
      <c r="B143" s="21" t="str">
        <f t="shared" si="16"/>
        <v>A-SOINS</v>
      </c>
      <c r="C143" s="21"/>
      <c r="D143" s="57" t="s">
        <v>552</v>
      </c>
      <c r="E143" s="61" t="s">
        <v>361</v>
      </c>
      <c r="F143" s="43"/>
      <c r="G143" s="60">
        <f t="shared" si="17"/>
        <v>0</v>
      </c>
      <c r="H143" s="97" t="s">
        <v>365</v>
      </c>
      <c r="I143" s="56">
        <f t="shared" si="18"/>
        <v>0</v>
      </c>
      <c r="J143" s="47">
        <f t="shared" si="15"/>
        <v>0</v>
      </c>
      <c r="L143" s="77" t="s">
        <v>362</v>
      </c>
      <c r="M143" s="98"/>
      <c r="N143" s="19" t="str">
        <f t="shared" si="20"/>
        <v>Société Générale</v>
      </c>
      <c r="O143" s="33" t="s">
        <v>36</v>
      </c>
    </row>
    <row r="144" spans="1:15">
      <c r="A144" s="9" t="str">
        <f t="shared" si="16"/>
        <v>1 -Recette CABINET</v>
      </c>
      <c r="B144" s="21" t="str">
        <f t="shared" si="16"/>
        <v>A-SOINS</v>
      </c>
      <c r="C144" s="21"/>
      <c r="D144" s="57" t="s">
        <v>553</v>
      </c>
      <c r="E144" s="61" t="s">
        <v>361</v>
      </c>
      <c r="F144" s="43"/>
      <c r="G144" s="60">
        <f t="shared" si="17"/>
        <v>0</v>
      </c>
      <c r="H144" s="97" t="s">
        <v>442</v>
      </c>
      <c r="I144" s="56">
        <f t="shared" si="18"/>
        <v>0</v>
      </c>
      <c r="J144" s="47">
        <f t="shared" si="15"/>
        <v>0</v>
      </c>
      <c r="L144" s="77" t="s">
        <v>362</v>
      </c>
      <c r="M144" s="98" t="str">
        <f t="shared" si="19"/>
        <v>48</v>
      </c>
      <c r="N144" s="19" t="str">
        <f t="shared" si="20"/>
        <v>Crédit Agricole</v>
      </c>
      <c r="O144" s="33" t="s">
        <v>36</v>
      </c>
    </row>
    <row r="145" spans="1:15">
      <c r="A145" s="9" t="str">
        <f t="shared" si="16"/>
        <v>1 -Recette CABINET</v>
      </c>
      <c r="B145" s="21" t="str">
        <f t="shared" si="16"/>
        <v>A-SOINS</v>
      </c>
      <c r="C145" s="21"/>
      <c r="D145" s="57" t="s">
        <v>553</v>
      </c>
      <c r="E145" s="61" t="s">
        <v>361</v>
      </c>
      <c r="F145" s="43"/>
      <c r="G145" s="60">
        <f t="shared" si="17"/>
        <v>0</v>
      </c>
      <c r="H145" s="97" t="s">
        <v>364</v>
      </c>
      <c r="I145" s="56">
        <f t="shared" si="18"/>
        <v>0</v>
      </c>
      <c r="J145" s="47">
        <f t="shared" si="15"/>
        <v>0</v>
      </c>
      <c r="L145" s="77" t="s">
        <v>362</v>
      </c>
      <c r="M145" s="98"/>
      <c r="N145" s="19" t="str">
        <f t="shared" si="20"/>
        <v>Société Générale</v>
      </c>
      <c r="O145" s="33" t="s">
        <v>36</v>
      </c>
    </row>
    <row r="146" spans="1:15">
      <c r="A146" s="9" t="str">
        <f t="shared" si="16"/>
        <v>1 -Recette CABINET</v>
      </c>
      <c r="B146" s="21" t="str">
        <f t="shared" si="16"/>
        <v>A-SOINS</v>
      </c>
      <c r="C146" s="21"/>
      <c r="D146" s="57" t="s">
        <v>553</v>
      </c>
      <c r="E146" s="61" t="s">
        <v>361</v>
      </c>
      <c r="F146" s="43"/>
      <c r="G146" s="60">
        <f t="shared" si="17"/>
        <v>0</v>
      </c>
      <c r="H146" s="97" t="s">
        <v>365</v>
      </c>
      <c r="I146" s="56">
        <f t="shared" si="18"/>
        <v>0</v>
      </c>
      <c r="J146" s="47">
        <f t="shared" si="15"/>
        <v>0</v>
      </c>
      <c r="L146" s="77" t="s">
        <v>362</v>
      </c>
      <c r="M146" s="98"/>
      <c r="N146" s="19" t="str">
        <f t="shared" si="20"/>
        <v>Société Générale</v>
      </c>
      <c r="O146" s="33" t="s">
        <v>36</v>
      </c>
    </row>
    <row r="147" spans="1:15">
      <c r="A147" s="9" t="str">
        <f t="shared" si="16"/>
        <v>1 -Recette CABINET</v>
      </c>
      <c r="B147" s="21" t="str">
        <f t="shared" si="16"/>
        <v>A-SOINS</v>
      </c>
      <c r="C147" s="21"/>
      <c r="D147" s="57" t="s">
        <v>554</v>
      </c>
      <c r="E147" s="61" t="s">
        <v>361</v>
      </c>
      <c r="F147" s="43"/>
      <c r="G147" s="60">
        <f t="shared" si="17"/>
        <v>0</v>
      </c>
      <c r="H147" s="97" t="s">
        <v>442</v>
      </c>
      <c r="I147" s="56">
        <f t="shared" si="18"/>
        <v>0</v>
      </c>
      <c r="J147" s="47">
        <f t="shared" si="15"/>
        <v>0</v>
      </c>
      <c r="L147" s="77" t="s">
        <v>362</v>
      </c>
      <c r="M147" s="98" t="str">
        <f t="shared" si="19"/>
        <v>49</v>
      </c>
      <c r="N147" s="19" t="str">
        <f t="shared" si="20"/>
        <v>Crédit Agricole</v>
      </c>
      <c r="O147" s="33" t="s">
        <v>36</v>
      </c>
    </row>
    <row r="148" spans="1:15">
      <c r="A148" s="9" t="str">
        <f t="shared" si="16"/>
        <v>1 -Recette CABINET</v>
      </c>
      <c r="B148" s="21" t="str">
        <f t="shared" si="16"/>
        <v>A-SOINS</v>
      </c>
      <c r="C148" s="21"/>
      <c r="D148" s="57" t="s">
        <v>554</v>
      </c>
      <c r="E148" s="61" t="s">
        <v>361</v>
      </c>
      <c r="F148" s="43"/>
      <c r="G148" s="60">
        <f t="shared" si="17"/>
        <v>0</v>
      </c>
      <c r="H148" s="97" t="s">
        <v>364</v>
      </c>
      <c r="I148" s="56">
        <f t="shared" si="18"/>
        <v>0</v>
      </c>
      <c r="J148" s="47">
        <f t="shared" si="15"/>
        <v>0</v>
      </c>
      <c r="L148" s="77" t="s">
        <v>362</v>
      </c>
      <c r="M148" s="98"/>
      <c r="N148" s="19" t="str">
        <f t="shared" si="20"/>
        <v>Société Générale</v>
      </c>
      <c r="O148" s="33" t="s">
        <v>36</v>
      </c>
    </row>
    <row r="149" spans="1:15">
      <c r="A149" s="9" t="str">
        <f t="shared" si="16"/>
        <v>1 -Recette CABINET</v>
      </c>
      <c r="B149" s="21" t="str">
        <f t="shared" si="16"/>
        <v>A-SOINS</v>
      </c>
      <c r="C149" s="21"/>
      <c r="D149" s="57" t="s">
        <v>554</v>
      </c>
      <c r="E149" s="61" t="s">
        <v>361</v>
      </c>
      <c r="F149" s="43"/>
      <c r="G149" s="60">
        <f t="shared" si="17"/>
        <v>0</v>
      </c>
      <c r="H149" s="97" t="s">
        <v>365</v>
      </c>
      <c r="I149" s="56">
        <f t="shared" si="18"/>
        <v>0</v>
      </c>
      <c r="J149" s="47">
        <f t="shared" si="15"/>
        <v>0</v>
      </c>
      <c r="L149" s="77" t="s">
        <v>362</v>
      </c>
      <c r="M149" s="98"/>
      <c r="N149" s="19" t="str">
        <f t="shared" si="20"/>
        <v>Société Générale</v>
      </c>
      <c r="O149" s="33" t="s">
        <v>36</v>
      </c>
    </row>
    <row r="150" spans="1:15">
      <c r="A150" s="9" t="str">
        <f t="shared" si="16"/>
        <v>1 -Recette CABINET</v>
      </c>
      <c r="B150" s="21" t="str">
        <f t="shared" si="16"/>
        <v>A-SOINS</v>
      </c>
      <c r="C150" s="21"/>
      <c r="D150" s="57" t="s">
        <v>555</v>
      </c>
      <c r="E150" s="61" t="s">
        <v>361</v>
      </c>
      <c r="F150" s="43"/>
      <c r="G150" s="60">
        <f t="shared" si="17"/>
        <v>0</v>
      </c>
      <c r="H150" s="97" t="s">
        <v>442</v>
      </c>
      <c r="I150" s="56">
        <f t="shared" si="18"/>
        <v>0</v>
      </c>
      <c r="J150" s="47">
        <f t="shared" si="15"/>
        <v>0</v>
      </c>
      <c r="L150" s="77" t="s">
        <v>362</v>
      </c>
      <c r="M150" s="98" t="str">
        <f t="shared" si="19"/>
        <v>50</v>
      </c>
      <c r="N150" s="19" t="str">
        <f t="shared" si="20"/>
        <v>Crédit Agricole</v>
      </c>
      <c r="O150" s="33" t="s">
        <v>36</v>
      </c>
    </row>
    <row r="151" spans="1:15">
      <c r="A151" s="9" t="str">
        <f t="shared" si="16"/>
        <v>1 -Recette CABINET</v>
      </c>
      <c r="B151" s="21" t="str">
        <f t="shared" si="16"/>
        <v>A-SOINS</v>
      </c>
      <c r="C151" s="21"/>
      <c r="D151" s="57" t="s">
        <v>555</v>
      </c>
      <c r="E151" s="61" t="s">
        <v>361</v>
      </c>
      <c r="F151" s="43"/>
      <c r="G151" s="60">
        <f t="shared" si="17"/>
        <v>0</v>
      </c>
      <c r="H151" s="97" t="s">
        <v>364</v>
      </c>
      <c r="I151" s="56">
        <f t="shared" si="18"/>
        <v>0</v>
      </c>
      <c r="J151" s="47">
        <f t="shared" si="15"/>
        <v>0</v>
      </c>
      <c r="L151" s="77" t="s">
        <v>362</v>
      </c>
      <c r="M151" s="98"/>
      <c r="N151" s="19" t="str">
        <f t="shared" si="20"/>
        <v>Société Générale</v>
      </c>
      <c r="O151" s="33" t="s">
        <v>36</v>
      </c>
    </row>
    <row r="152" spans="1:15">
      <c r="A152" s="9" t="str">
        <f t="shared" si="16"/>
        <v>1 -Recette CABINET</v>
      </c>
      <c r="B152" s="21" t="str">
        <f t="shared" si="16"/>
        <v>A-SOINS</v>
      </c>
      <c r="C152" s="21"/>
      <c r="D152" s="57" t="s">
        <v>555</v>
      </c>
      <c r="E152" s="61" t="s">
        <v>361</v>
      </c>
      <c r="F152" s="43"/>
      <c r="G152" s="60">
        <f t="shared" si="17"/>
        <v>0</v>
      </c>
      <c r="H152" s="97" t="s">
        <v>365</v>
      </c>
      <c r="I152" s="56">
        <f t="shared" si="18"/>
        <v>0</v>
      </c>
      <c r="J152" s="47">
        <f t="shared" si="15"/>
        <v>0</v>
      </c>
      <c r="L152" s="77" t="s">
        <v>362</v>
      </c>
      <c r="M152" s="98"/>
      <c r="N152" s="19" t="str">
        <f t="shared" si="20"/>
        <v>Société Générale</v>
      </c>
      <c r="O152" s="33" t="s">
        <v>36</v>
      </c>
    </row>
    <row r="153" spans="1:15">
      <c r="A153" s="9" t="str">
        <f t="shared" si="16"/>
        <v>1 -Recette CABINET</v>
      </c>
      <c r="B153" s="21" t="str">
        <f t="shared" si="16"/>
        <v>A-SOINS</v>
      </c>
      <c r="C153" s="21"/>
      <c r="D153" s="57" t="s">
        <v>556</v>
      </c>
      <c r="E153" s="61" t="s">
        <v>361</v>
      </c>
      <c r="F153" s="43"/>
      <c r="G153" s="60">
        <f t="shared" si="17"/>
        <v>0</v>
      </c>
      <c r="H153" s="97" t="s">
        <v>442</v>
      </c>
      <c r="I153" s="56">
        <f t="shared" si="18"/>
        <v>0</v>
      </c>
      <c r="J153" s="47">
        <f t="shared" si="15"/>
        <v>0</v>
      </c>
      <c r="L153" s="77" t="s">
        <v>362</v>
      </c>
      <c r="M153" s="98" t="str">
        <f t="shared" si="19"/>
        <v>51</v>
      </c>
      <c r="N153" s="19" t="str">
        <f t="shared" si="20"/>
        <v>Crédit Agricole</v>
      </c>
      <c r="O153" s="33" t="s">
        <v>36</v>
      </c>
    </row>
    <row r="154" spans="1:15">
      <c r="A154" s="9" t="str">
        <f t="shared" si="16"/>
        <v>1 -Recette CABINET</v>
      </c>
      <c r="B154" s="21" t="str">
        <f t="shared" si="16"/>
        <v>A-SOINS</v>
      </c>
      <c r="C154" s="21"/>
      <c r="D154" s="57" t="s">
        <v>556</v>
      </c>
      <c r="E154" s="61" t="s">
        <v>361</v>
      </c>
      <c r="F154" s="43"/>
      <c r="G154" s="60">
        <f t="shared" si="17"/>
        <v>0</v>
      </c>
      <c r="H154" s="97" t="s">
        <v>364</v>
      </c>
      <c r="I154" s="56">
        <f>+IF(L154="A RECEVOIR",G154,"ERREUR")</f>
        <v>0</v>
      </c>
      <c r="J154" s="47">
        <f t="shared" si="15"/>
        <v>0</v>
      </c>
      <c r="L154" s="77" t="s">
        <v>362</v>
      </c>
      <c r="M154" s="98"/>
      <c r="N154" s="19" t="str">
        <f t="shared" si="20"/>
        <v>Société Générale</v>
      </c>
      <c r="O154" s="33" t="s">
        <v>36</v>
      </c>
    </row>
    <row r="155" spans="1:15">
      <c r="A155" s="9" t="str">
        <f t="shared" si="16"/>
        <v>1 -Recette CABINET</v>
      </c>
      <c r="B155" s="21" t="str">
        <f t="shared" si="16"/>
        <v>A-SOINS</v>
      </c>
      <c r="C155" s="21"/>
      <c r="D155" s="57" t="s">
        <v>556</v>
      </c>
      <c r="E155" s="61" t="s">
        <v>361</v>
      </c>
      <c r="F155" s="43"/>
      <c r="G155" s="60">
        <f t="shared" si="17"/>
        <v>0</v>
      </c>
      <c r="H155" s="97" t="s">
        <v>365</v>
      </c>
      <c r="I155" s="56">
        <f t="shared" si="18"/>
        <v>0</v>
      </c>
      <c r="J155" s="47">
        <f t="shared" si="15"/>
        <v>0</v>
      </c>
      <c r="L155" s="77" t="s">
        <v>362</v>
      </c>
      <c r="M155" s="98"/>
      <c r="N155" s="19" t="str">
        <f t="shared" si="20"/>
        <v>Société Générale</v>
      </c>
      <c r="O155" s="33" t="s">
        <v>36</v>
      </c>
    </row>
    <row r="156" spans="1:15">
      <c r="A156" s="9" t="str">
        <f t="shared" si="16"/>
        <v>1 -Recette CABINET</v>
      </c>
      <c r="B156" s="21" t="str">
        <f t="shared" si="16"/>
        <v>A-SOINS</v>
      </c>
      <c r="C156" s="21"/>
      <c r="D156" s="57" t="s">
        <v>557</v>
      </c>
      <c r="E156" s="61" t="s">
        <v>361</v>
      </c>
      <c r="F156" s="43"/>
      <c r="G156" s="60">
        <f t="shared" si="17"/>
        <v>0</v>
      </c>
      <c r="H156" s="97" t="s">
        <v>442</v>
      </c>
      <c r="I156" s="56">
        <f t="shared" si="18"/>
        <v>0</v>
      </c>
      <c r="J156" s="47">
        <f t="shared" si="15"/>
        <v>0</v>
      </c>
      <c r="L156" s="77" t="s">
        <v>362</v>
      </c>
      <c r="M156" s="98" t="str">
        <f t="shared" si="19"/>
        <v>52</v>
      </c>
      <c r="N156" s="19" t="str">
        <f t="shared" si="20"/>
        <v>Crédit Agricole</v>
      </c>
      <c r="O156" s="33" t="s">
        <v>36</v>
      </c>
    </row>
    <row r="157" spans="1:15">
      <c r="A157" s="9" t="str">
        <f t="shared" si="16"/>
        <v>1 -Recette CABINET</v>
      </c>
      <c r="B157" s="21" t="str">
        <f t="shared" si="16"/>
        <v>A-SOINS</v>
      </c>
      <c r="C157" s="21"/>
      <c r="D157" s="57" t="s">
        <v>557</v>
      </c>
      <c r="E157" s="61" t="s">
        <v>361</v>
      </c>
      <c r="F157" s="43"/>
      <c r="G157" s="60">
        <f t="shared" si="17"/>
        <v>0</v>
      </c>
      <c r="H157" s="97" t="s">
        <v>364</v>
      </c>
      <c r="I157" s="56">
        <f t="shared" si="18"/>
        <v>0</v>
      </c>
      <c r="J157" s="47">
        <f t="shared" si="15"/>
        <v>0</v>
      </c>
      <c r="L157" s="77" t="s">
        <v>362</v>
      </c>
      <c r="M157" s="98"/>
      <c r="N157" s="19" t="str">
        <f t="shared" si="20"/>
        <v>Société Générale</v>
      </c>
      <c r="O157" s="33" t="s">
        <v>36</v>
      </c>
    </row>
    <row r="158" spans="1:15">
      <c r="A158" s="9" t="str">
        <f>+A157</f>
        <v>1 -Recette CABINET</v>
      </c>
      <c r="B158" s="21" t="str">
        <f t="shared" ref="B158" si="21">+B157</f>
        <v>A-SOINS</v>
      </c>
      <c r="C158" s="21"/>
      <c r="D158" s="57" t="s">
        <v>557</v>
      </c>
      <c r="E158" s="61" t="s">
        <v>361</v>
      </c>
      <c r="F158" s="43"/>
      <c r="G158" s="60">
        <f t="shared" si="17"/>
        <v>0</v>
      </c>
      <c r="H158" s="97" t="s">
        <v>365</v>
      </c>
      <c r="I158" s="56">
        <f t="shared" si="18"/>
        <v>0</v>
      </c>
      <c r="J158" s="47">
        <f t="shared" si="15"/>
        <v>0</v>
      </c>
      <c r="L158" s="77" t="s">
        <v>362</v>
      </c>
      <c r="M158" s="98"/>
      <c r="N158" s="19" t="str">
        <f t="shared" si="20"/>
        <v>Société Générale</v>
      </c>
      <c r="O158" s="33" t="s">
        <v>36</v>
      </c>
    </row>
    <row r="159" spans="1:15">
      <c r="A159" s="10" t="s">
        <v>360</v>
      </c>
      <c r="B159" s="10" t="s">
        <v>452</v>
      </c>
      <c r="C159" s="10"/>
      <c r="D159" s="10"/>
      <c r="E159" s="14"/>
      <c r="F159" s="93"/>
      <c r="G159" s="45"/>
      <c r="H159" s="45"/>
      <c r="I159" s="46"/>
      <c r="J159" s="46"/>
      <c r="K159" s="14"/>
      <c r="L159" s="14"/>
      <c r="M159" s="14"/>
      <c r="N159" s="14"/>
      <c r="O159" s="24"/>
    </row>
    <row r="160" spans="1:15">
      <c r="A160" s="9" t="str">
        <f t="shared" ref="A160:A223" si="22">+A159</f>
        <v>1 -Recette CABINET</v>
      </c>
      <c r="B160" s="21" t="str">
        <f t="shared" ref="B160:B223" si="23">+B159</f>
        <v>B-PROTHESES</v>
      </c>
      <c r="C160" s="21"/>
      <c r="D160" s="57" t="s">
        <v>453</v>
      </c>
      <c r="E160" s="61" t="s">
        <v>361</v>
      </c>
      <c r="F160" s="43"/>
      <c r="G160" s="60">
        <f>+$F$2/(52*3)</f>
        <v>0</v>
      </c>
      <c r="H160" s="97" t="s">
        <v>442</v>
      </c>
      <c r="I160" s="56">
        <f>985+4806.89</f>
        <v>5791.89</v>
      </c>
      <c r="J160" s="47">
        <f t="shared" ref="J160:J271" si="24">+I160</f>
        <v>5791.89</v>
      </c>
      <c r="K160" s="39" t="s">
        <v>363</v>
      </c>
      <c r="L160" s="19"/>
      <c r="M160" s="98" t="str">
        <f>+RIGHT(D160,2)</f>
        <v xml:space="preserve"> 1</v>
      </c>
      <c r="N160" s="19" t="str">
        <f>+IF(H160="CB/Chèques","Crédit Agricole","Société Générale")</f>
        <v>Crédit Agricole</v>
      </c>
      <c r="O160" s="33" t="s">
        <v>36</v>
      </c>
    </row>
    <row r="161" spans="1:15">
      <c r="A161" s="9" t="str">
        <f t="shared" si="22"/>
        <v>1 -Recette CABINET</v>
      </c>
      <c r="B161" s="21" t="str">
        <f t="shared" si="23"/>
        <v>B-PROTHESES</v>
      </c>
      <c r="C161" s="21"/>
      <c r="D161" s="57" t="s">
        <v>453</v>
      </c>
      <c r="E161" s="61" t="s">
        <v>361</v>
      </c>
      <c r="F161" s="43"/>
      <c r="G161" s="60">
        <f t="shared" ref="G161:G224" si="25">+$F$2/(52*3)</f>
        <v>0</v>
      </c>
      <c r="H161" s="97" t="s">
        <v>364</v>
      </c>
      <c r="I161" s="56">
        <v>0</v>
      </c>
      <c r="J161" s="47">
        <f t="shared" si="24"/>
        <v>0</v>
      </c>
      <c r="K161" s="39" t="s">
        <v>363</v>
      </c>
      <c r="L161" s="19"/>
      <c r="M161" s="98" t="str">
        <f>+M160</f>
        <v xml:space="preserve"> 1</v>
      </c>
      <c r="N161" s="19" t="str">
        <f t="shared" ref="N161:N224" si="26">+IF(H161="CB/Chèques","Crédit Agricole","Société Générale")</f>
        <v>Société Générale</v>
      </c>
      <c r="O161" s="33" t="s">
        <v>36</v>
      </c>
    </row>
    <row r="162" spans="1:15">
      <c r="A162" s="9" t="str">
        <f t="shared" si="22"/>
        <v>1 -Recette CABINET</v>
      </c>
      <c r="B162" s="21" t="str">
        <f t="shared" si="23"/>
        <v>B-PROTHESES</v>
      </c>
      <c r="C162" s="21"/>
      <c r="D162" s="57" t="s">
        <v>453</v>
      </c>
      <c r="E162" s="61" t="s">
        <v>361</v>
      </c>
      <c r="F162" s="43"/>
      <c r="G162" s="60">
        <f t="shared" si="25"/>
        <v>0</v>
      </c>
      <c r="H162" s="97" t="s">
        <v>365</v>
      </c>
      <c r="I162" s="56">
        <v>161.04</v>
      </c>
      <c r="J162" s="47">
        <f t="shared" si="24"/>
        <v>161.04</v>
      </c>
      <c r="K162" s="39" t="s">
        <v>363</v>
      </c>
      <c r="L162" s="19"/>
      <c r="M162" s="98" t="str">
        <f>+M166</f>
        <v xml:space="preserve"> 3</v>
      </c>
      <c r="N162" s="19" t="str">
        <f t="shared" si="26"/>
        <v>Société Générale</v>
      </c>
      <c r="O162" s="33" t="s">
        <v>36</v>
      </c>
    </row>
    <row r="163" spans="1:15">
      <c r="A163" s="9" t="str">
        <f t="shared" si="22"/>
        <v>1 -Recette CABINET</v>
      </c>
      <c r="B163" s="21" t="str">
        <f t="shared" si="23"/>
        <v>B-PROTHESES</v>
      </c>
      <c r="C163" s="21"/>
      <c r="D163" s="57" t="s">
        <v>454</v>
      </c>
      <c r="E163" s="61" t="s">
        <v>361</v>
      </c>
      <c r="F163" s="43"/>
      <c r="G163" s="60">
        <f t="shared" si="25"/>
        <v>0</v>
      </c>
      <c r="H163" s="97" t="s">
        <v>442</v>
      </c>
      <c r="I163" s="56">
        <f>865+6558.52+550</f>
        <v>7973.52</v>
      </c>
      <c r="J163" s="47">
        <f t="shared" si="24"/>
        <v>7973.52</v>
      </c>
      <c r="K163" s="39" t="s">
        <v>363</v>
      </c>
      <c r="L163" s="19"/>
      <c r="M163" s="98" t="str">
        <f t="shared" ref="M163:M164" si="27">+RIGHT(D163,2)</f>
        <v xml:space="preserve"> 2</v>
      </c>
      <c r="N163" s="19" t="str">
        <f t="shared" si="26"/>
        <v>Crédit Agricole</v>
      </c>
      <c r="O163" s="33" t="s">
        <v>36</v>
      </c>
    </row>
    <row r="164" spans="1:15">
      <c r="A164" s="9" t="str">
        <f t="shared" si="22"/>
        <v>1 -Recette CABINET</v>
      </c>
      <c r="B164" s="21" t="str">
        <f t="shared" si="23"/>
        <v>B-PROTHESES</v>
      </c>
      <c r="C164" s="21"/>
      <c r="D164" s="57" t="s">
        <v>454</v>
      </c>
      <c r="E164" s="61" t="s">
        <v>361</v>
      </c>
      <c r="F164" s="43"/>
      <c r="G164" s="60">
        <f t="shared" si="25"/>
        <v>0</v>
      </c>
      <c r="H164" s="97" t="s">
        <v>364</v>
      </c>
      <c r="I164" s="56">
        <v>527.21</v>
      </c>
      <c r="J164" s="47">
        <f t="shared" si="24"/>
        <v>527.21</v>
      </c>
      <c r="K164" s="39" t="s">
        <v>363</v>
      </c>
      <c r="L164" s="19"/>
      <c r="M164" s="98" t="str">
        <f t="shared" si="27"/>
        <v xml:space="preserve"> 2</v>
      </c>
      <c r="N164" s="19" t="str">
        <f t="shared" si="26"/>
        <v>Société Générale</v>
      </c>
      <c r="O164" s="33" t="s">
        <v>36</v>
      </c>
    </row>
    <row r="165" spans="1:15">
      <c r="A165" s="9" t="str">
        <f t="shared" si="22"/>
        <v>1 -Recette CABINET</v>
      </c>
      <c r="B165" s="21" t="str">
        <f t="shared" si="23"/>
        <v>B-PROTHESES</v>
      </c>
      <c r="C165" s="21"/>
      <c r="D165" s="57" t="s">
        <v>454</v>
      </c>
      <c r="E165" s="61" t="s">
        <v>361</v>
      </c>
      <c r="F165" s="43"/>
      <c r="G165" s="60">
        <f t="shared" si="25"/>
        <v>0</v>
      </c>
      <c r="H165" s="97" t="s">
        <v>365</v>
      </c>
      <c r="I165" s="56">
        <v>0</v>
      </c>
      <c r="J165" s="47">
        <f t="shared" si="24"/>
        <v>0</v>
      </c>
      <c r="K165" s="39" t="s">
        <v>363</v>
      </c>
      <c r="L165" s="19"/>
      <c r="M165" s="98" t="str">
        <f>+M163</f>
        <v xml:space="preserve"> 2</v>
      </c>
      <c r="N165" s="19" t="str">
        <f t="shared" si="26"/>
        <v>Société Générale</v>
      </c>
      <c r="O165" s="33" t="s">
        <v>36</v>
      </c>
    </row>
    <row r="166" spans="1:15">
      <c r="A166" s="9" t="str">
        <f t="shared" si="22"/>
        <v>1 -Recette CABINET</v>
      </c>
      <c r="B166" s="21" t="str">
        <f t="shared" si="23"/>
        <v>B-PROTHESES</v>
      </c>
      <c r="C166" s="21"/>
      <c r="D166" s="57" t="s">
        <v>455</v>
      </c>
      <c r="E166" s="61" t="s">
        <v>361</v>
      </c>
      <c r="F166" s="43"/>
      <c r="G166" s="60">
        <f t="shared" si="25"/>
        <v>0</v>
      </c>
      <c r="H166" s="97" t="s">
        <v>442</v>
      </c>
      <c r="I166" s="56">
        <f>1000+6699.11</f>
        <v>7699.11</v>
      </c>
      <c r="J166" s="47">
        <f t="shared" si="24"/>
        <v>7699.11</v>
      </c>
      <c r="K166" s="39" t="s">
        <v>363</v>
      </c>
      <c r="L166" s="19"/>
      <c r="M166" s="98" t="str">
        <f t="shared" ref="M166:M167" si="28">+RIGHT(D166,2)</f>
        <v xml:space="preserve"> 3</v>
      </c>
      <c r="N166" s="19" t="str">
        <f t="shared" si="26"/>
        <v>Crédit Agricole</v>
      </c>
      <c r="O166" s="33" t="s">
        <v>36</v>
      </c>
    </row>
    <row r="167" spans="1:15">
      <c r="A167" s="9" t="str">
        <f t="shared" si="22"/>
        <v>1 -Recette CABINET</v>
      </c>
      <c r="B167" s="21" t="str">
        <f t="shared" si="23"/>
        <v>B-PROTHESES</v>
      </c>
      <c r="C167" s="21"/>
      <c r="D167" s="57" t="s">
        <v>455</v>
      </c>
      <c r="E167" s="61" t="s">
        <v>361</v>
      </c>
      <c r="F167" s="43"/>
      <c r="G167" s="60">
        <f t="shared" si="25"/>
        <v>0</v>
      </c>
      <c r="H167" s="97" t="s">
        <v>364</v>
      </c>
      <c r="I167" s="56">
        <v>0</v>
      </c>
      <c r="J167" s="47">
        <f t="shared" si="24"/>
        <v>0</v>
      </c>
      <c r="K167" s="39" t="s">
        <v>363</v>
      </c>
      <c r="L167" s="19"/>
      <c r="M167" s="98" t="str">
        <f t="shared" si="28"/>
        <v xml:space="preserve"> 3</v>
      </c>
      <c r="N167" s="19" t="str">
        <f t="shared" si="26"/>
        <v>Société Générale</v>
      </c>
      <c r="O167" s="33" t="s">
        <v>36</v>
      </c>
    </row>
    <row r="168" spans="1:15">
      <c r="A168" s="9" t="str">
        <f t="shared" si="22"/>
        <v>1 -Recette CABINET</v>
      </c>
      <c r="B168" s="21" t="str">
        <f t="shared" si="23"/>
        <v>B-PROTHESES</v>
      </c>
      <c r="C168" s="21"/>
      <c r="D168" s="57" t="s">
        <v>455</v>
      </c>
      <c r="E168" s="61" t="s">
        <v>361</v>
      </c>
      <c r="F168" s="43"/>
      <c r="G168" s="60">
        <f t="shared" si="25"/>
        <v>0</v>
      </c>
      <c r="H168" s="97" t="s">
        <v>365</v>
      </c>
      <c r="I168" s="56">
        <v>352.18</v>
      </c>
      <c r="J168" s="47">
        <f t="shared" si="24"/>
        <v>352.18</v>
      </c>
      <c r="K168" s="39" t="s">
        <v>363</v>
      </c>
      <c r="L168" s="19"/>
      <c r="M168" s="98" t="str">
        <f>+M172</f>
        <v xml:space="preserve"> 5</v>
      </c>
      <c r="N168" s="19" t="str">
        <f t="shared" si="26"/>
        <v>Société Générale</v>
      </c>
      <c r="O168" s="33" t="s">
        <v>36</v>
      </c>
    </row>
    <row r="169" spans="1:15">
      <c r="A169" s="9" t="str">
        <f t="shared" si="22"/>
        <v>1 -Recette CABINET</v>
      </c>
      <c r="B169" s="21" t="str">
        <f t="shared" si="23"/>
        <v>B-PROTHESES</v>
      </c>
      <c r="C169" s="21"/>
      <c r="D169" s="57" t="s">
        <v>456</v>
      </c>
      <c r="E169" s="61" t="s">
        <v>361</v>
      </c>
      <c r="F169" s="43"/>
      <c r="G169" s="60">
        <f t="shared" si="25"/>
        <v>0</v>
      </c>
      <c r="H169" s="97" t="s">
        <v>442</v>
      </c>
      <c r="I169" s="56">
        <f>850+1060+277</f>
        <v>2187</v>
      </c>
      <c r="J169" s="47">
        <f t="shared" si="24"/>
        <v>2187</v>
      </c>
      <c r="K169" s="39" t="s">
        <v>363</v>
      </c>
      <c r="L169" s="19"/>
      <c r="M169" s="98" t="str">
        <f t="shared" ref="M169:M171" si="29">+RIGHT(D169,2)</f>
        <v xml:space="preserve"> 4</v>
      </c>
      <c r="N169" s="19" t="str">
        <f t="shared" si="26"/>
        <v>Crédit Agricole</v>
      </c>
      <c r="O169" s="33" t="s">
        <v>36</v>
      </c>
    </row>
    <row r="170" spans="1:15">
      <c r="A170" s="9" t="str">
        <f t="shared" si="22"/>
        <v>1 -Recette CABINET</v>
      </c>
      <c r="B170" s="21" t="str">
        <f t="shared" si="23"/>
        <v>B-PROTHESES</v>
      </c>
      <c r="C170" s="21"/>
      <c r="D170" s="57" t="s">
        <v>456</v>
      </c>
      <c r="E170" s="61" t="s">
        <v>361</v>
      </c>
      <c r="F170" s="43"/>
      <c r="G170" s="60">
        <f t="shared" si="25"/>
        <v>0</v>
      </c>
      <c r="H170" s="97" t="s">
        <v>364</v>
      </c>
      <c r="I170" s="56">
        <v>0</v>
      </c>
      <c r="J170" s="47">
        <f t="shared" si="24"/>
        <v>0</v>
      </c>
      <c r="K170" s="39" t="s">
        <v>363</v>
      </c>
      <c r="L170" s="19"/>
      <c r="M170" s="98" t="str">
        <f t="shared" si="29"/>
        <v xml:space="preserve"> 4</v>
      </c>
      <c r="N170" s="19" t="str">
        <f t="shared" si="26"/>
        <v>Société Générale</v>
      </c>
      <c r="O170" s="33" t="s">
        <v>36</v>
      </c>
    </row>
    <row r="171" spans="1:15">
      <c r="A171" s="9" t="str">
        <f t="shared" si="22"/>
        <v>1 -Recette CABINET</v>
      </c>
      <c r="B171" s="21" t="str">
        <f t="shared" si="23"/>
        <v>B-PROTHESES</v>
      </c>
      <c r="C171" s="21"/>
      <c r="D171" s="57" t="s">
        <v>456</v>
      </c>
      <c r="E171" s="61" t="s">
        <v>361</v>
      </c>
      <c r="F171" s="43"/>
      <c r="G171" s="60">
        <f t="shared" si="25"/>
        <v>0</v>
      </c>
      <c r="H171" s="97" t="s">
        <v>365</v>
      </c>
      <c r="I171" s="56">
        <v>0</v>
      </c>
      <c r="J171" s="47">
        <f t="shared" si="24"/>
        <v>0</v>
      </c>
      <c r="K171" s="39" t="s">
        <v>363</v>
      </c>
      <c r="L171" s="19"/>
      <c r="M171" s="98" t="str">
        <f t="shared" si="29"/>
        <v xml:space="preserve"> 4</v>
      </c>
      <c r="N171" s="19" t="str">
        <f t="shared" si="26"/>
        <v>Société Générale</v>
      </c>
      <c r="O171" s="33" t="s">
        <v>36</v>
      </c>
    </row>
    <row r="172" spans="1:15">
      <c r="A172" s="9" t="str">
        <f t="shared" si="22"/>
        <v>1 -Recette CABINET</v>
      </c>
      <c r="B172" s="21" t="str">
        <f t="shared" si="23"/>
        <v>B-PROTHESES</v>
      </c>
      <c r="C172" s="21"/>
      <c r="D172" s="57" t="s">
        <v>457</v>
      </c>
      <c r="E172" s="61" t="s">
        <v>361</v>
      </c>
      <c r="F172" s="43"/>
      <c r="G172" s="60">
        <f t="shared" si="25"/>
        <v>0</v>
      </c>
      <c r="H172" s="97" t="s">
        <v>442</v>
      </c>
      <c r="I172" s="56">
        <f>2358+2112.25</f>
        <v>4470.25</v>
      </c>
      <c r="J172" s="47">
        <f t="shared" si="24"/>
        <v>4470.25</v>
      </c>
      <c r="K172" s="39" t="s">
        <v>363</v>
      </c>
      <c r="L172" s="19"/>
      <c r="M172" s="98" t="str">
        <f t="shared" ref="M172:M174" si="30">+RIGHT(D172,2)</f>
        <v xml:space="preserve"> 5</v>
      </c>
      <c r="N172" s="19" t="str">
        <f t="shared" si="26"/>
        <v>Crédit Agricole</v>
      </c>
      <c r="O172" s="33" t="s">
        <v>36</v>
      </c>
    </row>
    <row r="173" spans="1:15">
      <c r="A173" s="9" t="str">
        <f t="shared" si="22"/>
        <v>1 -Recette CABINET</v>
      </c>
      <c r="B173" s="21" t="str">
        <f t="shared" si="23"/>
        <v>B-PROTHESES</v>
      </c>
      <c r="C173" s="21"/>
      <c r="D173" s="57" t="s">
        <v>457</v>
      </c>
      <c r="E173" s="61" t="s">
        <v>361</v>
      </c>
      <c r="F173" s="43"/>
      <c r="G173" s="60">
        <f t="shared" si="25"/>
        <v>0</v>
      </c>
      <c r="H173" s="97" t="s">
        <v>364</v>
      </c>
      <c r="I173" s="56">
        <v>0</v>
      </c>
      <c r="J173" s="47">
        <f t="shared" si="24"/>
        <v>0</v>
      </c>
      <c r="K173" s="39" t="s">
        <v>363</v>
      </c>
      <c r="L173" s="19"/>
      <c r="M173" s="98" t="str">
        <f t="shared" si="30"/>
        <v xml:space="preserve"> 5</v>
      </c>
      <c r="N173" s="19" t="str">
        <f t="shared" si="26"/>
        <v>Société Générale</v>
      </c>
      <c r="O173" s="33" t="s">
        <v>36</v>
      </c>
    </row>
    <row r="174" spans="1:15">
      <c r="A174" s="9" t="str">
        <f t="shared" si="22"/>
        <v>1 -Recette CABINET</v>
      </c>
      <c r="B174" s="21" t="str">
        <f t="shared" si="23"/>
        <v>B-PROTHESES</v>
      </c>
      <c r="C174" s="21"/>
      <c r="D174" s="57" t="s">
        <v>457</v>
      </c>
      <c r="E174" s="61" t="s">
        <v>361</v>
      </c>
      <c r="F174" s="43"/>
      <c r="G174" s="60">
        <f t="shared" si="25"/>
        <v>0</v>
      </c>
      <c r="H174" s="97" t="s">
        <v>365</v>
      </c>
      <c r="I174" s="56">
        <v>0</v>
      </c>
      <c r="J174" s="47">
        <f t="shared" si="24"/>
        <v>0</v>
      </c>
      <c r="K174" s="39" t="s">
        <v>363</v>
      </c>
      <c r="L174" s="19"/>
      <c r="M174" s="98" t="str">
        <f t="shared" si="30"/>
        <v xml:space="preserve"> 5</v>
      </c>
      <c r="N174" s="19" t="str">
        <f t="shared" si="26"/>
        <v>Société Générale</v>
      </c>
      <c r="O174" s="33" t="s">
        <v>36</v>
      </c>
    </row>
    <row r="175" spans="1:15">
      <c r="A175" s="9" t="str">
        <f t="shared" si="22"/>
        <v>1 -Recette CABINET</v>
      </c>
      <c r="B175" s="21" t="str">
        <f t="shared" si="23"/>
        <v>B-PROTHESES</v>
      </c>
      <c r="C175" s="21"/>
      <c r="D175" s="57" t="s">
        <v>458</v>
      </c>
      <c r="E175" s="61" t="s">
        <v>361</v>
      </c>
      <c r="F175" s="43"/>
      <c r="G175" s="60">
        <f t="shared" si="25"/>
        <v>0</v>
      </c>
      <c r="H175" s="97" t="s">
        <v>442</v>
      </c>
      <c r="I175" s="56">
        <f>120+1027</f>
        <v>1147</v>
      </c>
      <c r="J175" s="47">
        <f t="shared" si="24"/>
        <v>1147</v>
      </c>
      <c r="K175" s="39" t="s">
        <v>363</v>
      </c>
      <c r="L175" s="19"/>
      <c r="M175" s="98" t="str">
        <f t="shared" ref="M175:M176" si="31">+RIGHT(D175,2)</f>
        <v xml:space="preserve"> 6</v>
      </c>
      <c r="N175" s="19" t="str">
        <f t="shared" si="26"/>
        <v>Crédit Agricole</v>
      </c>
      <c r="O175" s="33" t="s">
        <v>36</v>
      </c>
    </row>
    <row r="176" spans="1:15">
      <c r="A176" s="9" t="str">
        <f t="shared" si="22"/>
        <v>1 -Recette CABINET</v>
      </c>
      <c r="B176" s="21" t="str">
        <f t="shared" si="23"/>
        <v>B-PROTHESES</v>
      </c>
      <c r="C176" s="21"/>
      <c r="D176" s="57" t="s">
        <v>458</v>
      </c>
      <c r="E176" s="61" t="s">
        <v>361</v>
      </c>
      <c r="F176" s="43"/>
      <c r="G176" s="60">
        <f t="shared" si="25"/>
        <v>0</v>
      </c>
      <c r="H176" s="97" t="s">
        <v>364</v>
      </c>
      <c r="I176" s="56">
        <v>1421.82</v>
      </c>
      <c r="J176" s="47">
        <f t="shared" si="24"/>
        <v>1421.82</v>
      </c>
      <c r="K176" s="39" t="s">
        <v>363</v>
      </c>
      <c r="L176" s="19"/>
      <c r="M176" s="98" t="str">
        <f t="shared" si="31"/>
        <v xml:space="preserve"> 6</v>
      </c>
      <c r="N176" s="19" t="str">
        <f t="shared" si="26"/>
        <v>Société Générale</v>
      </c>
      <c r="O176" s="33" t="s">
        <v>36</v>
      </c>
    </row>
    <row r="177" spans="1:15">
      <c r="A177" s="9" t="str">
        <f t="shared" si="22"/>
        <v>1 -Recette CABINET</v>
      </c>
      <c r="B177" s="21" t="str">
        <f t="shared" si="23"/>
        <v>B-PROTHESES</v>
      </c>
      <c r="C177" s="21"/>
      <c r="D177" s="57" t="s">
        <v>458</v>
      </c>
      <c r="E177" s="61" t="s">
        <v>361</v>
      </c>
      <c r="F177" s="43"/>
      <c r="G177" s="60">
        <f t="shared" si="25"/>
        <v>0</v>
      </c>
      <c r="H177" s="97" t="s">
        <v>365</v>
      </c>
      <c r="I177" s="56">
        <v>176.09</v>
      </c>
      <c r="J177" s="47">
        <f t="shared" si="24"/>
        <v>176.09</v>
      </c>
      <c r="K177" s="39" t="s">
        <v>363</v>
      </c>
      <c r="L177" s="19"/>
      <c r="M177" s="98" t="str">
        <f>+M181</f>
        <v xml:space="preserve"> 8</v>
      </c>
      <c r="N177" s="19" t="str">
        <f t="shared" si="26"/>
        <v>Société Générale</v>
      </c>
      <c r="O177" s="33" t="s">
        <v>36</v>
      </c>
    </row>
    <row r="178" spans="1:15">
      <c r="A178" s="9" t="str">
        <f t="shared" si="22"/>
        <v>1 -Recette CABINET</v>
      </c>
      <c r="B178" s="21" t="str">
        <f t="shared" si="23"/>
        <v>B-PROTHESES</v>
      </c>
      <c r="C178" s="21"/>
      <c r="D178" s="57" t="s">
        <v>459</v>
      </c>
      <c r="E178" s="61" t="s">
        <v>361</v>
      </c>
      <c r="F178" s="43"/>
      <c r="G178" s="60">
        <f t="shared" si="25"/>
        <v>0</v>
      </c>
      <c r="H178" s="97" t="s">
        <v>442</v>
      </c>
      <c r="I178" s="56">
        <f>1658.74+1475.38-142</f>
        <v>2992.12</v>
      </c>
      <c r="J178" s="47">
        <f t="shared" si="24"/>
        <v>2992.12</v>
      </c>
      <c r="K178" s="39" t="s">
        <v>363</v>
      </c>
      <c r="L178" s="19"/>
      <c r="M178" s="98" t="str">
        <f t="shared" ref="M178:M179" si="32">+RIGHT(D178,2)</f>
        <v xml:space="preserve"> 7</v>
      </c>
      <c r="N178" s="19" t="str">
        <f t="shared" si="26"/>
        <v>Crédit Agricole</v>
      </c>
      <c r="O178" s="33" t="s">
        <v>36</v>
      </c>
    </row>
    <row r="179" spans="1:15">
      <c r="A179" s="9" t="str">
        <f t="shared" si="22"/>
        <v>1 -Recette CABINET</v>
      </c>
      <c r="B179" s="21" t="str">
        <f t="shared" si="23"/>
        <v>B-PROTHESES</v>
      </c>
      <c r="C179" s="21"/>
      <c r="D179" s="57" t="s">
        <v>459</v>
      </c>
      <c r="E179" s="61" t="s">
        <v>361</v>
      </c>
      <c r="F179" s="43"/>
      <c r="G179" s="60">
        <f t="shared" si="25"/>
        <v>0</v>
      </c>
      <c r="H179" s="97" t="s">
        <v>364</v>
      </c>
      <c r="I179" s="56">
        <v>0</v>
      </c>
      <c r="J179" s="47">
        <f t="shared" si="24"/>
        <v>0</v>
      </c>
      <c r="K179" s="39" t="s">
        <v>363</v>
      </c>
      <c r="L179" s="19"/>
      <c r="M179" s="98" t="str">
        <f t="shared" si="32"/>
        <v xml:space="preserve"> 7</v>
      </c>
      <c r="N179" s="19" t="str">
        <f t="shared" si="26"/>
        <v>Société Générale</v>
      </c>
      <c r="O179" s="33" t="s">
        <v>36</v>
      </c>
    </row>
    <row r="180" spans="1:15">
      <c r="A180" s="9" t="str">
        <f t="shared" si="22"/>
        <v>1 -Recette CABINET</v>
      </c>
      <c r="B180" s="21" t="str">
        <f t="shared" si="23"/>
        <v>B-PROTHESES</v>
      </c>
      <c r="C180" s="21"/>
      <c r="D180" s="57" t="s">
        <v>459</v>
      </c>
      <c r="E180" s="61" t="s">
        <v>361</v>
      </c>
      <c r="F180" s="43"/>
      <c r="G180" s="60">
        <f t="shared" si="25"/>
        <v>0</v>
      </c>
      <c r="H180" s="97" t="s">
        <v>365</v>
      </c>
      <c r="I180" s="56">
        <v>176.09</v>
      </c>
      <c r="J180" s="47">
        <f t="shared" si="24"/>
        <v>176.09</v>
      </c>
      <c r="K180" s="39" t="s">
        <v>363</v>
      </c>
      <c r="L180" s="19"/>
      <c r="M180" s="98" t="str">
        <f>+M184</f>
        <v xml:space="preserve"> 9</v>
      </c>
      <c r="N180" s="19" t="str">
        <f t="shared" si="26"/>
        <v>Société Générale</v>
      </c>
      <c r="O180" s="33" t="s">
        <v>36</v>
      </c>
    </row>
    <row r="181" spans="1:15">
      <c r="A181" s="9" t="str">
        <f t="shared" si="22"/>
        <v>1 -Recette CABINET</v>
      </c>
      <c r="B181" s="21" t="str">
        <f t="shared" si="23"/>
        <v>B-PROTHESES</v>
      </c>
      <c r="C181" s="21"/>
      <c r="D181" s="57" t="s">
        <v>460</v>
      </c>
      <c r="E181" s="61" t="s">
        <v>361</v>
      </c>
      <c r="F181" s="43"/>
      <c r="G181" s="60">
        <f t="shared" si="25"/>
        <v>0</v>
      </c>
      <c r="H181" s="97" t="s">
        <v>442</v>
      </c>
      <c r="I181" s="56">
        <f>1560.75+2387</f>
        <v>3947.75</v>
      </c>
      <c r="J181" s="47">
        <f t="shared" si="24"/>
        <v>3947.75</v>
      </c>
      <c r="K181" s="39" t="s">
        <v>363</v>
      </c>
      <c r="L181" s="19"/>
      <c r="M181" s="98" t="str">
        <f t="shared" ref="M181:M182" si="33">+RIGHT(D181,2)</f>
        <v xml:space="preserve"> 8</v>
      </c>
      <c r="N181" s="19" t="str">
        <f t="shared" si="26"/>
        <v>Crédit Agricole</v>
      </c>
      <c r="O181" s="33" t="s">
        <v>36</v>
      </c>
    </row>
    <row r="182" spans="1:15">
      <c r="A182" s="9" t="str">
        <f t="shared" si="22"/>
        <v>1 -Recette CABINET</v>
      </c>
      <c r="B182" s="21" t="str">
        <f t="shared" si="23"/>
        <v>B-PROTHESES</v>
      </c>
      <c r="C182" s="21"/>
      <c r="D182" s="57" t="s">
        <v>460</v>
      </c>
      <c r="E182" s="61" t="s">
        <v>361</v>
      </c>
      <c r="F182" s="43"/>
      <c r="G182" s="60">
        <f t="shared" si="25"/>
        <v>0</v>
      </c>
      <c r="H182" s="97" t="s">
        <v>364</v>
      </c>
      <c r="I182" s="56">
        <v>1421.82</v>
      </c>
      <c r="J182" s="47">
        <f t="shared" si="24"/>
        <v>1421.82</v>
      </c>
      <c r="K182" s="39" t="s">
        <v>363</v>
      </c>
      <c r="L182" s="19"/>
      <c r="M182" s="98" t="str">
        <f t="shared" si="33"/>
        <v xml:space="preserve"> 8</v>
      </c>
      <c r="N182" s="19" t="str">
        <f t="shared" si="26"/>
        <v>Société Générale</v>
      </c>
      <c r="O182" s="33" t="s">
        <v>36</v>
      </c>
    </row>
    <row r="183" spans="1:15">
      <c r="A183" s="9" t="str">
        <f t="shared" si="22"/>
        <v>1 -Recette CABINET</v>
      </c>
      <c r="B183" s="21" t="str">
        <f t="shared" si="23"/>
        <v>B-PROTHESES</v>
      </c>
      <c r="C183" s="21"/>
      <c r="D183" s="57" t="s">
        <v>460</v>
      </c>
      <c r="E183" s="61" t="s">
        <v>361</v>
      </c>
      <c r="F183" s="43"/>
      <c r="G183" s="60">
        <f t="shared" si="25"/>
        <v>0</v>
      </c>
      <c r="H183" s="97" t="s">
        <v>365</v>
      </c>
      <c r="I183" s="56">
        <v>0</v>
      </c>
      <c r="J183" s="47">
        <f t="shared" si="24"/>
        <v>0</v>
      </c>
      <c r="K183" s="39" t="s">
        <v>363</v>
      </c>
      <c r="L183" s="19"/>
      <c r="M183" s="98" t="str">
        <f>+M181</f>
        <v xml:space="preserve"> 8</v>
      </c>
      <c r="N183" s="19" t="str">
        <f t="shared" si="26"/>
        <v>Société Générale</v>
      </c>
      <c r="O183" s="33" t="s">
        <v>36</v>
      </c>
    </row>
    <row r="184" spans="1:15">
      <c r="A184" s="9" t="str">
        <f t="shared" si="22"/>
        <v>1 -Recette CABINET</v>
      </c>
      <c r="B184" s="21" t="str">
        <f t="shared" si="23"/>
        <v>B-PROTHESES</v>
      </c>
      <c r="C184" s="21"/>
      <c r="D184" s="57" t="s">
        <v>461</v>
      </c>
      <c r="E184" s="61" t="s">
        <v>361</v>
      </c>
      <c r="F184" s="43"/>
      <c r="G184" s="60">
        <f t="shared" si="25"/>
        <v>0</v>
      </c>
      <c r="H184" s="97" t="s">
        <v>442</v>
      </c>
      <c r="I184" s="56">
        <f>3059.84+912</f>
        <v>3971.84</v>
      </c>
      <c r="J184" s="47">
        <f t="shared" si="24"/>
        <v>3971.84</v>
      </c>
      <c r="K184" s="39" t="s">
        <v>363</v>
      </c>
      <c r="L184" s="19"/>
      <c r="M184" s="98" t="str">
        <f t="shared" ref="M184:M186" si="34">+RIGHT(D184,2)</f>
        <v xml:space="preserve"> 9</v>
      </c>
      <c r="N184" s="19" t="str">
        <f t="shared" si="26"/>
        <v>Crédit Agricole</v>
      </c>
      <c r="O184" s="33" t="s">
        <v>36</v>
      </c>
    </row>
    <row r="185" spans="1:15">
      <c r="A185" s="9" t="str">
        <f t="shared" si="22"/>
        <v>1 -Recette CABINET</v>
      </c>
      <c r="B185" s="21" t="str">
        <f t="shared" si="23"/>
        <v>B-PROTHESES</v>
      </c>
      <c r="C185" s="21"/>
      <c r="D185" s="57" t="s">
        <v>461</v>
      </c>
      <c r="E185" s="61" t="s">
        <v>361</v>
      </c>
      <c r="F185" s="43"/>
      <c r="G185" s="60">
        <f t="shared" si="25"/>
        <v>0</v>
      </c>
      <c r="H185" s="97" t="s">
        <v>364</v>
      </c>
      <c r="I185" s="56">
        <v>0</v>
      </c>
      <c r="J185" s="47">
        <f t="shared" si="24"/>
        <v>0</v>
      </c>
      <c r="K185" s="39" t="s">
        <v>363</v>
      </c>
      <c r="L185" s="19"/>
      <c r="M185" s="98" t="str">
        <f t="shared" si="34"/>
        <v xml:space="preserve"> 9</v>
      </c>
      <c r="N185" s="19" t="str">
        <f t="shared" si="26"/>
        <v>Société Générale</v>
      </c>
      <c r="O185" s="33" t="s">
        <v>36</v>
      </c>
    </row>
    <row r="186" spans="1:15">
      <c r="A186" s="9" t="str">
        <f t="shared" si="22"/>
        <v>1 -Recette CABINET</v>
      </c>
      <c r="B186" s="21" t="str">
        <f t="shared" si="23"/>
        <v>B-PROTHESES</v>
      </c>
      <c r="C186" s="21"/>
      <c r="D186" s="57" t="s">
        <v>461</v>
      </c>
      <c r="E186" s="61" t="s">
        <v>361</v>
      </c>
      <c r="F186" s="43"/>
      <c r="G186" s="60">
        <f t="shared" si="25"/>
        <v>0</v>
      </c>
      <c r="H186" s="97" t="s">
        <v>365</v>
      </c>
      <c r="I186" s="56">
        <v>0</v>
      </c>
      <c r="J186" s="47">
        <f t="shared" si="24"/>
        <v>0</v>
      </c>
      <c r="K186" s="39" t="s">
        <v>363</v>
      </c>
      <c r="L186" s="19"/>
      <c r="M186" s="98" t="str">
        <f t="shared" si="34"/>
        <v xml:space="preserve"> 9</v>
      </c>
      <c r="N186" s="19" t="str">
        <f t="shared" si="26"/>
        <v>Société Générale</v>
      </c>
      <c r="O186" s="33" t="s">
        <v>36</v>
      </c>
    </row>
    <row r="187" spans="1:15">
      <c r="A187" s="9" t="str">
        <f t="shared" si="22"/>
        <v>1 -Recette CABINET</v>
      </c>
      <c r="B187" s="21" t="str">
        <f t="shared" si="23"/>
        <v>B-PROTHESES</v>
      </c>
      <c r="C187" s="21"/>
      <c r="D187" s="57" t="s">
        <v>462</v>
      </c>
      <c r="E187" s="61" t="s">
        <v>361</v>
      </c>
      <c r="F187" s="43"/>
      <c r="G187" s="60">
        <f t="shared" si="25"/>
        <v>0</v>
      </c>
      <c r="H187" s="97" t="s">
        <v>442</v>
      </c>
      <c r="I187" s="56">
        <f>827+746.98</f>
        <v>1573.98</v>
      </c>
      <c r="J187" s="47">
        <f t="shared" si="24"/>
        <v>1573.98</v>
      </c>
      <c r="K187" s="39" t="s">
        <v>363</v>
      </c>
      <c r="L187" s="19"/>
      <c r="M187" s="98" t="str">
        <f t="shared" ref="M187:M189" si="35">+RIGHT(D187,2)</f>
        <v>10</v>
      </c>
      <c r="N187" s="19" t="str">
        <f t="shared" si="26"/>
        <v>Crédit Agricole</v>
      </c>
      <c r="O187" s="33" t="s">
        <v>36</v>
      </c>
    </row>
    <row r="188" spans="1:15">
      <c r="A188" s="9" t="str">
        <f t="shared" si="22"/>
        <v>1 -Recette CABINET</v>
      </c>
      <c r="B188" s="21" t="str">
        <f t="shared" si="23"/>
        <v>B-PROTHESES</v>
      </c>
      <c r="C188" s="21"/>
      <c r="D188" s="57" t="s">
        <v>462</v>
      </c>
      <c r="E188" s="61" t="s">
        <v>361</v>
      </c>
      <c r="F188" s="43"/>
      <c r="G188" s="60">
        <f t="shared" si="25"/>
        <v>0</v>
      </c>
      <c r="H188" s="97" t="s">
        <v>364</v>
      </c>
      <c r="I188" s="56">
        <v>0</v>
      </c>
      <c r="J188" s="47">
        <f t="shared" si="24"/>
        <v>0</v>
      </c>
      <c r="K188" s="39" t="s">
        <v>363</v>
      </c>
      <c r="L188" s="19"/>
      <c r="M188" s="98" t="str">
        <f t="shared" si="35"/>
        <v>10</v>
      </c>
      <c r="N188" s="19" t="str">
        <f t="shared" si="26"/>
        <v>Société Générale</v>
      </c>
      <c r="O188" s="33" t="s">
        <v>36</v>
      </c>
    </row>
    <row r="189" spans="1:15">
      <c r="A189" s="9" t="str">
        <f t="shared" si="22"/>
        <v>1 -Recette CABINET</v>
      </c>
      <c r="B189" s="21" t="str">
        <f t="shared" si="23"/>
        <v>B-PROTHESES</v>
      </c>
      <c r="C189" s="21"/>
      <c r="D189" s="57" t="s">
        <v>462</v>
      </c>
      <c r="E189" s="61" t="s">
        <v>361</v>
      </c>
      <c r="F189" s="43"/>
      <c r="G189" s="60">
        <f t="shared" si="25"/>
        <v>0</v>
      </c>
      <c r="H189" s="97" t="s">
        <v>365</v>
      </c>
      <c r="I189" s="56">
        <v>0</v>
      </c>
      <c r="J189" s="47">
        <f t="shared" si="24"/>
        <v>0</v>
      </c>
      <c r="K189" s="39" t="s">
        <v>363</v>
      </c>
      <c r="L189" s="19"/>
      <c r="M189" s="98" t="str">
        <f t="shared" si="35"/>
        <v>10</v>
      </c>
      <c r="N189" s="19" t="str">
        <f t="shared" si="26"/>
        <v>Société Générale</v>
      </c>
      <c r="O189" s="33" t="s">
        <v>36</v>
      </c>
    </row>
    <row r="190" spans="1:15">
      <c r="A190" s="9" t="str">
        <f t="shared" si="22"/>
        <v>1 -Recette CABINET</v>
      </c>
      <c r="B190" s="21" t="str">
        <f t="shared" si="23"/>
        <v>B-PROTHESES</v>
      </c>
      <c r="C190" s="21"/>
      <c r="D190" s="57" t="s">
        <v>463</v>
      </c>
      <c r="E190" s="61" t="s">
        <v>361</v>
      </c>
      <c r="F190" s="43"/>
      <c r="G190" s="60">
        <f t="shared" si="25"/>
        <v>0</v>
      </c>
      <c r="H190" s="97" t="s">
        <v>442</v>
      </c>
      <c r="I190" s="115">
        <v>887</v>
      </c>
      <c r="J190" s="47">
        <f t="shared" si="24"/>
        <v>887</v>
      </c>
      <c r="L190" s="77" t="s">
        <v>362</v>
      </c>
      <c r="M190" s="98" t="str">
        <f t="shared" ref="M190:M192" si="36">+RIGHT(D190,2)</f>
        <v>11</v>
      </c>
      <c r="N190" s="19" t="str">
        <f t="shared" si="26"/>
        <v>Crédit Agricole</v>
      </c>
      <c r="O190" s="33" t="s">
        <v>36</v>
      </c>
    </row>
    <row r="191" spans="1:15">
      <c r="A191" s="9" t="str">
        <f t="shared" si="22"/>
        <v>1 -Recette CABINET</v>
      </c>
      <c r="B191" s="21" t="str">
        <f t="shared" si="23"/>
        <v>B-PROTHESES</v>
      </c>
      <c r="C191" s="21"/>
      <c r="D191" s="57" t="s">
        <v>463</v>
      </c>
      <c r="E191" s="61" t="s">
        <v>361</v>
      </c>
      <c r="F191" s="43"/>
      <c r="G191" s="60">
        <f t="shared" si="25"/>
        <v>0</v>
      </c>
      <c r="H191" s="97" t="s">
        <v>364</v>
      </c>
      <c r="I191" s="115">
        <f t="shared" ref="I191:I224" si="37">+IF(L191="A RECEVOIR",G191,"ERREUR")</f>
        <v>0</v>
      </c>
      <c r="J191" s="47">
        <f t="shared" si="24"/>
        <v>0</v>
      </c>
      <c r="L191" s="77" t="s">
        <v>362</v>
      </c>
      <c r="M191" s="98" t="str">
        <f t="shared" si="36"/>
        <v>11</v>
      </c>
      <c r="N191" s="19" t="str">
        <f t="shared" si="26"/>
        <v>Société Générale</v>
      </c>
      <c r="O191" s="33" t="s">
        <v>36</v>
      </c>
    </row>
    <row r="192" spans="1:15">
      <c r="A192" s="9" t="str">
        <f t="shared" si="22"/>
        <v>1 -Recette CABINET</v>
      </c>
      <c r="B192" s="21" t="str">
        <f t="shared" si="23"/>
        <v>B-PROTHESES</v>
      </c>
      <c r="C192" s="21"/>
      <c r="D192" s="57" t="s">
        <v>463</v>
      </c>
      <c r="E192" s="61" t="s">
        <v>361</v>
      </c>
      <c r="F192" s="43"/>
      <c r="G192" s="60">
        <f t="shared" si="25"/>
        <v>0</v>
      </c>
      <c r="H192" s="97" t="s">
        <v>365</v>
      </c>
      <c r="I192" s="115">
        <f t="shared" si="37"/>
        <v>0</v>
      </c>
      <c r="J192" s="47">
        <f t="shared" si="24"/>
        <v>0</v>
      </c>
      <c r="L192" s="77" t="s">
        <v>362</v>
      </c>
      <c r="M192" s="98" t="str">
        <f t="shared" si="36"/>
        <v>11</v>
      </c>
      <c r="N192" s="19" t="str">
        <f t="shared" si="26"/>
        <v>Société Générale</v>
      </c>
      <c r="O192" s="33" t="s">
        <v>36</v>
      </c>
    </row>
    <row r="193" spans="1:15">
      <c r="A193" s="9" t="str">
        <f t="shared" si="22"/>
        <v>1 -Recette CABINET</v>
      </c>
      <c r="B193" s="21" t="str">
        <f t="shared" si="23"/>
        <v>B-PROTHESES</v>
      </c>
      <c r="C193" s="21"/>
      <c r="D193" s="57" t="s">
        <v>464</v>
      </c>
      <c r="E193" s="61" t="s">
        <v>361</v>
      </c>
      <c r="F193" s="43"/>
      <c r="G193" s="60">
        <f t="shared" si="25"/>
        <v>0</v>
      </c>
      <c r="H193" s="97" t="s">
        <v>442</v>
      </c>
      <c r="I193" s="56">
        <f t="shared" si="37"/>
        <v>0</v>
      </c>
      <c r="J193" s="47">
        <f t="shared" si="24"/>
        <v>0</v>
      </c>
      <c r="L193" s="77" t="s">
        <v>362</v>
      </c>
      <c r="M193" s="98" t="str">
        <f t="shared" ref="M193" si="38">+RIGHT(D193,2)</f>
        <v>12</v>
      </c>
      <c r="N193" s="19" t="str">
        <f t="shared" si="26"/>
        <v>Crédit Agricole</v>
      </c>
      <c r="O193" s="33" t="s">
        <v>36</v>
      </c>
    </row>
    <row r="194" spans="1:15">
      <c r="A194" s="9" t="str">
        <f t="shared" si="22"/>
        <v>1 -Recette CABINET</v>
      </c>
      <c r="B194" s="21" t="str">
        <f t="shared" si="23"/>
        <v>B-PROTHESES</v>
      </c>
      <c r="C194" s="21"/>
      <c r="D194" s="57" t="s">
        <v>464</v>
      </c>
      <c r="E194" s="61" t="s">
        <v>361</v>
      </c>
      <c r="F194" s="43"/>
      <c r="G194" s="60">
        <f t="shared" si="25"/>
        <v>0</v>
      </c>
      <c r="H194" s="97" t="s">
        <v>364</v>
      </c>
      <c r="I194" s="56">
        <f t="shared" si="37"/>
        <v>0</v>
      </c>
      <c r="J194" s="47">
        <f t="shared" si="24"/>
        <v>0</v>
      </c>
      <c r="L194" s="77" t="s">
        <v>362</v>
      </c>
      <c r="M194" s="98"/>
      <c r="N194" s="19" t="str">
        <f t="shared" si="26"/>
        <v>Société Générale</v>
      </c>
      <c r="O194" s="33" t="s">
        <v>36</v>
      </c>
    </row>
    <row r="195" spans="1:15">
      <c r="A195" s="9" t="str">
        <f t="shared" si="22"/>
        <v>1 -Recette CABINET</v>
      </c>
      <c r="B195" s="21" t="str">
        <f t="shared" si="23"/>
        <v>B-PROTHESES</v>
      </c>
      <c r="C195" s="21"/>
      <c r="D195" s="57" t="s">
        <v>464</v>
      </c>
      <c r="E195" s="61" t="s">
        <v>361</v>
      </c>
      <c r="F195" s="43"/>
      <c r="G195" s="60">
        <f t="shared" si="25"/>
        <v>0</v>
      </c>
      <c r="H195" s="97" t="s">
        <v>365</v>
      </c>
      <c r="I195" s="56">
        <f t="shared" si="37"/>
        <v>0</v>
      </c>
      <c r="J195" s="47">
        <f t="shared" si="24"/>
        <v>0</v>
      </c>
      <c r="L195" s="77" t="s">
        <v>362</v>
      </c>
      <c r="M195" s="98"/>
      <c r="N195" s="19" t="str">
        <f t="shared" si="26"/>
        <v>Société Générale</v>
      </c>
      <c r="O195" s="33" t="s">
        <v>36</v>
      </c>
    </row>
    <row r="196" spans="1:15">
      <c r="A196" s="9" t="str">
        <f t="shared" si="22"/>
        <v>1 -Recette CABINET</v>
      </c>
      <c r="B196" s="21" t="str">
        <f t="shared" si="23"/>
        <v>B-PROTHESES</v>
      </c>
      <c r="C196" s="21"/>
      <c r="D196" s="57" t="s">
        <v>465</v>
      </c>
      <c r="E196" s="61" t="s">
        <v>361</v>
      </c>
      <c r="F196" s="43"/>
      <c r="G196" s="60">
        <f t="shared" si="25"/>
        <v>0</v>
      </c>
      <c r="H196" s="97" t="s">
        <v>442</v>
      </c>
      <c r="I196" s="56">
        <f t="shared" si="37"/>
        <v>0</v>
      </c>
      <c r="J196" s="47">
        <f t="shared" si="24"/>
        <v>0</v>
      </c>
      <c r="L196" s="77" t="s">
        <v>362</v>
      </c>
      <c r="M196" s="98" t="str">
        <f t="shared" ref="M196" si="39">+RIGHT(D196,2)</f>
        <v>13</v>
      </c>
      <c r="N196" s="19" t="str">
        <f t="shared" si="26"/>
        <v>Crédit Agricole</v>
      </c>
      <c r="O196" s="33" t="s">
        <v>36</v>
      </c>
    </row>
    <row r="197" spans="1:15">
      <c r="A197" s="9" t="str">
        <f t="shared" si="22"/>
        <v>1 -Recette CABINET</v>
      </c>
      <c r="B197" s="21" t="str">
        <f t="shared" si="23"/>
        <v>B-PROTHESES</v>
      </c>
      <c r="C197" s="21"/>
      <c r="D197" s="57" t="s">
        <v>465</v>
      </c>
      <c r="E197" s="61" t="s">
        <v>361</v>
      </c>
      <c r="F197" s="43"/>
      <c r="G197" s="60">
        <f t="shared" si="25"/>
        <v>0</v>
      </c>
      <c r="H197" s="97" t="s">
        <v>364</v>
      </c>
      <c r="I197" s="56">
        <f t="shared" si="37"/>
        <v>0</v>
      </c>
      <c r="J197" s="47">
        <f t="shared" si="24"/>
        <v>0</v>
      </c>
      <c r="L197" s="77" t="s">
        <v>362</v>
      </c>
      <c r="M197" s="98"/>
      <c r="N197" s="19" t="str">
        <f t="shared" si="26"/>
        <v>Société Générale</v>
      </c>
      <c r="O197" s="33" t="s">
        <v>36</v>
      </c>
    </row>
    <row r="198" spans="1:15">
      <c r="A198" s="9" t="str">
        <f t="shared" si="22"/>
        <v>1 -Recette CABINET</v>
      </c>
      <c r="B198" s="21" t="str">
        <f t="shared" si="23"/>
        <v>B-PROTHESES</v>
      </c>
      <c r="C198" s="21"/>
      <c r="D198" s="57" t="s">
        <v>465</v>
      </c>
      <c r="E198" s="61" t="s">
        <v>361</v>
      </c>
      <c r="F198" s="43"/>
      <c r="G198" s="60">
        <f t="shared" si="25"/>
        <v>0</v>
      </c>
      <c r="H198" s="97" t="s">
        <v>365</v>
      </c>
      <c r="I198" s="56">
        <f t="shared" si="37"/>
        <v>0</v>
      </c>
      <c r="J198" s="47">
        <f t="shared" si="24"/>
        <v>0</v>
      </c>
      <c r="L198" s="77" t="s">
        <v>362</v>
      </c>
      <c r="M198" s="98"/>
      <c r="N198" s="19" t="str">
        <f t="shared" si="26"/>
        <v>Société Générale</v>
      </c>
      <c r="O198" s="33" t="s">
        <v>36</v>
      </c>
    </row>
    <row r="199" spans="1:15">
      <c r="A199" s="9" t="str">
        <f t="shared" si="22"/>
        <v>1 -Recette CABINET</v>
      </c>
      <c r="B199" s="21" t="str">
        <f t="shared" si="23"/>
        <v>B-PROTHESES</v>
      </c>
      <c r="C199" s="21"/>
      <c r="D199" s="57" t="s">
        <v>466</v>
      </c>
      <c r="E199" s="61" t="s">
        <v>361</v>
      </c>
      <c r="F199" s="43"/>
      <c r="G199" s="60">
        <f t="shared" si="25"/>
        <v>0</v>
      </c>
      <c r="H199" s="97" t="s">
        <v>442</v>
      </c>
      <c r="I199" s="56">
        <f t="shared" si="37"/>
        <v>0</v>
      </c>
      <c r="J199" s="47">
        <f t="shared" si="24"/>
        <v>0</v>
      </c>
      <c r="L199" s="77" t="s">
        <v>362</v>
      </c>
      <c r="M199" s="98" t="str">
        <f t="shared" ref="M199" si="40">+RIGHT(D199,2)</f>
        <v>14</v>
      </c>
      <c r="N199" s="19" t="str">
        <f t="shared" si="26"/>
        <v>Crédit Agricole</v>
      </c>
      <c r="O199" s="33" t="s">
        <v>36</v>
      </c>
    </row>
    <row r="200" spans="1:15">
      <c r="A200" s="9" t="str">
        <f t="shared" si="22"/>
        <v>1 -Recette CABINET</v>
      </c>
      <c r="B200" s="21" t="str">
        <f t="shared" si="23"/>
        <v>B-PROTHESES</v>
      </c>
      <c r="C200" s="21"/>
      <c r="D200" s="57" t="s">
        <v>466</v>
      </c>
      <c r="E200" s="61" t="s">
        <v>361</v>
      </c>
      <c r="F200" s="43"/>
      <c r="G200" s="60">
        <f t="shared" si="25"/>
        <v>0</v>
      </c>
      <c r="H200" s="97" t="s">
        <v>364</v>
      </c>
      <c r="I200" s="56">
        <f t="shared" si="37"/>
        <v>0</v>
      </c>
      <c r="J200" s="47">
        <f t="shared" si="24"/>
        <v>0</v>
      </c>
      <c r="L200" s="77" t="s">
        <v>362</v>
      </c>
      <c r="M200" s="98"/>
      <c r="N200" s="19" t="str">
        <f t="shared" si="26"/>
        <v>Société Générale</v>
      </c>
      <c r="O200" s="33" t="s">
        <v>36</v>
      </c>
    </row>
    <row r="201" spans="1:15">
      <c r="A201" s="9" t="str">
        <f t="shared" si="22"/>
        <v>1 -Recette CABINET</v>
      </c>
      <c r="B201" s="21" t="str">
        <f t="shared" si="23"/>
        <v>B-PROTHESES</v>
      </c>
      <c r="C201" s="21"/>
      <c r="D201" s="57" t="s">
        <v>466</v>
      </c>
      <c r="E201" s="61" t="s">
        <v>361</v>
      </c>
      <c r="F201" s="43"/>
      <c r="G201" s="60">
        <f t="shared" si="25"/>
        <v>0</v>
      </c>
      <c r="H201" s="97" t="s">
        <v>365</v>
      </c>
      <c r="I201" s="56">
        <f t="shared" si="37"/>
        <v>0</v>
      </c>
      <c r="J201" s="47">
        <f t="shared" si="24"/>
        <v>0</v>
      </c>
      <c r="L201" s="77" t="s">
        <v>362</v>
      </c>
      <c r="M201" s="98"/>
      <c r="N201" s="19" t="str">
        <f t="shared" si="26"/>
        <v>Société Générale</v>
      </c>
      <c r="O201" s="33" t="s">
        <v>36</v>
      </c>
    </row>
    <row r="202" spans="1:15">
      <c r="A202" s="9" t="str">
        <f t="shared" si="22"/>
        <v>1 -Recette CABINET</v>
      </c>
      <c r="B202" s="21" t="str">
        <f t="shared" si="23"/>
        <v>B-PROTHESES</v>
      </c>
      <c r="C202" s="21"/>
      <c r="D202" s="57" t="s">
        <v>467</v>
      </c>
      <c r="E202" s="61" t="s">
        <v>361</v>
      </c>
      <c r="F202" s="43"/>
      <c r="G202" s="60">
        <f t="shared" si="25"/>
        <v>0</v>
      </c>
      <c r="H202" s="97" t="s">
        <v>442</v>
      </c>
      <c r="I202" s="56">
        <f t="shared" si="37"/>
        <v>0</v>
      </c>
      <c r="J202" s="47">
        <f t="shared" si="24"/>
        <v>0</v>
      </c>
      <c r="L202" s="77" t="s">
        <v>362</v>
      </c>
      <c r="M202" s="98" t="str">
        <f t="shared" ref="M202" si="41">+RIGHT(D202,2)</f>
        <v>15</v>
      </c>
      <c r="N202" s="19" t="str">
        <f t="shared" si="26"/>
        <v>Crédit Agricole</v>
      </c>
      <c r="O202" s="33" t="s">
        <v>36</v>
      </c>
    </row>
    <row r="203" spans="1:15">
      <c r="A203" s="9" t="str">
        <f t="shared" si="22"/>
        <v>1 -Recette CABINET</v>
      </c>
      <c r="B203" s="21" t="str">
        <f t="shared" si="23"/>
        <v>B-PROTHESES</v>
      </c>
      <c r="C203" s="21"/>
      <c r="D203" s="57" t="s">
        <v>467</v>
      </c>
      <c r="E203" s="61" t="s">
        <v>361</v>
      </c>
      <c r="F203" s="43"/>
      <c r="G203" s="60">
        <f t="shared" si="25"/>
        <v>0</v>
      </c>
      <c r="H203" s="97" t="s">
        <v>364</v>
      </c>
      <c r="I203" s="56">
        <f t="shared" si="37"/>
        <v>0</v>
      </c>
      <c r="J203" s="47">
        <f t="shared" si="24"/>
        <v>0</v>
      </c>
      <c r="L203" s="77" t="s">
        <v>362</v>
      </c>
      <c r="M203" s="98"/>
      <c r="N203" s="19" t="str">
        <f t="shared" si="26"/>
        <v>Société Générale</v>
      </c>
      <c r="O203" s="33" t="s">
        <v>36</v>
      </c>
    </row>
    <row r="204" spans="1:15">
      <c r="A204" s="9" t="str">
        <f t="shared" si="22"/>
        <v>1 -Recette CABINET</v>
      </c>
      <c r="B204" s="21" t="str">
        <f t="shared" si="23"/>
        <v>B-PROTHESES</v>
      </c>
      <c r="C204" s="21"/>
      <c r="D204" s="57" t="s">
        <v>467</v>
      </c>
      <c r="E204" s="61" t="s">
        <v>361</v>
      </c>
      <c r="F204" s="43"/>
      <c r="G204" s="60">
        <f t="shared" si="25"/>
        <v>0</v>
      </c>
      <c r="H204" s="97" t="s">
        <v>365</v>
      </c>
      <c r="I204" s="56">
        <f t="shared" si="37"/>
        <v>0</v>
      </c>
      <c r="J204" s="47">
        <f t="shared" si="24"/>
        <v>0</v>
      </c>
      <c r="L204" s="77" t="s">
        <v>362</v>
      </c>
      <c r="M204" s="98"/>
      <c r="N204" s="19" t="str">
        <f t="shared" si="26"/>
        <v>Société Générale</v>
      </c>
      <c r="O204" s="33" t="s">
        <v>36</v>
      </c>
    </row>
    <row r="205" spans="1:15">
      <c r="A205" s="9" t="str">
        <f t="shared" si="22"/>
        <v>1 -Recette CABINET</v>
      </c>
      <c r="B205" s="21" t="str">
        <f t="shared" si="23"/>
        <v>B-PROTHESES</v>
      </c>
      <c r="C205" s="21"/>
      <c r="D205" s="57" t="s">
        <v>468</v>
      </c>
      <c r="E205" s="61" t="s">
        <v>361</v>
      </c>
      <c r="F205" s="43"/>
      <c r="G205" s="60">
        <f t="shared" si="25"/>
        <v>0</v>
      </c>
      <c r="H205" s="97" t="s">
        <v>442</v>
      </c>
      <c r="I205" s="56">
        <f t="shared" si="37"/>
        <v>0</v>
      </c>
      <c r="J205" s="47">
        <f t="shared" si="24"/>
        <v>0</v>
      </c>
      <c r="L205" s="77" t="s">
        <v>362</v>
      </c>
      <c r="M205" s="98" t="str">
        <f t="shared" ref="M205" si="42">+RIGHT(D205,2)</f>
        <v>16</v>
      </c>
      <c r="N205" s="19" t="str">
        <f t="shared" si="26"/>
        <v>Crédit Agricole</v>
      </c>
      <c r="O205" s="33" t="s">
        <v>36</v>
      </c>
    </row>
    <row r="206" spans="1:15">
      <c r="A206" s="9" t="str">
        <f t="shared" si="22"/>
        <v>1 -Recette CABINET</v>
      </c>
      <c r="B206" s="21" t="str">
        <f t="shared" si="23"/>
        <v>B-PROTHESES</v>
      </c>
      <c r="C206" s="21"/>
      <c r="D206" s="57" t="s">
        <v>468</v>
      </c>
      <c r="E206" s="61" t="s">
        <v>361</v>
      </c>
      <c r="F206" s="43"/>
      <c r="G206" s="60">
        <f t="shared" si="25"/>
        <v>0</v>
      </c>
      <c r="H206" s="97" t="s">
        <v>364</v>
      </c>
      <c r="I206" s="56">
        <f t="shared" si="37"/>
        <v>0</v>
      </c>
      <c r="J206" s="47">
        <f t="shared" si="24"/>
        <v>0</v>
      </c>
      <c r="L206" s="77" t="s">
        <v>362</v>
      </c>
      <c r="M206" s="98"/>
      <c r="N206" s="19" t="str">
        <f t="shared" si="26"/>
        <v>Société Générale</v>
      </c>
      <c r="O206" s="33" t="s">
        <v>36</v>
      </c>
    </row>
    <row r="207" spans="1:15">
      <c r="A207" s="9" t="str">
        <f t="shared" si="22"/>
        <v>1 -Recette CABINET</v>
      </c>
      <c r="B207" s="21" t="str">
        <f t="shared" si="23"/>
        <v>B-PROTHESES</v>
      </c>
      <c r="C207" s="21"/>
      <c r="D207" s="57" t="s">
        <v>468</v>
      </c>
      <c r="E207" s="61" t="s">
        <v>361</v>
      </c>
      <c r="F207" s="43"/>
      <c r="G207" s="60">
        <f t="shared" si="25"/>
        <v>0</v>
      </c>
      <c r="H207" s="97" t="s">
        <v>365</v>
      </c>
      <c r="I207" s="56">
        <f t="shared" si="37"/>
        <v>0</v>
      </c>
      <c r="J207" s="47">
        <f t="shared" si="24"/>
        <v>0</v>
      </c>
      <c r="L207" s="77" t="s">
        <v>362</v>
      </c>
      <c r="M207" s="98"/>
      <c r="N207" s="19" t="str">
        <f t="shared" si="26"/>
        <v>Société Générale</v>
      </c>
      <c r="O207" s="33" t="s">
        <v>36</v>
      </c>
    </row>
    <row r="208" spans="1:15">
      <c r="A208" s="9" t="str">
        <f t="shared" si="22"/>
        <v>1 -Recette CABINET</v>
      </c>
      <c r="B208" s="21" t="str">
        <f t="shared" si="23"/>
        <v>B-PROTHESES</v>
      </c>
      <c r="C208" s="21"/>
      <c r="D208" s="57" t="s">
        <v>469</v>
      </c>
      <c r="E208" s="61" t="s">
        <v>361</v>
      </c>
      <c r="F208" s="43"/>
      <c r="G208" s="60">
        <f t="shared" si="25"/>
        <v>0</v>
      </c>
      <c r="H208" s="97" t="s">
        <v>442</v>
      </c>
      <c r="I208" s="56">
        <f t="shared" si="37"/>
        <v>0</v>
      </c>
      <c r="J208" s="47">
        <f t="shared" si="24"/>
        <v>0</v>
      </c>
      <c r="L208" s="77" t="s">
        <v>362</v>
      </c>
      <c r="M208" s="98" t="str">
        <f t="shared" ref="M208" si="43">+RIGHT(D208,2)</f>
        <v>17</v>
      </c>
      <c r="N208" s="19" t="str">
        <f t="shared" si="26"/>
        <v>Crédit Agricole</v>
      </c>
      <c r="O208" s="33" t="s">
        <v>36</v>
      </c>
    </row>
    <row r="209" spans="1:15">
      <c r="A209" s="9" t="str">
        <f t="shared" si="22"/>
        <v>1 -Recette CABINET</v>
      </c>
      <c r="B209" s="21" t="str">
        <f t="shared" si="23"/>
        <v>B-PROTHESES</v>
      </c>
      <c r="C209" s="21"/>
      <c r="D209" s="57" t="s">
        <v>469</v>
      </c>
      <c r="E209" s="61" t="s">
        <v>361</v>
      </c>
      <c r="F209" s="43"/>
      <c r="G209" s="60">
        <f t="shared" si="25"/>
        <v>0</v>
      </c>
      <c r="H209" s="97" t="s">
        <v>364</v>
      </c>
      <c r="I209" s="56">
        <f t="shared" si="37"/>
        <v>0</v>
      </c>
      <c r="J209" s="47">
        <f t="shared" si="24"/>
        <v>0</v>
      </c>
      <c r="L209" s="77" t="s">
        <v>362</v>
      </c>
      <c r="M209" s="98"/>
      <c r="N209" s="19" t="str">
        <f t="shared" si="26"/>
        <v>Société Générale</v>
      </c>
      <c r="O209" s="33" t="s">
        <v>36</v>
      </c>
    </row>
    <row r="210" spans="1:15">
      <c r="A210" s="9" t="str">
        <f t="shared" si="22"/>
        <v>1 -Recette CABINET</v>
      </c>
      <c r="B210" s="21" t="str">
        <f t="shared" si="23"/>
        <v>B-PROTHESES</v>
      </c>
      <c r="C210" s="21"/>
      <c r="D210" s="57" t="s">
        <v>469</v>
      </c>
      <c r="E210" s="61" t="s">
        <v>361</v>
      </c>
      <c r="F210" s="43"/>
      <c r="G210" s="60">
        <f t="shared" si="25"/>
        <v>0</v>
      </c>
      <c r="H210" s="97" t="s">
        <v>365</v>
      </c>
      <c r="I210" s="56">
        <f t="shared" si="37"/>
        <v>0</v>
      </c>
      <c r="J210" s="47">
        <f t="shared" si="24"/>
        <v>0</v>
      </c>
      <c r="L210" s="77" t="s">
        <v>362</v>
      </c>
      <c r="M210" s="98"/>
      <c r="N210" s="19" t="str">
        <f t="shared" si="26"/>
        <v>Société Générale</v>
      </c>
      <c r="O210" s="33" t="s">
        <v>36</v>
      </c>
    </row>
    <row r="211" spans="1:15">
      <c r="A211" s="9" t="str">
        <f t="shared" si="22"/>
        <v>1 -Recette CABINET</v>
      </c>
      <c r="B211" s="21" t="str">
        <f t="shared" si="23"/>
        <v>B-PROTHESES</v>
      </c>
      <c r="C211" s="21"/>
      <c r="D211" s="57" t="s">
        <v>470</v>
      </c>
      <c r="E211" s="61" t="s">
        <v>361</v>
      </c>
      <c r="F211" s="43"/>
      <c r="G211" s="60">
        <f t="shared" si="25"/>
        <v>0</v>
      </c>
      <c r="H211" s="97" t="s">
        <v>442</v>
      </c>
      <c r="I211" s="56">
        <f t="shared" si="37"/>
        <v>0</v>
      </c>
      <c r="J211" s="47">
        <f t="shared" si="24"/>
        <v>0</v>
      </c>
      <c r="L211" s="77" t="s">
        <v>362</v>
      </c>
      <c r="M211" s="98" t="str">
        <f t="shared" ref="M211" si="44">+RIGHT(D211,2)</f>
        <v>18</v>
      </c>
      <c r="N211" s="19" t="str">
        <f t="shared" si="26"/>
        <v>Crédit Agricole</v>
      </c>
      <c r="O211" s="33" t="s">
        <v>36</v>
      </c>
    </row>
    <row r="212" spans="1:15">
      <c r="A212" s="9" t="str">
        <f t="shared" si="22"/>
        <v>1 -Recette CABINET</v>
      </c>
      <c r="B212" s="21" t="str">
        <f t="shared" si="23"/>
        <v>B-PROTHESES</v>
      </c>
      <c r="C212" s="21"/>
      <c r="D212" s="57" t="s">
        <v>470</v>
      </c>
      <c r="E212" s="61" t="s">
        <v>361</v>
      </c>
      <c r="F212" s="43"/>
      <c r="G212" s="60">
        <f t="shared" si="25"/>
        <v>0</v>
      </c>
      <c r="H212" s="97" t="s">
        <v>364</v>
      </c>
      <c r="I212" s="56">
        <f t="shared" si="37"/>
        <v>0</v>
      </c>
      <c r="J212" s="47">
        <f t="shared" si="24"/>
        <v>0</v>
      </c>
      <c r="L212" s="77" t="s">
        <v>362</v>
      </c>
      <c r="M212" s="98"/>
      <c r="N212" s="19" t="str">
        <f t="shared" si="26"/>
        <v>Société Générale</v>
      </c>
      <c r="O212" s="33" t="s">
        <v>36</v>
      </c>
    </row>
    <row r="213" spans="1:15">
      <c r="A213" s="9" t="str">
        <f t="shared" si="22"/>
        <v>1 -Recette CABINET</v>
      </c>
      <c r="B213" s="21" t="str">
        <f t="shared" si="23"/>
        <v>B-PROTHESES</v>
      </c>
      <c r="C213" s="21"/>
      <c r="D213" s="57" t="s">
        <v>470</v>
      </c>
      <c r="E213" s="61" t="s">
        <v>361</v>
      </c>
      <c r="F213" s="43"/>
      <c r="G213" s="60">
        <f t="shared" si="25"/>
        <v>0</v>
      </c>
      <c r="H213" s="97" t="s">
        <v>365</v>
      </c>
      <c r="I213" s="56">
        <f t="shared" si="37"/>
        <v>0</v>
      </c>
      <c r="J213" s="47">
        <f t="shared" si="24"/>
        <v>0</v>
      </c>
      <c r="L213" s="77" t="s">
        <v>362</v>
      </c>
      <c r="M213" s="98"/>
      <c r="N213" s="19" t="str">
        <f t="shared" si="26"/>
        <v>Société Générale</v>
      </c>
      <c r="O213" s="33" t="s">
        <v>36</v>
      </c>
    </row>
    <row r="214" spans="1:15">
      <c r="A214" s="9" t="str">
        <f t="shared" si="22"/>
        <v>1 -Recette CABINET</v>
      </c>
      <c r="B214" s="21" t="str">
        <f t="shared" si="23"/>
        <v>B-PROTHESES</v>
      </c>
      <c r="C214" s="21"/>
      <c r="D214" s="57" t="s">
        <v>471</v>
      </c>
      <c r="E214" s="61" t="s">
        <v>361</v>
      </c>
      <c r="F214" s="43"/>
      <c r="G214" s="60">
        <f t="shared" si="25"/>
        <v>0</v>
      </c>
      <c r="H214" s="97" t="s">
        <v>442</v>
      </c>
      <c r="I214" s="56">
        <f t="shared" si="37"/>
        <v>0</v>
      </c>
      <c r="J214" s="47">
        <f t="shared" si="24"/>
        <v>0</v>
      </c>
      <c r="L214" s="77" t="s">
        <v>362</v>
      </c>
      <c r="M214" s="98" t="str">
        <f t="shared" ref="M214" si="45">+RIGHT(D214,2)</f>
        <v>19</v>
      </c>
      <c r="N214" s="19" t="str">
        <f t="shared" si="26"/>
        <v>Crédit Agricole</v>
      </c>
      <c r="O214" s="33" t="s">
        <v>36</v>
      </c>
    </row>
    <row r="215" spans="1:15">
      <c r="A215" s="9" t="str">
        <f t="shared" si="22"/>
        <v>1 -Recette CABINET</v>
      </c>
      <c r="B215" s="21" t="str">
        <f t="shared" si="23"/>
        <v>B-PROTHESES</v>
      </c>
      <c r="C215" s="21"/>
      <c r="D215" s="57" t="s">
        <v>471</v>
      </c>
      <c r="E215" s="61" t="s">
        <v>361</v>
      </c>
      <c r="F215" s="43"/>
      <c r="G215" s="60">
        <f t="shared" si="25"/>
        <v>0</v>
      </c>
      <c r="H215" s="97" t="s">
        <v>364</v>
      </c>
      <c r="I215" s="56">
        <f t="shared" si="37"/>
        <v>0</v>
      </c>
      <c r="J215" s="47">
        <f t="shared" si="24"/>
        <v>0</v>
      </c>
      <c r="L215" s="77" t="s">
        <v>362</v>
      </c>
      <c r="M215" s="98"/>
      <c r="N215" s="19" t="str">
        <f t="shared" si="26"/>
        <v>Société Générale</v>
      </c>
      <c r="O215" s="33" t="s">
        <v>36</v>
      </c>
    </row>
    <row r="216" spans="1:15">
      <c r="A216" s="9" t="str">
        <f t="shared" si="22"/>
        <v>1 -Recette CABINET</v>
      </c>
      <c r="B216" s="21" t="str">
        <f t="shared" si="23"/>
        <v>B-PROTHESES</v>
      </c>
      <c r="C216" s="21"/>
      <c r="D216" s="57" t="s">
        <v>471</v>
      </c>
      <c r="E216" s="61" t="s">
        <v>361</v>
      </c>
      <c r="F216" s="43"/>
      <c r="G216" s="60">
        <f t="shared" si="25"/>
        <v>0</v>
      </c>
      <c r="H216" s="97" t="s">
        <v>365</v>
      </c>
      <c r="I216" s="56">
        <f t="shared" si="37"/>
        <v>0</v>
      </c>
      <c r="J216" s="47">
        <f t="shared" si="24"/>
        <v>0</v>
      </c>
      <c r="L216" s="77" t="s">
        <v>362</v>
      </c>
      <c r="M216" s="98"/>
      <c r="N216" s="19" t="str">
        <f t="shared" si="26"/>
        <v>Société Générale</v>
      </c>
      <c r="O216" s="33" t="s">
        <v>36</v>
      </c>
    </row>
    <row r="217" spans="1:15">
      <c r="A217" s="9" t="str">
        <f t="shared" si="22"/>
        <v>1 -Recette CABINET</v>
      </c>
      <c r="B217" s="21" t="str">
        <f t="shared" si="23"/>
        <v>B-PROTHESES</v>
      </c>
      <c r="C217" s="21"/>
      <c r="D217" s="57" t="s">
        <v>472</v>
      </c>
      <c r="E217" s="61" t="s">
        <v>361</v>
      </c>
      <c r="F217" s="43"/>
      <c r="G217" s="60">
        <f t="shared" si="25"/>
        <v>0</v>
      </c>
      <c r="H217" s="97" t="s">
        <v>442</v>
      </c>
      <c r="I217" s="56">
        <f t="shared" si="37"/>
        <v>0</v>
      </c>
      <c r="J217" s="47">
        <f t="shared" si="24"/>
        <v>0</v>
      </c>
      <c r="L217" s="77" t="s">
        <v>362</v>
      </c>
      <c r="M217" s="98" t="str">
        <f t="shared" ref="M217" si="46">+RIGHT(D217,2)</f>
        <v>20</v>
      </c>
      <c r="N217" s="19" t="str">
        <f t="shared" si="26"/>
        <v>Crédit Agricole</v>
      </c>
      <c r="O217" s="33" t="s">
        <v>36</v>
      </c>
    </row>
    <row r="218" spans="1:15">
      <c r="A218" s="9" t="str">
        <f t="shared" si="22"/>
        <v>1 -Recette CABINET</v>
      </c>
      <c r="B218" s="21" t="str">
        <f t="shared" si="23"/>
        <v>B-PROTHESES</v>
      </c>
      <c r="C218" s="21"/>
      <c r="D218" s="57" t="s">
        <v>472</v>
      </c>
      <c r="E218" s="61" t="s">
        <v>361</v>
      </c>
      <c r="F218" s="43"/>
      <c r="G218" s="60">
        <f t="shared" si="25"/>
        <v>0</v>
      </c>
      <c r="H218" s="97" t="s">
        <v>364</v>
      </c>
      <c r="I218" s="56">
        <f t="shared" si="37"/>
        <v>0</v>
      </c>
      <c r="J218" s="47">
        <f t="shared" si="24"/>
        <v>0</v>
      </c>
      <c r="L218" s="77" t="s">
        <v>362</v>
      </c>
      <c r="M218" s="98"/>
      <c r="N218" s="19" t="str">
        <f t="shared" si="26"/>
        <v>Société Générale</v>
      </c>
      <c r="O218" s="33" t="s">
        <v>36</v>
      </c>
    </row>
    <row r="219" spans="1:15">
      <c r="A219" s="9" t="str">
        <f t="shared" si="22"/>
        <v>1 -Recette CABINET</v>
      </c>
      <c r="B219" s="21" t="str">
        <f t="shared" si="23"/>
        <v>B-PROTHESES</v>
      </c>
      <c r="C219" s="21"/>
      <c r="D219" s="57" t="s">
        <v>472</v>
      </c>
      <c r="E219" s="61" t="s">
        <v>361</v>
      </c>
      <c r="F219" s="43"/>
      <c r="G219" s="60">
        <f t="shared" si="25"/>
        <v>0</v>
      </c>
      <c r="H219" s="97" t="s">
        <v>365</v>
      </c>
      <c r="I219" s="56">
        <f t="shared" si="37"/>
        <v>0</v>
      </c>
      <c r="J219" s="47">
        <f t="shared" si="24"/>
        <v>0</v>
      </c>
      <c r="L219" s="77" t="s">
        <v>362</v>
      </c>
      <c r="M219" s="98"/>
      <c r="N219" s="19" t="str">
        <f t="shared" si="26"/>
        <v>Société Générale</v>
      </c>
      <c r="O219" s="33" t="s">
        <v>36</v>
      </c>
    </row>
    <row r="220" spans="1:15">
      <c r="A220" s="9" t="str">
        <f t="shared" si="22"/>
        <v>1 -Recette CABINET</v>
      </c>
      <c r="B220" s="21" t="str">
        <f t="shared" si="23"/>
        <v>B-PROTHESES</v>
      </c>
      <c r="C220" s="21"/>
      <c r="D220" s="57" t="s">
        <v>473</v>
      </c>
      <c r="E220" s="61" t="s">
        <v>361</v>
      </c>
      <c r="F220" s="43"/>
      <c r="G220" s="60">
        <f t="shared" si="25"/>
        <v>0</v>
      </c>
      <c r="H220" s="97" t="s">
        <v>442</v>
      </c>
      <c r="I220" s="56">
        <f t="shared" si="37"/>
        <v>0</v>
      </c>
      <c r="J220" s="47">
        <f t="shared" si="24"/>
        <v>0</v>
      </c>
      <c r="L220" s="77" t="s">
        <v>362</v>
      </c>
      <c r="M220" s="98" t="str">
        <f t="shared" ref="M220" si="47">+RIGHT(D220,2)</f>
        <v>21</v>
      </c>
      <c r="N220" s="19" t="str">
        <f t="shared" si="26"/>
        <v>Crédit Agricole</v>
      </c>
      <c r="O220" s="33" t="s">
        <v>36</v>
      </c>
    </row>
    <row r="221" spans="1:15">
      <c r="A221" s="9" t="str">
        <f t="shared" si="22"/>
        <v>1 -Recette CABINET</v>
      </c>
      <c r="B221" s="21" t="str">
        <f t="shared" si="23"/>
        <v>B-PROTHESES</v>
      </c>
      <c r="C221" s="21"/>
      <c r="D221" s="57" t="s">
        <v>473</v>
      </c>
      <c r="E221" s="61" t="s">
        <v>361</v>
      </c>
      <c r="F221" s="43"/>
      <c r="G221" s="60">
        <f t="shared" si="25"/>
        <v>0</v>
      </c>
      <c r="H221" s="97" t="s">
        <v>364</v>
      </c>
      <c r="I221" s="56">
        <f t="shared" si="37"/>
        <v>0</v>
      </c>
      <c r="J221" s="47">
        <f t="shared" si="24"/>
        <v>0</v>
      </c>
      <c r="L221" s="77" t="s">
        <v>362</v>
      </c>
      <c r="M221" s="98"/>
      <c r="N221" s="19" t="str">
        <f t="shared" si="26"/>
        <v>Société Générale</v>
      </c>
      <c r="O221" s="33" t="s">
        <v>36</v>
      </c>
    </row>
    <row r="222" spans="1:15">
      <c r="A222" s="9" t="str">
        <f t="shared" si="22"/>
        <v>1 -Recette CABINET</v>
      </c>
      <c r="B222" s="21" t="str">
        <f t="shared" si="23"/>
        <v>B-PROTHESES</v>
      </c>
      <c r="C222" s="21"/>
      <c r="D222" s="57" t="s">
        <v>473</v>
      </c>
      <c r="E222" s="61" t="s">
        <v>361</v>
      </c>
      <c r="F222" s="43"/>
      <c r="G222" s="60">
        <f t="shared" si="25"/>
        <v>0</v>
      </c>
      <c r="H222" s="97" t="s">
        <v>365</v>
      </c>
      <c r="I222" s="56">
        <f t="shared" si="37"/>
        <v>0</v>
      </c>
      <c r="J222" s="47">
        <f t="shared" si="24"/>
        <v>0</v>
      </c>
      <c r="L222" s="77" t="s">
        <v>362</v>
      </c>
      <c r="M222" s="98"/>
      <c r="N222" s="19" t="str">
        <f t="shared" si="26"/>
        <v>Société Générale</v>
      </c>
      <c r="O222" s="33" t="s">
        <v>36</v>
      </c>
    </row>
    <row r="223" spans="1:15">
      <c r="A223" s="9" t="str">
        <f t="shared" si="22"/>
        <v>1 -Recette CABINET</v>
      </c>
      <c r="B223" s="21" t="str">
        <f t="shared" si="23"/>
        <v>B-PROTHESES</v>
      </c>
      <c r="C223" s="21"/>
      <c r="D223" s="57" t="s">
        <v>474</v>
      </c>
      <c r="E223" s="61" t="s">
        <v>361</v>
      </c>
      <c r="F223" s="43"/>
      <c r="G223" s="60">
        <f t="shared" si="25"/>
        <v>0</v>
      </c>
      <c r="H223" s="97" t="s">
        <v>442</v>
      </c>
      <c r="I223" s="56">
        <f t="shared" si="37"/>
        <v>0</v>
      </c>
      <c r="J223" s="47">
        <f t="shared" si="24"/>
        <v>0</v>
      </c>
      <c r="L223" s="77" t="s">
        <v>362</v>
      </c>
      <c r="M223" s="98" t="str">
        <f t="shared" ref="M223" si="48">+RIGHT(D223,2)</f>
        <v>22</v>
      </c>
      <c r="N223" s="19" t="str">
        <f t="shared" si="26"/>
        <v>Crédit Agricole</v>
      </c>
      <c r="O223" s="33" t="s">
        <v>36</v>
      </c>
    </row>
    <row r="224" spans="1:15">
      <c r="A224" s="9" t="str">
        <f t="shared" ref="A224:A287" si="49">+A223</f>
        <v>1 -Recette CABINET</v>
      </c>
      <c r="B224" s="21" t="str">
        <f t="shared" ref="B224:B287" si="50">+B223</f>
        <v>B-PROTHESES</v>
      </c>
      <c r="C224" s="21"/>
      <c r="D224" s="57" t="s">
        <v>474</v>
      </c>
      <c r="E224" s="61" t="s">
        <v>361</v>
      </c>
      <c r="F224" s="43"/>
      <c r="G224" s="60">
        <f t="shared" si="25"/>
        <v>0</v>
      </c>
      <c r="H224" s="97" t="s">
        <v>364</v>
      </c>
      <c r="I224" s="56">
        <f t="shared" si="37"/>
        <v>0</v>
      </c>
      <c r="J224" s="47">
        <f t="shared" si="24"/>
        <v>0</v>
      </c>
      <c r="L224" s="77" t="s">
        <v>362</v>
      </c>
      <c r="M224" s="98"/>
      <c r="N224" s="19" t="str">
        <f t="shared" si="26"/>
        <v>Société Générale</v>
      </c>
      <c r="O224" s="33" t="s">
        <v>36</v>
      </c>
    </row>
    <row r="225" spans="1:15">
      <c r="A225" s="9" t="str">
        <f t="shared" si="49"/>
        <v>1 -Recette CABINET</v>
      </c>
      <c r="B225" s="21" t="str">
        <f t="shared" si="50"/>
        <v>B-PROTHESES</v>
      </c>
      <c r="C225" s="21"/>
      <c r="D225" s="57" t="s">
        <v>474</v>
      </c>
      <c r="E225" s="61" t="s">
        <v>361</v>
      </c>
      <c r="F225" s="43"/>
      <c r="G225" s="60">
        <f t="shared" ref="G225:G288" si="51">+$F$2/(52*3)</f>
        <v>0</v>
      </c>
      <c r="H225" s="97" t="s">
        <v>365</v>
      </c>
      <c r="I225" s="56">
        <f t="shared" ref="I225:I288" si="52">+IF(L225="A RECEVOIR",G225,"ERREUR")</f>
        <v>0</v>
      </c>
      <c r="J225" s="47">
        <f t="shared" si="24"/>
        <v>0</v>
      </c>
      <c r="L225" s="77" t="s">
        <v>362</v>
      </c>
      <c r="M225" s="98"/>
      <c r="N225" s="19" t="str">
        <f t="shared" ref="N225:N288" si="53">+IF(H225="CB/Chèques","Crédit Agricole","Société Générale")</f>
        <v>Société Générale</v>
      </c>
      <c r="O225" s="33" t="s">
        <v>36</v>
      </c>
    </row>
    <row r="226" spans="1:15">
      <c r="A226" s="9" t="str">
        <f t="shared" si="49"/>
        <v>1 -Recette CABINET</v>
      </c>
      <c r="B226" s="21" t="str">
        <f t="shared" si="50"/>
        <v>B-PROTHESES</v>
      </c>
      <c r="C226" s="21"/>
      <c r="D226" s="57" t="s">
        <v>475</v>
      </c>
      <c r="E226" s="61" t="s">
        <v>361</v>
      </c>
      <c r="F226" s="43"/>
      <c r="G226" s="60">
        <f t="shared" si="51"/>
        <v>0</v>
      </c>
      <c r="H226" s="97" t="s">
        <v>442</v>
      </c>
      <c r="I226" s="56">
        <f t="shared" si="52"/>
        <v>0</v>
      </c>
      <c r="J226" s="47">
        <f t="shared" si="24"/>
        <v>0</v>
      </c>
      <c r="L226" s="77" t="s">
        <v>362</v>
      </c>
      <c r="M226" s="98" t="str">
        <f t="shared" ref="M226" si="54">+RIGHT(D226,2)</f>
        <v>23</v>
      </c>
      <c r="N226" s="19" t="str">
        <f t="shared" si="53"/>
        <v>Crédit Agricole</v>
      </c>
      <c r="O226" s="33" t="s">
        <v>36</v>
      </c>
    </row>
    <row r="227" spans="1:15">
      <c r="A227" s="9" t="str">
        <f t="shared" si="49"/>
        <v>1 -Recette CABINET</v>
      </c>
      <c r="B227" s="21" t="str">
        <f t="shared" si="50"/>
        <v>B-PROTHESES</v>
      </c>
      <c r="C227" s="21"/>
      <c r="D227" s="57" t="s">
        <v>475</v>
      </c>
      <c r="E227" s="61" t="s">
        <v>361</v>
      </c>
      <c r="F227" s="43"/>
      <c r="G227" s="60">
        <f t="shared" si="51"/>
        <v>0</v>
      </c>
      <c r="H227" s="97" t="s">
        <v>364</v>
      </c>
      <c r="I227" s="56">
        <f t="shared" si="52"/>
        <v>0</v>
      </c>
      <c r="J227" s="47">
        <f t="shared" si="24"/>
        <v>0</v>
      </c>
      <c r="L227" s="77" t="s">
        <v>362</v>
      </c>
      <c r="M227" s="98"/>
      <c r="N227" s="19" t="str">
        <f t="shared" si="53"/>
        <v>Société Générale</v>
      </c>
      <c r="O227" s="33" t="s">
        <v>36</v>
      </c>
    </row>
    <row r="228" spans="1:15">
      <c r="A228" s="9" t="str">
        <f t="shared" si="49"/>
        <v>1 -Recette CABINET</v>
      </c>
      <c r="B228" s="21" t="str">
        <f t="shared" si="50"/>
        <v>B-PROTHESES</v>
      </c>
      <c r="C228" s="21"/>
      <c r="D228" s="57" t="s">
        <v>475</v>
      </c>
      <c r="E228" s="61" t="s">
        <v>361</v>
      </c>
      <c r="F228" s="43"/>
      <c r="G228" s="60">
        <f t="shared" si="51"/>
        <v>0</v>
      </c>
      <c r="H228" s="97" t="s">
        <v>365</v>
      </c>
      <c r="I228" s="56">
        <f t="shared" si="52"/>
        <v>0</v>
      </c>
      <c r="J228" s="47">
        <f t="shared" si="24"/>
        <v>0</v>
      </c>
      <c r="L228" s="77" t="s">
        <v>362</v>
      </c>
      <c r="M228" s="98"/>
      <c r="N228" s="19" t="str">
        <f t="shared" si="53"/>
        <v>Société Générale</v>
      </c>
      <c r="O228" s="33" t="s">
        <v>36</v>
      </c>
    </row>
    <row r="229" spans="1:15">
      <c r="A229" s="9" t="str">
        <f t="shared" si="49"/>
        <v>1 -Recette CABINET</v>
      </c>
      <c r="B229" s="21" t="str">
        <f t="shared" si="50"/>
        <v>B-PROTHESES</v>
      </c>
      <c r="C229" s="21"/>
      <c r="D229" s="57" t="s">
        <v>476</v>
      </c>
      <c r="E229" s="61" t="s">
        <v>361</v>
      </c>
      <c r="F229" s="43"/>
      <c r="G229" s="60">
        <f t="shared" si="51"/>
        <v>0</v>
      </c>
      <c r="H229" s="97" t="s">
        <v>442</v>
      </c>
      <c r="I229" s="56">
        <f t="shared" si="52"/>
        <v>0</v>
      </c>
      <c r="J229" s="47">
        <f t="shared" si="24"/>
        <v>0</v>
      </c>
      <c r="L229" s="77" t="s">
        <v>362</v>
      </c>
      <c r="M229" s="98" t="str">
        <f t="shared" ref="M229" si="55">+RIGHT(D229,2)</f>
        <v>24</v>
      </c>
      <c r="N229" s="19" t="str">
        <f t="shared" si="53"/>
        <v>Crédit Agricole</v>
      </c>
      <c r="O229" s="33" t="s">
        <v>36</v>
      </c>
    </row>
    <row r="230" spans="1:15">
      <c r="A230" s="9" t="str">
        <f t="shared" si="49"/>
        <v>1 -Recette CABINET</v>
      </c>
      <c r="B230" s="21" t="str">
        <f t="shared" si="50"/>
        <v>B-PROTHESES</v>
      </c>
      <c r="C230" s="21"/>
      <c r="D230" s="57" t="s">
        <v>476</v>
      </c>
      <c r="E230" s="61" t="s">
        <v>361</v>
      </c>
      <c r="F230" s="43"/>
      <c r="G230" s="60">
        <f t="shared" si="51"/>
        <v>0</v>
      </c>
      <c r="H230" s="97" t="s">
        <v>364</v>
      </c>
      <c r="I230" s="56">
        <f t="shared" si="52"/>
        <v>0</v>
      </c>
      <c r="J230" s="47">
        <f t="shared" si="24"/>
        <v>0</v>
      </c>
      <c r="L230" s="77" t="s">
        <v>362</v>
      </c>
      <c r="M230" s="98"/>
      <c r="N230" s="19" t="str">
        <f t="shared" si="53"/>
        <v>Société Générale</v>
      </c>
      <c r="O230" s="33" t="s">
        <v>36</v>
      </c>
    </row>
    <row r="231" spans="1:15">
      <c r="A231" s="9" t="str">
        <f t="shared" si="49"/>
        <v>1 -Recette CABINET</v>
      </c>
      <c r="B231" s="21" t="str">
        <f t="shared" si="50"/>
        <v>B-PROTHESES</v>
      </c>
      <c r="C231" s="21"/>
      <c r="D231" s="57" t="s">
        <v>476</v>
      </c>
      <c r="E231" s="61" t="s">
        <v>361</v>
      </c>
      <c r="F231" s="43"/>
      <c r="G231" s="60">
        <f t="shared" si="51"/>
        <v>0</v>
      </c>
      <c r="H231" s="97" t="s">
        <v>365</v>
      </c>
      <c r="I231" s="56">
        <f t="shared" si="52"/>
        <v>0</v>
      </c>
      <c r="J231" s="47">
        <f t="shared" si="24"/>
        <v>0</v>
      </c>
      <c r="L231" s="77" t="s">
        <v>362</v>
      </c>
      <c r="M231" s="98"/>
      <c r="N231" s="19" t="str">
        <f t="shared" si="53"/>
        <v>Société Générale</v>
      </c>
      <c r="O231" s="33" t="s">
        <v>36</v>
      </c>
    </row>
    <row r="232" spans="1:15">
      <c r="A232" s="9" t="str">
        <f t="shared" si="49"/>
        <v>1 -Recette CABINET</v>
      </c>
      <c r="B232" s="21" t="str">
        <f t="shared" si="50"/>
        <v>B-PROTHESES</v>
      </c>
      <c r="C232" s="21"/>
      <c r="D232" s="57" t="s">
        <v>477</v>
      </c>
      <c r="E232" s="61" t="s">
        <v>361</v>
      </c>
      <c r="F232" s="43"/>
      <c r="G232" s="60">
        <f t="shared" si="51"/>
        <v>0</v>
      </c>
      <c r="H232" s="97" t="s">
        <v>442</v>
      </c>
      <c r="I232" s="56">
        <f t="shared" si="52"/>
        <v>0</v>
      </c>
      <c r="J232" s="47">
        <f t="shared" si="24"/>
        <v>0</v>
      </c>
      <c r="L232" s="77" t="s">
        <v>362</v>
      </c>
      <c r="M232" s="98" t="str">
        <f t="shared" ref="M232" si="56">+RIGHT(D232,2)</f>
        <v>25</v>
      </c>
      <c r="N232" s="19" t="str">
        <f t="shared" si="53"/>
        <v>Crédit Agricole</v>
      </c>
      <c r="O232" s="33" t="s">
        <v>36</v>
      </c>
    </row>
    <row r="233" spans="1:15">
      <c r="A233" s="9" t="str">
        <f t="shared" si="49"/>
        <v>1 -Recette CABINET</v>
      </c>
      <c r="B233" s="21" t="str">
        <f t="shared" si="50"/>
        <v>B-PROTHESES</v>
      </c>
      <c r="C233" s="21"/>
      <c r="D233" s="57" t="s">
        <v>477</v>
      </c>
      <c r="E233" s="61" t="s">
        <v>361</v>
      </c>
      <c r="F233" s="43"/>
      <c r="G233" s="60">
        <f t="shared" si="51"/>
        <v>0</v>
      </c>
      <c r="H233" s="97" t="s">
        <v>364</v>
      </c>
      <c r="I233" s="56">
        <f t="shared" si="52"/>
        <v>0</v>
      </c>
      <c r="J233" s="47">
        <f t="shared" si="24"/>
        <v>0</v>
      </c>
      <c r="L233" s="77" t="s">
        <v>362</v>
      </c>
      <c r="M233" s="98"/>
      <c r="N233" s="19" t="str">
        <f t="shared" si="53"/>
        <v>Société Générale</v>
      </c>
      <c r="O233" s="33" t="s">
        <v>36</v>
      </c>
    </row>
    <row r="234" spans="1:15">
      <c r="A234" s="9" t="str">
        <f t="shared" si="49"/>
        <v>1 -Recette CABINET</v>
      </c>
      <c r="B234" s="21" t="str">
        <f t="shared" si="50"/>
        <v>B-PROTHESES</v>
      </c>
      <c r="C234" s="21"/>
      <c r="D234" s="57" t="s">
        <v>477</v>
      </c>
      <c r="E234" s="61" t="s">
        <v>361</v>
      </c>
      <c r="F234" s="43"/>
      <c r="G234" s="60">
        <f t="shared" si="51"/>
        <v>0</v>
      </c>
      <c r="H234" s="97" t="s">
        <v>365</v>
      </c>
      <c r="I234" s="56">
        <f t="shared" si="52"/>
        <v>0</v>
      </c>
      <c r="J234" s="47">
        <f t="shared" si="24"/>
        <v>0</v>
      </c>
      <c r="L234" s="77" t="s">
        <v>362</v>
      </c>
      <c r="M234" s="98"/>
      <c r="N234" s="19" t="str">
        <f t="shared" si="53"/>
        <v>Société Générale</v>
      </c>
      <c r="O234" s="33" t="s">
        <v>36</v>
      </c>
    </row>
    <row r="235" spans="1:15">
      <c r="A235" s="9" t="str">
        <f t="shared" si="49"/>
        <v>1 -Recette CABINET</v>
      </c>
      <c r="B235" s="21" t="str">
        <f t="shared" si="50"/>
        <v>B-PROTHESES</v>
      </c>
      <c r="C235" s="21"/>
      <c r="D235" s="57" t="s">
        <v>478</v>
      </c>
      <c r="E235" s="61" t="s">
        <v>361</v>
      </c>
      <c r="F235" s="43"/>
      <c r="G235" s="60">
        <f t="shared" si="51"/>
        <v>0</v>
      </c>
      <c r="H235" s="97" t="s">
        <v>442</v>
      </c>
      <c r="I235" s="56">
        <f t="shared" si="52"/>
        <v>0</v>
      </c>
      <c r="J235" s="47">
        <f t="shared" si="24"/>
        <v>0</v>
      </c>
      <c r="L235" s="77" t="s">
        <v>362</v>
      </c>
      <c r="M235" s="98" t="str">
        <f t="shared" ref="M235" si="57">+RIGHT(D235,2)</f>
        <v>26</v>
      </c>
      <c r="N235" s="19" t="str">
        <f t="shared" si="53"/>
        <v>Crédit Agricole</v>
      </c>
      <c r="O235" s="33" t="s">
        <v>36</v>
      </c>
    </row>
    <row r="236" spans="1:15">
      <c r="A236" s="9" t="str">
        <f t="shared" si="49"/>
        <v>1 -Recette CABINET</v>
      </c>
      <c r="B236" s="21" t="str">
        <f t="shared" si="50"/>
        <v>B-PROTHESES</v>
      </c>
      <c r="C236" s="21"/>
      <c r="D236" s="57" t="s">
        <v>478</v>
      </c>
      <c r="E236" s="61" t="s">
        <v>361</v>
      </c>
      <c r="F236" s="43"/>
      <c r="G236" s="60">
        <f t="shared" si="51"/>
        <v>0</v>
      </c>
      <c r="H236" s="97" t="s">
        <v>364</v>
      </c>
      <c r="I236" s="56">
        <f t="shared" si="52"/>
        <v>0</v>
      </c>
      <c r="J236" s="47">
        <f t="shared" si="24"/>
        <v>0</v>
      </c>
      <c r="L236" s="77" t="s">
        <v>362</v>
      </c>
      <c r="M236" s="98"/>
      <c r="N236" s="19" t="str">
        <f t="shared" si="53"/>
        <v>Société Générale</v>
      </c>
      <c r="O236" s="33" t="s">
        <v>36</v>
      </c>
    </row>
    <row r="237" spans="1:15">
      <c r="A237" s="9" t="str">
        <f t="shared" si="49"/>
        <v>1 -Recette CABINET</v>
      </c>
      <c r="B237" s="21" t="str">
        <f t="shared" si="50"/>
        <v>B-PROTHESES</v>
      </c>
      <c r="C237" s="21"/>
      <c r="D237" s="57" t="s">
        <v>478</v>
      </c>
      <c r="E237" s="61" t="s">
        <v>361</v>
      </c>
      <c r="F237" s="43"/>
      <c r="G237" s="60">
        <f t="shared" si="51"/>
        <v>0</v>
      </c>
      <c r="H237" s="97" t="s">
        <v>365</v>
      </c>
      <c r="I237" s="56">
        <f t="shared" si="52"/>
        <v>0</v>
      </c>
      <c r="J237" s="47">
        <f t="shared" si="24"/>
        <v>0</v>
      </c>
      <c r="L237" s="77" t="s">
        <v>362</v>
      </c>
      <c r="M237" s="98"/>
      <c r="N237" s="19" t="str">
        <f t="shared" si="53"/>
        <v>Société Générale</v>
      </c>
      <c r="O237" s="33" t="s">
        <v>36</v>
      </c>
    </row>
    <row r="238" spans="1:15">
      <c r="A238" s="9" t="str">
        <f t="shared" si="49"/>
        <v>1 -Recette CABINET</v>
      </c>
      <c r="B238" s="21" t="str">
        <f t="shared" si="50"/>
        <v>B-PROTHESES</v>
      </c>
      <c r="C238" s="21"/>
      <c r="D238" s="57" t="s">
        <v>479</v>
      </c>
      <c r="E238" s="61" t="s">
        <v>361</v>
      </c>
      <c r="F238" s="43"/>
      <c r="G238" s="60">
        <f t="shared" si="51"/>
        <v>0</v>
      </c>
      <c r="H238" s="97" t="s">
        <v>442</v>
      </c>
      <c r="I238" s="56">
        <f t="shared" si="52"/>
        <v>0</v>
      </c>
      <c r="J238" s="47">
        <f t="shared" si="24"/>
        <v>0</v>
      </c>
      <c r="L238" s="77" t="s">
        <v>362</v>
      </c>
      <c r="M238" s="98" t="str">
        <f t="shared" ref="M238" si="58">+RIGHT(D238,2)</f>
        <v>27</v>
      </c>
      <c r="N238" s="19" t="str">
        <f t="shared" si="53"/>
        <v>Crédit Agricole</v>
      </c>
      <c r="O238" s="33" t="s">
        <v>36</v>
      </c>
    </row>
    <row r="239" spans="1:15">
      <c r="A239" s="9" t="str">
        <f t="shared" si="49"/>
        <v>1 -Recette CABINET</v>
      </c>
      <c r="B239" s="21" t="str">
        <f t="shared" si="50"/>
        <v>B-PROTHESES</v>
      </c>
      <c r="C239" s="21"/>
      <c r="D239" s="57" t="s">
        <v>479</v>
      </c>
      <c r="E239" s="61" t="s">
        <v>361</v>
      </c>
      <c r="F239" s="43"/>
      <c r="G239" s="60">
        <f t="shared" si="51"/>
        <v>0</v>
      </c>
      <c r="H239" s="97" t="s">
        <v>364</v>
      </c>
      <c r="I239" s="56">
        <f t="shared" si="52"/>
        <v>0</v>
      </c>
      <c r="J239" s="47">
        <f t="shared" si="24"/>
        <v>0</v>
      </c>
      <c r="L239" s="77" t="s">
        <v>362</v>
      </c>
      <c r="M239" s="98"/>
      <c r="N239" s="19" t="str">
        <f t="shared" si="53"/>
        <v>Société Générale</v>
      </c>
      <c r="O239" s="33" t="s">
        <v>36</v>
      </c>
    </row>
    <row r="240" spans="1:15">
      <c r="A240" s="9" t="str">
        <f t="shared" si="49"/>
        <v>1 -Recette CABINET</v>
      </c>
      <c r="B240" s="21" t="str">
        <f t="shared" si="50"/>
        <v>B-PROTHESES</v>
      </c>
      <c r="C240" s="21"/>
      <c r="D240" s="57" t="s">
        <v>479</v>
      </c>
      <c r="E240" s="61" t="s">
        <v>361</v>
      </c>
      <c r="F240" s="43"/>
      <c r="G240" s="60">
        <f t="shared" si="51"/>
        <v>0</v>
      </c>
      <c r="H240" s="97" t="s">
        <v>365</v>
      </c>
      <c r="I240" s="56">
        <f t="shared" si="52"/>
        <v>0</v>
      </c>
      <c r="J240" s="47">
        <f t="shared" si="24"/>
        <v>0</v>
      </c>
      <c r="L240" s="77" t="s">
        <v>362</v>
      </c>
      <c r="M240" s="98"/>
      <c r="N240" s="19" t="str">
        <f t="shared" si="53"/>
        <v>Société Générale</v>
      </c>
      <c r="O240" s="33" t="s">
        <v>36</v>
      </c>
    </row>
    <row r="241" spans="1:15">
      <c r="A241" s="9" t="str">
        <f t="shared" si="49"/>
        <v>1 -Recette CABINET</v>
      </c>
      <c r="B241" s="21" t="str">
        <f t="shared" si="50"/>
        <v>B-PROTHESES</v>
      </c>
      <c r="C241" s="21"/>
      <c r="D241" s="57" t="s">
        <v>480</v>
      </c>
      <c r="E241" s="61" t="s">
        <v>361</v>
      </c>
      <c r="F241" s="43"/>
      <c r="G241" s="60">
        <f t="shared" si="51"/>
        <v>0</v>
      </c>
      <c r="H241" s="97" t="s">
        <v>442</v>
      </c>
      <c r="I241" s="56">
        <f t="shared" si="52"/>
        <v>0</v>
      </c>
      <c r="J241" s="47">
        <f t="shared" si="24"/>
        <v>0</v>
      </c>
      <c r="L241" s="77" t="s">
        <v>362</v>
      </c>
      <c r="M241" s="98" t="str">
        <f t="shared" ref="M241" si="59">+RIGHT(D241,2)</f>
        <v>28</v>
      </c>
      <c r="N241" s="19" t="str">
        <f t="shared" si="53"/>
        <v>Crédit Agricole</v>
      </c>
      <c r="O241" s="33" t="s">
        <v>36</v>
      </c>
    </row>
    <row r="242" spans="1:15">
      <c r="A242" s="9" t="str">
        <f t="shared" si="49"/>
        <v>1 -Recette CABINET</v>
      </c>
      <c r="B242" s="21" t="str">
        <f t="shared" si="50"/>
        <v>B-PROTHESES</v>
      </c>
      <c r="C242" s="21"/>
      <c r="D242" s="57" t="s">
        <v>480</v>
      </c>
      <c r="E242" s="61" t="s">
        <v>361</v>
      </c>
      <c r="F242" s="43"/>
      <c r="G242" s="60">
        <f t="shared" si="51"/>
        <v>0</v>
      </c>
      <c r="H242" s="97" t="s">
        <v>364</v>
      </c>
      <c r="I242" s="56">
        <f t="shared" si="52"/>
        <v>0</v>
      </c>
      <c r="J242" s="47">
        <f t="shared" si="24"/>
        <v>0</v>
      </c>
      <c r="L242" s="77" t="s">
        <v>362</v>
      </c>
      <c r="M242" s="98"/>
      <c r="N242" s="19" t="str">
        <f t="shared" si="53"/>
        <v>Société Générale</v>
      </c>
      <c r="O242" s="33" t="s">
        <v>36</v>
      </c>
    </row>
    <row r="243" spans="1:15">
      <c r="A243" s="9" t="str">
        <f t="shared" si="49"/>
        <v>1 -Recette CABINET</v>
      </c>
      <c r="B243" s="21" t="str">
        <f t="shared" si="50"/>
        <v>B-PROTHESES</v>
      </c>
      <c r="C243" s="21"/>
      <c r="D243" s="57" t="s">
        <v>480</v>
      </c>
      <c r="E243" s="61" t="s">
        <v>361</v>
      </c>
      <c r="F243" s="43"/>
      <c r="G243" s="60">
        <f t="shared" si="51"/>
        <v>0</v>
      </c>
      <c r="H243" s="97" t="s">
        <v>365</v>
      </c>
      <c r="I243" s="56">
        <f t="shared" si="52"/>
        <v>0</v>
      </c>
      <c r="J243" s="47">
        <f t="shared" si="24"/>
        <v>0</v>
      </c>
      <c r="L243" s="77" t="s">
        <v>362</v>
      </c>
      <c r="M243" s="98"/>
      <c r="N243" s="19" t="str">
        <f t="shared" si="53"/>
        <v>Société Générale</v>
      </c>
      <c r="O243" s="33" t="s">
        <v>36</v>
      </c>
    </row>
    <row r="244" spans="1:15">
      <c r="A244" s="9" t="str">
        <f t="shared" si="49"/>
        <v>1 -Recette CABINET</v>
      </c>
      <c r="B244" s="21" t="str">
        <f t="shared" si="50"/>
        <v>B-PROTHESES</v>
      </c>
      <c r="C244" s="21"/>
      <c r="D244" s="57" t="s">
        <v>481</v>
      </c>
      <c r="E244" s="61" t="s">
        <v>361</v>
      </c>
      <c r="F244" s="43"/>
      <c r="G244" s="60">
        <f t="shared" si="51"/>
        <v>0</v>
      </c>
      <c r="H244" s="97" t="s">
        <v>442</v>
      </c>
      <c r="I244" s="56">
        <f t="shared" si="52"/>
        <v>0</v>
      </c>
      <c r="J244" s="47">
        <f t="shared" si="24"/>
        <v>0</v>
      </c>
      <c r="L244" s="77" t="s">
        <v>362</v>
      </c>
      <c r="M244" s="98" t="str">
        <f t="shared" ref="M244" si="60">+RIGHT(D244,2)</f>
        <v>29</v>
      </c>
      <c r="N244" s="19" t="str">
        <f t="shared" si="53"/>
        <v>Crédit Agricole</v>
      </c>
      <c r="O244" s="33" t="s">
        <v>36</v>
      </c>
    </row>
    <row r="245" spans="1:15">
      <c r="A245" s="9" t="str">
        <f t="shared" si="49"/>
        <v>1 -Recette CABINET</v>
      </c>
      <c r="B245" s="21" t="str">
        <f t="shared" si="50"/>
        <v>B-PROTHESES</v>
      </c>
      <c r="C245" s="21"/>
      <c r="D245" s="57" t="s">
        <v>481</v>
      </c>
      <c r="E245" s="61" t="s">
        <v>361</v>
      </c>
      <c r="F245" s="43"/>
      <c r="G245" s="60">
        <f t="shared" si="51"/>
        <v>0</v>
      </c>
      <c r="H245" s="97" t="s">
        <v>364</v>
      </c>
      <c r="I245" s="56">
        <f t="shared" si="52"/>
        <v>0</v>
      </c>
      <c r="J245" s="47">
        <f t="shared" si="24"/>
        <v>0</v>
      </c>
      <c r="L245" s="77" t="s">
        <v>362</v>
      </c>
      <c r="M245" s="98"/>
      <c r="N245" s="19" t="str">
        <f t="shared" si="53"/>
        <v>Société Générale</v>
      </c>
      <c r="O245" s="33" t="s">
        <v>36</v>
      </c>
    </row>
    <row r="246" spans="1:15">
      <c r="A246" s="9" t="str">
        <f t="shared" si="49"/>
        <v>1 -Recette CABINET</v>
      </c>
      <c r="B246" s="21" t="str">
        <f t="shared" si="50"/>
        <v>B-PROTHESES</v>
      </c>
      <c r="C246" s="21"/>
      <c r="D246" s="57" t="s">
        <v>481</v>
      </c>
      <c r="E246" s="61" t="s">
        <v>361</v>
      </c>
      <c r="F246" s="43"/>
      <c r="G246" s="60">
        <f t="shared" si="51"/>
        <v>0</v>
      </c>
      <c r="H246" s="97" t="s">
        <v>365</v>
      </c>
      <c r="I246" s="56">
        <f t="shared" si="52"/>
        <v>0</v>
      </c>
      <c r="J246" s="47">
        <f t="shared" si="24"/>
        <v>0</v>
      </c>
      <c r="L246" s="77" t="s">
        <v>362</v>
      </c>
      <c r="M246" s="98"/>
      <c r="N246" s="19" t="str">
        <f t="shared" si="53"/>
        <v>Société Générale</v>
      </c>
      <c r="O246" s="33" t="s">
        <v>36</v>
      </c>
    </row>
    <row r="247" spans="1:15">
      <c r="A247" s="9" t="str">
        <f t="shared" si="49"/>
        <v>1 -Recette CABINET</v>
      </c>
      <c r="B247" s="21" t="str">
        <f t="shared" si="50"/>
        <v>B-PROTHESES</v>
      </c>
      <c r="C247" s="21"/>
      <c r="D247" s="57" t="s">
        <v>482</v>
      </c>
      <c r="E247" s="61" t="s">
        <v>361</v>
      </c>
      <c r="F247" s="43"/>
      <c r="G247" s="60">
        <f t="shared" si="51"/>
        <v>0</v>
      </c>
      <c r="H247" s="97" t="s">
        <v>442</v>
      </c>
      <c r="I247" s="56">
        <f t="shared" si="52"/>
        <v>0</v>
      </c>
      <c r="J247" s="47">
        <f t="shared" si="24"/>
        <v>0</v>
      </c>
      <c r="L247" s="77" t="s">
        <v>362</v>
      </c>
      <c r="M247" s="98" t="str">
        <f t="shared" ref="M247" si="61">+RIGHT(D247,2)</f>
        <v>30</v>
      </c>
      <c r="N247" s="19" t="str">
        <f t="shared" si="53"/>
        <v>Crédit Agricole</v>
      </c>
      <c r="O247" s="33" t="s">
        <v>36</v>
      </c>
    </row>
    <row r="248" spans="1:15">
      <c r="A248" s="9" t="str">
        <f t="shared" si="49"/>
        <v>1 -Recette CABINET</v>
      </c>
      <c r="B248" s="21" t="str">
        <f t="shared" si="50"/>
        <v>B-PROTHESES</v>
      </c>
      <c r="C248" s="21"/>
      <c r="D248" s="57" t="s">
        <v>482</v>
      </c>
      <c r="E248" s="61" t="s">
        <v>361</v>
      </c>
      <c r="F248" s="43"/>
      <c r="G248" s="60">
        <f t="shared" si="51"/>
        <v>0</v>
      </c>
      <c r="H248" s="97" t="s">
        <v>364</v>
      </c>
      <c r="I248" s="56">
        <f t="shared" si="52"/>
        <v>0</v>
      </c>
      <c r="J248" s="47">
        <f t="shared" si="24"/>
        <v>0</v>
      </c>
      <c r="L248" s="77" t="s">
        <v>362</v>
      </c>
      <c r="M248" s="98"/>
      <c r="N248" s="19" t="str">
        <f t="shared" si="53"/>
        <v>Société Générale</v>
      </c>
      <c r="O248" s="33" t="s">
        <v>36</v>
      </c>
    </row>
    <row r="249" spans="1:15">
      <c r="A249" s="9" t="str">
        <f t="shared" si="49"/>
        <v>1 -Recette CABINET</v>
      </c>
      <c r="B249" s="21" t="str">
        <f t="shared" si="50"/>
        <v>B-PROTHESES</v>
      </c>
      <c r="C249" s="21"/>
      <c r="D249" s="57" t="s">
        <v>482</v>
      </c>
      <c r="E249" s="61" t="s">
        <v>361</v>
      </c>
      <c r="F249" s="43"/>
      <c r="G249" s="60">
        <f t="shared" si="51"/>
        <v>0</v>
      </c>
      <c r="H249" s="97" t="s">
        <v>365</v>
      </c>
      <c r="I249" s="56">
        <f t="shared" si="52"/>
        <v>0</v>
      </c>
      <c r="J249" s="47">
        <f t="shared" si="24"/>
        <v>0</v>
      </c>
      <c r="L249" s="77" t="s">
        <v>362</v>
      </c>
      <c r="M249" s="98"/>
      <c r="N249" s="19" t="str">
        <f t="shared" si="53"/>
        <v>Société Générale</v>
      </c>
      <c r="O249" s="33" t="s">
        <v>36</v>
      </c>
    </row>
    <row r="250" spans="1:15">
      <c r="A250" s="9" t="str">
        <f t="shared" si="49"/>
        <v>1 -Recette CABINET</v>
      </c>
      <c r="B250" s="21" t="str">
        <f t="shared" si="50"/>
        <v>B-PROTHESES</v>
      </c>
      <c r="C250" s="21"/>
      <c r="D250" s="57" t="s">
        <v>483</v>
      </c>
      <c r="E250" s="61" t="s">
        <v>361</v>
      </c>
      <c r="F250" s="43"/>
      <c r="G250" s="60">
        <f t="shared" si="51"/>
        <v>0</v>
      </c>
      <c r="H250" s="97" t="s">
        <v>442</v>
      </c>
      <c r="I250" s="56">
        <f t="shared" si="52"/>
        <v>0</v>
      </c>
      <c r="J250" s="47">
        <f t="shared" si="24"/>
        <v>0</v>
      </c>
      <c r="L250" s="77" t="s">
        <v>362</v>
      </c>
      <c r="M250" s="98" t="str">
        <f t="shared" ref="M250" si="62">+RIGHT(D250,2)</f>
        <v>31</v>
      </c>
      <c r="N250" s="19" t="str">
        <f t="shared" si="53"/>
        <v>Crédit Agricole</v>
      </c>
      <c r="O250" s="33" t="s">
        <v>36</v>
      </c>
    </row>
    <row r="251" spans="1:15">
      <c r="A251" s="9" t="str">
        <f t="shared" si="49"/>
        <v>1 -Recette CABINET</v>
      </c>
      <c r="B251" s="21" t="str">
        <f t="shared" si="50"/>
        <v>B-PROTHESES</v>
      </c>
      <c r="C251" s="21"/>
      <c r="D251" s="57" t="s">
        <v>483</v>
      </c>
      <c r="E251" s="61" t="s">
        <v>361</v>
      </c>
      <c r="F251" s="43"/>
      <c r="G251" s="60">
        <f t="shared" si="51"/>
        <v>0</v>
      </c>
      <c r="H251" s="97" t="s">
        <v>364</v>
      </c>
      <c r="I251" s="56">
        <f t="shared" si="52"/>
        <v>0</v>
      </c>
      <c r="J251" s="47">
        <f t="shared" si="24"/>
        <v>0</v>
      </c>
      <c r="L251" s="77" t="s">
        <v>362</v>
      </c>
      <c r="M251" s="98"/>
      <c r="N251" s="19" t="str">
        <f t="shared" si="53"/>
        <v>Société Générale</v>
      </c>
      <c r="O251" s="33" t="s">
        <v>36</v>
      </c>
    </row>
    <row r="252" spans="1:15">
      <c r="A252" s="9" t="str">
        <f t="shared" si="49"/>
        <v>1 -Recette CABINET</v>
      </c>
      <c r="B252" s="21" t="str">
        <f t="shared" si="50"/>
        <v>B-PROTHESES</v>
      </c>
      <c r="C252" s="21"/>
      <c r="D252" s="57" t="s">
        <v>483</v>
      </c>
      <c r="E252" s="61" t="s">
        <v>361</v>
      </c>
      <c r="F252" s="43"/>
      <c r="G252" s="60">
        <f t="shared" si="51"/>
        <v>0</v>
      </c>
      <c r="H252" s="97" t="s">
        <v>365</v>
      </c>
      <c r="I252" s="56">
        <f t="shared" si="52"/>
        <v>0</v>
      </c>
      <c r="J252" s="47">
        <f t="shared" si="24"/>
        <v>0</v>
      </c>
      <c r="L252" s="77" t="s">
        <v>362</v>
      </c>
      <c r="M252" s="98"/>
      <c r="N252" s="19" t="str">
        <f t="shared" si="53"/>
        <v>Société Générale</v>
      </c>
      <c r="O252" s="33" t="s">
        <v>36</v>
      </c>
    </row>
    <row r="253" spans="1:15">
      <c r="A253" s="9" t="str">
        <f t="shared" si="49"/>
        <v>1 -Recette CABINET</v>
      </c>
      <c r="B253" s="21" t="str">
        <f t="shared" si="50"/>
        <v>B-PROTHESES</v>
      </c>
      <c r="C253" s="21"/>
      <c r="D253" s="57" t="s">
        <v>484</v>
      </c>
      <c r="E253" s="61" t="s">
        <v>361</v>
      </c>
      <c r="F253" s="43"/>
      <c r="G253" s="60">
        <f t="shared" si="51"/>
        <v>0</v>
      </c>
      <c r="H253" s="97" t="s">
        <v>442</v>
      </c>
      <c r="I253" s="56">
        <f t="shared" si="52"/>
        <v>0</v>
      </c>
      <c r="J253" s="47">
        <f t="shared" si="24"/>
        <v>0</v>
      </c>
      <c r="L253" s="77" t="s">
        <v>362</v>
      </c>
      <c r="M253" s="98" t="str">
        <f t="shared" ref="M253" si="63">+RIGHT(D253,2)</f>
        <v>32</v>
      </c>
      <c r="N253" s="19" t="str">
        <f t="shared" si="53"/>
        <v>Crédit Agricole</v>
      </c>
      <c r="O253" s="33" t="s">
        <v>36</v>
      </c>
    </row>
    <row r="254" spans="1:15">
      <c r="A254" s="9" t="str">
        <f t="shared" si="49"/>
        <v>1 -Recette CABINET</v>
      </c>
      <c r="B254" s="21" t="str">
        <f t="shared" si="50"/>
        <v>B-PROTHESES</v>
      </c>
      <c r="C254" s="21"/>
      <c r="D254" s="57" t="s">
        <v>484</v>
      </c>
      <c r="E254" s="61" t="s">
        <v>361</v>
      </c>
      <c r="F254" s="43"/>
      <c r="G254" s="60">
        <f t="shared" si="51"/>
        <v>0</v>
      </c>
      <c r="H254" s="97" t="s">
        <v>364</v>
      </c>
      <c r="I254" s="56">
        <f t="shared" si="52"/>
        <v>0</v>
      </c>
      <c r="J254" s="47">
        <f t="shared" si="24"/>
        <v>0</v>
      </c>
      <c r="L254" s="77" t="s">
        <v>362</v>
      </c>
      <c r="M254" s="98"/>
      <c r="N254" s="19" t="str">
        <f t="shared" si="53"/>
        <v>Société Générale</v>
      </c>
      <c r="O254" s="33" t="s">
        <v>36</v>
      </c>
    </row>
    <row r="255" spans="1:15">
      <c r="A255" s="9" t="str">
        <f t="shared" si="49"/>
        <v>1 -Recette CABINET</v>
      </c>
      <c r="B255" s="21" t="str">
        <f t="shared" si="50"/>
        <v>B-PROTHESES</v>
      </c>
      <c r="C255" s="21"/>
      <c r="D255" s="57" t="s">
        <v>484</v>
      </c>
      <c r="E255" s="61" t="s">
        <v>361</v>
      </c>
      <c r="F255" s="43"/>
      <c r="G255" s="60">
        <f t="shared" si="51"/>
        <v>0</v>
      </c>
      <c r="H255" s="97" t="s">
        <v>365</v>
      </c>
      <c r="I255" s="56">
        <f t="shared" si="52"/>
        <v>0</v>
      </c>
      <c r="J255" s="47">
        <f t="shared" si="24"/>
        <v>0</v>
      </c>
      <c r="L255" s="77" t="s">
        <v>362</v>
      </c>
      <c r="M255" s="98"/>
      <c r="N255" s="19" t="str">
        <f t="shared" si="53"/>
        <v>Société Générale</v>
      </c>
      <c r="O255" s="33" t="s">
        <v>36</v>
      </c>
    </row>
    <row r="256" spans="1:15">
      <c r="A256" s="9" t="str">
        <f t="shared" si="49"/>
        <v>1 -Recette CABINET</v>
      </c>
      <c r="B256" s="21" t="str">
        <f t="shared" si="50"/>
        <v>B-PROTHESES</v>
      </c>
      <c r="C256" s="21"/>
      <c r="D256" s="57" t="s">
        <v>485</v>
      </c>
      <c r="E256" s="61" t="s">
        <v>361</v>
      </c>
      <c r="F256" s="43"/>
      <c r="G256" s="60">
        <f t="shared" si="51"/>
        <v>0</v>
      </c>
      <c r="H256" s="97" t="s">
        <v>442</v>
      </c>
      <c r="I256" s="56">
        <f t="shared" si="52"/>
        <v>0</v>
      </c>
      <c r="J256" s="47">
        <f t="shared" si="24"/>
        <v>0</v>
      </c>
      <c r="L256" s="77" t="s">
        <v>362</v>
      </c>
      <c r="M256" s="98" t="str">
        <f t="shared" ref="M256" si="64">+RIGHT(D256,2)</f>
        <v>33</v>
      </c>
      <c r="N256" s="19" t="str">
        <f t="shared" si="53"/>
        <v>Crédit Agricole</v>
      </c>
      <c r="O256" s="33" t="s">
        <v>36</v>
      </c>
    </row>
    <row r="257" spans="1:15">
      <c r="A257" s="9" t="str">
        <f t="shared" si="49"/>
        <v>1 -Recette CABINET</v>
      </c>
      <c r="B257" s="21" t="str">
        <f t="shared" si="50"/>
        <v>B-PROTHESES</v>
      </c>
      <c r="C257" s="21"/>
      <c r="D257" s="57" t="s">
        <v>485</v>
      </c>
      <c r="E257" s="61" t="s">
        <v>361</v>
      </c>
      <c r="F257" s="43"/>
      <c r="G257" s="60">
        <f t="shared" si="51"/>
        <v>0</v>
      </c>
      <c r="H257" s="97" t="s">
        <v>364</v>
      </c>
      <c r="I257" s="56">
        <f t="shared" si="52"/>
        <v>0</v>
      </c>
      <c r="J257" s="47">
        <f t="shared" si="24"/>
        <v>0</v>
      </c>
      <c r="L257" s="77" t="s">
        <v>362</v>
      </c>
      <c r="M257" s="98"/>
      <c r="N257" s="19" t="str">
        <f t="shared" si="53"/>
        <v>Société Générale</v>
      </c>
      <c r="O257" s="33" t="s">
        <v>36</v>
      </c>
    </row>
    <row r="258" spans="1:15">
      <c r="A258" s="9" t="str">
        <f t="shared" si="49"/>
        <v>1 -Recette CABINET</v>
      </c>
      <c r="B258" s="21" t="str">
        <f t="shared" si="50"/>
        <v>B-PROTHESES</v>
      </c>
      <c r="C258" s="21"/>
      <c r="D258" s="57" t="s">
        <v>485</v>
      </c>
      <c r="E258" s="61" t="s">
        <v>361</v>
      </c>
      <c r="F258" s="43"/>
      <c r="G258" s="60">
        <f t="shared" si="51"/>
        <v>0</v>
      </c>
      <c r="H258" s="97" t="s">
        <v>365</v>
      </c>
      <c r="I258" s="56">
        <f t="shared" si="52"/>
        <v>0</v>
      </c>
      <c r="J258" s="47">
        <f t="shared" si="24"/>
        <v>0</v>
      </c>
      <c r="L258" s="77" t="s">
        <v>362</v>
      </c>
      <c r="M258" s="98"/>
      <c r="N258" s="19" t="str">
        <f t="shared" si="53"/>
        <v>Société Générale</v>
      </c>
      <c r="O258" s="33" t="s">
        <v>36</v>
      </c>
    </row>
    <row r="259" spans="1:15">
      <c r="A259" s="9" t="str">
        <f t="shared" si="49"/>
        <v>1 -Recette CABINET</v>
      </c>
      <c r="B259" s="21" t="str">
        <f t="shared" si="50"/>
        <v>B-PROTHESES</v>
      </c>
      <c r="C259" s="21"/>
      <c r="D259" s="57" t="s">
        <v>486</v>
      </c>
      <c r="E259" s="61" t="s">
        <v>361</v>
      </c>
      <c r="F259" s="43"/>
      <c r="G259" s="60">
        <f t="shared" si="51"/>
        <v>0</v>
      </c>
      <c r="H259" s="97" t="s">
        <v>442</v>
      </c>
      <c r="I259" s="56">
        <f t="shared" si="52"/>
        <v>0</v>
      </c>
      <c r="J259" s="47">
        <f t="shared" si="24"/>
        <v>0</v>
      </c>
      <c r="L259" s="77" t="s">
        <v>362</v>
      </c>
      <c r="M259" s="98" t="str">
        <f t="shared" ref="M259" si="65">+RIGHT(D259,2)</f>
        <v>34</v>
      </c>
      <c r="N259" s="19" t="str">
        <f t="shared" si="53"/>
        <v>Crédit Agricole</v>
      </c>
      <c r="O259" s="33" t="s">
        <v>36</v>
      </c>
    </row>
    <row r="260" spans="1:15">
      <c r="A260" s="9" t="str">
        <f t="shared" si="49"/>
        <v>1 -Recette CABINET</v>
      </c>
      <c r="B260" s="21" t="str">
        <f t="shared" si="50"/>
        <v>B-PROTHESES</v>
      </c>
      <c r="C260" s="21"/>
      <c r="D260" s="57" t="s">
        <v>486</v>
      </c>
      <c r="E260" s="61" t="s">
        <v>361</v>
      </c>
      <c r="F260" s="43"/>
      <c r="G260" s="60">
        <f t="shared" si="51"/>
        <v>0</v>
      </c>
      <c r="H260" s="97" t="s">
        <v>364</v>
      </c>
      <c r="I260" s="56">
        <f t="shared" si="52"/>
        <v>0</v>
      </c>
      <c r="J260" s="47">
        <f t="shared" si="24"/>
        <v>0</v>
      </c>
      <c r="L260" s="77" t="s">
        <v>362</v>
      </c>
      <c r="M260" s="98"/>
      <c r="N260" s="19" t="str">
        <f t="shared" si="53"/>
        <v>Société Générale</v>
      </c>
      <c r="O260" s="33" t="s">
        <v>36</v>
      </c>
    </row>
    <row r="261" spans="1:15">
      <c r="A261" s="9" t="str">
        <f t="shared" si="49"/>
        <v>1 -Recette CABINET</v>
      </c>
      <c r="B261" s="21" t="str">
        <f t="shared" si="50"/>
        <v>B-PROTHESES</v>
      </c>
      <c r="C261" s="21"/>
      <c r="D261" s="57" t="s">
        <v>486</v>
      </c>
      <c r="E261" s="61" t="s">
        <v>361</v>
      </c>
      <c r="F261" s="43"/>
      <c r="G261" s="60">
        <f t="shared" si="51"/>
        <v>0</v>
      </c>
      <c r="H261" s="97" t="s">
        <v>365</v>
      </c>
      <c r="I261" s="56">
        <f t="shared" si="52"/>
        <v>0</v>
      </c>
      <c r="J261" s="47">
        <f t="shared" si="24"/>
        <v>0</v>
      </c>
      <c r="L261" s="77" t="s">
        <v>362</v>
      </c>
      <c r="M261" s="98"/>
      <c r="N261" s="19" t="str">
        <f t="shared" si="53"/>
        <v>Société Générale</v>
      </c>
      <c r="O261" s="33" t="s">
        <v>36</v>
      </c>
    </row>
    <row r="262" spans="1:15">
      <c r="A262" s="9" t="str">
        <f t="shared" si="49"/>
        <v>1 -Recette CABINET</v>
      </c>
      <c r="B262" s="21" t="str">
        <f t="shared" si="50"/>
        <v>B-PROTHESES</v>
      </c>
      <c r="C262" s="21"/>
      <c r="D262" s="57" t="s">
        <v>487</v>
      </c>
      <c r="E262" s="61" t="s">
        <v>361</v>
      </c>
      <c r="F262" s="43"/>
      <c r="G262" s="60">
        <f t="shared" si="51"/>
        <v>0</v>
      </c>
      <c r="H262" s="97" t="s">
        <v>442</v>
      </c>
      <c r="I262" s="56">
        <f t="shared" si="52"/>
        <v>0</v>
      </c>
      <c r="J262" s="47">
        <f t="shared" si="24"/>
        <v>0</v>
      </c>
      <c r="L262" s="77" t="s">
        <v>362</v>
      </c>
      <c r="M262" s="98" t="str">
        <f t="shared" ref="M262" si="66">+RIGHT(D262,2)</f>
        <v>35</v>
      </c>
      <c r="N262" s="19" t="str">
        <f t="shared" si="53"/>
        <v>Crédit Agricole</v>
      </c>
      <c r="O262" s="33" t="s">
        <v>36</v>
      </c>
    </row>
    <row r="263" spans="1:15">
      <c r="A263" s="9" t="str">
        <f t="shared" si="49"/>
        <v>1 -Recette CABINET</v>
      </c>
      <c r="B263" s="21" t="str">
        <f t="shared" si="50"/>
        <v>B-PROTHESES</v>
      </c>
      <c r="C263" s="21"/>
      <c r="D263" s="57" t="s">
        <v>487</v>
      </c>
      <c r="E263" s="61" t="s">
        <v>361</v>
      </c>
      <c r="F263" s="43"/>
      <c r="G263" s="60">
        <f t="shared" si="51"/>
        <v>0</v>
      </c>
      <c r="H263" s="97" t="s">
        <v>364</v>
      </c>
      <c r="I263" s="56">
        <f t="shared" si="52"/>
        <v>0</v>
      </c>
      <c r="J263" s="47">
        <f t="shared" si="24"/>
        <v>0</v>
      </c>
      <c r="L263" s="77" t="s">
        <v>362</v>
      </c>
      <c r="M263" s="98"/>
      <c r="N263" s="19" t="str">
        <f t="shared" si="53"/>
        <v>Société Générale</v>
      </c>
      <c r="O263" s="33" t="s">
        <v>36</v>
      </c>
    </row>
    <row r="264" spans="1:15">
      <c r="A264" s="9" t="str">
        <f t="shared" si="49"/>
        <v>1 -Recette CABINET</v>
      </c>
      <c r="B264" s="21" t="str">
        <f t="shared" si="50"/>
        <v>B-PROTHESES</v>
      </c>
      <c r="C264" s="21"/>
      <c r="D264" s="57" t="s">
        <v>487</v>
      </c>
      <c r="E264" s="61" t="s">
        <v>361</v>
      </c>
      <c r="F264" s="43"/>
      <c r="G264" s="60">
        <f t="shared" si="51"/>
        <v>0</v>
      </c>
      <c r="H264" s="97" t="s">
        <v>365</v>
      </c>
      <c r="I264" s="56">
        <f t="shared" si="52"/>
        <v>0</v>
      </c>
      <c r="J264" s="47">
        <f t="shared" si="24"/>
        <v>0</v>
      </c>
      <c r="L264" s="77" t="s">
        <v>362</v>
      </c>
      <c r="M264" s="98"/>
      <c r="N264" s="19" t="str">
        <f t="shared" si="53"/>
        <v>Société Générale</v>
      </c>
      <c r="O264" s="33" t="s">
        <v>36</v>
      </c>
    </row>
    <row r="265" spans="1:15">
      <c r="A265" s="9" t="str">
        <f t="shared" si="49"/>
        <v>1 -Recette CABINET</v>
      </c>
      <c r="B265" s="21" t="str">
        <f t="shared" si="50"/>
        <v>B-PROTHESES</v>
      </c>
      <c r="C265" s="21"/>
      <c r="D265" s="57" t="s">
        <v>488</v>
      </c>
      <c r="E265" s="61" t="s">
        <v>361</v>
      </c>
      <c r="F265" s="43"/>
      <c r="G265" s="60">
        <f t="shared" si="51"/>
        <v>0</v>
      </c>
      <c r="H265" s="97" t="s">
        <v>442</v>
      </c>
      <c r="I265" s="56">
        <f t="shared" si="52"/>
        <v>0</v>
      </c>
      <c r="J265" s="47">
        <f t="shared" si="24"/>
        <v>0</v>
      </c>
      <c r="L265" s="77" t="s">
        <v>362</v>
      </c>
      <c r="M265" s="98" t="str">
        <f t="shared" ref="M265" si="67">+RIGHT(D265,2)</f>
        <v>36</v>
      </c>
      <c r="N265" s="19" t="str">
        <f t="shared" si="53"/>
        <v>Crédit Agricole</v>
      </c>
      <c r="O265" s="33" t="s">
        <v>36</v>
      </c>
    </row>
    <row r="266" spans="1:15">
      <c r="A266" s="9" t="str">
        <f t="shared" si="49"/>
        <v>1 -Recette CABINET</v>
      </c>
      <c r="B266" s="21" t="str">
        <f t="shared" si="50"/>
        <v>B-PROTHESES</v>
      </c>
      <c r="C266" s="21"/>
      <c r="D266" s="57" t="s">
        <v>488</v>
      </c>
      <c r="E266" s="61" t="s">
        <v>361</v>
      </c>
      <c r="F266" s="43"/>
      <c r="G266" s="60">
        <f t="shared" si="51"/>
        <v>0</v>
      </c>
      <c r="H266" s="97" t="s">
        <v>364</v>
      </c>
      <c r="I266" s="56">
        <f t="shared" si="52"/>
        <v>0</v>
      </c>
      <c r="J266" s="47">
        <f t="shared" si="24"/>
        <v>0</v>
      </c>
      <c r="L266" s="77" t="s">
        <v>362</v>
      </c>
      <c r="M266" s="98"/>
      <c r="N266" s="19" t="str">
        <f t="shared" si="53"/>
        <v>Société Générale</v>
      </c>
      <c r="O266" s="33" t="s">
        <v>36</v>
      </c>
    </row>
    <row r="267" spans="1:15">
      <c r="A267" s="9" t="str">
        <f t="shared" si="49"/>
        <v>1 -Recette CABINET</v>
      </c>
      <c r="B267" s="21" t="str">
        <f t="shared" si="50"/>
        <v>B-PROTHESES</v>
      </c>
      <c r="C267" s="21"/>
      <c r="D267" s="57" t="s">
        <v>488</v>
      </c>
      <c r="E267" s="61" t="s">
        <v>361</v>
      </c>
      <c r="F267" s="43"/>
      <c r="G267" s="60">
        <f t="shared" si="51"/>
        <v>0</v>
      </c>
      <c r="H267" s="97" t="s">
        <v>365</v>
      </c>
      <c r="I267" s="56">
        <f t="shared" si="52"/>
        <v>0</v>
      </c>
      <c r="J267" s="47">
        <f t="shared" si="24"/>
        <v>0</v>
      </c>
      <c r="L267" s="77" t="s">
        <v>362</v>
      </c>
      <c r="M267" s="98"/>
      <c r="N267" s="19" t="str">
        <f t="shared" si="53"/>
        <v>Société Générale</v>
      </c>
      <c r="O267" s="33" t="s">
        <v>36</v>
      </c>
    </row>
    <row r="268" spans="1:15">
      <c r="A268" s="9" t="str">
        <f t="shared" si="49"/>
        <v>1 -Recette CABINET</v>
      </c>
      <c r="B268" s="21" t="str">
        <f t="shared" si="50"/>
        <v>B-PROTHESES</v>
      </c>
      <c r="C268" s="21"/>
      <c r="D268" s="57" t="s">
        <v>489</v>
      </c>
      <c r="E268" s="61" t="s">
        <v>361</v>
      </c>
      <c r="F268" s="43"/>
      <c r="G268" s="60">
        <f t="shared" si="51"/>
        <v>0</v>
      </c>
      <c r="H268" s="97" t="s">
        <v>442</v>
      </c>
      <c r="I268" s="56">
        <f t="shared" si="52"/>
        <v>0</v>
      </c>
      <c r="J268" s="47">
        <f t="shared" si="24"/>
        <v>0</v>
      </c>
      <c r="L268" s="77" t="s">
        <v>362</v>
      </c>
      <c r="M268" s="98" t="str">
        <f t="shared" ref="M268" si="68">+RIGHT(D268,2)</f>
        <v>37</v>
      </c>
      <c r="N268" s="19" t="str">
        <f t="shared" si="53"/>
        <v>Crédit Agricole</v>
      </c>
      <c r="O268" s="33" t="s">
        <v>36</v>
      </c>
    </row>
    <row r="269" spans="1:15">
      <c r="A269" s="9" t="str">
        <f t="shared" si="49"/>
        <v>1 -Recette CABINET</v>
      </c>
      <c r="B269" s="21" t="str">
        <f t="shared" si="50"/>
        <v>B-PROTHESES</v>
      </c>
      <c r="C269" s="21"/>
      <c r="D269" s="57" t="s">
        <v>489</v>
      </c>
      <c r="E269" s="61" t="s">
        <v>361</v>
      </c>
      <c r="F269" s="43"/>
      <c r="G269" s="60">
        <f t="shared" si="51"/>
        <v>0</v>
      </c>
      <c r="H269" s="97" t="s">
        <v>364</v>
      </c>
      <c r="I269" s="56">
        <f t="shared" si="52"/>
        <v>0</v>
      </c>
      <c r="J269" s="47">
        <f t="shared" si="24"/>
        <v>0</v>
      </c>
      <c r="L269" s="77" t="s">
        <v>362</v>
      </c>
      <c r="M269" s="98"/>
      <c r="N269" s="19" t="str">
        <f t="shared" si="53"/>
        <v>Société Générale</v>
      </c>
      <c r="O269" s="33" t="s">
        <v>36</v>
      </c>
    </row>
    <row r="270" spans="1:15">
      <c r="A270" s="9" t="str">
        <f t="shared" si="49"/>
        <v>1 -Recette CABINET</v>
      </c>
      <c r="B270" s="21" t="str">
        <f t="shared" si="50"/>
        <v>B-PROTHESES</v>
      </c>
      <c r="C270" s="21"/>
      <c r="D270" s="57" t="s">
        <v>489</v>
      </c>
      <c r="E270" s="61" t="s">
        <v>361</v>
      </c>
      <c r="F270" s="43"/>
      <c r="G270" s="60">
        <f t="shared" si="51"/>
        <v>0</v>
      </c>
      <c r="H270" s="97" t="s">
        <v>365</v>
      </c>
      <c r="I270" s="56">
        <f t="shared" si="52"/>
        <v>0</v>
      </c>
      <c r="J270" s="47">
        <f t="shared" si="24"/>
        <v>0</v>
      </c>
      <c r="L270" s="77" t="s">
        <v>362</v>
      </c>
      <c r="M270" s="98"/>
      <c r="N270" s="19" t="str">
        <f t="shared" si="53"/>
        <v>Société Générale</v>
      </c>
      <c r="O270" s="33" t="s">
        <v>36</v>
      </c>
    </row>
    <row r="271" spans="1:15">
      <c r="A271" s="9" t="str">
        <f t="shared" si="49"/>
        <v>1 -Recette CABINET</v>
      </c>
      <c r="B271" s="21" t="str">
        <f t="shared" si="50"/>
        <v>B-PROTHESES</v>
      </c>
      <c r="C271" s="21"/>
      <c r="D271" s="57" t="s">
        <v>490</v>
      </c>
      <c r="E271" s="61" t="s">
        <v>361</v>
      </c>
      <c r="F271" s="43"/>
      <c r="G271" s="60">
        <f t="shared" si="51"/>
        <v>0</v>
      </c>
      <c r="H271" s="97" t="s">
        <v>442</v>
      </c>
      <c r="I271" s="56">
        <f t="shared" si="52"/>
        <v>0</v>
      </c>
      <c r="J271" s="47">
        <f t="shared" si="24"/>
        <v>0</v>
      </c>
      <c r="L271" s="77" t="s">
        <v>362</v>
      </c>
      <c r="M271" s="98" t="str">
        <f t="shared" ref="M271" si="69">+RIGHT(D271,2)</f>
        <v>38</v>
      </c>
      <c r="N271" s="19" t="str">
        <f t="shared" si="53"/>
        <v>Crédit Agricole</v>
      </c>
      <c r="O271" s="33" t="s">
        <v>36</v>
      </c>
    </row>
    <row r="272" spans="1:15">
      <c r="A272" s="9" t="str">
        <f t="shared" si="49"/>
        <v>1 -Recette CABINET</v>
      </c>
      <c r="B272" s="21" t="str">
        <f t="shared" si="50"/>
        <v>B-PROTHESES</v>
      </c>
      <c r="C272" s="21"/>
      <c r="D272" s="57" t="s">
        <v>490</v>
      </c>
      <c r="E272" s="61" t="s">
        <v>361</v>
      </c>
      <c r="F272" s="43"/>
      <c r="G272" s="60">
        <f t="shared" si="51"/>
        <v>0</v>
      </c>
      <c r="H272" s="97" t="s">
        <v>364</v>
      </c>
      <c r="I272" s="56">
        <f t="shared" si="52"/>
        <v>0</v>
      </c>
      <c r="J272" s="47">
        <f t="shared" ref="J272:J315" si="70">+I272</f>
        <v>0</v>
      </c>
      <c r="L272" s="77" t="s">
        <v>362</v>
      </c>
      <c r="M272" s="98"/>
      <c r="N272" s="19" t="str">
        <f t="shared" si="53"/>
        <v>Société Générale</v>
      </c>
      <c r="O272" s="33" t="s">
        <v>36</v>
      </c>
    </row>
    <row r="273" spans="1:15">
      <c r="A273" s="9" t="str">
        <f t="shared" si="49"/>
        <v>1 -Recette CABINET</v>
      </c>
      <c r="B273" s="21" t="str">
        <f t="shared" si="50"/>
        <v>B-PROTHESES</v>
      </c>
      <c r="C273" s="21"/>
      <c r="D273" s="57" t="s">
        <v>490</v>
      </c>
      <c r="E273" s="61" t="s">
        <v>361</v>
      </c>
      <c r="F273" s="43"/>
      <c r="G273" s="60">
        <f t="shared" si="51"/>
        <v>0</v>
      </c>
      <c r="H273" s="97" t="s">
        <v>365</v>
      </c>
      <c r="I273" s="56">
        <f t="shared" si="52"/>
        <v>0</v>
      </c>
      <c r="J273" s="47">
        <f t="shared" si="70"/>
        <v>0</v>
      </c>
      <c r="L273" s="77" t="s">
        <v>362</v>
      </c>
      <c r="M273" s="98"/>
      <c r="N273" s="19" t="str">
        <f t="shared" si="53"/>
        <v>Société Générale</v>
      </c>
      <c r="O273" s="33" t="s">
        <v>36</v>
      </c>
    </row>
    <row r="274" spans="1:15">
      <c r="A274" s="9" t="str">
        <f t="shared" si="49"/>
        <v>1 -Recette CABINET</v>
      </c>
      <c r="B274" s="21" t="str">
        <f t="shared" si="50"/>
        <v>B-PROTHESES</v>
      </c>
      <c r="C274" s="21"/>
      <c r="D274" s="57" t="s">
        <v>491</v>
      </c>
      <c r="E274" s="61" t="s">
        <v>361</v>
      </c>
      <c r="F274" s="43"/>
      <c r="G274" s="60">
        <f t="shared" si="51"/>
        <v>0</v>
      </c>
      <c r="H274" s="97" t="s">
        <v>442</v>
      </c>
      <c r="I274" s="56">
        <f t="shared" si="52"/>
        <v>0</v>
      </c>
      <c r="J274" s="47">
        <f t="shared" si="70"/>
        <v>0</v>
      </c>
      <c r="L274" s="77" t="s">
        <v>362</v>
      </c>
      <c r="M274" s="98" t="str">
        <f t="shared" ref="M274" si="71">+RIGHT(D274,2)</f>
        <v>39</v>
      </c>
      <c r="N274" s="19" t="str">
        <f t="shared" si="53"/>
        <v>Crédit Agricole</v>
      </c>
      <c r="O274" s="33" t="s">
        <v>36</v>
      </c>
    </row>
    <row r="275" spans="1:15">
      <c r="A275" s="9" t="str">
        <f t="shared" si="49"/>
        <v>1 -Recette CABINET</v>
      </c>
      <c r="B275" s="21" t="str">
        <f t="shared" si="50"/>
        <v>B-PROTHESES</v>
      </c>
      <c r="C275" s="21"/>
      <c r="D275" s="57" t="s">
        <v>491</v>
      </c>
      <c r="E275" s="61" t="s">
        <v>361</v>
      </c>
      <c r="F275" s="43"/>
      <c r="G275" s="60">
        <f t="shared" si="51"/>
        <v>0</v>
      </c>
      <c r="H275" s="97" t="s">
        <v>364</v>
      </c>
      <c r="I275" s="56">
        <f t="shared" si="52"/>
        <v>0</v>
      </c>
      <c r="J275" s="47">
        <f t="shared" si="70"/>
        <v>0</v>
      </c>
      <c r="L275" s="77" t="s">
        <v>362</v>
      </c>
      <c r="M275" s="98"/>
      <c r="N275" s="19" t="str">
        <f t="shared" si="53"/>
        <v>Société Générale</v>
      </c>
      <c r="O275" s="33" t="s">
        <v>36</v>
      </c>
    </row>
    <row r="276" spans="1:15">
      <c r="A276" s="9" t="str">
        <f t="shared" si="49"/>
        <v>1 -Recette CABINET</v>
      </c>
      <c r="B276" s="21" t="str">
        <f t="shared" si="50"/>
        <v>B-PROTHESES</v>
      </c>
      <c r="C276" s="21"/>
      <c r="D276" s="57" t="s">
        <v>491</v>
      </c>
      <c r="E276" s="61" t="s">
        <v>361</v>
      </c>
      <c r="F276" s="43"/>
      <c r="G276" s="60">
        <f t="shared" si="51"/>
        <v>0</v>
      </c>
      <c r="H276" s="97" t="s">
        <v>365</v>
      </c>
      <c r="I276" s="56">
        <f t="shared" si="52"/>
        <v>0</v>
      </c>
      <c r="J276" s="47">
        <f t="shared" si="70"/>
        <v>0</v>
      </c>
      <c r="L276" s="77" t="s">
        <v>362</v>
      </c>
      <c r="M276" s="98"/>
      <c r="N276" s="19" t="str">
        <f t="shared" si="53"/>
        <v>Société Générale</v>
      </c>
      <c r="O276" s="33" t="s">
        <v>36</v>
      </c>
    </row>
    <row r="277" spans="1:15">
      <c r="A277" s="9" t="str">
        <f t="shared" si="49"/>
        <v>1 -Recette CABINET</v>
      </c>
      <c r="B277" s="21" t="str">
        <f t="shared" si="50"/>
        <v>B-PROTHESES</v>
      </c>
      <c r="C277" s="21"/>
      <c r="D277" s="57" t="s">
        <v>492</v>
      </c>
      <c r="E277" s="61" t="s">
        <v>361</v>
      </c>
      <c r="F277" s="43"/>
      <c r="G277" s="60">
        <f t="shared" si="51"/>
        <v>0</v>
      </c>
      <c r="H277" s="97" t="s">
        <v>442</v>
      </c>
      <c r="I277" s="56">
        <f t="shared" si="52"/>
        <v>0</v>
      </c>
      <c r="J277" s="47">
        <f t="shared" si="70"/>
        <v>0</v>
      </c>
      <c r="L277" s="77" t="s">
        <v>362</v>
      </c>
      <c r="M277" s="98" t="str">
        <f t="shared" ref="M277" si="72">+RIGHT(D277,2)</f>
        <v>40</v>
      </c>
      <c r="N277" s="19" t="str">
        <f t="shared" si="53"/>
        <v>Crédit Agricole</v>
      </c>
      <c r="O277" s="33" t="s">
        <v>36</v>
      </c>
    </row>
    <row r="278" spans="1:15">
      <c r="A278" s="9" t="str">
        <f t="shared" si="49"/>
        <v>1 -Recette CABINET</v>
      </c>
      <c r="B278" s="21" t="str">
        <f t="shared" si="50"/>
        <v>B-PROTHESES</v>
      </c>
      <c r="C278" s="21"/>
      <c r="D278" s="57" t="s">
        <v>492</v>
      </c>
      <c r="E278" s="61" t="s">
        <v>361</v>
      </c>
      <c r="F278" s="43"/>
      <c r="G278" s="60">
        <f t="shared" si="51"/>
        <v>0</v>
      </c>
      <c r="H278" s="97" t="s">
        <v>364</v>
      </c>
      <c r="I278" s="56">
        <f t="shared" si="52"/>
        <v>0</v>
      </c>
      <c r="J278" s="47">
        <f t="shared" si="70"/>
        <v>0</v>
      </c>
      <c r="L278" s="77" t="s">
        <v>362</v>
      </c>
      <c r="M278" s="98"/>
      <c r="N278" s="19" t="str">
        <f t="shared" si="53"/>
        <v>Société Générale</v>
      </c>
      <c r="O278" s="33" t="s">
        <v>36</v>
      </c>
    </row>
    <row r="279" spans="1:15">
      <c r="A279" s="9" t="str">
        <f t="shared" si="49"/>
        <v>1 -Recette CABINET</v>
      </c>
      <c r="B279" s="21" t="str">
        <f t="shared" si="50"/>
        <v>B-PROTHESES</v>
      </c>
      <c r="C279" s="21"/>
      <c r="D279" s="57" t="s">
        <v>492</v>
      </c>
      <c r="E279" s="61" t="s">
        <v>361</v>
      </c>
      <c r="F279" s="43"/>
      <c r="G279" s="60">
        <f t="shared" si="51"/>
        <v>0</v>
      </c>
      <c r="H279" s="97" t="s">
        <v>365</v>
      </c>
      <c r="I279" s="56">
        <f t="shared" si="52"/>
        <v>0</v>
      </c>
      <c r="J279" s="47">
        <f t="shared" si="70"/>
        <v>0</v>
      </c>
      <c r="L279" s="77" t="s">
        <v>362</v>
      </c>
      <c r="M279" s="98"/>
      <c r="N279" s="19" t="str">
        <f t="shared" si="53"/>
        <v>Société Générale</v>
      </c>
      <c r="O279" s="33" t="s">
        <v>36</v>
      </c>
    </row>
    <row r="280" spans="1:15">
      <c r="A280" s="9" t="str">
        <f t="shared" si="49"/>
        <v>1 -Recette CABINET</v>
      </c>
      <c r="B280" s="21" t="str">
        <f t="shared" si="50"/>
        <v>B-PROTHESES</v>
      </c>
      <c r="C280" s="21"/>
      <c r="D280" s="57" t="s">
        <v>493</v>
      </c>
      <c r="E280" s="61" t="s">
        <v>361</v>
      </c>
      <c r="F280" s="43"/>
      <c r="G280" s="60">
        <f t="shared" si="51"/>
        <v>0</v>
      </c>
      <c r="H280" s="97" t="s">
        <v>442</v>
      </c>
      <c r="I280" s="56">
        <f t="shared" si="52"/>
        <v>0</v>
      </c>
      <c r="J280" s="47">
        <f t="shared" si="70"/>
        <v>0</v>
      </c>
      <c r="L280" s="77" t="s">
        <v>362</v>
      </c>
      <c r="M280" s="98" t="str">
        <f t="shared" ref="M280" si="73">+RIGHT(D280,2)</f>
        <v>41</v>
      </c>
      <c r="N280" s="19" t="str">
        <f t="shared" si="53"/>
        <v>Crédit Agricole</v>
      </c>
      <c r="O280" s="33" t="s">
        <v>36</v>
      </c>
    </row>
    <row r="281" spans="1:15">
      <c r="A281" s="9" t="str">
        <f t="shared" si="49"/>
        <v>1 -Recette CABINET</v>
      </c>
      <c r="B281" s="21" t="str">
        <f t="shared" si="50"/>
        <v>B-PROTHESES</v>
      </c>
      <c r="C281" s="21"/>
      <c r="D281" s="57" t="s">
        <v>493</v>
      </c>
      <c r="E281" s="61" t="s">
        <v>361</v>
      </c>
      <c r="F281" s="43"/>
      <c r="G281" s="60">
        <f t="shared" si="51"/>
        <v>0</v>
      </c>
      <c r="H281" s="97" t="s">
        <v>364</v>
      </c>
      <c r="I281" s="56">
        <f t="shared" si="52"/>
        <v>0</v>
      </c>
      <c r="J281" s="47">
        <f t="shared" si="70"/>
        <v>0</v>
      </c>
      <c r="L281" s="77" t="s">
        <v>362</v>
      </c>
      <c r="M281" s="98"/>
      <c r="N281" s="19" t="str">
        <f t="shared" si="53"/>
        <v>Société Générale</v>
      </c>
      <c r="O281" s="33" t="s">
        <v>36</v>
      </c>
    </row>
    <row r="282" spans="1:15">
      <c r="A282" s="9" t="str">
        <f t="shared" si="49"/>
        <v>1 -Recette CABINET</v>
      </c>
      <c r="B282" s="21" t="str">
        <f t="shared" si="50"/>
        <v>B-PROTHESES</v>
      </c>
      <c r="C282" s="21"/>
      <c r="D282" s="57" t="s">
        <v>493</v>
      </c>
      <c r="E282" s="61" t="s">
        <v>361</v>
      </c>
      <c r="F282" s="43"/>
      <c r="G282" s="60">
        <f t="shared" si="51"/>
        <v>0</v>
      </c>
      <c r="H282" s="97" t="s">
        <v>365</v>
      </c>
      <c r="I282" s="56">
        <f t="shared" si="52"/>
        <v>0</v>
      </c>
      <c r="J282" s="47">
        <f t="shared" si="70"/>
        <v>0</v>
      </c>
      <c r="L282" s="77" t="s">
        <v>362</v>
      </c>
      <c r="M282" s="98"/>
      <c r="N282" s="19" t="str">
        <f t="shared" si="53"/>
        <v>Société Générale</v>
      </c>
      <c r="O282" s="33" t="s">
        <v>36</v>
      </c>
    </row>
    <row r="283" spans="1:15">
      <c r="A283" s="9" t="str">
        <f t="shared" si="49"/>
        <v>1 -Recette CABINET</v>
      </c>
      <c r="B283" s="21" t="str">
        <f t="shared" si="50"/>
        <v>B-PROTHESES</v>
      </c>
      <c r="C283" s="21"/>
      <c r="D283" s="57" t="s">
        <v>494</v>
      </c>
      <c r="E283" s="61" t="s">
        <v>361</v>
      </c>
      <c r="F283" s="43"/>
      <c r="G283" s="60">
        <f t="shared" si="51"/>
        <v>0</v>
      </c>
      <c r="H283" s="97" t="s">
        <v>442</v>
      </c>
      <c r="I283" s="56">
        <f t="shared" si="52"/>
        <v>0</v>
      </c>
      <c r="J283" s="47">
        <f t="shared" si="70"/>
        <v>0</v>
      </c>
      <c r="L283" s="77" t="s">
        <v>362</v>
      </c>
      <c r="M283" s="98" t="str">
        <f t="shared" ref="M283" si="74">+RIGHT(D283,2)</f>
        <v>42</v>
      </c>
      <c r="N283" s="19" t="str">
        <f t="shared" si="53"/>
        <v>Crédit Agricole</v>
      </c>
      <c r="O283" s="33" t="s">
        <v>36</v>
      </c>
    </row>
    <row r="284" spans="1:15">
      <c r="A284" s="9" t="str">
        <f t="shared" si="49"/>
        <v>1 -Recette CABINET</v>
      </c>
      <c r="B284" s="21" t="str">
        <f t="shared" si="50"/>
        <v>B-PROTHESES</v>
      </c>
      <c r="C284" s="21"/>
      <c r="D284" s="57" t="s">
        <v>494</v>
      </c>
      <c r="E284" s="61" t="s">
        <v>361</v>
      </c>
      <c r="F284" s="43"/>
      <c r="G284" s="60">
        <f t="shared" si="51"/>
        <v>0</v>
      </c>
      <c r="H284" s="97" t="s">
        <v>364</v>
      </c>
      <c r="I284" s="56">
        <f t="shared" si="52"/>
        <v>0</v>
      </c>
      <c r="J284" s="47">
        <f t="shared" si="70"/>
        <v>0</v>
      </c>
      <c r="L284" s="77" t="s">
        <v>362</v>
      </c>
      <c r="M284" s="98"/>
      <c r="N284" s="19" t="str">
        <f t="shared" si="53"/>
        <v>Société Générale</v>
      </c>
      <c r="O284" s="33" t="s">
        <v>36</v>
      </c>
    </row>
    <row r="285" spans="1:15">
      <c r="A285" s="9" t="str">
        <f t="shared" si="49"/>
        <v>1 -Recette CABINET</v>
      </c>
      <c r="B285" s="21" t="str">
        <f t="shared" si="50"/>
        <v>B-PROTHESES</v>
      </c>
      <c r="C285" s="21"/>
      <c r="D285" s="57" t="s">
        <v>494</v>
      </c>
      <c r="E285" s="61" t="s">
        <v>361</v>
      </c>
      <c r="F285" s="43"/>
      <c r="G285" s="60">
        <f t="shared" si="51"/>
        <v>0</v>
      </c>
      <c r="H285" s="97" t="s">
        <v>365</v>
      </c>
      <c r="I285" s="56">
        <f t="shared" si="52"/>
        <v>0</v>
      </c>
      <c r="J285" s="47">
        <f t="shared" si="70"/>
        <v>0</v>
      </c>
      <c r="L285" s="77" t="s">
        <v>362</v>
      </c>
      <c r="M285" s="98"/>
      <c r="N285" s="19" t="str">
        <f t="shared" si="53"/>
        <v>Société Générale</v>
      </c>
      <c r="O285" s="33" t="s">
        <v>36</v>
      </c>
    </row>
    <row r="286" spans="1:15">
      <c r="A286" s="9" t="str">
        <f t="shared" si="49"/>
        <v>1 -Recette CABINET</v>
      </c>
      <c r="B286" s="21" t="str">
        <f t="shared" si="50"/>
        <v>B-PROTHESES</v>
      </c>
      <c r="C286" s="21"/>
      <c r="D286" s="57" t="s">
        <v>495</v>
      </c>
      <c r="E286" s="61" t="s">
        <v>361</v>
      </c>
      <c r="F286" s="43"/>
      <c r="G286" s="60">
        <f t="shared" si="51"/>
        <v>0</v>
      </c>
      <c r="H286" s="97" t="s">
        <v>442</v>
      </c>
      <c r="I286" s="56">
        <f t="shared" si="52"/>
        <v>0</v>
      </c>
      <c r="J286" s="47">
        <f t="shared" si="70"/>
        <v>0</v>
      </c>
      <c r="L286" s="77" t="s">
        <v>362</v>
      </c>
      <c r="M286" s="98" t="str">
        <f t="shared" ref="M286" si="75">+RIGHT(D286,2)</f>
        <v>43</v>
      </c>
      <c r="N286" s="19" t="str">
        <f t="shared" si="53"/>
        <v>Crédit Agricole</v>
      </c>
      <c r="O286" s="33" t="s">
        <v>36</v>
      </c>
    </row>
    <row r="287" spans="1:15">
      <c r="A287" s="9" t="str">
        <f t="shared" si="49"/>
        <v>1 -Recette CABINET</v>
      </c>
      <c r="B287" s="21" t="str">
        <f t="shared" si="50"/>
        <v>B-PROTHESES</v>
      </c>
      <c r="C287" s="21"/>
      <c r="D287" s="57" t="s">
        <v>495</v>
      </c>
      <c r="E287" s="61" t="s">
        <v>361</v>
      </c>
      <c r="F287" s="43"/>
      <c r="G287" s="60">
        <f t="shared" si="51"/>
        <v>0</v>
      </c>
      <c r="H287" s="97" t="s">
        <v>364</v>
      </c>
      <c r="I287" s="56">
        <f t="shared" si="52"/>
        <v>0</v>
      </c>
      <c r="J287" s="47">
        <f t="shared" si="70"/>
        <v>0</v>
      </c>
      <c r="L287" s="77" t="s">
        <v>362</v>
      </c>
      <c r="M287" s="98"/>
      <c r="N287" s="19" t="str">
        <f t="shared" si="53"/>
        <v>Société Générale</v>
      </c>
      <c r="O287" s="33" t="s">
        <v>36</v>
      </c>
    </row>
    <row r="288" spans="1:15">
      <c r="A288" s="9" t="str">
        <f t="shared" ref="A288:A314" si="76">+A287</f>
        <v>1 -Recette CABINET</v>
      </c>
      <c r="B288" s="21" t="str">
        <f t="shared" ref="B288:B315" si="77">+B287</f>
        <v>B-PROTHESES</v>
      </c>
      <c r="C288" s="21"/>
      <c r="D288" s="57" t="s">
        <v>495</v>
      </c>
      <c r="E288" s="61" t="s">
        <v>361</v>
      </c>
      <c r="F288" s="43"/>
      <c r="G288" s="60">
        <f t="shared" si="51"/>
        <v>0</v>
      </c>
      <c r="H288" s="97" t="s">
        <v>365</v>
      </c>
      <c r="I288" s="56">
        <f t="shared" si="52"/>
        <v>0</v>
      </c>
      <c r="J288" s="47">
        <f t="shared" si="70"/>
        <v>0</v>
      </c>
      <c r="L288" s="77" t="s">
        <v>362</v>
      </c>
      <c r="M288" s="98"/>
      <c r="N288" s="19" t="str">
        <f t="shared" si="53"/>
        <v>Société Générale</v>
      </c>
      <c r="O288" s="33" t="s">
        <v>36</v>
      </c>
    </row>
    <row r="289" spans="1:15">
      <c r="A289" s="9" t="str">
        <f t="shared" si="76"/>
        <v>1 -Recette CABINET</v>
      </c>
      <c r="B289" s="21" t="str">
        <f t="shared" si="77"/>
        <v>B-PROTHESES</v>
      </c>
      <c r="C289" s="21"/>
      <c r="D289" s="57" t="s">
        <v>496</v>
      </c>
      <c r="E289" s="61" t="s">
        <v>361</v>
      </c>
      <c r="F289" s="43"/>
      <c r="G289" s="60">
        <f t="shared" ref="G289:G315" si="78">+$F$2/(52*3)</f>
        <v>0</v>
      </c>
      <c r="H289" s="97" t="s">
        <v>442</v>
      </c>
      <c r="I289" s="56">
        <f t="shared" ref="I289:I310" si="79">+IF(L289="A RECEVOIR",G289,"ERREUR")</f>
        <v>0</v>
      </c>
      <c r="J289" s="47">
        <f t="shared" si="70"/>
        <v>0</v>
      </c>
      <c r="L289" s="77" t="s">
        <v>362</v>
      </c>
      <c r="M289" s="98" t="str">
        <f t="shared" ref="M289" si="80">+RIGHT(D289,2)</f>
        <v>44</v>
      </c>
      <c r="N289" s="19" t="str">
        <f t="shared" ref="N289:N315" si="81">+IF(H289="CB/Chèques","Crédit Agricole","Société Générale")</f>
        <v>Crédit Agricole</v>
      </c>
      <c r="O289" s="33" t="s">
        <v>36</v>
      </c>
    </row>
    <row r="290" spans="1:15">
      <c r="A290" s="9" t="str">
        <f t="shared" si="76"/>
        <v>1 -Recette CABINET</v>
      </c>
      <c r="B290" s="21" t="str">
        <f t="shared" si="77"/>
        <v>B-PROTHESES</v>
      </c>
      <c r="C290" s="21"/>
      <c r="D290" s="57" t="s">
        <v>496</v>
      </c>
      <c r="E290" s="61" t="s">
        <v>361</v>
      </c>
      <c r="F290" s="43"/>
      <c r="G290" s="60">
        <f t="shared" si="78"/>
        <v>0</v>
      </c>
      <c r="H290" s="97" t="s">
        <v>364</v>
      </c>
      <c r="I290" s="56">
        <f t="shared" si="79"/>
        <v>0</v>
      </c>
      <c r="J290" s="47">
        <f t="shared" si="70"/>
        <v>0</v>
      </c>
      <c r="L290" s="77" t="s">
        <v>362</v>
      </c>
      <c r="M290" s="98"/>
      <c r="N290" s="19" t="str">
        <f t="shared" si="81"/>
        <v>Société Générale</v>
      </c>
      <c r="O290" s="33" t="s">
        <v>36</v>
      </c>
    </row>
    <row r="291" spans="1:15">
      <c r="A291" s="9" t="str">
        <f t="shared" si="76"/>
        <v>1 -Recette CABINET</v>
      </c>
      <c r="B291" s="21" t="str">
        <f t="shared" si="77"/>
        <v>B-PROTHESES</v>
      </c>
      <c r="C291" s="21"/>
      <c r="D291" s="57" t="s">
        <v>496</v>
      </c>
      <c r="E291" s="61" t="s">
        <v>361</v>
      </c>
      <c r="F291" s="43"/>
      <c r="G291" s="60">
        <f t="shared" si="78"/>
        <v>0</v>
      </c>
      <c r="H291" s="97" t="s">
        <v>365</v>
      </c>
      <c r="I291" s="56">
        <f t="shared" si="79"/>
        <v>0</v>
      </c>
      <c r="J291" s="47">
        <f t="shared" si="70"/>
        <v>0</v>
      </c>
      <c r="L291" s="77" t="s">
        <v>362</v>
      </c>
      <c r="M291" s="98"/>
      <c r="N291" s="19" t="str">
        <f t="shared" si="81"/>
        <v>Société Générale</v>
      </c>
      <c r="O291" s="33" t="s">
        <v>36</v>
      </c>
    </row>
    <row r="292" spans="1:15">
      <c r="A292" s="9" t="str">
        <f t="shared" si="76"/>
        <v>1 -Recette CABINET</v>
      </c>
      <c r="B292" s="21" t="str">
        <f t="shared" si="77"/>
        <v>B-PROTHESES</v>
      </c>
      <c r="C292" s="21"/>
      <c r="D292" s="57" t="s">
        <v>497</v>
      </c>
      <c r="E292" s="61" t="s">
        <v>361</v>
      </c>
      <c r="F292" s="43"/>
      <c r="G292" s="60">
        <f t="shared" si="78"/>
        <v>0</v>
      </c>
      <c r="H292" s="97" t="s">
        <v>442</v>
      </c>
      <c r="I292" s="56">
        <f t="shared" si="79"/>
        <v>0</v>
      </c>
      <c r="J292" s="47">
        <f t="shared" si="70"/>
        <v>0</v>
      </c>
      <c r="L292" s="77" t="s">
        <v>362</v>
      </c>
      <c r="M292" s="98" t="str">
        <f t="shared" ref="M292" si="82">+RIGHT(D292,2)</f>
        <v>45</v>
      </c>
      <c r="N292" s="19" t="str">
        <f t="shared" si="81"/>
        <v>Crédit Agricole</v>
      </c>
      <c r="O292" s="33" t="s">
        <v>36</v>
      </c>
    </row>
    <row r="293" spans="1:15">
      <c r="A293" s="9" t="str">
        <f t="shared" si="76"/>
        <v>1 -Recette CABINET</v>
      </c>
      <c r="B293" s="21" t="str">
        <f t="shared" si="77"/>
        <v>B-PROTHESES</v>
      </c>
      <c r="C293" s="21"/>
      <c r="D293" s="57" t="s">
        <v>497</v>
      </c>
      <c r="E293" s="61" t="s">
        <v>361</v>
      </c>
      <c r="F293" s="43"/>
      <c r="G293" s="60">
        <f t="shared" si="78"/>
        <v>0</v>
      </c>
      <c r="H293" s="97" t="s">
        <v>364</v>
      </c>
      <c r="I293" s="56">
        <f t="shared" si="79"/>
        <v>0</v>
      </c>
      <c r="J293" s="47">
        <f t="shared" si="70"/>
        <v>0</v>
      </c>
      <c r="L293" s="77" t="s">
        <v>362</v>
      </c>
      <c r="M293" s="98"/>
      <c r="N293" s="19" t="str">
        <f t="shared" si="81"/>
        <v>Société Générale</v>
      </c>
      <c r="O293" s="33" t="s">
        <v>36</v>
      </c>
    </row>
    <row r="294" spans="1:15">
      <c r="A294" s="9" t="str">
        <f t="shared" si="76"/>
        <v>1 -Recette CABINET</v>
      </c>
      <c r="B294" s="21" t="str">
        <f t="shared" si="77"/>
        <v>B-PROTHESES</v>
      </c>
      <c r="C294" s="21"/>
      <c r="D294" s="57" t="s">
        <v>497</v>
      </c>
      <c r="E294" s="61" t="s">
        <v>361</v>
      </c>
      <c r="F294" s="43"/>
      <c r="G294" s="60">
        <f t="shared" si="78"/>
        <v>0</v>
      </c>
      <c r="H294" s="97" t="s">
        <v>365</v>
      </c>
      <c r="I294" s="56">
        <f t="shared" si="79"/>
        <v>0</v>
      </c>
      <c r="J294" s="47">
        <f t="shared" si="70"/>
        <v>0</v>
      </c>
      <c r="L294" s="77" t="s">
        <v>362</v>
      </c>
      <c r="M294" s="98"/>
      <c r="N294" s="19" t="str">
        <f t="shared" si="81"/>
        <v>Société Générale</v>
      </c>
      <c r="O294" s="33" t="s">
        <v>36</v>
      </c>
    </row>
    <row r="295" spans="1:15">
      <c r="A295" s="9" t="str">
        <f t="shared" si="76"/>
        <v>1 -Recette CABINET</v>
      </c>
      <c r="B295" s="21" t="str">
        <f t="shared" si="77"/>
        <v>B-PROTHESES</v>
      </c>
      <c r="C295" s="21"/>
      <c r="D295" s="57" t="s">
        <v>498</v>
      </c>
      <c r="E295" s="61" t="s">
        <v>361</v>
      </c>
      <c r="F295" s="43"/>
      <c r="G295" s="60">
        <f t="shared" si="78"/>
        <v>0</v>
      </c>
      <c r="H295" s="97" t="s">
        <v>442</v>
      </c>
      <c r="I295" s="56">
        <f t="shared" si="79"/>
        <v>0</v>
      </c>
      <c r="J295" s="47">
        <f t="shared" si="70"/>
        <v>0</v>
      </c>
      <c r="L295" s="77" t="s">
        <v>362</v>
      </c>
      <c r="M295" s="98" t="str">
        <f t="shared" ref="M295" si="83">+RIGHT(D295,2)</f>
        <v>46</v>
      </c>
      <c r="N295" s="19" t="str">
        <f t="shared" si="81"/>
        <v>Crédit Agricole</v>
      </c>
      <c r="O295" s="33" t="s">
        <v>36</v>
      </c>
    </row>
    <row r="296" spans="1:15">
      <c r="A296" s="9" t="str">
        <f t="shared" si="76"/>
        <v>1 -Recette CABINET</v>
      </c>
      <c r="B296" s="21" t="str">
        <f t="shared" si="77"/>
        <v>B-PROTHESES</v>
      </c>
      <c r="C296" s="21"/>
      <c r="D296" s="57" t="s">
        <v>498</v>
      </c>
      <c r="E296" s="61" t="s">
        <v>361</v>
      </c>
      <c r="F296" s="43"/>
      <c r="G296" s="60">
        <f t="shared" si="78"/>
        <v>0</v>
      </c>
      <c r="H296" s="97" t="s">
        <v>364</v>
      </c>
      <c r="I296" s="56">
        <f t="shared" si="79"/>
        <v>0</v>
      </c>
      <c r="J296" s="47">
        <f t="shared" si="70"/>
        <v>0</v>
      </c>
      <c r="L296" s="77" t="s">
        <v>362</v>
      </c>
      <c r="M296" s="98"/>
      <c r="N296" s="19" t="str">
        <f t="shared" si="81"/>
        <v>Société Générale</v>
      </c>
      <c r="O296" s="33" t="s">
        <v>36</v>
      </c>
    </row>
    <row r="297" spans="1:15">
      <c r="A297" s="9" t="str">
        <f t="shared" si="76"/>
        <v>1 -Recette CABINET</v>
      </c>
      <c r="B297" s="21" t="str">
        <f t="shared" si="77"/>
        <v>B-PROTHESES</v>
      </c>
      <c r="C297" s="21"/>
      <c r="D297" s="57" t="s">
        <v>498</v>
      </c>
      <c r="E297" s="61" t="s">
        <v>361</v>
      </c>
      <c r="F297" s="43"/>
      <c r="G297" s="60">
        <f t="shared" si="78"/>
        <v>0</v>
      </c>
      <c r="H297" s="97" t="s">
        <v>365</v>
      </c>
      <c r="I297" s="56">
        <f t="shared" si="79"/>
        <v>0</v>
      </c>
      <c r="J297" s="47">
        <f t="shared" si="70"/>
        <v>0</v>
      </c>
      <c r="L297" s="77" t="s">
        <v>362</v>
      </c>
      <c r="M297" s="98"/>
      <c r="N297" s="19" t="str">
        <f t="shared" si="81"/>
        <v>Société Générale</v>
      </c>
      <c r="O297" s="33" t="s">
        <v>36</v>
      </c>
    </row>
    <row r="298" spans="1:15">
      <c r="A298" s="9" t="str">
        <f t="shared" si="76"/>
        <v>1 -Recette CABINET</v>
      </c>
      <c r="B298" s="21" t="str">
        <f t="shared" si="77"/>
        <v>B-PROTHESES</v>
      </c>
      <c r="C298" s="21"/>
      <c r="D298" s="57" t="s">
        <v>499</v>
      </c>
      <c r="E298" s="61" t="s">
        <v>361</v>
      </c>
      <c r="F298" s="43"/>
      <c r="G298" s="60">
        <f t="shared" si="78"/>
        <v>0</v>
      </c>
      <c r="H298" s="97" t="s">
        <v>442</v>
      </c>
      <c r="I298" s="56">
        <f t="shared" si="79"/>
        <v>0</v>
      </c>
      <c r="J298" s="47">
        <f t="shared" si="70"/>
        <v>0</v>
      </c>
      <c r="L298" s="77" t="s">
        <v>362</v>
      </c>
      <c r="M298" s="98" t="str">
        <f t="shared" ref="M298" si="84">+RIGHT(D298,2)</f>
        <v>47</v>
      </c>
      <c r="N298" s="19" t="str">
        <f t="shared" si="81"/>
        <v>Crédit Agricole</v>
      </c>
      <c r="O298" s="33" t="s">
        <v>36</v>
      </c>
    </row>
    <row r="299" spans="1:15">
      <c r="A299" s="9" t="str">
        <f t="shared" si="76"/>
        <v>1 -Recette CABINET</v>
      </c>
      <c r="B299" s="21" t="str">
        <f t="shared" si="77"/>
        <v>B-PROTHESES</v>
      </c>
      <c r="C299" s="21"/>
      <c r="D299" s="57" t="s">
        <v>499</v>
      </c>
      <c r="E299" s="61" t="s">
        <v>361</v>
      </c>
      <c r="F299" s="43"/>
      <c r="G299" s="60">
        <f t="shared" si="78"/>
        <v>0</v>
      </c>
      <c r="H299" s="97" t="s">
        <v>364</v>
      </c>
      <c r="I299" s="56">
        <f t="shared" si="79"/>
        <v>0</v>
      </c>
      <c r="J299" s="47">
        <f t="shared" si="70"/>
        <v>0</v>
      </c>
      <c r="L299" s="77" t="s">
        <v>362</v>
      </c>
      <c r="M299" s="98"/>
      <c r="N299" s="19" t="str">
        <f t="shared" si="81"/>
        <v>Société Générale</v>
      </c>
      <c r="O299" s="33" t="s">
        <v>36</v>
      </c>
    </row>
    <row r="300" spans="1:15">
      <c r="A300" s="9" t="str">
        <f t="shared" si="76"/>
        <v>1 -Recette CABINET</v>
      </c>
      <c r="B300" s="21" t="str">
        <f t="shared" si="77"/>
        <v>B-PROTHESES</v>
      </c>
      <c r="C300" s="21"/>
      <c r="D300" s="57" t="s">
        <v>499</v>
      </c>
      <c r="E300" s="61" t="s">
        <v>361</v>
      </c>
      <c r="F300" s="43"/>
      <c r="G300" s="60">
        <f t="shared" si="78"/>
        <v>0</v>
      </c>
      <c r="H300" s="97" t="s">
        <v>365</v>
      </c>
      <c r="I300" s="56">
        <f t="shared" si="79"/>
        <v>0</v>
      </c>
      <c r="J300" s="47">
        <f t="shared" si="70"/>
        <v>0</v>
      </c>
      <c r="L300" s="77" t="s">
        <v>362</v>
      </c>
      <c r="M300" s="98"/>
      <c r="N300" s="19" t="str">
        <f t="shared" si="81"/>
        <v>Société Générale</v>
      </c>
      <c r="O300" s="33" t="s">
        <v>36</v>
      </c>
    </row>
    <row r="301" spans="1:15">
      <c r="A301" s="9" t="str">
        <f t="shared" si="76"/>
        <v>1 -Recette CABINET</v>
      </c>
      <c r="B301" s="21" t="str">
        <f t="shared" si="77"/>
        <v>B-PROTHESES</v>
      </c>
      <c r="C301" s="21"/>
      <c r="D301" s="57" t="s">
        <v>500</v>
      </c>
      <c r="E301" s="61" t="s">
        <v>361</v>
      </c>
      <c r="F301" s="43"/>
      <c r="G301" s="60">
        <f t="shared" si="78"/>
        <v>0</v>
      </c>
      <c r="H301" s="97" t="s">
        <v>442</v>
      </c>
      <c r="I301" s="56">
        <f t="shared" si="79"/>
        <v>0</v>
      </c>
      <c r="J301" s="47">
        <f t="shared" si="70"/>
        <v>0</v>
      </c>
      <c r="L301" s="77" t="s">
        <v>362</v>
      </c>
      <c r="M301" s="98" t="str">
        <f t="shared" ref="M301" si="85">+RIGHT(D301,2)</f>
        <v>48</v>
      </c>
      <c r="N301" s="19" t="str">
        <f t="shared" si="81"/>
        <v>Crédit Agricole</v>
      </c>
      <c r="O301" s="33" t="s">
        <v>36</v>
      </c>
    </row>
    <row r="302" spans="1:15">
      <c r="A302" s="9" t="str">
        <f t="shared" si="76"/>
        <v>1 -Recette CABINET</v>
      </c>
      <c r="B302" s="21" t="str">
        <f t="shared" si="77"/>
        <v>B-PROTHESES</v>
      </c>
      <c r="C302" s="21"/>
      <c r="D302" s="57" t="s">
        <v>500</v>
      </c>
      <c r="E302" s="61" t="s">
        <v>361</v>
      </c>
      <c r="F302" s="43"/>
      <c r="G302" s="60">
        <f t="shared" si="78"/>
        <v>0</v>
      </c>
      <c r="H302" s="97" t="s">
        <v>364</v>
      </c>
      <c r="I302" s="56">
        <f t="shared" si="79"/>
        <v>0</v>
      </c>
      <c r="J302" s="47">
        <f t="shared" si="70"/>
        <v>0</v>
      </c>
      <c r="L302" s="77" t="s">
        <v>362</v>
      </c>
      <c r="M302" s="98"/>
      <c r="N302" s="19" t="str">
        <f t="shared" si="81"/>
        <v>Société Générale</v>
      </c>
      <c r="O302" s="33" t="s">
        <v>36</v>
      </c>
    </row>
    <row r="303" spans="1:15">
      <c r="A303" s="9" t="str">
        <f t="shared" si="76"/>
        <v>1 -Recette CABINET</v>
      </c>
      <c r="B303" s="21" t="str">
        <f t="shared" si="77"/>
        <v>B-PROTHESES</v>
      </c>
      <c r="C303" s="21"/>
      <c r="D303" s="57" t="s">
        <v>500</v>
      </c>
      <c r="E303" s="61" t="s">
        <v>361</v>
      </c>
      <c r="F303" s="43"/>
      <c r="G303" s="60">
        <f t="shared" si="78"/>
        <v>0</v>
      </c>
      <c r="H303" s="97" t="s">
        <v>365</v>
      </c>
      <c r="I303" s="56">
        <f t="shared" si="79"/>
        <v>0</v>
      </c>
      <c r="J303" s="47">
        <f t="shared" si="70"/>
        <v>0</v>
      </c>
      <c r="L303" s="77" t="s">
        <v>362</v>
      </c>
      <c r="M303" s="98"/>
      <c r="N303" s="19" t="str">
        <f t="shared" si="81"/>
        <v>Société Générale</v>
      </c>
      <c r="O303" s="33" t="s">
        <v>36</v>
      </c>
    </row>
    <row r="304" spans="1:15">
      <c r="A304" s="9" t="str">
        <f t="shared" si="76"/>
        <v>1 -Recette CABINET</v>
      </c>
      <c r="B304" s="21" t="str">
        <f t="shared" si="77"/>
        <v>B-PROTHESES</v>
      </c>
      <c r="C304" s="21"/>
      <c r="D304" s="57" t="s">
        <v>501</v>
      </c>
      <c r="E304" s="61" t="s">
        <v>361</v>
      </c>
      <c r="F304" s="43"/>
      <c r="G304" s="60">
        <f t="shared" si="78"/>
        <v>0</v>
      </c>
      <c r="H304" s="97" t="s">
        <v>442</v>
      </c>
      <c r="I304" s="56">
        <f t="shared" si="79"/>
        <v>0</v>
      </c>
      <c r="J304" s="47">
        <f t="shared" si="70"/>
        <v>0</v>
      </c>
      <c r="L304" s="77" t="s">
        <v>362</v>
      </c>
      <c r="M304" s="98" t="str">
        <f t="shared" ref="M304" si="86">+RIGHT(D304,2)</f>
        <v>49</v>
      </c>
      <c r="N304" s="19" t="str">
        <f t="shared" si="81"/>
        <v>Crédit Agricole</v>
      </c>
      <c r="O304" s="33" t="s">
        <v>36</v>
      </c>
    </row>
    <row r="305" spans="1:15">
      <c r="A305" s="9" t="str">
        <f t="shared" si="76"/>
        <v>1 -Recette CABINET</v>
      </c>
      <c r="B305" s="21" t="str">
        <f t="shared" si="77"/>
        <v>B-PROTHESES</v>
      </c>
      <c r="C305" s="21"/>
      <c r="D305" s="57" t="s">
        <v>501</v>
      </c>
      <c r="E305" s="61" t="s">
        <v>361</v>
      </c>
      <c r="F305" s="43"/>
      <c r="G305" s="60">
        <f t="shared" si="78"/>
        <v>0</v>
      </c>
      <c r="H305" s="97" t="s">
        <v>364</v>
      </c>
      <c r="I305" s="56">
        <f t="shared" si="79"/>
        <v>0</v>
      </c>
      <c r="J305" s="47">
        <f t="shared" si="70"/>
        <v>0</v>
      </c>
      <c r="L305" s="77" t="s">
        <v>362</v>
      </c>
      <c r="M305" s="98"/>
      <c r="N305" s="19" t="str">
        <f t="shared" si="81"/>
        <v>Société Générale</v>
      </c>
      <c r="O305" s="33" t="s">
        <v>36</v>
      </c>
    </row>
    <row r="306" spans="1:15">
      <c r="A306" s="9" t="str">
        <f t="shared" si="76"/>
        <v>1 -Recette CABINET</v>
      </c>
      <c r="B306" s="21" t="str">
        <f t="shared" si="77"/>
        <v>B-PROTHESES</v>
      </c>
      <c r="C306" s="21"/>
      <c r="D306" s="57" t="s">
        <v>501</v>
      </c>
      <c r="E306" s="61" t="s">
        <v>361</v>
      </c>
      <c r="F306" s="43"/>
      <c r="G306" s="60">
        <f t="shared" si="78"/>
        <v>0</v>
      </c>
      <c r="H306" s="97" t="s">
        <v>365</v>
      </c>
      <c r="I306" s="56">
        <f t="shared" si="79"/>
        <v>0</v>
      </c>
      <c r="J306" s="47">
        <f t="shared" si="70"/>
        <v>0</v>
      </c>
      <c r="L306" s="77" t="s">
        <v>362</v>
      </c>
      <c r="M306" s="98"/>
      <c r="N306" s="19" t="str">
        <f t="shared" si="81"/>
        <v>Société Générale</v>
      </c>
      <c r="O306" s="33" t="s">
        <v>36</v>
      </c>
    </row>
    <row r="307" spans="1:15">
      <c r="A307" s="9" t="str">
        <f t="shared" si="76"/>
        <v>1 -Recette CABINET</v>
      </c>
      <c r="B307" s="21" t="str">
        <f t="shared" si="77"/>
        <v>B-PROTHESES</v>
      </c>
      <c r="C307" s="21"/>
      <c r="D307" s="57" t="s">
        <v>502</v>
      </c>
      <c r="E307" s="61" t="s">
        <v>361</v>
      </c>
      <c r="F307" s="43"/>
      <c r="G307" s="60">
        <f t="shared" si="78"/>
        <v>0</v>
      </c>
      <c r="H307" s="97" t="s">
        <v>442</v>
      </c>
      <c r="I307" s="56">
        <f t="shared" si="79"/>
        <v>0</v>
      </c>
      <c r="J307" s="47">
        <f t="shared" si="70"/>
        <v>0</v>
      </c>
      <c r="L307" s="77" t="s">
        <v>362</v>
      </c>
      <c r="M307" s="98" t="str">
        <f t="shared" ref="M307" si="87">+RIGHT(D307,2)</f>
        <v>50</v>
      </c>
      <c r="N307" s="19" t="str">
        <f t="shared" si="81"/>
        <v>Crédit Agricole</v>
      </c>
      <c r="O307" s="33" t="s">
        <v>36</v>
      </c>
    </row>
    <row r="308" spans="1:15">
      <c r="A308" s="9" t="str">
        <f t="shared" si="76"/>
        <v>1 -Recette CABINET</v>
      </c>
      <c r="B308" s="21" t="str">
        <f t="shared" si="77"/>
        <v>B-PROTHESES</v>
      </c>
      <c r="C308" s="21"/>
      <c r="D308" s="57" t="s">
        <v>502</v>
      </c>
      <c r="E308" s="61" t="s">
        <v>361</v>
      </c>
      <c r="F308" s="43"/>
      <c r="G308" s="60">
        <f t="shared" si="78"/>
        <v>0</v>
      </c>
      <c r="H308" s="97" t="s">
        <v>364</v>
      </c>
      <c r="I308" s="56">
        <f t="shared" si="79"/>
        <v>0</v>
      </c>
      <c r="J308" s="47">
        <f t="shared" si="70"/>
        <v>0</v>
      </c>
      <c r="L308" s="77" t="s">
        <v>362</v>
      </c>
      <c r="M308" s="98"/>
      <c r="N308" s="19" t="str">
        <f t="shared" si="81"/>
        <v>Société Générale</v>
      </c>
      <c r="O308" s="33" t="s">
        <v>36</v>
      </c>
    </row>
    <row r="309" spans="1:15">
      <c r="A309" s="9" t="str">
        <f t="shared" si="76"/>
        <v>1 -Recette CABINET</v>
      </c>
      <c r="B309" s="21" t="str">
        <f t="shared" si="77"/>
        <v>B-PROTHESES</v>
      </c>
      <c r="C309" s="21"/>
      <c r="D309" s="57" t="s">
        <v>502</v>
      </c>
      <c r="E309" s="61" t="s">
        <v>361</v>
      </c>
      <c r="F309" s="43"/>
      <c r="G309" s="60">
        <f t="shared" si="78"/>
        <v>0</v>
      </c>
      <c r="H309" s="97" t="s">
        <v>365</v>
      </c>
      <c r="I309" s="56">
        <f t="shared" si="79"/>
        <v>0</v>
      </c>
      <c r="J309" s="47">
        <f t="shared" si="70"/>
        <v>0</v>
      </c>
      <c r="L309" s="77" t="s">
        <v>362</v>
      </c>
      <c r="M309" s="98"/>
      <c r="N309" s="19" t="str">
        <f t="shared" si="81"/>
        <v>Société Générale</v>
      </c>
      <c r="O309" s="33" t="s">
        <v>36</v>
      </c>
    </row>
    <row r="310" spans="1:15">
      <c r="A310" s="9" t="str">
        <f t="shared" si="76"/>
        <v>1 -Recette CABINET</v>
      </c>
      <c r="B310" s="21" t="str">
        <f t="shared" si="77"/>
        <v>B-PROTHESES</v>
      </c>
      <c r="C310" s="21"/>
      <c r="D310" s="57" t="s">
        <v>503</v>
      </c>
      <c r="E310" s="61" t="s">
        <v>361</v>
      </c>
      <c r="F310" s="43"/>
      <c r="G310" s="60">
        <f t="shared" si="78"/>
        <v>0</v>
      </c>
      <c r="H310" s="97" t="s">
        <v>442</v>
      </c>
      <c r="I310" s="56">
        <f t="shared" si="79"/>
        <v>0</v>
      </c>
      <c r="J310" s="47">
        <f t="shared" si="70"/>
        <v>0</v>
      </c>
      <c r="L310" s="77" t="s">
        <v>362</v>
      </c>
      <c r="M310" s="98" t="str">
        <f t="shared" ref="M310" si="88">+RIGHT(D310,2)</f>
        <v>51</v>
      </c>
      <c r="N310" s="19" t="str">
        <f t="shared" si="81"/>
        <v>Crédit Agricole</v>
      </c>
      <c r="O310" s="33" t="s">
        <v>36</v>
      </c>
    </row>
    <row r="311" spans="1:15">
      <c r="A311" s="9" t="str">
        <f t="shared" si="76"/>
        <v>1 -Recette CABINET</v>
      </c>
      <c r="B311" s="21" t="str">
        <f t="shared" si="77"/>
        <v>B-PROTHESES</v>
      </c>
      <c r="C311" s="21"/>
      <c r="D311" s="57" t="s">
        <v>503</v>
      </c>
      <c r="E311" s="61" t="s">
        <v>361</v>
      </c>
      <c r="F311" s="43"/>
      <c r="G311" s="60">
        <f t="shared" si="78"/>
        <v>0</v>
      </c>
      <c r="H311" s="97" t="s">
        <v>364</v>
      </c>
      <c r="I311" s="56">
        <f>+IF(L311="A RECEVOIR",G311,"ERREUR")</f>
        <v>0</v>
      </c>
      <c r="J311" s="47">
        <f t="shared" si="70"/>
        <v>0</v>
      </c>
      <c r="L311" s="77" t="s">
        <v>362</v>
      </c>
      <c r="M311" s="98"/>
      <c r="N311" s="19" t="str">
        <f t="shared" si="81"/>
        <v>Société Générale</v>
      </c>
      <c r="O311" s="33" t="s">
        <v>36</v>
      </c>
    </row>
    <row r="312" spans="1:15">
      <c r="A312" s="9" t="str">
        <f t="shared" si="76"/>
        <v>1 -Recette CABINET</v>
      </c>
      <c r="B312" s="21" t="str">
        <f t="shared" si="77"/>
        <v>B-PROTHESES</v>
      </c>
      <c r="C312" s="21"/>
      <c r="D312" s="57" t="s">
        <v>503</v>
      </c>
      <c r="E312" s="61" t="s">
        <v>361</v>
      </c>
      <c r="F312" s="43"/>
      <c r="G312" s="60">
        <f t="shared" si="78"/>
        <v>0</v>
      </c>
      <c r="H312" s="97" t="s">
        <v>365</v>
      </c>
      <c r="I312" s="56">
        <f t="shared" ref="I312:I315" si="89">+IF(L312="A RECEVOIR",G312,"ERREUR")</f>
        <v>0</v>
      </c>
      <c r="J312" s="47">
        <f t="shared" si="70"/>
        <v>0</v>
      </c>
      <c r="L312" s="77" t="s">
        <v>362</v>
      </c>
      <c r="M312" s="98"/>
      <c r="N312" s="19" t="str">
        <f t="shared" si="81"/>
        <v>Société Générale</v>
      </c>
      <c r="O312" s="33" t="s">
        <v>36</v>
      </c>
    </row>
    <row r="313" spans="1:15">
      <c r="A313" s="9" t="str">
        <f t="shared" si="76"/>
        <v>1 -Recette CABINET</v>
      </c>
      <c r="B313" s="21" t="str">
        <f t="shared" si="77"/>
        <v>B-PROTHESES</v>
      </c>
      <c r="C313" s="21"/>
      <c r="D313" s="57" t="s">
        <v>504</v>
      </c>
      <c r="E313" s="61" t="s">
        <v>361</v>
      </c>
      <c r="F313" s="43"/>
      <c r="G313" s="60">
        <f t="shared" si="78"/>
        <v>0</v>
      </c>
      <c r="H313" s="97" t="s">
        <v>442</v>
      </c>
      <c r="I313" s="56">
        <f t="shared" si="89"/>
        <v>0</v>
      </c>
      <c r="J313" s="47">
        <f t="shared" si="70"/>
        <v>0</v>
      </c>
      <c r="L313" s="77" t="s">
        <v>362</v>
      </c>
      <c r="M313" s="98" t="str">
        <f t="shared" ref="M313" si="90">+RIGHT(D313,2)</f>
        <v>52</v>
      </c>
      <c r="N313" s="19" t="str">
        <f t="shared" si="81"/>
        <v>Crédit Agricole</v>
      </c>
      <c r="O313" s="33" t="s">
        <v>36</v>
      </c>
    </row>
    <row r="314" spans="1:15">
      <c r="A314" s="9" t="str">
        <f t="shared" si="76"/>
        <v>1 -Recette CABINET</v>
      </c>
      <c r="B314" s="21" t="str">
        <f t="shared" si="77"/>
        <v>B-PROTHESES</v>
      </c>
      <c r="C314" s="21"/>
      <c r="D314" s="57" t="s">
        <v>504</v>
      </c>
      <c r="E314" s="61" t="s">
        <v>361</v>
      </c>
      <c r="F314" s="43"/>
      <c r="G314" s="60">
        <f t="shared" si="78"/>
        <v>0</v>
      </c>
      <c r="H314" s="97" t="s">
        <v>364</v>
      </c>
      <c r="I314" s="56">
        <f t="shared" si="89"/>
        <v>0</v>
      </c>
      <c r="J314" s="47">
        <f t="shared" si="70"/>
        <v>0</v>
      </c>
      <c r="L314" s="77" t="s">
        <v>362</v>
      </c>
      <c r="M314" s="98"/>
      <c r="N314" s="19" t="str">
        <f t="shared" si="81"/>
        <v>Société Générale</v>
      </c>
      <c r="O314" s="33" t="s">
        <v>36</v>
      </c>
    </row>
    <row r="315" spans="1:15">
      <c r="A315" s="9" t="str">
        <f>+A314</f>
        <v>1 -Recette CABINET</v>
      </c>
      <c r="B315" s="21" t="str">
        <f t="shared" si="77"/>
        <v>B-PROTHESES</v>
      </c>
      <c r="C315" s="21"/>
      <c r="D315" s="57" t="s">
        <v>504</v>
      </c>
      <c r="E315" s="61" t="s">
        <v>361</v>
      </c>
      <c r="F315" s="43"/>
      <c r="G315" s="60">
        <f t="shared" si="78"/>
        <v>0</v>
      </c>
      <c r="H315" s="97" t="s">
        <v>365</v>
      </c>
      <c r="I315" s="56">
        <f t="shared" si="89"/>
        <v>0</v>
      </c>
      <c r="J315" s="47">
        <f t="shared" si="70"/>
        <v>0</v>
      </c>
      <c r="K315" s="116"/>
      <c r="L315" s="77" t="s">
        <v>362</v>
      </c>
      <c r="M315" s="98"/>
      <c r="N315" s="19" t="str">
        <f t="shared" si="81"/>
        <v>Société Générale</v>
      </c>
      <c r="O315" s="33" t="s">
        <v>36</v>
      </c>
    </row>
  </sheetData>
  <autoFilter ref="A1:O116"/>
  <printOptions horizontalCentered="1" verticalCentered="1"/>
  <pageMargins left="0.2" right="0.2" top="0.39000000000000007" bottom="0.39000000000000007" header="0.51" footer="0.12000000000000001"/>
  <pageSetup paperSize="9" scale="10" fitToHeight="2" orientation="portrait" r:id="rId1"/>
  <headerFooter>
    <oddHeader>&amp;A</oddHeader>
    <oddFooter>&amp;L&amp;"Lucida Grande,Normal"&amp;10BP - Musicals&amp;C&amp;"Lucida Grande,Normal"Confidentiel&amp;R&amp;"Lucida Grande,Normal"&amp;10&amp;D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5"/>
  <sheetViews>
    <sheetView zoomScale="73" zoomScaleNormal="73" workbookViewId="0">
      <pane xSplit="1" topLeftCell="B1" activePane="topRight" state="frozen"/>
      <selection activeCell="A30" sqref="A30"/>
      <selection pane="topRight" activeCell="B23" sqref="B23"/>
    </sheetView>
  </sheetViews>
  <sheetFormatPr baseColWidth="10" defaultRowHeight="15.75"/>
  <cols>
    <col min="1" max="1" width="38.109375" customWidth="1"/>
    <col min="2" max="2" width="20" customWidth="1"/>
    <col min="3" max="6" width="11.33203125" customWidth="1"/>
    <col min="7" max="7" width="9.5546875" customWidth="1"/>
    <col min="8" max="10" width="11.33203125" customWidth="1"/>
    <col min="11" max="11" width="9.5546875" customWidth="1"/>
    <col min="12" max="23" width="11.33203125" customWidth="1"/>
    <col min="24" max="24" width="9.5546875" customWidth="1"/>
    <col min="25" max="32" width="11.33203125" customWidth="1"/>
    <col min="33" max="33" width="9.5546875" customWidth="1"/>
    <col min="34" max="36" width="11.33203125" customWidth="1"/>
    <col min="37" max="37" width="9.5546875" customWidth="1"/>
    <col min="38" max="45" width="11.33203125" customWidth="1"/>
    <col min="46" max="46" width="9.5546875" customWidth="1"/>
    <col min="47" max="49" width="11.33203125" customWidth="1"/>
    <col min="50" max="50" width="9.5546875" customWidth="1"/>
    <col min="51" max="53" width="11.33203125" customWidth="1"/>
    <col min="54" max="54" width="5.33203125" customWidth="1"/>
    <col min="55" max="55" width="13.77734375" customWidth="1"/>
    <col min="56" max="56" width="10.44140625" customWidth="1"/>
    <col min="57" max="57" width="4.88671875" customWidth="1"/>
    <col min="58" max="58" width="10.44140625" customWidth="1"/>
    <col min="59" max="59" width="4.88671875" customWidth="1"/>
    <col min="60" max="60" width="10.44140625" customWidth="1"/>
    <col min="61" max="61" width="4.88671875" customWidth="1"/>
    <col min="62" max="62" width="10.44140625" customWidth="1"/>
    <col min="63" max="63" width="4.88671875" customWidth="1"/>
    <col min="64" max="64" width="8.77734375" customWidth="1"/>
    <col min="65" max="65" width="4.88671875" customWidth="1"/>
    <col min="66" max="66" width="10.44140625" customWidth="1"/>
    <col min="67" max="67" width="4.88671875" customWidth="1"/>
    <col min="68" max="68" width="10.44140625" customWidth="1"/>
    <col min="69" max="69" width="4.88671875" customWidth="1"/>
    <col min="70" max="70" width="10.44140625" customWidth="1"/>
    <col min="71" max="71" width="4.88671875" customWidth="1"/>
    <col min="72" max="72" width="8.77734375" customWidth="1"/>
    <col min="73" max="73" width="4.88671875" customWidth="1"/>
    <col min="74" max="74" width="10.44140625" customWidth="1"/>
    <col min="75" max="75" width="4.88671875" customWidth="1"/>
    <col min="76" max="76" width="10.44140625" customWidth="1"/>
    <col min="77" max="77" width="4.88671875" customWidth="1"/>
    <col min="78" max="78" width="10.44140625" customWidth="1"/>
    <col min="79" max="79" width="4.88671875" customWidth="1"/>
    <col min="80" max="80" width="10.44140625" customWidth="1"/>
    <col min="81" max="81" width="4.88671875" customWidth="1"/>
    <col min="82" max="82" width="10.44140625" customWidth="1"/>
    <col min="83" max="83" width="4.88671875" customWidth="1"/>
    <col min="84" max="84" width="10.44140625" customWidth="1"/>
    <col min="85" max="85" width="4.88671875" customWidth="1"/>
    <col min="86" max="86" width="10.44140625" customWidth="1"/>
    <col min="87" max="87" width="4.88671875" customWidth="1"/>
    <col min="88" max="88" width="10.44140625" customWidth="1"/>
    <col min="89" max="89" width="4.88671875" customWidth="1"/>
    <col min="90" max="90" width="8.77734375" customWidth="1"/>
    <col min="91" max="91" width="4.88671875" customWidth="1"/>
    <col min="92" max="92" width="10.44140625" customWidth="1"/>
    <col min="93" max="93" width="4.88671875" customWidth="1"/>
    <col min="94" max="94" width="10.44140625" customWidth="1"/>
    <col min="95" max="95" width="4.88671875" customWidth="1"/>
    <col min="96" max="96" width="10.44140625" customWidth="1"/>
    <col min="97" max="97" width="4.88671875" customWidth="1"/>
    <col min="98" max="98" width="8.77734375" customWidth="1"/>
    <col min="99" max="99" width="4.88671875" customWidth="1"/>
    <col min="100" max="100" width="10.44140625" customWidth="1"/>
    <col min="101" max="101" width="4.88671875" customWidth="1"/>
    <col min="102" max="102" width="10.44140625" customWidth="1"/>
    <col min="103" max="103" width="4.88671875" customWidth="1"/>
    <col min="104" max="104" width="10.44140625" customWidth="1"/>
    <col min="105" max="105" width="4.88671875" customWidth="1"/>
    <col min="106" max="106" width="7.44140625" customWidth="1"/>
    <col min="107" max="107" width="4.88671875" customWidth="1"/>
    <col min="108" max="108" width="12.6640625" customWidth="1"/>
    <col min="109" max="109" width="11.5546875" customWidth="1"/>
    <col min="110" max="111" width="3" customWidth="1"/>
    <col min="112" max="112" width="21.88671875" bestFit="1" customWidth="1"/>
    <col min="113" max="113" width="7.109375" customWidth="1"/>
    <col min="114" max="120" width="2" customWidth="1"/>
    <col min="121" max="160" width="3" customWidth="1"/>
    <col min="161" max="161" width="5.33203125" customWidth="1"/>
    <col min="162" max="162" width="9.44140625" customWidth="1"/>
    <col min="163" max="163" width="10.5546875" customWidth="1"/>
  </cols>
  <sheetData>
    <row r="1" spans="1:55" ht="15.75" customHeight="1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6"/>
    </row>
    <row r="2" spans="1:55" ht="15.75" customHeight="1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9"/>
    </row>
    <row r="3" spans="1:55" ht="15.75" customHeigh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9"/>
    </row>
    <row r="4" spans="1:55" ht="15.75" customHeight="1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9"/>
    </row>
    <row r="5" spans="1:55" ht="16.5" customHeight="1" thickBot="1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2"/>
    </row>
    <row r="9" spans="1:55">
      <c r="A9" s="22" t="s">
        <v>359</v>
      </c>
      <c r="B9" s="22" t="s">
        <v>17</v>
      </c>
    </row>
    <row r="10" spans="1:55">
      <c r="A10" s="22" t="s">
        <v>9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  <c r="N10">
        <v>13</v>
      </c>
      <c r="O10">
        <v>14</v>
      </c>
      <c r="P10">
        <v>15</v>
      </c>
      <c r="Q10">
        <v>16</v>
      </c>
      <c r="R10">
        <v>17</v>
      </c>
      <c r="S10">
        <v>18</v>
      </c>
      <c r="T10">
        <v>19</v>
      </c>
      <c r="U10">
        <v>20</v>
      </c>
      <c r="V10">
        <v>21</v>
      </c>
      <c r="W10">
        <v>22</v>
      </c>
      <c r="X10">
        <v>23</v>
      </c>
      <c r="Y10">
        <v>24</v>
      </c>
      <c r="Z10">
        <v>25</v>
      </c>
      <c r="AA10">
        <v>26</v>
      </c>
      <c r="AB10">
        <v>27</v>
      </c>
      <c r="AC10">
        <v>28</v>
      </c>
      <c r="AD10">
        <v>29</v>
      </c>
      <c r="AE10">
        <v>30</v>
      </c>
      <c r="AF10">
        <v>31</v>
      </c>
      <c r="AG10">
        <v>32</v>
      </c>
      <c r="AH10">
        <v>33</v>
      </c>
      <c r="AI10">
        <v>34</v>
      </c>
      <c r="AJ10">
        <v>35</v>
      </c>
      <c r="AK10">
        <v>36</v>
      </c>
      <c r="AL10">
        <v>37</v>
      </c>
      <c r="AM10">
        <v>38</v>
      </c>
      <c r="AN10">
        <v>39</v>
      </c>
      <c r="AO10">
        <v>40</v>
      </c>
      <c r="AP10">
        <v>41</v>
      </c>
      <c r="AQ10">
        <v>42</v>
      </c>
      <c r="AR10">
        <v>43</v>
      </c>
      <c r="AS10">
        <v>44</v>
      </c>
      <c r="AT10">
        <v>45</v>
      </c>
      <c r="AU10">
        <v>46</v>
      </c>
      <c r="AV10">
        <v>47</v>
      </c>
      <c r="AW10">
        <v>48</v>
      </c>
      <c r="AX10">
        <v>49</v>
      </c>
      <c r="AY10">
        <v>50</v>
      </c>
      <c r="AZ10">
        <v>51</v>
      </c>
      <c r="BA10">
        <v>52</v>
      </c>
      <c r="BB10" t="s">
        <v>13</v>
      </c>
      <c r="BC10" t="s">
        <v>10</v>
      </c>
    </row>
    <row r="11" spans="1:55">
      <c r="A11" s="53" t="s">
        <v>310</v>
      </c>
      <c r="B11" s="49">
        <v>1254.58</v>
      </c>
      <c r="C11" s="49">
        <v>718.12</v>
      </c>
      <c r="D11" s="49"/>
      <c r="E11" s="49">
        <v>3171.94</v>
      </c>
      <c r="F11" s="49">
        <v>1150</v>
      </c>
      <c r="G11" s="49">
        <v>104.58</v>
      </c>
      <c r="H11" s="49">
        <v>718.12</v>
      </c>
      <c r="I11" s="49"/>
      <c r="J11" s="49">
        <v>4321.9400000000005</v>
      </c>
      <c r="K11" s="49">
        <v>104.58</v>
      </c>
      <c r="L11" s="49">
        <v>718.12</v>
      </c>
      <c r="M11" s="49"/>
      <c r="N11" s="49">
        <v>4171.9400000000005</v>
      </c>
      <c r="O11" s="49">
        <v>254.57999999999998</v>
      </c>
      <c r="P11" s="49">
        <v>718.12</v>
      </c>
      <c r="Q11" s="49"/>
      <c r="R11" s="49">
        <v>3171.94</v>
      </c>
      <c r="S11" s="49">
        <v>1150</v>
      </c>
      <c r="T11" s="49">
        <v>822.7</v>
      </c>
      <c r="U11" s="49"/>
      <c r="V11" s="49"/>
      <c r="W11" s="49">
        <v>4321.9400000000005</v>
      </c>
      <c r="X11" s="49">
        <v>104.58</v>
      </c>
      <c r="Y11" s="49">
        <v>718.12</v>
      </c>
      <c r="Z11" s="49"/>
      <c r="AA11" s="49">
        <v>4171.9400000000005</v>
      </c>
      <c r="AB11" s="49">
        <v>254.57999999999998</v>
      </c>
      <c r="AC11" s="49">
        <v>718.12</v>
      </c>
      <c r="AD11" s="49"/>
      <c r="AE11" s="49">
        <v>3171.94</v>
      </c>
      <c r="AF11" s="49">
        <v>1150</v>
      </c>
      <c r="AG11" s="49">
        <v>104.58</v>
      </c>
      <c r="AH11" s="49">
        <v>718.12</v>
      </c>
      <c r="AI11" s="49"/>
      <c r="AJ11" s="49">
        <v>4321.9400000000005</v>
      </c>
      <c r="AK11" s="49">
        <v>104.58</v>
      </c>
      <c r="AL11" s="49">
        <v>718.12</v>
      </c>
      <c r="AM11" s="49"/>
      <c r="AN11" s="49">
        <v>3171.94</v>
      </c>
      <c r="AO11" s="49">
        <v>1150</v>
      </c>
      <c r="AP11" s="49">
        <v>822.7</v>
      </c>
      <c r="AQ11" s="49"/>
      <c r="AR11" s="49">
        <v>3171.94</v>
      </c>
      <c r="AS11" s="49">
        <v>1150</v>
      </c>
      <c r="AT11" s="49">
        <v>104.58</v>
      </c>
      <c r="AU11" s="49">
        <v>718.12</v>
      </c>
      <c r="AV11" s="49"/>
      <c r="AW11" s="49">
        <v>4321.9400000000005</v>
      </c>
      <c r="AX11" s="49">
        <v>104.58</v>
      </c>
      <c r="AY11" s="49">
        <v>718.12</v>
      </c>
      <c r="AZ11" s="49"/>
      <c r="BA11" s="49">
        <v>3171.94</v>
      </c>
      <c r="BB11" s="49"/>
      <c r="BC11" s="49">
        <v>61735.680000000008</v>
      </c>
    </row>
    <row r="12" spans="1:55">
      <c r="A12" s="75" t="s">
        <v>53</v>
      </c>
      <c r="B12" s="49">
        <v>150</v>
      </c>
      <c r="C12" s="49"/>
      <c r="D12" s="49"/>
      <c r="E12" s="49"/>
      <c r="F12" s="49">
        <v>150</v>
      </c>
      <c r="G12" s="49"/>
      <c r="H12" s="49"/>
      <c r="I12" s="49"/>
      <c r="J12" s="49">
        <v>150</v>
      </c>
      <c r="K12" s="49"/>
      <c r="L12" s="49"/>
      <c r="M12" s="49"/>
      <c r="N12" s="49"/>
      <c r="O12" s="49">
        <v>150</v>
      </c>
      <c r="P12" s="49"/>
      <c r="Q12" s="49"/>
      <c r="R12" s="49"/>
      <c r="S12" s="49">
        <v>150</v>
      </c>
      <c r="T12" s="49"/>
      <c r="U12" s="49"/>
      <c r="V12" s="49"/>
      <c r="W12" s="49">
        <v>150</v>
      </c>
      <c r="X12" s="49"/>
      <c r="Y12" s="49"/>
      <c r="Z12" s="49"/>
      <c r="AA12" s="49"/>
      <c r="AB12" s="49">
        <v>150</v>
      </c>
      <c r="AC12" s="49"/>
      <c r="AD12" s="49"/>
      <c r="AE12" s="49"/>
      <c r="AF12" s="49">
        <v>150</v>
      </c>
      <c r="AG12" s="49"/>
      <c r="AH12" s="49"/>
      <c r="AI12" s="49"/>
      <c r="AJ12" s="49">
        <v>150</v>
      </c>
      <c r="AK12" s="49"/>
      <c r="AL12" s="49"/>
      <c r="AM12" s="49"/>
      <c r="AN12" s="49"/>
      <c r="AO12" s="49">
        <v>150</v>
      </c>
      <c r="AP12" s="49"/>
      <c r="AQ12" s="49"/>
      <c r="AR12" s="49"/>
      <c r="AS12" s="49">
        <v>150</v>
      </c>
      <c r="AT12" s="49"/>
      <c r="AU12" s="49"/>
      <c r="AV12" s="49"/>
      <c r="AW12" s="49">
        <v>150</v>
      </c>
      <c r="AX12" s="49"/>
      <c r="AY12" s="49"/>
      <c r="AZ12" s="49"/>
      <c r="BA12" s="49"/>
      <c r="BB12" s="49"/>
      <c r="BC12" s="49">
        <v>1800</v>
      </c>
    </row>
    <row r="13" spans="1:55">
      <c r="A13" s="75" t="s">
        <v>181</v>
      </c>
      <c r="B13" s="49">
        <v>104.58</v>
      </c>
      <c r="C13" s="49"/>
      <c r="D13" s="49"/>
      <c r="E13" s="49"/>
      <c r="F13" s="49"/>
      <c r="G13" s="49">
        <v>104.58</v>
      </c>
      <c r="H13" s="49"/>
      <c r="I13" s="49"/>
      <c r="J13" s="49"/>
      <c r="K13" s="49">
        <v>104.58</v>
      </c>
      <c r="L13" s="49"/>
      <c r="M13" s="49"/>
      <c r="N13" s="49"/>
      <c r="O13" s="49">
        <v>104.58</v>
      </c>
      <c r="P13" s="49"/>
      <c r="Q13" s="49"/>
      <c r="R13" s="49"/>
      <c r="S13" s="49"/>
      <c r="T13" s="49">
        <v>104.58</v>
      </c>
      <c r="U13" s="49"/>
      <c r="V13" s="49"/>
      <c r="W13" s="49"/>
      <c r="X13" s="49">
        <v>104.58</v>
      </c>
      <c r="Y13" s="49"/>
      <c r="Z13" s="49"/>
      <c r="AA13" s="49"/>
      <c r="AB13" s="49">
        <v>104.58</v>
      </c>
      <c r="AC13" s="49"/>
      <c r="AD13" s="49"/>
      <c r="AE13" s="49"/>
      <c r="AF13" s="49"/>
      <c r="AG13" s="49">
        <v>104.58</v>
      </c>
      <c r="AH13" s="49"/>
      <c r="AI13" s="49"/>
      <c r="AJ13" s="49"/>
      <c r="AK13" s="49">
        <v>104.58</v>
      </c>
      <c r="AL13" s="49"/>
      <c r="AM13" s="49"/>
      <c r="AN13" s="49"/>
      <c r="AO13" s="49"/>
      <c r="AP13" s="49">
        <v>104.58</v>
      </c>
      <c r="AQ13" s="49"/>
      <c r="AR13" s="49"/>
      <c r="AS13" s="49"/>
      <c r="AT13" s="49">
        <v>104.58</v>
      </c>
      <c r="AU13" s="49"/>
      <c r="AV13" s="49"/>
      <c r="AW13" s="49"/>
      <c r="AX13" s="49">
        <v>104.58</v>
      </c>
      <c r="AY13" s="49"/>
      <c r="AZ13" s="49"/>
      <c r="BA13" s="49"/>
      <c r="BB13" s="49"/>
      <c r="BC13" s="49">
        <v>1254.96</v>
      </c>
    </row>
    <row r="14" spans="1:55">
      <c r="A14" s="75" t="s">
        <v>184</v>
      </c>
      <c r="B14" s="49"/>
      <c r="C14" s="49">
        <v>718.12</v>
      </c>
      <c r="D14" s="49"/>
      <c r="E14" s="49"/>
      <c r="F14" s="49"/>
      <c r="G14" s="49"/>
      <c r="H14" s="49">
        <v>718.12</v>
      </c>
      <c r="I14" s="49"/>
      <c r="J14" s="49"/>
      <c r="K14" s="49"/>
      <c r="L14" s="49">
        <v>718.12</v>
      </c>
      <c r="M14" s="49"/>
      <c r="N14" s="49"/>
      <c r="O14" s="49"/>
      <c r="P14" s="49">
        <v>718.12</v>
      </c>
      <c r="Q14" s="49"/>
      <c r="R14" s="49"/>
      <c r="S14" s="49"/>
      <c r="T14" s="49">
        <v>718.12</v>
      </c>
      <c r="U14" s="49"/>
      <c r="V14" s="49"/>
      <c r="W14" s="49"/>
      <c r="X14" s="49"/>
      <c r="Y14" s="49">
        <v>718.12</v>
      </c>
      <c r="Z14" s="49"/>
      <c r="AA14" s="49"/>
      <c r="AB14" s="49"/>
      <c r="AC14" s="49">
        <v>718.12</v>
      </c>
      <c r="AD14" s="49"/>
      <c r="AE14" s="49"/>
      <c r="AF14" s="49"/>
      <c r="AG14" s="49"/>
      <c r="AH14" s="49">
        <v>718.12</v>
      </c>
      <c r="AI14" s="49"/>
      <c r="AJ14" s="49"/>
      <c r="AK14" s="49"/>
      <c r="AL14" s="49">
        <v>718.12</v>
      </c>
      <c r="AM14" s="49"/>
      <c r="AN14" s="49"/>
      <c r="AO14" s="49"/>
      <c r="AP14" s="49">
        <v>718.12</v>
      </c>
      <c r="AQ14" s="49"/>
      <c r="AR14" s="49"/>
      <c r="AS14" s="49"/>
      <c r="AT14" s="49"/>
      <c r="AU14" s="49">
        <v>718.12</v>
      </c>
      <c r="AV14" s="49"/>
      <c r="AW14" s="49"/>
      <c r="AX14" s="49"/>
      <c r="AY14" s="49">
        <v>718.12</v>
      </c>
      <c r="AZ14" s="49"/>
      <c r="BA14" s="49"/>
      <c r="BB14" s="49"/>
      <c r="BC14" s="49">
        <v>8617.44</v>
      </c>
    </row>
    <row r="15" spans="1:55">
      <c r="A15" s="75" t="s">
        <v>284</v>
      </c>
      <c r="B15" s="49"/>
      <c r="C15" s="49"/>
      <c r="D15" s="49"/>
      <c r="E15" s="49">
        <v>1171.94</v>
      </c>
      <c r="F15" s="49"/>
      <c r="G15" s="49"/>
      <c r="H15" s="49"/>
      <c r="I15" s="49"/>
      <c r="J15" s="49">
        <v>1171.94</v>
      </c>
      <c r="K15" s="49"/>
      <c r="L15" s="49"/>
      <c r="M15" s="49"/>
      <c r="N15" s="49">
        <v>1171.94</v>
      </c>
      <c r="O15" s="49"/>
      <c r="P15" s="49"/>
      <c r="Q15" s="49"/>
      <c r="R15" s="49">
        <v>1171.94</v>
      </c>
      <c r="S15" s="49"/>
      <c r="T15" s="49"/>
      <c r="U15" s="49"/>
      <c r="V15" s="49"/>
      <c r="W15" s="49">
        <v>1171.94</v>
      </c>
      <c r="X15" s="49"/>
      <c r="Y15" s="49"/>
      <c r="Z15" s="49"/>
      <c r="AA15" s="49">
        <v>1171.94</v>
      </c>
      <c r="AB15" s="49"/>
      <c r="AC15" s="49"/>
      <c r="AD15" s="49"/>
      <c r="AE15" s="49">
        <v>1171.94</v>
      </c>
      <c r="AF15" s="49"/>
      <c r="AG15" s="49"/>
      <c r="AH15" s="49"/>
      <c r="AI15" s="49"/>
      <c r="AJ15" s="49">
        <v>1171.94</v>
      </c>
      <c r="AK15" s="49"/>
      <c r="AL15" s="49"/>
      <c r="AM15" s="49"/>
      <c r="AN15" s="49">
        <v>1171.94</v>
      </c>
      <c r="AO15" s="49"/>
      <c r="AP15" s="49"/>
      <c r="AQ15" s="49"/>
      <c r="AR15" s="49">
        <v>1171.94</v>
      </c>
      <c r="AS15" s="49"/>
      <c r="AT15" s="49"/>
      <c r="AU15" s="49"/>
      <c r="AV15" s="49"/>
      <c r="AW15" s="49">
        <v>1171.94</v>
      </c>
      <c r="AX15" s="49"/>
      <c r="AY15" s="49"/>
      <c r="AZ15" s="49"/>
      <c r="BA15" s="49">
        <v>1171.94</v>
      </c>
      <c r="BB15" s="49"/>
      <c r="BC15" s="49">
        <v>14063.280000000004</v>
      </c>
    </row>
    <row r="16" spans="1:55">
      <c r="A16" s="75" t="s">
        <v>312</v>
      </c>
      <c r="B16" s="49"/>
      <c r="C16" s="49"/>
      <c r="D16" s="49"/>
      <c r="E16" s="49">
        <v>2000</v>
      </c>
      <c r="F16" s="49"/>
      <c r="G16" s="49"/>
      <c r="H16" s="49"/>
      <c r="I16" s="49"/>
      <c r="J16" s="49">
        <v>2000</v>
      </c>
      <c r="K16" s="49"/>
      <c r="L16" s="49"/>
      <c r="M16" s="49"/>
      <c r="N16" s="49">
        <v>2000</v>
      </c>
      <c r="O16" s="49"/>
      <c r="P16" s="49"/>
      <c r="Q16" s="49"/>
      <c r="R16" s="49">
        <v>2000</v>
      </c>
      <c r="S16" s="49"/>
      <c r="T16" s="49"/>
      <c r="U16" s="49"/>
      <c r="V16" s="49"/>
      <c r="W16" s="49">
        <v>2000</v>
      </c>
      <c r="X16" s="49"/>
      <c r="Y16" s="49"/>
      <c r="Z16" s="49"/>
      <c r="AA16" s="49">
        <v>2000</v>
      </c>
      <c r="AB16" s="49"/>
      <c r="AC16" s="49"/>
      <c r="AD16" s="49"/>
      <c r="AE16" s="49">
        <v>2000</v>
      </c>
      <c r="AF16" s="49"/>
      <c r="AG16" s="49"/>
      <c r="AH16" s="49"/>
      <c r="AI16" s="49"/>
      <c r="AJ16" s="49">
        <v>2000</v>
      </c>
      <c r="AK16" s="49"/>
      <c r="AL16" s="49"/>
      <c r="AM16" s="49"/>
      <c r="AN16" s="49">
        <v>2000</v>
      </c>
      <c r="AO16" s="49"/>
      <c r="AP16" s="49"/>
      <c r="AQ16" s="49"/>
      <c r="AR16" s="49">
        <v>2000</v>
      </c>
      <c r="AS16" s="49"/>
      <c r="AT16" s="49"/>
      <c r="AU16" s="49"/>
      <c r="AV16" s="49"/>
      <c r="AW16" s="49">
        <v>2000</v>
      </c>
      <c r="AX16" s="49"/>
      <c r="AY16" s="49"/>
      <c r="AZ16" s="49"/>
      <c r="BA16" s="49">
        <v>2000</v>
      </c>
      <c r="BB16" s="49"/>
      <c r="BC16" s="49">
        <v>24000</v>
      </c>
    </row>
    <row r="17" spans="1:55">
      <c r="A17" s="75" t="s">
        <v>354</v>
      </c>
      <c r="B17" s="49">
        <v>1000</v>
      </c>
      <c r="C17" s="49"/>
      <c r="D17" s="49"/>
      <c r="E17" s="49"/>
      <c r="F17" s="49">
        <v>1000</v>
      </c>
      <c r="G17" s="49"/>
      <c r="H17" s="49"/>
      <c r="I17" s="49"/>
      <c r="J17" s="49">
        <v>1000</v>
      </c>
      <c r="K17" s="49"/>
      <c r="L17" s="49"/>
      <c r="M17" s="49"/>
      <c r="N17" s="49">
        <v>1000</v>
      </c>
      <c r="O17" s="49"/>
      <c r="P17" s="49"/>
      <c r="Q17" s="49"/>
      <c r="R17" s="49"/>
      <c r="S17" s="49">
        <v>1000</v>
      </c>
      <c r="T17" s="49"/>
      <c r="U17" s="49"/>
      <c r="V17" s="49"/>
      <c r="W17" s="49">
        <v>1000</v>
      </c>
      <c r="X17" s="49"/>
      <c r="Y17" s="49"/>
      <c r="Z17" s="49"/>
      <c r="AA17" s="49">
        <v>1000</v>
      </c>
      <c r="AB17" s="49"/>
      <c r="AC17" s="49"/>
      <c r="AD17" s="49"/>
      <c r="AE17" s="49"/>
      <c r="AF17" s="49">
        <v>1000</v>
      </c>
      <c r="AG17" s="49"/>
      <c r="AH17" s="49"/>
      <c r="AI17" s="49"/>
      <c r="AJ17" s="49">
        <v>1000</v>
      </c>
      <c r="AK17" s="49"/>
      <c r="AL17" s="49"/>
      <c r="AM17" s="49"/>
      <c r="AN17" s="49"/>
      <c r="AO17" s="49">
        <v>1000</v>
      </c>
      <c r="AP17" s="49"/>
      <c r="AQ17" s="49"/>
      <c r="AR17" s="49"/>
      <c r="AS17" s="49">
        <v>1000</v>
      </c>
      <c r="AT17" s="49"/>
      <c r="AU17" s="49"/>
      <c r="AV17" s="49"/>
      <c r="AW17" s="49">
        <v>1000</v>
      </c>
      <c r="AX17" s="49"/>
      <c r="AY17" s="49"/>
      <c r="AZ17" s="49"/>
      <c r="BA17" s="49"/>
      <c r="BB17" s="49"/>
      <c r="BC17" s="49">
        <v>12000</v>
      </c>
    </row>
    <row r="18" spans="1:55">
      <c r="A18" s="53" t="s">
        <v>267</v>
      </c>
      <c r="B18" s="49">
        <v>180</v>
      </c>
      <c r="C18" s="49"/>
      <c r="D18" s="49">
        <v>5958.51</v>
      </c>
      <c r="E18" s="49">
        <v>2000</v>
      </c>
      <c r="F18" s="49">
        <v>180</v>
      </c>
      <c r="G18" s="49"/>
      <c r="H18" s="49"/>
      <c r="I18" s="49">
        <v>1789.51</v>
      </c>
      <c r="J18" s="49">
        <v>2180</v>
      </c>
      <c r="K18" s="49"/>
      <c r="L18" s="49"/>
      <c r="M18" s="49">
        <v>1789.51</v>
      </c>
      <c r="N18" s="49">
        <v>2180</v>
      </c>
      <c r="O18" s="49">
        <v>542.19000000000005</v>
      </c>
      <c r="P18" s="49"/>
      <c r="Q18" s="49">
        <v>5958.51</v>
      </c>
      <c r="R18" s="49">
        <v>2180</v>
      </c>
      <c r="S18" s="49">
        <v>542.19000000000005</v>
      </c>
      <c r="T18" s="49"/>
      <c r="U18" s="49"/>
      <c r="V18" s="49">
        <v>3789.51</v>
      </c>
      <c r="W18" s="49">
        <v>722.19</v>
      </c>
      <c r="X18" s="49"/>
      <c r="Y18" s="49"/>
      <c r="Z18" s="49">
        <v>1789.51</v>
      </c>
      <c r="AA18" s="49">
        <v>2180</v>
      </c>
      <c r="AB18" s="49">
        <v>542.19000000000005</v>
      </c>
      <c r="AC18" s="49"/>
      <c r="AD18" s="49">
        <v>5958.51</v>
      </c>
      <c r="AE18" s="49">
        <v>2000</v>
      </c>
      <c r="AF18" s="49">
        <v>722.19</v>
      </c>
      <c r="AG18" s="49"/>
      <c r="AH18" s="49"/>
      <c r="AI18" s="49">
        <v>1789.51</v>
      </c>
      <c r="AJ18" s="49">
        <v>2722.19</v>
      </c>
      <c r="AK18" s="49"/>
      <c r="AL18" s="49"/>
      <c r="AM18" s="49">
        <v>1789.51</v>
      </c>
      <c r="AN18" s="49">
        <v>2180</v>
      </c>
      <c r="AO18" s="49">
        <v>542.19000000000005</v>
      </c>
      <c r="AP18" s="49"/>
      <c r="AQ18" s="49">
        <v>5958.51</v>
      </c>
      <c r="AR18" s="49">
        <v>2000</v>
      </c>
      <c r="AS18" s="49">
        <v>722.19</v>
      </c>
      <c r="AT18" s="49"/>
      <c r="AU18" s="49"/>
      <c r="AV18" s="49">
        <v>1789.51</v>
      </c>
      <c r="AW18" s="49">
        <v>2722.19</v>
      </c>
      <c r="AX18" s="49"/>
      <c r="AY18" s="49"/>
      <c r="AZ18" s="49">
        <v>1789.51</v>
      </c>
      <c r="BA18" s="49">
        <v>2000</v>
      </c>
      <c r="BB18" s="49"/>
      <c r="BC18" s="49">
        <v>69189.83</v>
      </c>
    </row>
    <row r="19" spans="1:55">
      <c r="A19" s="75" t="s">
        <v>96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>
        <v>542.19000000000005</v>
      </c>
      <c r="P19" s="49"/>
      <c r="Q19" s="49"/>
      <c r="R19" s="49"/>
      <c r="S19" s="49">
        <v>542.19000000000005</v>
      </c>
      <c r="T19" s="49"/>
      <c r="U19" s="49"/>
      <c r="V19" s="49"/>
      <c r="W19" s="49">
        <v>542.19000000000005</v>
      </c>
      <c r="X19" s="49"/>
      <c r="Y19" s="49"/>
      <c r="Z19" s="49"/>
      <c r="AA19" s="49"/>
      <c r="AB19" s="49">
        <v>542.19000000000005</v>
      </c>
      <c r="AC19" s="49"/>
      <c r="AD19" s="49"/>
      <c r="AE19" s="49"/>
      <c r="AF19" s="49">
        <v>542.19000000000005</v>
      </c>
      <c r="AG19" s="49"/>
      <c r="AH19" s="49"/>
      <c r="AI19" s="49"/>
      <c r="AJ19" s="49">
        <v>542.19000000000005</v>
      </c>
      <c r="AK19" s="49"/>
      <c r="AL19" s="49"/>
      <c r="AM19" s="49"/>
      <c r="AN19" s="49"/>
      <c r="AO19" s="49">
        <v>542.19000000000005</v>
      </c>
      <c r="AP19" s="49"/>
      <c r="AQ19" s="49"/>
      <c r="AR19" s="49"/>
      <c r="AS19" s="49">
        <v>542.19000000000005</v>
      </c>
      <c r="AT19" s="49"/>
      <c r="AU19" s="49"/>
      <c r="AV19" s="49"/>
      <c r="AW19" s="49">
        <v>542.19000000000005</v>
      </c>
      <c r="AX19" s="49"/>
      <c r="AY19" s="49"/>
      <c r="AZ19" s="49"/>
      <c r="BA19" s="49"/>
      <c r="BB19" s="49"/>
      <c r="BC19" s="49">
        <v>4879.7100000000009</v>
      </c>
    </row>
    <row r="20" spans="1:55">
      <c r="A20" s="75" t="s">
        <v>228</v>
      </c>
      <c r="B20" s="49"/>
      <c r="C20" s="49"/>
      <c r="D20" s="49">
        <v>5958.51</v>
      </c>
      <c r="E20" s="49"/>
      <c r="F20" s="49"/>
      <c r="G20" s="49"/>
      <c r="H20" s="49"/>
      <c r="I20" s="49">
        <v>1789.51</v>
      </c>
      <c r="J20" s="49"/>
      <c r="K20" s="49"/>
      <c r="L20" s="49"/>
      <c r="M20" s="49">
        <v>1789.51</v>
      </c>
      <c r="N20" s="49"/>
      <c r="O20" s="49"/>
      <c r="P20" s="49"/>
      <c r="Q20" s="49">
        <v>5958.51</v>
      </c>
      <c r="R20" s="49"/>
      <c r="S20" s="49"/>
      <c r="T20" s="49"/>
      <c r="U20" s="49"/>
      <c r="V20" s="49">
        <v>1789.51</v>
      </c>
      <c r="W20" s="49"/>
      <c r="X20" s="49"/>
      <c r="Y20" s="49"/>
      <c r="Z20" s="49">
        <v>1789.51</v>
      </c>
      <c r="AA20" s="49"/>
      <c r="AB20" s="49"/>
      <c r="AC20" s="49"/>
      <c r="AD20" s="49">
        <v>5958.51</v>
      </c>
      <c r="AE20" s="49"/>
      <c r="AF20" s="49"/>
      <c r="AG20" s="49"/>
      <c r="AH20" s="49"/>
      <c r="AI20" s="49">
        <v>1789.51</v>
      </c>
      <c r="AJ20" s="49"/>
      <c r="AK20" s="49"/>
      <c r="AL20" s="49"/>
      <c r="AM20" s="49">
        <v>1789.51</v>
      </c>
      <c r="AN20" s="49"/>
      <c r="AO20" s="49"/>
      <c r="AP20" s="49"/>
      <c r="AQ20" s="49">
        <v>5958.51</v>
      </c>
      <c r="AR20" s="49"/>
      <c r="AS20" s="49"/>
      <c r="AT20" s="49"/>
      <c r="AU20" s="49"/>
      <c r="AV20" s="49">
        <v>1789.51</v>
      </c>
      <c r="AW20" s="49"/>
      <c r="AX20" s="49"/>
      <c r="AY20" s="49"/>
      <c r="AZ20" s="49">
        <v>1789.51</v>
      </c>
      <c r="BA20" s="49"/>
      <c r="BB20" s="49"/>
      <c r="BC20" s="49">
        <v>38150.120000000003</v>
      </c>
    </row>
    <row r="21" spans="1:55">
      <c r="A21" s="75" t="s">
        <v>253</v>
      </c>
      <c r="B21" s="49"/>
      <c r="C21" s="49"/>
      <c r="D21" s="49"/>
      <c r="E21" s="49">
        <v>2000</v>
      </c>
      <c r="F21" s="49"/>
      <c r="G21" s="49"/>
      <c r="H21" s="49"/>
      <c r="I21" s="49"/>
      <c r="J21" s="49">
        <v>2000</v>
      </c>
      <c r="K21" s="49"/>
      <c r="L21" s="49"/>
      <c r="M21" s="49"/>
      <c r="N21" s="49">
        <v>2000</v>
      </c>
      <c r="O21" s="49"/>
      <c r="P21" s="49"/>
      <c r="Q21" s="49"/>
      <c r="R21" s="49">
        <v>2000</v>
      </c>
      <c r="S21" s="49"/>
      <c r="T21" s="49"/>
      <c r="U21" s="49"/>
      <c r="V21" s="49">
        <v>2000</v>
      </c>
      <c r="W21" s="49"/>
      <c r="X21" s="49"/>
      <c r="Y21" s="49"/>
      <c r="Z21" s="49"/>
      <c r="AA21" s="49">
        <v>2000</v>
      </c>
      <c r="AB21" s="49"/>
      <c r="AC21" s="49"/>
      <c r="AD21" s="49"/>
      <c r="AE21" s="49">
        <v>2000</v>
      </c>
      <c r="AF21" s="49"/>
      <c r="AG21" s="49"/>
      <c r="AH21" s="49"/>
      <c r="AI21" s="49"/>
      <c r="AJ21" s="49">
        <v>2000</v>
      </c>
      <c r="AK21" s="49"/>
      <c r="AL21" s="49"/>
      <c r="AM21" s="49"/>
      <c r="AN21" s="49">
        <v>2000</v>
      </c>
      <c r="AO21" s="49"/>
      <c r="AP21" s="49"/>
      <c r="AQ21" s="49"/>
      <c r="AR21" s="49">
        <v>2000</v>
      </c>
      <c r="AS21" s="49"/>
      <c r="AT21" s="49"/>
      <c r="AU21" s="49"/>
      <c r="AV21" s="49"/>
      <c r="AW21" s="49">
        <v>2000</v>
      </c>
      <c r="AX21" s="49"/>
      <c r="AY21" s="49"/>
      <c r="AZ21" s="49"/>
      <c r="BA21" s="49">
        <v>2000</v>
      </c>
      <c r="BB21" s="49"/>
      <c r="BC21" s="49">
        <v>24000</v>
      </c>
    </row>
    <row r="22" spans="1:55">
      <c r="A22" s="75" t="s">
        <v>327</v>
      </c>
      <c r="B22" s="49">
        <v>180</v>
      </c>
      <c r="C22" s="49"/>
      <c r="D22" s="49"/>
      <c r="E22" s="49"/>
      <c r="F22" s="49">
        <v>180</v>
      </c>
      <c r="G22" s="49"/>
      <c r="H22" s="49"/>
      <c r="I22" s="49"/>
      <c r="J22" s="49">
        <v>180</v>
      </c>
      <c r="K22" s="49"/>
      <c r="L22" s="49"/>
      <c r="M22" s="49"/>
      <c r="N22" s="49">
        <v>180</v>
      </c>
      <c r="O22" s="49"/>
      <c r="P22" s="49"/>
      <c r="Q22" s="49"/>
      <c r="R22" s="49">
        <v>180</v>
      </c>
      <c r="S22" s="49"/>
      <c r="T22" s="49"/>
      <c r="U22" s="49"/>
      <c r="V22" s="49"/>
      <c r="W22" s="49">
        <v>180</v>
      </c>
      <c r="X22" s="49"/>
      <c r="Y22" s="49"/>
      <c r="Z22" s="49"/>
      <c r="AA22" s="49">
        <v>180</v>
      </c>
      <c r="AB22" s="49"/>
      <c r="AC22" s="49"/>
      <c r="AD22" s="49"/>
      <c r="AE22" s="49"/>
      <c r="AF22" s="49">
        <v>180</v>
      </c>
      <c r="AG22" s="49"/>
      <c r="AH22" s="49"/>
      <c r="AI22" s="49"/>
      <c r="AJ22" s="49">
        <v>180</v>
      </c>
      <c r="AK22" s="49"/>
      <c r="AL22" s="49"/>
      <c r="AM22" s="49"/>
      <c r="AN22" s="49">
        <v>180</v>
      </c>
      <c r="AO22" s="49"/>
      <c r="AP22" s="49"/>
      <c r="AQ22" s="49"/>
      <c r="AR22" s="49"/>
      <c r="AS22" s="49">
        <v>180</v>
      </c>
      <c r="AT22" s="49"/>
      <c r="AU22" s="49"/>
      <c r="AV22" s="49"/>
      <c r="AW22" s="49">
        <v>180</v>
      </c>
      <c r="AX22" s="49"/>
      <c r="AY22" s="49"/>
      <c r="AZ22" s="49"/>
      <c r="BA22" s="49"/>
      <c r="BB22" s="49"/>
      <c r="BC22" s="49">
        <v>2160</v>
      </c>
    </row>
    <row r="23" spans="1:55">
      <c r="A23" s="53" t="s">
        <v>38</v>
      </c>
      <c r="B23" s="49">
        <v>1651.6499999999999</v>
      </c>
      <c r="C23" s="49">
        <v>1588.2300000000002</v>
      </c>
      <c r="D23" s="49">
        <v>1377.38</v>
      </c>
      <c r="E23" s="49">
        <v>733.5</v>
      </c>
      <c r="F23" s="49">
        <v>2228.64</v>
      </c>
      <c r="G23" s="49">
        <v>619.8900000000001</v>
      </c>
      <c r="H23" s="49">
        <v>3077.8100000000004</v>
      </c>
      <c r="I23" s="49">
        <v>0</v>
      </c>
      <c r="J23" s="49">
        <v>1573.14</v>
      </c>
      <c r="K23" s="49">
        <v>609.30999999999995</v>
      </c>
      <c r="L23" s="49">
        <v>1540.91</v>
      </c>
      <c r="M23" s="49">
        <v>1379.74</v>
      </c>
      <c r="N23" s="49">
        <v>977.04</v>
      </c>
      <c r="O23" s="49">
        <v>648.98</v>
      </c>
      <c r="P23" s="49">
        <v>1570.9</v>
      </c>
      <c r="Q23" s="49">
        <v>1350</v>
      </c>
      <c r="R23" s="49">
        <v>977.04</v>
      </c>
      <c r="S23" s="49">
        <v>337.97</v>
      </c>
      <c r="T23" s="49">
        <v>1841.91</v>
      </c>
      <c r="U23" s="49">
        <v>1390</v>
      </c>
      <c r="V23" s="49">
        <v>66.739999999999995</v>
      </c>
      <c r="W23" s="49">
        <v>1024.94</v>
      </c>
      <c r="X23" s="49">
        <v>631.07000000000005</v>
      </c>
      <c r="Y23" s="49">
        <v>1540.91</v>
      </c>
      <c r="Z23" s="49">
        <v>1350</v>
      </c>
      <c r="AA23" s="49">
        <v>977.04</v>
      </c>
      <c r="AB23" s="49">
        <v>648.98</v>
      </c>
      <c r="AC23" s="49">
        <v>1570.9</v>
      </c>
      <c r="AD23" s="49">
        <v>1416.74</v>
      </c>
      <c r="AE23" s="49">
        <v>733.5</v>
      </c>
      <c r="AF23" s="49">
        <v>291.44</v>
      </c>
      <c r="AG23" s="49">
        <v>631.07000000000005</v>
      </c>
      <c r="AH23" s="49">
        <v>2890.91</v>
      </c>
      <c r="AI23" s="49">
        <v>0</v>
      </c>
      <c r="AJ23" s="49">
        <v>1024.94</v>
      </c>
      <c r="AK23" s="49">
        <v>601.08000000000004</v>
      </c>
      <c r="AL23" s="49">
        <v>1570.9</v>
      </c>
      <c r="AM23" s="49">
        <v>1416.74</v>
      </c>
      <c r="AN23" s="49">
        <v>977.04</v>
      </c>
      <c r="AO23" s="49">
        <v>499.03000000000003</v>
      </c>
      <c r="AP23" s="49">
        <v>1626.8500000000001</v>
      </c>
      <c r="AQ23" s="49">
        <v>1390</v>
      </c>
      <c r="AR23" s="49">
        <v>733.5</v>
      </c>
      <c r="AS23" s="49">
        <v>291.44</v>
      </c>
      <c r="AT23" s="49">
        <v>577.07000000000005</v>
      </c>
      <c r="AU23" s="49">
        <v>1540.91</v>
      </c>
      <c r="AV23" s="49">
        <v>1416.74</v>
      </c>
      <c r="AW23" s="49">
        <v>1024.94</v>
      </c>
      <c r="AX23" s="49">
        <v>547.08000000000004</v>
      </c>
      <c r="AY23" s="49">
        <v>1570.9</v>
      </c>
      <c r="AZ23" s="49">
        <v>1350</v>
      </c>
      <c r="BA23" s="49">
        <v>733.5</v>
      </c>
      <c r="BB23" s="49"/>
      <c r="BC23" s="49">
        <v>58140.94</v>
      </c>
    </row>
    <row r="24" spans="1:55">
      <c r="A24" s="75" t="s">
        <v>52</v>
      </c>
      <c r="B24" s="49">
        <v>243.54</v>
      </c>
      <c r="C24" s="49"/>
      <c r="D24" s="49"/>
      <c r="E24" s="49"/>
      <c r="F24" s="49">
        <v>243.54</v>
      </c>
      <c r="G24" s="49"/>
      <c r="H24" s="49"/>
      <c r="I24" s="49"/>
      <c r="J24" s="49">
        <v>243.54</v>
      </c>
      <c r="K24" s="49"/>
      <c r="L24" s="49"/>
      <c r="M24" s="49"/>
      <c r="N24" s="49">
        <v>243.54</v>
      </c>
      <c r="O24" s="49"/>
      <c r="P24" s="49"/>
      <c r="Q24" s="49"/>
      <c r="R24" s="49">
        <v>243.54</v>
      </c>
      <c r="S24" s="49"/>
      <c r="T24" s="49"/>
      <c r="U24" s="49"/>
      <c r="V24" s="49"/>
      <c r="W24" s="49">
        <v>243.54</v>
      </c>
      <c r="X24" s="49"/>
      <c r="Y24" s="49"/>
      <c r="Z24" s="49"/>
      <c r="AA24" s="49">
        <v>243.54</v>
      </c>
      <c r="AB24" s="49"/>
      <c r="AC24" s="49"/>
      <c r="AD24" s="49"/>
      <c r="AE24" s="49"/>
      <c r="AF24" s="49">
        <v>243.54</v>
      </c>
      <c r="AG24" s="49"/>
      <c r="AH24" s="49"/>
      <c r="AI24" s="49"/>
      <c r="AJ24" s="49">
        <v>243.54</v>
      </c>
      <c r="AK24" s="49"/>
      <c r="AL24" s="49"/>
      <c r="AM24" s="49"/>
      <c r="AN24" s="49">
        <v>243.54</v>
      </c>
      <c r="AO24" s="49"/>
      <c r="AP24" s="49"/>
      <c r="AQ24" s="49"/>
      <c r="AR24" s="49"/>
      <c r="AS24" s="49">
        <v>243.54</v>
      </c>
      <c r="AT24" s="49"/>
      <c r="AU24" s="49"/>
      <c r="AV24" s="49"/>
      <c r="AW24" s="49">
        <v>243.54</v>
      </c>
      <c r="AX24" s="49"/>
      <c r="AY24" s="49"/>
      <c r="AZ24" s="49"/>
      <c r="BA24" s="49"/>
      <c r="BB24" s="49"/>
      <c r="BC24" s="49">
        <v>2922.48</v>
      </c>
    </row>
    <row r="25" spans="1:55">
      <c r="A25" s="75" t="s">
        <v>96</v>
      </c>
      <c r="B25" s="49">
        <v>548.20000000000005</v>
      </c>
      <c r="C25" s="49"/>
      <c r="D25" s="49"/>
      <c r="E25" s="49"/>
      <c r="F25" s="49">
        <v>548.20000000000005</v>
      </c>
      <c r="G25" s="49"/>
      <c r="H25" s="49"/>
      <c r="I25" s="49"/>
      <c r="J25" s="49">
        <v>548.20000000000005</v>
      </c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>
        <v>1644.6000000000001</v>
      </c>
    </row>
    <row r="26" spans="1:55">
      <c r="A26" s="75" t="s">
        <v>67</v>
      </c>
      <c r="B26" s="49">
        <v>47.9</v>
      </c>
      <c r="C26" s="49"/>
      <c r="D26" s="49"/>
      <c r="E26" s="49"/>
      <c r="F26" s="49">
        <v>47.9</v>
      </c>
      <c r="G26" s="49"/>
      <c r="H26" s="49"/>
      <c r="I26" s="49"/>
      <c r="J26" s="49">
        <v>47.9</v>
      </c>
      <c r="K26" s="49"/>
      <c r="L26" s="49"/>
      <c r="M26" s="49"/>
      <c r="N26" s="49"/>
      <c r="O26" s="49">
        <v>47.9</v>
      </c>
      <c r="P26" s="49"/>
      <c r="Q26" s="49"/>
      <c r="R26" s="49"/>
      <c r="S26" s="49">
        <v>47.9</v>
      </c>
      <c r="T26" s="49"/>
      <c r="U26" s="49"/>
      <c r="V26" s="49"/>
      <c r="W26" s="49">
        <v>47.9</v>
      </c>
      <c r="X26" s="49"/>
      <c r="Y26" s="49"/>
      <c r="Z26" s="49"/>
      <c r="AA26" s="49"/>
      <c r="AB26" s="49">
        <v>47.9</v>
      </c>
      <c r="AC26" s="49"/>
      <c r="AD26" s="49"/>
      <c r="AE26" s="49"/>
      <c r="AF26" s="49">
        <v>47.9</v>
      </c>
      <c r="AG26" s="49"/>
      <c r="AH26" s="49"/>
      <c r="AI26" s="49"/>
      <c r="AJ26" s="49">
        <v>47.9</v>
      </c>
      <c r="AK26" s="49"/>
      <c r="AL26" s="49"/>
      <c r="AM26" s="49"/>
      <c r="AN26" s="49"/>
      <c r="AO26" s="49">
        <v>47.9</v>
      </c>
      <c r="AP26" s="49"/>
      <c r="AQ26" s="49"/>
      <c r="AR26" s="49"/>
      <c r="AS26" s="49">
        <v>47.9</v>
      </c>
      <c r="AT26" s="49"/>
      <c r="AU26" s="49"/>
      <c r="AV26" s="49"/>
      <c r="AW26" s="49">
        <v>47.9</v>
      </c>
      <c r="AX26" s="49"/>
      <c r="AY26" s="49"/>
      <c r="AZ26" s="49"/>
      <c r="BA26" s="49"/>
      <c r="BB26" s="49"/>
      <c r="BC26" s="49">
        <v>574.79999999999984</v>
      </c>
    </row>
    <row r="27" spans="1:55">
      <c r="A27" s="75" t="s">
        <v>93</v>
      </c>
      <c r="B27" s="49"/>
      <c r="C27" s="49"/>
      <c r="D27" s="49"/>
      <c r="E27" s="49"/>
      <c r="F27" s="49">
        <v>1389</v>
      </c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>
        <v>1389</v>
      </c>
    </row>
    <row r="28" spans="1:55">
      <c r="A28" s="75" t="s">
        <v>95</v>
      </c>
      <c r="B28" s="49">
        <v>103.09</v>
      </c>
      <c r="C28" s="49"/>
      <c r="D28" s="49"/>
      <c r="E28" s="49"/>
      <c r="F28" s="49"/>
      <c r="G28" s="49">
        <v>103.09</v>
      </c>
      <c r="H28" s="49"/>
      <c r="I28" s="49"/>
      <c r="J28" s="49"/>
      <c r="K28" s="49">
        <v>103.09</v>
      </c>
      <c r="L28" s="49"/>
      <c r="M28" s="49"/>
      <c r="N28" s="49"/>
      <c r="O28" s="49">
        <v>103.09</v>
      </c>
      <c r="P28" s="49"/>
      <c r="Q28" s="49"/>
      <c r="R28" s="49"/>
      <c r="S28" s="49">
        <v>103.09</v>
      </c>
      <c r="T28" s="49"/>
      <c r="U28" s="49"/>
      <c r="V28" s="49"/>
      <c r="W28" s="49"/>
      <c r="X28" s="49">
        <v>103.09</v>
      </c>
      <c r="Y28" s="49"/>
      <c r="Z28" s="49"/>
      <c r="AA28" s="49"/>
      <c r="AB28" s="49">
        <v>103.09</v>
      </c>
      <c r="AC28" s="49"/>
      <c r="AD28" s="49"/>
      <c r="AE28" s="49"/>
      <c r="AF28" s="49"/>
      <c r="AG28" s="49">
        <v>103.09</v>
      </c>
      <c r="AH28" s="49"/>
      <c r="AI28" s="49"/>
      <c r="AJ28" s="49"/>
      <c r="AK28" s="49">
        <v>103.09</v>
      </c>
      <c r="AL28" s="49"/>
      <c r="AM28" s="49"/>
      <c r="AN28" s="49"/>
      <c r="AO28" s="49">
        <v>103.09</v>
      </c>
      <c r="AP28" s="49"/>
      <c r="AQ28" s="49"/>
      <c r="AR28" s="49"/>
      <c r="AS28" s="49"/>
      <c r="AT28" s="49">
        <v>103.09</v>
      </c>
      <c r="AU28" s="49"/>
      <c r="AV28" s="49"/>
      <c r="AW28" s="49"/>
      <c r="AX28" s="49">
        <v>103.09</v>
      </c>
      <c r="AY28" s="49"/>
      <c r="AZ28" s="49"/>
      <c r="BA28" s="49"/>
      <c r="BB28" s="49"/>
      <c r="BC28" s="49">
        <v>1237.08</v>
      </c>
    </row>
    <row r="29" spans="1:55">
      <c r="A29" s="75" t="s">
        <v>110</v>
      </c>
      <c r="B29" s="49">
        <v>164.1</v>
      </c>
      <c r="C29" s="49"/>
      <c r="D29" s="49"/>
      <c r="E29" s="49"/>
      <c r="F29" s="49"/>
      <c r="G29" s="49">
        <v>118.81</v>
      </c>
      <c r="H29" s="49"/>
      <c r="I29" s="49"/>
      <c r="J29" s="49"/>
      <c r="K29" s="49">
        <v>101.38</v>
      </c>
      <c r="L29" s="49"/>
      <c r="M29" s="49"/>
      <c r="N29" s="49"/>
      <c r="O29" s="49">
        <v>132.97999999999999</v>
      </c>
      <c r="P29" s="49"/>
      <c r="Q29" s="49"/>
      <c r="R29" s="49"/>
      <c r="S29" s="49">
        <v>132.97999999999999</v>
      </c>
      <c r="T29" s="49"/>
      <c r="U29" s="49"/>
      <c r="V29" s="49"/>
      <c r="W29" s="49"/>
      <c r="X29" s="49">
        <v>132.97999999999999</v>
      </c>
      <c r="Y29" s="49"/>
      <c r="Z29" s="49"/>
      <c r="AA29" s="49"/>
      <c r="AB29" s="49">
        <v>132.97999999999999</v>
      </c>
      <c r="AC29" s="49"/>
      <c r="AD29" s="49"/>
      <c r="AE29" s="49"/>
      <c r="AF29" s="49"/>
      <c r="AG29" s="49">
        <v>132.97999999999999</v>
      </c>
      <c r="AH29" s="49"/>
      <c r="AI29" s="49"/>
      <c r="AJ29" s="49"/>
      <c r="AK29" s="49">
        <v>132.97999999999999</v>
      </c>
      <c r="AL29" s="49"/>
      <c r="AM29" s="49"/>
      <c r="AN29" s="49"/>
      <c r="AO29" s="49">
        <v>132.97999999999999</v>
      </c>
      <c r="AP29" s="49"/>
      <c r="AQ29" s="49"/>
      <c r="AR29" s="49"/>
      <c r="AS29" s="49"/>
      <c r="AT29" s="49">
        <v>132.97999999999999</v>
      </c>
      <c r="AU29" s="49"/>
      <c r="AV29" s="49"/>
      <c r="AW29" s="49"/>
      <c r="AX29" s="49">
        <v>132.97999999999999</v>
      </c>
      <c r="AY29" s="49"/>
      <c r="AZ29" s="49"/>
      <c r="BA29" s="49"/>
      <c r="BB29" s="49"/>
      <c r="BC29" s="49">
        <v>1581.1100000000001</v>
      </c>
    </row>
    <row r="30" spans="1:55">
      <c r="A30" s="75" t="s">
        <v>164</v>
      </c>
      <c r="B30" s="49">
        <v>202.84</v>
      </c>
      <c r="C30" s="49"/>
      <c r="D30" s="49"/>
      <c r="E30" s="49"/>
      <c r="F30" s="49"/>
      <c r="G30" s="49">
        <v>215.06</v>
      </c>
      <c r="H30" s="49"/>
      <c r="I30" s="49"/>
      <c r="J30" s="49"/>
      <c r="K30" s="49">
        <v>216.56</v>
      </c>
      <c r="L30" s="49"/>
      <c r="M30" s="49"/>
      <c r="N30" s="49"/>
      <c r="O30" s="49">
        <v>215.06</v>
      </c>
      <c r="P30" s="49"/>
      <c r="Q30" s="49"/>
      <c r="R30" s="49"/>
      <c r="S30" s="49"/>
      <c r="T30" s="49">
        <v>215.06</v>
      </c>
      <c r="U30" s="49"/>
      <c r="V30" s="49"/>
      <c r="W30" s="49"/>
      <c r="X30" s="49">
        <v>215.06</v>
      </c>
      <c r="Y30" s="49"/>
      <c r="Z30" s="49"/>
      <c r="AA30" s="49"/>
      <c r="AB30" s="49">
        <v>215.06</v>
      </c>
      <c r="AC30" s="49"/>
      <c r="AD30" s="49"/>
      <c r="AE30" s="49"/>
      <c r="AF30" s="49"/>
      <c r="AG30" s="49">
        <v>215.06</v>
      </c>
      <c r="AH30" s="49"/>
      <c r="AI30" s="49"/>
      <c r="AJ30" s="49"/>
      <c r="AK30" s="49">
        <v>215.06</v>
      </c>
      <c r="AL30" s="49"/>
      <c r="AM30" s="49"/>
      <c r="AN30" s="49"/>
      <c r="AO30" s="49">
        <v>215.06</v>
      </c>
      <c r="AP30" s="49"/>
      <c r="AQ30" s="49"/>
      <c r="AR30" s="49"/>
      <c r="AS30" s="49"/>
      <c r="AT30" s="49">
        <v>215.06</v>
      </c>
      <c r="AU30" s="49"/>
      <c r="AV30" s="49"/>
      <c r="AW30" s="49"/>
      <c r="AX30" s="49">
        <v>215.06</v>
      </c>
      <c r="AY30" s="49"/>
      <c r="AZ30" s="49"/>
      <c r="BA30" s="49"/>
      <c r="BB30" s="49"/>
      <c r="BC30" s="49">
        <v>2569.9999999999995</v>
      </c>
    </row>
    <row r="31" spans="1:55">
      <c r="A31" s="75" t="s">
        <v>165</v>
      </c>
      <c r="B31" s="49"/>
      <c r="C31" s="49">
        <v>33.42</v>
      </c>
      <c r="D31" s="49"/>
      <c r="E31" s="49"/>
      <c r="F31" s="49"/>
      <c r="G31" s="49">
        <v>32.979999999999997</v>
      </c>
      <c r="H31" s="49"/>
      <c r="I31" s="49"/>
      <c r="J31" s="49"/>
      <c r="K31" s="49">
        <v>38.33</v>
      </c>
      <c r="L31" s="49"/>
      <c r="M31" s="49"/>
      <c r="N31" s="49"/>
      <c r="O31" s="49"/>
      <c r="P31" s="49">
        <v>29.99</v>
      </c>
      <c r="Q31" s="49"/>
      <c r="R31" s="49"/>
      <c r="S31" s="49"/>
      <c r="T31" s="49">
        <v>29.99</v>
      </c>
      <c r="U31" s="49"/>
      <c r="V31" s="49"/>
      <c r="W31" s="49"/>
      <c r="X31" s="49">
        <v>29.99</v>
      </c>
      <c r="Y31" s="49"/>
      <c r="Z31" s="49"/>
      <c r="AA31" s="49"/>
      <c r="AB31" s="49"/>
      <c r="AC31" s="49">
        <v>29.99</v>
      </c>
      <c r="AD31" s="49"/>
      <c r="AE31" s="49"/>
      <c r="AF31" s="49"/>
      <c r="AG31" s="49">
        <v>29.99</v>
      </c>
      <c r="AH31" s="49"/>
      <c r="AI31" s="49"/>
      <c r="AJ31" s="49"/>
      <c r="AK31" s="49"/>
      <c r="AL31" s="49">
        <v>29.99</v>
      </c>
      <c r="AM31" s="49"/>
      <c r="AN31" s="49"/>
      <c r="AO31" s="49"/>
      <c r="AP31" s="49">
        <v>29.99</v>
      </c>
      <c r="AQ31" s="49"/>
      <c r="AR31" s="49"/>
      <c r="AS31" s="49"/>
      <c r="AT31" s="49">
        <v>29.99</v>
      </c>
      <c r="AU31" s="49"/>
      <c r="AV31" s="49"/>
      <c r="AW31" s="49"/>
      <c r="AX31" s="49"/>
      <c r="AY31" s="49">
        <v>29.99</v>
      </c>
      <c r="AZ31" s="49"/>
      <c r="BA31" s="49"/>
      <c r="BB31" s="49"/>
      <c r="BC31" s="49">
        <v>374.64000000000004</v>
      </c>
    </row>
    <row r="32" spans="1:55">
      <c r="A32" s="75" t="s">
        <v>179</v>
      </c>
      <c r="B32" s="49">
        <v>95.95</v>
      </c>
      <c r="C32" s="49"/>
      <c r="D32" s="49"/>
      <c r="E32" s="49"/>
      <c r="F32" s="49"/>
      <c r="G32" s="49">
        <v>95.95</v>
      </c>
      <c r="H32" s="49"/>
      <c r="I32" s="49"/>
      <c r="J32" s="49"/>
      <c r="K32" s="49">
        <v>95.95</v>
      </c>
      <c r="L32" s="49"/>
      <c r="M32" s="49"/>
      <c r="N32" s="49"/>
      <c r="O32" s="49">
        <v>95.95</v>
      </c>
      <c r="P32" s="49"/>
      <c r="Q32" s="49"/>
      <c r="R32" s="49"/>
      <c r="S32" s="49"/>
      <c r="T32" s="49">
        <v>95.95</v>
      </c>
      <c r="U32" s="49"/>
      <c r="V32" s="49"/>
      <c r="W32" s="49"/>
      <c r="X32" s="49">
        <v>95.95</v>
      </c>
      <c r="Y32" s="49"/>
      <c r="Z32" s="49"/>
      <c r="AA32" s="49"/>
      <c r="AB32" s="49">
        <v>95.95</v>
      </c>
      <c r="AC32" s="49"/>
      <c r="AD32" s="49"/>
      <c r="AE32" s="49"/>
      <c r="AF32" s="49"/>
      <c r="AG32" s="49">
        <v>95.95</v>
      </c>
      <c r="AH32" s="49"/>
      <c r="AI32" s="49"/>
      <c r="AJ32" s="49"/>
      <c r="AK32" s="49">
        <v>95.95</v>
      </c>
      <c r="AL32" s="49"/>
      <c r="AM32" s="49"/>
      <c r="AN32" s="49"/>
      <c r="AO32" s="49"/>
      <c r="AP32" s="49">
        <v>95.95</v>
      </c>
      <c r="AQ32" s="49"/>
      <c r="AR32" s="49"/>
      <c r="AS32" s="49"/>
      <c r="AT32" s="49">
        <v>95.95</v>
      </c>
      <c r="AU32" s="49"/>
      <c r="AV32" s="49"/>
      <c r="AW32" s="49"/>
      <c r="AX32" s="49">
        <v>95.95</v>
      </c>
      <c r="AY32" s="49"/>
      <c r="AZ32" s="49"/>
      <c r="BA32" s="49"/>
      <c r="BB32" s="49"/>
      <c r="BC32" s="49">
        <v>1151.4000000000003</v>
      </c>
    </row>
    <row r="33" spans="1:55">
      <c r="A33" s="75" t="s">
        <v>180</v>
      </c>
      <c r="B33" s="49">
        <v>192.03</v>
      </c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>
        <v>192.03</v>
      </c>
    </row>
    <row r="34" spans="1:55">
      <c r="A34" s="75" t="s">
        <v>182</v>
      </c>
      <c r="B34" s="49"/>
      <c r="C34" s="49">
        <v>1500.91</v>
      </c>
      <c r="D34" s="49"/>
      <c r="E34" s="49"/>
      <c r="F34" s="49"/>
      <c r="G34" s="49"/>
      <c r="H34" s="49">
        <v>1500.91</v>
      </c>
      <c r="I34" s="49"/>
      <c r="J34" s="49"/>
      <c r="K34" s="49"/>
      <c r="L34" s="49">
        <v>1500.91</v>
      </c>
      <c r="M34" s="49"/>
      <c r="N34" s="49"/>
      <c r="O34" s="49"/>
      <c r="P34" s="49">
        <v>1500.91</v>
      </c>
      <c r="Q34" s="49"/>
      <c r="R34" s="49"/>
      <c r="S34" s="49"/>
      <c r="T34" s="49">
        <v>1500.91</v>
      </c>
      <c r="U34" s="49"/>
      <c r="V34" s="49"/>
      <c r="W34" s="49"/>
      <c r="X34" s="49"/>
      <c r="Y34" s="49">
        <v>1500.91</v>
      </c>
      <c r="Z34" s="49"/>
      <c r="AA34" s="49"/>
      <c r="AB34" s="49"/>
      <c r="AC34" s="49">
        <v>1500.91</v>
      </c>
      <c r="AD34" s="49"/>
      <c r="AE34" s="49"/>
      <c r="AF34" s="49"/>
      <c r="AG34" s="49"/>
      <c r="AH34" s="49">
        <v>1500.91</v>
      </c>
      <c r="AI34" s="49"/>
      <c r="AJ34" s="49"/>
      <c r="AK34" s="49"/>
      <c r="AL34" s="49">
        <v>1500.91</v>
      </c>
      <c r="AM34" s="49"/>
      <c r="AN34" s="49"/>
      <c r="AO34" s="49"/>
      <c r="AP34" s="49">
        <v>1500.91</v>
      </c>
      <c r="AQ34" s="49"/>
      <c r="AR34" s="49"/>
      <c r="AS34" s="49"/>
      <c r="AT34" s="49"/>
      <c r="AU34" s="49">
        <v>1500.91</v>
      </c>
      <c r="AV34" s="49"/>
      <c r="AW34" s="49"/>
      <c r="AX34" s="49"/>
      <c r="AY34" s="49">
        <v>1500.91</v>
      </c>
      <c r="AZ34" s="49"/>
      <c r="BA34" s="49"/>
      <c r="BB34" s="49"/>
      <c r="BC34" s="49">
        <v>18010.920000000002</v>
      </c>
    </row>
    <row r="35" spans="1:55">
      <c r="A35" s="75" t="s">
        <v>198</v>
      </c>
      <c r="B35" s="49"/>
      <c r="C35" s="49">
        <v>53.9</v>
      </c>
      <c r="D35" s="49"/>
      <c r="E35" s="49"/>
      <c r="F35" s="49"/>
      <c r="G35" s="49"/>
      <c r="H35" s="49">
        <v>78.900000000000006</v>
      </c>
      <c r="I35" s="49"/>
      <c r="J35" s="49"/>
      <c r="K35" s="49"/>
      <c r="L35" s="49">
        <v>40</v>
      </c>
      <c r="M35" s="49"/>
      <c r="N35" s="49"/>
      <c r="O35" s="49"/>
      <c r="P35" s="49">
        <v>40</v>
      </c>
      <c r="Q35" s="49"/>
      <c r="R35" s="49"/>
      <c r="S35" s="49"/>
      <c r="T35" s="49"/>
      <c r="U35" s="49">
        <v>40</v>
      </c>
      <c r="V35" s="49"/>
      <c r="W35" s="49"/>
      <c r="X35" s="49"/>
      <c r="Y35" s="49">
        <v>40</v>
      </c>
      <c r="Z35" s="49"/>
      <c r="AA35" s="49"/>
      <c r="AB35" s="49"/>
      <c r="AC35" s="49">
        <v>40</v>
      </c>
      <c r="AD35" s="49"/>
      <c r="AE35" s="49"/>
      <c r="AF35" s="49"/>
      <c r="AG35" s="49"/>
      <c r="AH35" s="49">
        <v>40</v>
      </c>
      <c r="AI35" s="49"/>
      <c r="AJ35" s="49"/>
      <c r="AK35" s="49"/>
      <c r="AL35" s="49">
        <v>40</v>
      </c>
      <c r="AM35" s="49"/>
      <c r="AN35" s="49"/>
      <c r="AO35" s="49"/>
      <c r="AP35" s="49"/>
      <c r="AQ35" s="49">
        <v>40</v>
      </c>
      <c r="AR35" s="49"/>
      <c r="AS35" s="49"/>
      <c r="AT35" s="49"/>
      <c r="AU35" s="49">
        <v>40</v>
      </c>
      <c r="AV35" s="49"/>
      <c r="AW35" s="49"/>
      <c r="AX35" s="49"/>
      <c r="AY35" s="49">
        <v>40</v>
      </c>
      <c r="AZ35" s="49"/>
      <c r="BA35" s="49"/>
      <c r="BB35" s="49"/>
      <c r="BC35" s="49">
        <v>532.79999999999995</v>
      </c>
    </row>
    <row r="36" spans="1:55">
      <c r="A36" s="75" t="s">
        <v>212</v>
      </c>
      <c r="B36" s="49"/>
      <c r="C36" s="49"/>
      <c r="D36" s="49">
        <v>1313</v>
      </c>
      <c r="E36" s="49"/>
      <c r="F36" s="49"/>
      <c r="G36" s="49"/>
      <c r="H36" s="49">
        <v>1498</v>
      </c>
      <c r="I36" s="49"/>
      <c r="J36" s="49"/>
      <c r="K36" s="49"/>
      <c r="L36" s="49"/>
      <c r="M36" s="49">
        <v>1313</v>
      </c>
      <c r="N36" s="49"/>
      <c r="O36" s="49"/>
      <c r="P36" s="49"/>
      <c r="Q36" s="49">
        <v>1350</v>
      </c>
      <c r="R36" s="49"/>
      <c r="S36" s="49"/>
      <c r="T36" s="49"/>
      <c r="U36" s="49">
        <v>1350</v>
      </c>
      <c r="V36" s="49"/>
      <c r="W36" s="49"/>
      <c r="X36" s="49"/>
      <c r="Y36" s="49"/>
      <c r="Z36" s="49">
        <v>1350</v>
      </c>
      <c r="AA36" s="49"/>
      <c r="AB36" s="49"/>
      <c r="AC36" s="49"/>
      <c r="AD36" s="49">
        <v>1350</v>
      </c>
      <c r="AE36" s="49"/>
      <c r="AF36" s="49"/>
      <c r="AG36" s="49"/>
      <c r="AH36" s="49">
        <v>1350</v>
      </c>
      <c r="AI36" s="49"/>
      <c r="AJ36" s="49"/>
      <c r="AK36" s="49"/>
      <c r="AL36" s="49"/>
      <c r="AM36" s="49">
        <v>1350</v>
      </c>
      <c r="AN36" s="49"/>
      <c r="AO36" s="49"/>
      <c r="AP36" s="49"/>
      <c r="AQ36" s="49">
        <v>1350</v>
      </c>
      <c r="AR36" s="49"/>
      <c r="AS36" s="49"/>
      <c r="AT36" s="49"/>
      <c r="AU36" s="49"/>
      <c r="AV36" s="49">
        <v>1350</v>
      </c>
      <c r="AW36" s="49"/>
      <c r="AX36" s="49"/>
      <c r="AY36" s="49"/>
      <c r="AZ36" s="49">
        <v>1350</v>
      </c>
      <c r="BA36" s="49"/>
      <c r="BB36" s="49"/>
      <c r="BC36" s="49">
        <v>16274</v>
      </c>
    </row>
    <row r="37" spans="1:55">
      <c r="A37" s="75" t="s">
        <v>226</v>
      </c>
      <c r="B37" s="49"/>
      <c r="C37" s="49"/>
      <c r="D37" s="49">
        <v>64.38</v>
      </c>
      <c r="E37" s="49"/>
      <c r="F37" s="49"/>
      <c r="G37" s="49"/>
      <c r="H37" s="49"/>
      <c r="I37" s="49">
        <v>0</v>
      </c>
      <c r="J37" s="49"/>
      <c r="K37" s="49"/>
      <c r="L37" s="49"/>
      <c r="M37" s="49">
        <v>66.739999999999995</v>
      </c>
      <c r="N37" s="49"/>
      <c r="O37" s="49"/>
      <c r="P37" s="49"/>
      <c r="Q37" s="49">
        <v>0</v>
      </c>
      <c r="R37" s="49"/>
      <c r="S37" s="49"/>
      <c r="T37" s="49"/>
      <c r="U37" s="49"/>
      <c r="V37" s="49">
        <v>66.739999999999995</v>
      </c>
      <c r="W37" s="49"/>
      <c r="X37" s="49"/>
      <c r="Y37" s="49"/>
      <c r="Z37" s="49">
        <v>0</v>
      </c>
      <c r="AA37" s="49"/>
      <c r="AB37" s="49"/>
      <c r="AC37" s="49"/>
      <c r="AD37" s="49">
        <v>66.739999999999995</v>
      </c>
      <c r="AE37" s="49"/>
      <c r="AF37" s="49"/>
      <c r="AG37" s="49"/>
      <c r="AH37" s="49"/>
      <c r="AI37" s="49">
        <v>0</v>
      </c>
      <c r="AJ37" s="49"/>
      <c r="AK37" s="49"/>
      <c r="AL37" s="49"/>
      <c r="AM37" s="49">
        <v>66.739999999999995</v>
      </c>
      <c r="AN37" s="49"/>
      <c r="AO37" s="49"/>
      <c r="AP37" s="49"/>
      <c r="AQ37" s="49">
        <v>0</v>
      </c>
      <c r="AR37" s="49"/>
      <c r="AS37" s="49"/>
      <c r="AT37" s="49"/>
      <c r="AU37" s="49"/>
      <c r="AV37" s="49">
        <v>66.739999999999995</v>
      </c>
      <c r="AW37" s="49"/>
      <c r="AX37" s="49"/>
      <c r="AY37" s="49"/>
      <c r="AZ37" s="49">
        <v>0</v>
      </c>
      <c r="BA37" s="49"/>
      <c r="BB37" s="49"/>
      <c r="BC37" s="49">
        <v>398.08000000000004</v>
      </c>
    </row>
    <row r="38" spans="1:55">
      <c r="A38" s="75" t="s">
        <v>268</v>
      </c>
      <c r="B38" s="49"/>
      <c r="C38" s="49"/>
      <c r="D38" s="49"/>
      <c r="E38" s="49">
        <v>716.51</v>
      </c>
      <c r="F38" s="49"/>
      <c r="G38" s="49"/>
      <c r="H38" s="49"/>
      <c r="I38" s="49"/>
      <c r="J38" s="49">
        <v>716.51</v>
      </c>
      <c r="K38" s="49"/>
      <c r="L38" s="49"/>
      <c r="M38" s="49"/>
      <c r="N38" s="49">
        <v>716.51</v>
      </c>
      <c r="O38" s="49"/>
      <c r="P38" s="49"/>
      <c r="Q38" s="49"/>
      <c r="R38" s="49">
        <v>716.51</v>
      </c>
      <c r="S38" s="49"/>
      <c r="T38" s="49"/>
      <c r="U38" s="49"/>
      <c r="V38" s="49"/>
      <c r="W38" s="49">
        <v>716.51</v>
      </c>
      <c r="X38" s="49"/>
      <c r="Y38" s="49"/>
      <c r="Z38" s="49"/>
      <c r="AA38" s="49">
        <v>716.51</v>
      </c>
      <c r="AB38" s="49"/>
      <c r="AC38" s="49"/>
      <c r="AD38" s="49"/>
      <c r="AE38" s="49">
        <v>716.51</v>
      </c>
      <c r="AF38" s="49"/>
      <c r="AG38" s="49"/>
      <c r="AH38" s="49"/>
      <c r="AI38" s="49"/>
      <c r="AJ38" s="49">
        <v>716.51</v>
      </c>
      <c r="AK38" s="49"/>
      <c r="AL38" s="49"/>
      <c r="AM38" s="49"/>
      <c r="AN38" s="49">
        <v>716.51</v>
      </c>
      <c r="AO38" s="49"/>
      <c r="AP38" s="49"/>
      <c r="AQ38" s="49"/>
      <c r="AR38" s="49">
        <v>716.51</v>
      </c>
      <c r="AS38" s="49"/>
      <c r="AT38" s="49"/>
      <c r="AU38" s="49"/>
      <c r="AV38" s="49"/>
      <c r="AW38" s="49">
        <v>716.51</v>
      </c>
      <c r="AX38" s="49"/>
      <c r="AY38" s="49"/>
      <c r="AZ38" s="49"/>
      <c r="BA38" s="49">
        <v>716.51</v>
      </c>
      <c r="BB38" s="49"/>
      <c r="BC38" s="49">
        <v>8598.1200000000008</v>
      </c>
    </row>
    <row r="39" spans="1:55">
      <c r="A39" s="75" t="s">
        <v>326</v>
      </c>
      <c r="B39" s="49"/>
      <c r="C39" s="49"/>
      <c r="D39" s="49"/>
      <c r="E39" s="49">
        <v>16.989999999999998</v>
      </c>
      <c r="F39" s="49"/>
      <c r="G39" s="49"/>
      <c r="H39" s="49"/>
      <c r="I39" s="49"/>
      <c r="J39" s="49">
        <v>16.989999999999998</v>
      </c>
      <c r="K39" s="49"/>
      <c r="L39" s="49"/>
      <c r="M39" s="49"/>
      <c r="N39" s="49">
        <v>16.989999999999998</v>
      </c>
      <c r="O39" s="49"/>
      <c r="P39" s="49"/>
      <c r="Q39" s="49"/>
      <c r="R39" s="49">
        <v>16.989999999999998</v>
      </c>
      <c r="S39" s="49"/>
      <c r="T39" s="49"/>
      <c r="U39" s="49"/>
      <c r="V39" s="49"/>
      <c r="W39" s="49">
        <v>16.989999999999998</v>
      </c>
      <c r="X39" s="49"/>
      <c r="Y39" s="49"/>
      <c r="Z39" s="49"/>
      <c r="AA39" s="49">
        <v>16.989999999999998</v>
      </c>
      <c r="AB39" s="49"/>
      <c r="AC39" s="49"/>
      <c r="AD39" s="49"/>
      <c r="AE39" s="49">
        <v>16.989999999999998</v>
      </c>
      <c r="AF39" s="49"/>
      <c r="AG39" s="49"/>
      <c r="AH39" s="49"/>
      <c r="AI39" s="49"/>
      <c r="AJ39" s="49">
        <v>16.989999999999998</v>
      </c>
      <c r="AK39" s="49"/>
      <c r="AL39" s="49"/>
      <c r="AM39" s="49"/>
      <c r="AN39" s="49">
        <v>16.989999999999998</v>
      </c>
      <c r="AO39" s="49"/>
      <c r="AP39" s="49"/>
      <c r="AQ39" s="49"/>
      <c r="AR39" s="49">
        <v>16.989999999999998</v>
      </c>
      <c r="AS39" s="49"/>
      <c r="AT39" s="49"/>
      <c r="AU39" s="49"/>
      <c r="AV39" s="49"/>
      <c r="AW39" s="49">
        <v>16.989999999999998</v>
      </c>
      <c r="AX39" s="49"/>
      <c r="AY39" s="49"/>
      <c r="AZ39" s="49"/>
      <c r="BA39" s="49">
        <v>16.989999999999998</v>
      </c>
      <c r="BB39" s="49"/>
      <c r="BC39" s="49">
        <v>203.88000000000002</v>
      </c>
    </row>
    <row r="40" spans="1:55">
      <c r="A40" s="75" t="s">
        <v>357</v>
      </c>
      <c r="B40" s="49">
        <v>54</v>
      </c>
      <c r="C40" s="49"/>
      <c r="D40" s="49"/>
      <c r="E40" s="49"/>
      <c r="F40" s="49"/>
      <c r="G40" s="49">
        <v>54</v>
      </c>
      <c r="H40" s="49"/>
      <c r="I40" s="49"/>
      <c r="J40" s="49"/>
      <c r="K40" s="49">
        <v>54</v>
      </c>
      <c r="L40" s="49"/>
      <c r="M40" s="49"/>
      <c r="N40" s="49"/>
      <c r="O40" s="49">
        <v>54</v>
      </c>
      <c r="P40" s="49"/>
      <c r="Q40" s="49"/>
      <c r="R40" s="49"/>
      <c r="S40" s="49">
        <v>54</v>
      </c>
      <c r="T40" s="49"/>
      <c r="U40" s="49"/>
      <c r="V40" s="49"/>
      <c r="W40" s="49"/>
      <c r="X40" s="49">
        <v>54</v>
      </c>
      <c r="Y40" s="49"/>
      <c r="Z40" s="49"/>
      <c r="AA40" s="49"/>
      <c r="AB40" s="49">
        <v>54</v>
      </c>
      <c r="AC40" s="49"/>
      <c r="AD40" s="49"/>
      <c r="AE40" s="49"/>
      <c r="AF40" s="49"/>
      <c r="AG40" s="49">
        <v>54</v>
      </c>
      <c r="AH40" s="49"/>
      <c r="AI40" s="49"/>
      <c r="AJ40" s="49"/>
      <c r="AK40" s="49">
        <v>54</v>
      </c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>
        <v>486</v>
      </c>
    </row>
    <row r="41" spans="1:55">
      <c r="A41" s="53" t="s">
        <v>356</v>
      </c>
      <c r="B41" s="49">
        <v>69.040000000000006</v>
      </c>
      <c r="C41" s="49"/>
      <c r="D41" s="49"/>
      <c r="E41" s="49">
        <v>1921.84</v>
      </c>
      <c r="F41" s="49"/>
      <c r="G41" s="49">
        <v>69.040000000000006</v>
      </c>
      <c r="H41" s="49"/>
      <c r="I41" s="49"/>
      <c r="J41" s="49">
        <v>1921.84</v>
      </c>
      <c r="K41" s="49">
        <v>69.040000000000006</v>
      </c>
      <c r="L41" s="49"/>
      <c r="M41" s="49"/>
      <c r="N41" s="49">
        <v>1921.84</v>
      </c>
      <c r="O41" s="49">
        <v>69.040000000000006</v>
      </c>
      <c r="P41" s="49"/>
      <c r="Q41" s="49"/>
      <c r="R41" s="49">
        <v>1921.84</v>
      </c>
      <c r="S41" s="49">
        <v>69.040000000000006</v>
      </c>
      <c r="T41" s="49"/>
      <c r="U41" s="49"/>
      <c r="V41" s="49"/>
      <c r="W41" s="49">
        <v>1921.84</v>
      </c>
      <c r="X41" s="49">
        <v>69.040000000000006</v>
      </c>
      <c r="Y41" s="49"/>
      <c r="Z41" s="49"/>
      <c r="AA41" s="49">
        <v>1921.84</v>
      </c>
      <c r="AB41" s="49">
        <v>69.040000000000006</v>
      </c>
      <c r="AC41" s="49"/>
      <c r="AD41" s="49"/>
      <c r="AE41" s="49">
        <v>1921.84</v>
      </c>
      <c r="AF41" s="49"/>
      <c r="AG41" s="49">
        <v>69.040000000000006</v>
      </c>
      <c r="AH41" s="49"/>
      <c r="AI41" s="49"/>
      <c r="AJ41" s="49">
        <v>1921.84</v>
      </c>
      <c r="AK41" s="49">
        <v>69.040000000000006</v>
      </c>
      <c r="AL41" s="49"/>
      <c r="AM41" s="49"/>
      <c r="AN41" s="49">
        <v>1921.84</v>
      </c>
      <c r="AO41" s="49">
        <v>69.040000000000006</v>
      </c>
      <c r="AP41" s="49"/>
      <c r="AQ41" s="49"/>
      <c r="AR41" s="49">
        <v>1921.84</v>
      </c>
      <c r="AS41" s="49"/>
      <c r="AT41" s="49">
        <v>69.040000000000006</v>
      </c>
      <c r="AU41" s="49"/>
      <c r="AV41" s="49"/>
      <c r="AW41" s="49">
        <v>1921.84</v>
      </c>
      <c r="AX41" s="49">
        <v>69.040000000000006</v>
      </c>
      <c r="AY41" s="49"/>
      <c r="AZ41" s="49"/>
      <c r="BA41" s="49">
        <v>1921.84</v>
      </c>
      <c r="BB41" s="49"/>
      <c r="BC41" s="49">
        <v>23890.559999999998</v>
      </c>
    </row>
    <row r="42" spans="1:55">
      <c r="A42" s="75" t="s">
        <v>283</v>
      </c>
      <c r="B42" s="49"/>
      <c r="C42" s="49"/>
      <c r="D42" s="49"/>
      <c r="E42" s="49">
        <v>1921.84</v>
      </c>
      <c r="F42" s="49"/>
      <c r="G42" s="49"/>
      <c r="H42" s="49"/>
      <c r="I42" s="49"/>
      <c r="J42" s="49">
        <v>1921.84</v>
      </c>
      <c r="K42" s="49"/>
      <c r="L42" s="49"/>
      <c r="M42" s="49"/>
      <c r="N42" s="49">
        <v>1921.84</v>
      </c>
      <c r="O42" s="49"/>
      <c r="P42" s="49"/>
      <c r="Q42" s="49"/>
      <c r="R42" s="49">
        <v>1921.84</v>
      </c>
      <c r="S42" s="49"/>
      <c r="T42" s="49"/>
      <c r="U42" s="49"/>
      <c r="V42" s="49"/>
      <c r="W42" s="49">
        <v>1921.84</v>
      </c>
      <c r="X42" s="49"/>
      <c r="Y42" s="49"/>
      <c r="Z42" s="49"/>
      <c r="AA42" s="49">
        <v>1921.84</v>
      </c>
      <c r="AB42" s="49"/>
      <c r="AC42" s="49"/>
      <c r="AD42" s="49"/>
      <c r="AE42" s="49">
        <v>1921.84</v>
      </c>
      <c r="AF42" s="49"/>
      <c r="AG42" s="49"/>
      <c r="AH42" s="49"/>
      <c r="AI42" s="49"/>
      <c r="AJ42" s="49">
        <v>1921.84</v>
      </c>
      <c r="AK42" s="49"/>
      <c r="AL42" s="49"/>
      <c r="AM42" s="49"/>
      <c r="AN42" s="49">
        <v>1921.84</v>
      </c>
      <c r="AO42" s="49"/>
      <c r="AP42" s="49"/>
      <c r="AQ42" s="49"/>
      <c r="AR42" s="49">
        <v>1921.84</v>
      </c>
      <c r="AS42" s="49"/>
      <c r="AT42" s="49"/>
      <c r="AU42" s="49"/>
      <c r="AV42" s="49"/>
      <c r="AW42" s="49">
        <v>1921.84</v>
      </c>
      <c r="AX42" s="49"/>
      <c r="AY42" s="49"/>
      <c r="AZ42" s="49"/>
      <c r="BA42" s="49">
        <v>1921.84</v>
      </c>
      <c r="BB42" s="49"/>
      <c r="BC42" s="49">
        <v>23062.079999999998</v>
      </c>
    </row>
    <row r="43" spans="1:55">
      <c r="A43" s="75" t="s">
        <v>355</v>
      </c>
      <c r="B43" s="49">
        <v>69.040000000000006</v>
      </c>
      <c r="C43" s="49"/>
      <c r="D43" s="49"/>
      <c r="E43" s="49"/>
      <c r="F43" s="49"/>
      <c r="G43" s="49">
        <v>69.040000000000006</v>
      </c>
      <c r="H43" s="49"/>
      <c r="I43" s="49"/>
      <c r="J43" s="49"/>
      <c r="K43" s="49">
        <v>69.040000000000006</v>
      </c>
      <c r="L43" s="49"/>
      <c r="M43" s="49"/>
      <c r="N43" s="49"/>
      <c r="O43" s="49">
        <v>69.040000000000006</v>
      </c>
      <c r="P43" s="49"/>
      <c r="Q43" s="49"/>
      <c r="R43" s="49"/>
      <c r="S43" s="49">
        <v>69.040000000000006</v>
      </c>
      <c r="T43" s="49"/>
      <c r="U43" s="49"/>
      <c r="V43" s="49"/>
      <c r="W43" s="49"/>
      <c r="X43" s="49">
        <v>69.040000000000006</v>
      </c>
      <c r="Y43" s="49"/>
      <c r="Z43" s="49"/>
      <c r="AA43" s="49"/>
      <c r="AB43" s="49">
        <v>69.040000000000006</v>
      </c>
      <c r="AC43" s="49"/>
      <c r="AD43" s="49"/>
      <c r="AE43" s="49"/>
      <c r="AF43" s="49"/>
      <c r="AG43" s="49">
        <v>69.040000000000006</v>
      </c>
      <c r="AH43" s="49"/>
      <c r="AI43" s="49"/>
      <c r="AJ43" s="49"/>
      <c r="AK43" s="49">
        <v>69.040000000000006</v>
      </c>
      <c r="AL43" s="49"/>
      <c r="AM43" s="49"/>
      <c r="AN43" s="49"/>
      <c r="AO43" s="49">
        <v>69.040000000000006</v>
      </c>
      <c r="AP43" s="49"/>
      <c r="AQ43" s="49"/>
      <c r="AR43" s="49"/>
      <c r="AS43" s="49"/>
      <c r="AT43" s="49">
        <v>69.040000000000006</v>
      </c>
      <c r="AU43" s="49"/>
      <c r="AV43" s="49"/>
      <c r="AW43" s="49"/>
      <c r="AX43" s="49">
        <v>69.040000000000006</v>
      </c>
      <c r="AY43" s="49"/>
      <c r="AZ43" s="49"/>
      <c r="BA43" s="49"/>
      <c r="BB43" s="49"/>
      <c r="BC43" s="49">
        <v>828.4799999999999</v>
      </c>
    </row>
    <row r="44" spans="1:55">
      <c r="A44" s="53" t="s">
        <v>13</v>
      </c>
      <c r="B44" s="49"/>
      <c r="C44" s="49"/>
      <c r="D44" s="49"/>
      <c r="E44" s="49"/>
      <c r="F44" s="49"/>
      <c r="G44" s="49">
        <v>0</v>
      </c>
      <c r="H44" s="49"/>
      <c r="I44" s="49"/>
      <c r="J44" s="49"/>
      <c r="K44" s="49">
        <v>0</v>
      </c>
      <c r="L44" s="49"/>
      <c r="M44" s="49"/>
      <c r="N44" s="49"/>
      <c r="O44" s="49">
        <v>0</v>
      </c>
      <c r="P44" s="49"/>
      <c r="Q44" s="49"/>
      <c r="R44" s="49"/>
      <c r="S44" s="49">
        <v>1389</v>
      </c>
      <c r="T44" s="49">
        <v>0</v>
      </c>
      <c r="U44" s="49"/>
      <c r="V44" s="49"/>
      <c r="W44" s="49"/>
      <c r="X44" s="49">
        <v>0</v>
      </c>
      <c r="Y44" s="49"/>
      <c r="Z44" s="49"/>
      <c r="AA44" s="49"/>
      <c r="AB44" s="49">
        <v>0</v>
      </c>
      <c r="AC44" s="49"/>
      <c r="AD44" s="49"/>
      <c r="AE44" s="49"/>
      <c r="AF44" s="49">
        <v>1389</v>
      </c>
      <c r="AG44" s="49">
        <v>0</v>
      </c>
      <c r="AH44" s="49"/>
      <c r="AI44" s="49"/>
      <c r="AJ44" s="49"/>
      <c r="AK44" s="49">
        <v>0</v>
      </c>
      <c r="AL44" s="49"/>
      <c r="AM44" s="49"/>
      <c r="AN44" s="49"/>
      <c r="AO44" s="49"/>
      <c r="AP44" s="49">
        <v>0</v>
      </c>
      <c r="AQ44" s="49"/>
      <c r="AR44" s="49"/>
      <c r="AS44" s="49">
        <v>1389</v>
      </c>
      <c r="AT44" s="49">
        <v>0</v>
      </c>
      <c r="AU44" s="49"/>
      <c r="AV44" s="49"/>
      <c r="AW44" s="49"/>
      <c r="AX44" s="49">
        <v>0</v>
      </c>
      <c r="AY44" s="49"/>
      <c r="AZ44" s="49"/>
      <c r="BA44" s="49"/>
      <c r="BB44" s="49"/>
      <c r="BC44" s="49">
        <v>4167</v>
      </c>
    </row>
    <row r="45" spans="1:55">
      <c r="A45" s="53" t="s">
        <v>10</v>
      </c>
      <c r="B45" s="49">
        <v>3155.27</v>
      </c>
      <c r="C45" s="49">
        <v>2306.35</v>
      </c>
      <c r="D45" s="49">
        <v>7335.89</v>
      </c>
      <c r="E45" s="49">
        <v>7827.2800000000007</v>
      </c>
      <c r="F45" s="49">
        <v>3558.64</v>
      </c>
      <c r="G45" s="49">
        <v>793.51</v>
      </c>
      <c r="H45" s="49">
        <v>3795.9300000000003</v>
      </c>
      <c r="I45" s="49">
        <v>1789.51</v>
      </c>
      <c r="J45" s="49">
        <v>9996.92</v>
      </c>
      <c r="K45" s="49">
        <v>782.93000000000006</v>
      </c>
      <c r="L45" s="49">
        <v>2259.0300000000002</v>
      </c>
      <c r="M45" s="49">
        <v>3169.25</v>
      </c>
      <c r="N45" s="49">
        <v>9250.82</v>
      </c>
      <c r="O45" s="49">
        <v>1514.79</v>
      </c>
      <c r="P45" s="49">
        <v>2289.02</v>
      </c>
      <c r="Q45" s="49">
        <v>7308.51</v>
      </c>
      <c r="R45" s="49">
        <v>8250.82</v>
      </c>
      <c r="S45" s="49">
        <v>3488.2000000000003</v>
      </c>
      <c r="T45" s="49">
        <v>2664.61</v>
      </c>
      <c r="U45" s="49">
        <v>1390</v>
      </c>
      <c r="V45" s="49">
        <v>3856.25</v>
      </c>
      <c r="W45" s="49">
        <v>7990.9100000000008</v>
      </c>
      <c r="X45" s="49">
        <v>804.69</v>
      </c>
      <c r="Y45" s="49">
        <v>2259.0300000000002</v>
      </c>
      <c r="Z45" s="49">
        <v>3139.51</v>
      </c>
      <c r="AA45" s="49">
        <v>9250.82</v>
      </c>
      <c r="AB45" s="49">
        <v>1514.79</v>
      </c>
      <c r="AC45" s="49">
        <v>2289.02</v>
      </c>
      <c r="AD45" s="49">
        <v>7375.25</v>
      </c>
      <c r="AE45" s="49">
        <v>7827.2800000000007</v>
      </c>
      <c r="AF45" s="49">
        <v>3552.63</v>
      </c>
      <c r="AG45" s="49">
        <v>804.69</v>
      </c>
      <c r="AH45" s="49">
        <v>3609.03</v>
      </c>
      <c r="AI45" s="49">
        <v>1789.51</v>
      </c>
      <c r="AJ45" s="49">
        <v>9990.91</v>
      </c>
      <c r="AK45" s="49">
        <v>774.7</v>
      </c>
      <c r="AL45" s="49">
        <v>2289.02</v>
      </c>
      <c r="AM45" s="49">
        <v>3206.25</v>
      </c>
      <c r="AN45" s="49">
        <v>8250.82</v>
      </c>
      <c r="AO45" s="49">
        <v>2260.2600000000002</v>
      </c>
      <c r="AP45" s="49">
        <v>2449.5500000000002</v>
      </c>
      <c r="AQ45" s="49">
        <v>7348.51</v>
      </c>
      <c r="AR45" s="49">
        <v>7827.2800000000007</v>
      </c>
      <c r="AS45" s="49">
        <v>3552.63</v>
      </c>
      <c r="AT45" s="49">
        <v>750.69</v>
      </c>
      <c r="AU45" s="49">
        <v>2259.0300000000002</v>
      </c>
      <c r="AV45" s="49">
        <v>3206.25</v>
      </c>
      <c r="AW45" s="49">
        <v>9990.91</v>
      </c>
      <c r="AX45" s="49">
        <v>720.7</v>
      </c>
      <c r="AY45" s="49">
        <v>2289.02</v>
      </c>
      <c r="AZ45" s="49">
        <v>3139.51</v>
      </c>
      <c r="BA45" s="49">
        <v>7827.2800000000007</v>
      </c>
      <c r="BB45" s="49"/>
      <c r="BC45" s="49">
        <v>217124.00999999998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26"/>
  <sheetViews>
    <sheetView tabSelected="1" workbookViewId="0">
      <selection activeCell="A8" sqref="A8"/>
    </sheetView>
  </sheetViews>
  <sheetFormatPr baseColWidth="10" defaultRowHeight="15.75"/>
  <cols>
    <col min="1" max="1" width="18" customWidth="1"/>
    <col min="2" max="2" width="19" bestFit="1" customWidth="1"/>
    <col min="3" max="3" width="6.5546875" customWidth="1"/>
    <col min="4" max="4" width="7.6640625" customWidth="1"/>
    <col min="5" max="5" width="8" customWidth="1"/>
    <col min="6" max="6" width="8.77734375" customWidth="1"/>
    <col min="7" max="7" width="6.5546875" customWidth="1"/>
    <col min="8" max="14" width="8.77734375" customWidth="1"/>
    <col min="15" max="15" width="7.6640625" customWidth="1"/>
    <col min="16" max="16" width="5.33203125" customWidth="1"/>
    <col min="17" max="19" width="7.6640625" bestFit="1" customWidth="1"/>
    <col min="20" max="20" width="10.5546875" bestFit="1" customWidth="1"/>
  </cols>
  <sheetData>
    <row r="3" spans="1:20">
      <c r="A3" s="22" t="s">
        <v>441</v>
      </c>
      <c r="B3" s="22" t="s">
        <v>17</v>
      </c>
    </row>
    <row r="4" spans="1:20">
      <c r="A4" s="22" t="s">
        <v>9</v>
      </c>
      <c r="B4">
        <v>1</v>
      </c>
      <c r="C4">
        <v>2</v>
      </c>
      <c r="D4">
        <v>3</v>
      </c>
      <c r="E4">
        <v>4</v>
      </c>
      <c r="F4">
        <v>6</v>
      </c>
      <c r="G4">
        <v>7</v>
      </c>
      <c r="H4">
        <v>8</v>
      </c>
      <c r="I4">
        <v>10</v>
      </c>
      <c r="J4">
        <v>12</v>
      </c>
      <c r="K4">
        <v>14</v>
      </c>
      <c r="L4">
        <v>17</v>
      </c>
      <c r="M4">
        <v>18</v>
      </c>
      <c r="N4">
        <v>21</v>
      </c>
      <c r="O4">
        <v>25</v>
      </c>
      <c r="P4" t="s">
        <v>13</v>
      </c>
      <c r="Q4">
        <v>11</v>
      </c>
      <c r="R4">
        <v>9</v>
      </c>
      <c r="S4">
        <v>5</v>
      </c>
      <c r="T4" t="s">
        <v>10</v>
      </c>
    </row>
    <row r="5" spans="1:20">
      <c r="A5" s="53" t="s">
        <v>13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</row>
    <row r="6" spans="1:20">
      <c r="A6" s="53" t="s">
        <v>267</v>
      </c>
      <c r="B6" s="94">
        <v>4647.13</v>
      </c>
      <c r="C6" s="94">
        <v>425.9</v>
      </c>
      <c r="D6" s="94">
        <v>624.66</v>
      </c>
      <c r="E6" s="94">
        <v>1734.5</v>
      </c>
      <c r="F6" s="94">
        <v>1231.32</v>
      </c>
      <c r="G6" s="94">
        <v>983.69999999999993</v>
      </c>
      <c r="H6" s="94">
        <v>1090.6399999999999</v>
      </c>
      <c r="I6" s="94">
        <v>2283.3199999999997</v>
      </c>
      <c r="J6" s="94">
        <v>1123.82</v>
      </c>
      <c r="K6" s="94">
        <v>1394.87</v>
      </c>
      <c r="L6" s="94">
        <v>1044.92</v>
      </c>
      <c r="M6" s="94">
        <v>1774.31</v>
      </c>
      <c r="N6" s="94">
        <v>1345.1599999999999</v>
      </c>
      <c r="O6" s="94">
        <v>538.76</v>
      </c>
      <c r="P6" s="94"/>
      <c r="Q6" s="94">
        <v>2847.7</v>
      </c>
      <c r="R6" s="94">
        <v>329.57</v>
      </c>
      <c r="S6" s="94"/>
      <c r="T6" s="94">
        <v>23420.28</v>
      </c>
    </row>
    <row r="7" spans="1:20">
      <c r="A7" s="75" t="s">
        <v>421</v>
      </c>
      <c r="B7" s="94"/>
      <c r="C7" s="94"/>
      <c r="D7" s="94"/>
      <c r="E7" s="94"/>
      <c r="F7" s="94"/>
      <c r="G7" s="94"/>
      <c r="H7" s="94"/>
      <c r="I7" s="94">
        <v>1015</v>
      </c>
      <c r="J7" s="94"/>
      <c r="K7" s="94"/>
      <c r="L7" s="94"/>
      <c r="M7" s="94"/>
      <c r="N7" s="94"/>
      <c r="O7" s="94"/>
      <c r="P7" s="94"/>
      <c r="Q7" s="94">
        <v>2018</v>
      </c>
      <c r="R7" s="94"/>
      <c r="S7" s="94"/>
      <c r="T7" s="94">
        <v>3033</v>
      </c>
    </row>
    <row r="8" spans="1:20">
      <c r="A8" s="75" t="s">
        <v>423</v>
      </c>
      <c r="B8" s="94"/>
      <c r="C8" s="94"/>
      <c r="D8" s="94"/>
      <c r="E8" s="94">
        <v>1213.96</v>
      </c>
      <c r="F8" s="94"/>
      <c r="G8" s="94"/>
      <c r="H8" s="94">
        <v>968.89</v>
      </c>
      <c r="I8" s="94"/>
      <c r="J8" s="94">
        <v>1123.82</v>
      </c>
      <c r="K8" s="94"/>
      <c r="L8" s="94">
        <v>1044.92</v>
      </c>
      <c r="M8" s="94"/>
      <c r="N8" s="94">
        <v>1345.1599999999999</v>
      </c>
      <c r="O8" s="94">
        <v>538.76</v>
      </c>
      <c r="P8" s="94"/>
      <c r="Q8" s="94"/>
      <c r="R8" s="94"/>
      <c r="S8" s="94"/>
      <c r="T8" s="94">
        <v>6235.51</v>
      </c>
    </row>
    <row r="9" spans="1:20">
      <c r="A9" s="75" t="s">
        <v>425</v>
      </c>
      <c r="B9" s="94"/>
      <c r="C9" s="94"/>
      <c r="D9" s="94"/>
      <c r="E9" s="94">
        <v>58.8</v>
      </c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>
        <v>58.8</v>
      </c>
    </row>
    <row r="10" spans="1:20">
      <c r="A10" s="75" t="s">
        <v>428</v>
      </c>
      <c r="B10" s="94"/>
      <c r="C10" s="94"/>
      <c r="D10" s="94">
        <v>129.65</v>
      </c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>
        <v>129.65</v>
      </c>
    </row>
    <row r="11" spans="1:20">
      <c r="A11" s="75" t="s">
        <v>431</v>
      </c>
      <c r="B11" s="94">
        <v>3150.9300000000003</v>
      </c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>
        <v>829.7</v>
      </c>
      <c r="R11" s="94"/>
      <c r="S11" s="94"/>
      <c r="T11" s="94">
        <v>3980.63</v>
      </c>
    </row>
    <row r="12" spans="1:20">
      <c r="A12" s="75" t="s">
        <v>429</v>
      </c>
      <c r="B12" s="94"/>
      <c r="C12" s="94"/>
      <c r="D12" s="94">
        <v>495.01</v>
      </c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>
        <v>495.01</v>
      </c>
    </row>
    <row r="13" spans="1:20">
      <c r="A13" s="75" t="s">
        <v>432</v>
      </c>
      <c r="B13" s="94"/>
      <c r="C13" s="94"/>
      <c r="D13" s="94"/>
      <c r="E13" s="94">
        <v>269</v>
      </c>
      <c r="F13" s="94">
        <v>268.89999999999998</v>
      </c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>
        <v>537.9</v>
      </c>
    </row>
    <row r="14" spans="1:20">
      <c r="A14" s="75" t="s">
        <v>434</v>
      </c>
      <c r="B14" s="94"/>
      <c r="C14" s="94"/>
      <c r="D14" s="94"/>
      <c r="E14" s="94"/>
      <c r="F14" s="94">
        <v>962.42</v>
      </c>
      <c r="G14" s="94"/>
      <c r="H14" s="94"/>
      <c r="I14" s="94">
        <v>1268.32</v>
      </c>
      <c r="J14" s="94"/>
      <c r="K14" s="94">
        <v>1394.87</v>
      </c>
      <c r="L14" s="94"/>
      <c r="M14" s="94">
        <v>1774.31</v>
      </c>
      <c r="N14" s="94"/>
      <c r="O14" s="94"/>
      <c r="P14" s="94"/>
      <c r="Q14" s="94"/>
      <c r="R14" s="94"/>
      <c r="S14" s="94"/>
      <c r="T14" s="94">
        <v>5399.92</v>
      </c>
    </row>
    <row r="15" spans="1:20">
      <c r="A15" s="75" t="s">
        <v>435</v>
      </c>
      <c r="B15" s="94">
        <v>1496.1999999999998</v>
      </c>
      <c r="C15" s="94">
        <v>425.9</v>
      </c>
      <c r="D15" s="94"/>
      <c r="E15" s="94"/>
      <c r="F15" s="94"/>
      <c r="G15" s="94">
        <v>983.69999999999993</v>
      </c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>
        <v>2905.7999999999997</v>
      </c>
    </row>
    <row r="16" spans="1:20">
      <c r="A16" s="75" t="s">
        <v>436</v>
      </c>
      <c r="B16" s="94"/>
      <c r="C16" s="94"/>
      <c r="D16" s="94"/>
      <c r="E16" s="94"/>
      <c r="F16" s="94"/>
      <c r="G16" s="94"/>
      <c r="H16" s="94">
        <v>121.75</v>
      </c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>
        <v>121.75</v>
      </c>
    </row>
    <row r="17" spans="1:20">
      <c r="A17" s="75" t="s">
        <v>437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>
        <v>329.57</v>
      </c>
      <c r="S17" s="94"/>
      <c r="T17" s="94">
        <v>329.57</v>
      </c>
    </row>
    <row r="18" spans="1:20">
      <c r="A18" s="75" t="s">
        <v>438</v>
      </c>
      <c r="B18" s="94"/>
      <c r="C18" s="94"/>
      <c r="D18" s="94"/>
      <c r="E18" s="94">
        <v>192.74</v>
      </c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>
        <v>192.74</v>
      </c>
    </row>
    <row r="19" spans="1:20">
      <c r="A19" s="53" t="s">
        <v>310</v>
      </c>
      <c r="B19" s="94">
        <v>480</v>
      </c>
      <c r="C19" s="94"/>
      <c r="D19" s="94">
        <v>323.52</v>
      </c>
      <c r="E19" s="94"/>
      <c r="F19" s="94"/>
      <c r="G19" s="94"/>
      <c r="H19" s="94"/>
      <c r="I19" s="94">
        <v>162.84</v>
      </c>
      <c r="J19" s="94"/>
      <c r="K19" s="94"/>
      <c r="L19" s="94"/>
      <c r="M19" s="94"/>
      <c r="N19" s="94"/>
      <c r="O19" s="94"/>
      <c r="P19" s="94"/>
      <c r="Q19" s="94"/>
      <c r="R19" s="94"/>
      <c r="S19" s="94">
        <v>900.68</v>
      </c>
      <c r="T19" s="94">
        <v>1867.04</v>
      </c>
    </row>
    <row r="20" spans="1:20">
      <c r="A20" s="75" t="s">
        <v>424</v>
      </c>
      <c r="B20" s="94">
        <v>480</v>
      </c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>
        <v>480</v>
      </c>
    </row>
    <row r="21" spans="1:20">
      <c r="A21" s="75" t="s">
        <v>433</v>
      </c>
      <c r="B21" s="94"/>
      <c r="C21" s="94"/>
      <c r="D21" s="94"/>
      <c r="E21" s="94"/>
      <c r="F21" s="94"/>
      <c r="G21" s="94"/>
      <c r="H21" s="94"/>
      <c r="I21" s="94">
        <v>162.84</v>
      </c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>
        <v>162.84</v>
      </c>
    </row>
    <row r="22" spans="1:20">
      <c r="A22" s="75" t="s">
        <v>434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>
        <v>900.68</v>
      </c>
      <c r="T22" s="94">
        <v>900.68</v>
      </c>
    </row>
    <row r="23" spans="1:20">
      <c r="A23" s="75" t="s">
        <v>439</v>
      </c>
      <c r="B23" s="94"/>
      <c r="C23" s="94"/>
      <c r="D23" s="94">
        <v>323.52</v>
      </c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>
        <v>323.52</v>
      </c>
    </row>
    <row r="24" spans="1:20">
      <c r="A24" s="53" t="s">
        <v>38</v>
      </c>
      <c r="B24" s="94"/>
      <c r="C24" s="94"/>
      <c r="D24" s="94"/>
      <c r="E24" s="94"/>
      <c r="F24" s="94"/>
      <c r="G24" s="94"/>
      <c r="H24" s="94"/>
      <c r="I24" s="94"/>
      <c r="J24" s="94"/>
      <c r="K24" s="94">
        <v>417</v>
      </c>
      <c r="L24" s="94"/>
      <c r="M24" s="94"/>
      <c r="N24" s="94"/>
      <c r="O24" s="94"/>
      <c r="P24" s="94"/>
      <c r="Q24" s="94"/>
      <c r="R24" s="94"/>
      <c r="S24" s="94"/>
      <c r="T24" s="94">
        <v>417</v>
      </c>
    </row>
    <row r="25" spans="1:20">
      <c r="A25" s="75" t="s">
        <v>426</v>
      </c>
      <c r="B25" s="94"/>
      <c r="C25" s="94"/>
      <c r="D25" s="94"/>
      <c r="E25" s="94"/>
      <c r="F25" s="94"/>
      <c r="G25" s="94"/>
      <c r="H25" s="94"/>
      <c r="I25" s="94"/>
      <c r="J25" s="94"/>
      <c r="K25" s="94">
        <v>417</v>
      </c>
      <c r="L25" s="94"/>
      <c r="M25" s="94"/>
      <c r="N25" s="94"/>
      <c r="O25" s="94"/>
      <c r="P25" s="94"/>
      <c r="Q25" s="94"/>
      <c r="R25" s="94"/>
      <c r="S25" s="94"/>
      <c r="T25" s="94">
        <v>417</v>
      </c>
    </row>
    <row r="26" spans="1:20">
      <c r="A26" s="53" t="s">
        <v>10</v>
      </c>
      <c r="B26" s="94">
        <v>5127.13</v>
      </c>
      <c r="C26" s="94">
        <v>425.9</v>
      </c>
      <c r="D26" s="94">
        <v>948.18</v>
      </c>
      <c r="E26" s="94">
        <v>1734.5</v>
      </c>
      <c r="F26" s="94">
        <v>1231.32</v>
      </c>
      <c r="G26" s="94">
        <v>983.69999999999993</v>
      </c>
      <c r="H26" s="94">
        <v>1090.6399999999999</v>
      </c>
      <c r="I26" s="94">
        <v>2446.16</v>
      </c>
      <c r="J26" s="94">
        <v>1123.82</v>
      </c>
      <c r="K26" s="94">
        <v>1811.87</v>
      </c>
      <c r="L26" s="94">
        <v>1044.92</v>
      </c>
      <c r="M26" s="94">
        <v>1774.31</v>
      </c>
      <c r="N26" s="94">
        <v>1345.1599999999999</v>
      </c>
      <c r="O26" s="94">
        <v>538.76</v>
      </c>
      <c r="P26" s="94"/>
      <c r="Q26" s="94">
        <v>2847.7</v>
      </c>
      <c r="R26" s="94">
        <v>329.57</v>
      </c>
      <c r="S26" s="94">
        <v>900.68</v>
      </c>
      <c r="T26" s="94">
        <v>25704.32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2"/>
  <sheetViews>
    <sheetView workbookViewId="0">
      <selection activeCell="L10" sqref="L10"/>
    </sheetView>
  </sheetViews>
  <sheetFormatPr baseColWidth="10" defaultRowHeight="15.75"/>
  <cols>
    <col min="1" max="1" width="18" customWidth="1"/>
    <col min="2" max="2" width="19" customWidth="1"/>
    <col min="3" max="4" width="9.88671875" bestFit="1" customWidth="1"/>
    <col min="5" max="5" width="8" bestFit="1" customWidth="1"/>
    <col min="6" max="7" width="8.77734375" bestFit="1" customWidth="1"/>
    <col min="8" max="8" width="8" bestFit="1" customWidth="1"/>
    <col min="9" max="12" width="8.77734375" bestFit="1" customWidth="1"/>
    <col min="13" max="13" width="3" bestFit="1" customWidth="1"/>
    <col min="14" max="15" width="3" customWidth="1"/>
    <col min="16" max="16" width="3" bestFit="1" customWidth="1"/>
    <col min="17" max="53" width="3" customWidth="1"/>
    <col min="54" max="54" width="7.6640625" bestFit="1" customWidth="1"/>
    <col min="55" max="55" width="10.5546875" bestFit="1" customWidth="1"/>
    <col min="56" max="58" width="4.33203125" bestFit="1" customWidth="1"/>
    <col min="59" max="59" width="10.5546875" bestFit="1" customWidth="1"/>
    <col min="60" max="60" width="17.88671875" customWidth="1"/>
    <col min="61" max="61" width="20.21875" customWidth="1"/>
    <col min="62" max="62" width="17.88671875" customWidth="1"/>
    <col min="63" max="63" width="20.21875" customWidth="1"/>
    <col min="64" max="64" width="17.88671875" customWidth="1"/>
    <col min="65" max="65" width="20.21875" customWidth="1"/>
    <col min="66" max="66" width="17.88671875" customWidth="1"/>
    <col min="67" max="67" width="20.21875" customWidth="1"/>
    <col min="68" max="68" width="17.88671875" customWidth="1"/>
    <col min="69" max="69" width="20.21875" customWidth="1"/>
    <col min="70" max="70" width="17.88671875" customWidth="1"/>
    <col min="71" max="71" width="20.21875" customWidth="1"/>
    <col min="72" max="72" width="17.88671875" customWidth="1"/>
    <col min="73" max="73" width="20.21875" customWidth="1"/>
    <col min="74" max="74" width="17.88671875" customWidth="1"/>
    <col min="75" max="75" width="20.21875" customWidth="1"/>
    <col min="76" max="76" width="17.88671875" customWidth="1"/>
    <col min="77" max="77" width="20.21875" customWidth="1"/>
    <col min="78" max="78" width="17.88671875" customWidth="1"/>
    <col min="79" max="79" width="20.21875" customWidth="1"/>
    <col min="80" max="80" width="17.88671875" customWidth="1"/>
    <col min="81" max="81" width="20.21875" customWidth="1"/>
    <col min="82" max="82" width="17.88671875" customWidth="1"/>
    <col min="83" max="83" width="20.21875" customWidth="1"/>
    <col min="84" max="84" width="17.88671875" customWidth="1"/>
    <col min="85" max="85" width="20.21875" customWidth="1"/>
    <col min="86" max="86" width="17.88671875" customWidth="1"/>
    <col min="87" max="87" width="20.21875" customWidth="1"/>
    <col min="88" max="88" width="17.88671875" customWidth="1"/>
    <col min="89" max="89" width="20.21875" customWidth="1"/>
    <col min="90" max="90" width="17.88671875" customWidth="1"/>
    <col min="91" max="91" width="20.21875" customWidth="1"/>
    <col min="92" max="92" width="17.88671875" customWidth="1"/>
    <col min="93" max="93" width="20.21875" customWidth="1"/>
    <col min="94" max="94" width="17.88671875" customWidth="1"/>
    <col min="95" max="95" width="20.21875" customWidth="1"/>
    <col min="96" max="96" width="17.88671875" customWidth="1"/>
    <col min="97" max="97" width="20.21875" customWidth="1"/>
    <col min="98" max="98" width="17.88671875" customWidth="1"/>
    <col min="99" max="99" width="20.21875" customWidth="1"/>
    <col min="100" max="100" width="17.88671875" customWidth="1"/>
    <col min="101" max="101" width="20.21875" customWidth="1"/>
    <col min="102" max="102" width="17.88671875" customWidth="1"/>
    <col min="103" max="103" width="20.21875" customWidth="1"/>
    <col min="104" max="104" width="17.88671875" customWidth="1"/>
    <col min="105" max="105" width="20.21875" customWidth="1"/>
    <col min="106" max="106" width="17.88671875" customWidth="1"/>
    <col min="107" max="107" width="20.21875" customWidth="1"/>
    <col min="108" max="108" width="22.109375" customWidth="1"/>
    <col min="109" max="109" width="24.44140625" customWidth="1"/>
    <col min="110" max="110" width="17.88671875" customWidth="1"/>
    <col min="111" max="111" width="16.21875" customWidth="1"/>
    <col min="112" max="112" width="20.21875" customWidth="1"/>
    <col min="113" max="113" width="17.88671875" customWidth="1"/>
    <col min="114" max="114" width="16.21875" customWidth="1"/>
    <col min="115" max="115" width="20.21875" customWidth="1"/>
    <col min="116" max="116" width="17.88671875" customWidth="1"/>
    <col min="117" max="117" width="16.21875" customWidth="1"/>
    <col min="118" max="118" width="20.21875" customWidth="1"/>
    <col min="119" max="119" width="17.88671875" customWidth="1"/>
    <col min="120" max="120" width="16.21875" customWidth="1"/>
    <col min="121" max="121" width="20.21875" customWidth="1"/>
    <col min="122" max="122" width="17.88671875" customWidth="1"/>
    <col min="123" max="123" width="16.21875" customWidth="1"/>
    <col min="124" max="124" width="20.21875" customWidth="1"/>
    <col min="125" max="125" width="17.88671875" customWidth="1"/>
    <col min="126" max="126" width="16.21875" customWidth="1"/>
    <col min="127" max="127" width="20.21875" customWidth="1"/>
    <col min="128" max="128" width="17.88671875" customWidth="1"/>
    <col min="129" max="129" width="16.21875" customWidth="1"/>
    <col min="130" max="130" width="20.21875" customWidth="1"/>
    <col min="131" max="131" width="17.88671875" customWidth="1"/>
    <col min="132" max="132" width="16.21875" customWidth="1"/>
    <col min="133" max="133" width="20.21875" customWidth="1"/>
    <col min="134" max="134" width="17.88671875" customWidth="1"/>
    <col min="135" max="135" width="16.21875" customWidth="1"/>
    <col min="136" max="136" width="20.21875" customWidth="1"/>
    <col min="137" max="137" width="17.88671875" customWidth="1"/>
    <col min="138" max="138" width="16.21875" customWidth="1"/>
    <col min="139" max="139" width="20.21875" customWidth="1"/>
    <col min="140" max="140" width="17.88671875" customWidth="1"/>
    <col min="141" max="141" width="16.21875" customWidth="1"/>
    <col min="142" max="142" width="20.21875" customWidth="1"/>
    <col min="143" max="143" width="17.88671875" customWidth="1"/>
    <col min="144" max="144" width="16.21875" customWidth="1"/>
    <col min="145" max="145" width="20.21875" customWidth="1"/>
    <col min="146" max="146" width="17.88671875" customWidth="1"/>
    <col min="147" max="147" width="16.21875" customWidth="1"/>
    <col min="148" max="148" width="20.21875" customWidth="1"/>
    <col min="149" max="149" width="17.88671875" customWidth="1"/>
    <col min="150" max="150" width="16.21875" customWidth="1"/>
    <col min="151" max="151" width="20.21875" customWidth="1"/>
    <col min="152" max="152" width="17.88671875" customWidth="1"/>
    <col min="153" max="153" width="16.21875" customWidth="1"/>
    <col min="154" max="154" width="20.21875" customWidth="1"/>
    <col min="155" max="155" width="17.88671875" customWidth="1"/>
    <col min="156" max="156" width="16.21875" customWidth="1"/>
    <col min="157" max="157" width="20.21875" customWidth="1"/>
    <col min="158" max="158" width="17.88671875" customWidth="1"/>
    <col min="159" max="159" width="16.21875" customWidth="1"/>
    <col min="160" max="160" width="20.21875" customWidth="1"/>
    <col min="161" max="161" width="22.109375" customWidth="1"/>
    <col min="162" max="162" width="20.33203125" customWidth="1"/>
    <col min="163" max="163" width="24.44140625" customWidth="1"/>
    <col min="164" max="164" width="17.88671875" customWidth="1"/>
    <col min="165" max="165" width="16.21875" customWidth="1"/>
    <col min="166" max="166" width="20.21875" customWidth="1"/>
    <col min="167" max="167" width="20.33203125" customWidth="1"/>
    <col min="168" max="168" width="18.6640625" customWidth="1"/>
    <col min="169" max="169" width="22.77734375" customWidth="1"/>
    <col min="170" max="170" width="17.88671875" customWidth="1"/>
    <col min="171" max="171" width="16.21875" customWidth="1"/>
    <col min="172" max="172" width="20.21875" customWidth="1"/>
    <col min="173" max="173" width="20.33203125" customWidth="1"/>
    <col min="174" max="174" width="18.6640625" customWidth="1"/>
    <col min="175" max="175" width="22.77734375" customWidth="1"/>
    <col min="176" max="176" width="17.88671875" customWidth="1"/>
    <col min="177" max="177" width="16.21875" customWidth="1"/>
    <col min="178" max="178" width="20.21875" customWidth="1"/>
    <col min="179" max="179" width="20.33203125" customWidth="1"/>
    <col min="180" max="180" width="18.6640625" customWidth="1"/>
    <col min="181" max="181" width="22.77734375" customWidth="1"/>
    <col min="182" max="182" width="17.88671875" customWidth="1"/>
    <col min="183" max="183" width="16.21875" customWidth="1"/>
    <col min="184" max="184" width="20.21875" customWidth="1"/>
    <col min="185" max="185" width="20.33203125" customWidth="1"/>
    <col min="186" max="186" width="18.6640625" customWidth="1"/>
    <col min="187" max="187" width="22.77734375" customWidth="1"/>
    <col min="188" max="188" width="17.88671875" customWidth="1"/>
    <col min="189" max="189" width="16.21875" customWidth="1"/>
    <col min="190" max="190" width="20.21875" customWidth="1"/>
    <col min="191" max="191" width="20.33203125" customWidth="1"/>
    <col min="192" max="192" width="18.6640625" customWidth="1"/>
    <col min="193" max="193" width="22.77734375" customWidth="1"/>
    <col min="194" max="194" width="17.88671875" customWidth="1"/>
    <col min="195" max="195" width="16.21875" customWidth="1"/>
    <col min="196" max="196" width="20.21875" customWidth="1"/>
    <col min="197" max="197" width="20.33203125" customWidth="1"/>
    <col min="198" max="198" width="18.6640625" customWidth="1"/>
    <col min="199" max="199" width="22.77734375" customWidth="1"/>
    <col min="200" max="200" width="17.88671875" customWidth="1"/>
    <col min="201" max="201" width="16.21875" customWidth="1"/>
    <col min="202" max="202" width="20.21875" customWidth="1"/>
    <col min="203" max="203" width="20.33203125" customWidth="1"/>
    <col min="204" max="204" width="18.6640625" customWidth="1"/>
    <col min="205" max="205" width="22.77734375" customWidth="1"/>
    <col min="206" max="206" width="17.88671875" customWidth="1"/>
    <col min="207" max="207" width="16.21875" customWidth="1"/>
    <col min="208" max="208" width="20.21875" customWidth="1"/>
    <col min="209" max="209" width="20.33203125" customWidth="1"/>
    <col min="210" max="210" width="18.6640625" customWidth="1"/>
    <col min="211" max="211" width="22.77734375" customWidth="1"/>
    <col min="212" max="212" width="17.88671875" customWidth="1"/>
    <col min="213" max="213" width="16.21875" customWidth="1"/>
    <col min="214" max="214" width="20.21875" customWidth="1"/>
    <col min="215" max="215" width="20.33203125" customWidth="1"/>
    <col min="216" max="216" width="18.6640625" customWidth="1"/>
    <col min="217" max="217" width="22.77734375" customWidth="1"/>
    <col min="218" max="218" width="17.88671875" customWidth="1"/>
    <col min="219" max="219" width="16.21875" customWidth="1"/>
    <col min="220" max="220" width="20.21875" customWidth="1"/>
    <col min="221" max="221" width="20.33203125" customWidth="1"/>
    <col min="222" max="222" width="18.6640625" customWidth="1"/>
    <col min="223" max="223" width="22.77734375" customWidth="1"/>
    <col min="224" max="224" width="17.88671875" customWidth="1"/>
    <col min="225" max="225" width="16.21875" customWidth="1"/>
    <col min="226" max="226" width="20.21875" customWidth="1"/>
    <col min="227" max="227" width="20.33203125" customWidth="1"/>
    <col min="228" max="228" width="18.6640625" customWidth="1"/>
    <col min="229" max="229" width="22.77734375" customWidth="1"/>
    <col min="230" max="230" width="17.88671875" customWidth="1"/>
    <col min="231" max="231" width="16.21875" customWidth="1"/>
    <col min="232" max="232" width="20.21875" customWidth="1"/>
    <col min="233" max="233" width="20.33203125" customWidth="1"/>
    <col min="234" max="234" width="18.6640625" customWidth="1"/>
    <col min="235" max="235" width="22.77734375" customWidth="1"/>
    <col min="236" max="236" width="17.88671875" customWidth="1"/>
    <col min="237" max="237" width="16.21875" customWidth="1"/>
    <col min="238" max="238" width="20.21875" customWidth="1"/>
    <col min="239" max="239" width="20.33203125" customWidth="1"/>
    <col min="240" max="240" width="18.6640625" customWidth="1"/>
    <col min="241" max="241" width="22.77734375" customWidth="1"/>
    <col min="242" max="242" width="17.88671875" customWidth="1"/>
    <col min="243" max="243" width="16.21875" customWidth="1"/>
    <col min="244" max="244" width="20.21875" customWidth="1"/>
    <col min="245" max="245" width="20.33203125" customWidth="1"/>
    <col min="246" max="246" width="18.6640625" customWidth="1"/>
    <col min="247" max="247" width="22.77734375" customWidth="1"/>
    <col min="248" max="248" width="17.88671875" customWidth="1"/>
    <col min="249" max="249" width="16.21875" customWidth="1"/>
    <col min="250" max="250" width="20.21875" customWidth="1"/>
    <col min="251" max="251" width="20.33203125" customWidth="1"/>
    <col min="252" max="252" width="18.6640625" customWidth="1"/>
    <col min="253" max="253" width="22.77734375" customWidth="1"/>
    <col min="254" max="254" width="17.88671875" customWidth="1"/>
    <col min="255" max="255" width="16.21875" customWidth="1"/>
    <col min="256" max="256" width="20.21875" customWidth="1"/>
    <col min="257" max="257" width="20.33203125" customWidth="1"/>
    <col min="258" max="258" width="18.6640625" customWidth="1"/>
    <col min="259" max="259" width="22.77734375" customWidth="1"/>
    <col min="260" max="260" width="17.88671875" customWidth="1"/>
    <col min="261" max="261" width="16.21875" customWidth="1"/>
    <col min="262" max="262" width="20.21875" customWidth="1"/>
    <col min="263" max="263" width="20.33203125" customWidth="1"/>
    <col min="264" max="264" width="18.6640625" customWidth="1"/>
    <col min="265" max="265" width="22.77734375" customWidth="1"/>
    <col min="266" max="266" width="17.88671875" customWidth="1"/>
    <col min="267" max="267" width="16.21875" customWidth="1"/>
    <col min="268" max="268" width="20.21875" customWidth="1"/>
    <col min="269" max="269" width="20.33203125" customWidth="1"/>
    <col min="270" max="270" width="18.6640625" customWidth="1"/>
    <col min="271" max="271" width="22.77734375" customWidth="1"/>
    <col min="272" max="272" width="17.88671875" customWidth="1"/>
    <col min="273" max="273" width="16.21875" customWidth="1"/>
    <col min="274" max="274" width="20.21875" customWidth="1"/>
    <col min="275" max="275" width="20.33203125" customWidth="1"/>
    <col min="276" max="276" width="18.6640625" customWidth="1"/>
    <col min="277" max="277" width="22.77734375" customWidth="1"/>
    <col min="278" max="278" width="17.88671875" customWidth="1"/>
    <col min="279" max="279" width="16.21875" customWidth="1"/>
    <col min="280" max="280" width="20.21875" customWidth="1"/>
    <col min="281" max="281" width="20.33203125" customWidth="1"/>
    <col min="282" max="282" width="18.6640625" customWidth="1"/>
    <col min="283" max="283" width="22.77734375" customWidth="1"/>
    <col min="284" max="284" width="17.88671875" customWidth="1"/>
    <col min="285" max="285" width="16.21875" customWidth="1"/>
    <col min="286" max="286" width="20.21875" customWidth="1"/>
    <col min="287" max="287" width="20.33203125" customWidth="1"/>
    <col min="288" max="288" width="18.6640625" customWidth="1"/>
    <col min="289" max="289" width="22.77734375" customWidth="1"/>
    <col min="290" max="290" width="17.88671875" customWidth="1"/>
    <col min="291" max="291" width="16.21875" customWidth="1"/>
    <col min="292" max="292" width="20.21875" customWidth="1"/>
    <col min="293" max="293" width="20.33203125" customWidth="1"/>
    <col min="294" max="294" width="18.6640625" customWidth="1"/>
    <col min="295" max="295" width="22.77734375" customWidth="1"/>
    <col min="296" max="296" width="17.88671875" customWidth="1"/>
    <col min="297" max="297" width="16.21875" customWidth="1"/>
    <col min="298" max="298" width="20.21875" customWidth="1"/>
    <col min="299" max="299" width="20.33203125" customWidth="1"/>
    <col min="300" max="300" width="18.6640625" customWidth="1"/>
    <col min="301" max="301" width="22.77734375" customWidth="1"/>
    <col min="302" max="302" width="17.88671875" customWidth="1"/>
    <col min="303" max="303" width="16.21875" customWidth="1"/>
    <col min="304" max="304" width="20.21875" customWidth="1"/>
    <col min="305" max="305" width="20.33203125" customWidth="1"/>
    <col min="306" max="306" width="18.6640625" customWidth="1"/>
    <col min="307" max="307" width="22.77734375" customWidth="1"/>
    <col min="308" max="308" width="17.88671875" customWidth="1"/>
    <col min="309" max="309" width="16.21875" customWidth="1"/>
    <col min="310" max="310" width="20.21875" customWidth="1"/>
    <col min="311" max="311" width="20.33203125" customWidth="1"/>
    <col min="312" max="312" width="18.6640625" customWidth="1"/>
    <col min="313" max="313" width="22.77734375" customWidth="1"/>
    <col min="314" max="314" width="17.88671875" customWidth="1"/>
    <col min="315" max="315" width="16.21875" customWidth="1"/>
    <col min="316" max="316" width="20.21875" customWidth="1"/>
    <col min="317" max="317" width="20.33203125" customWidth="1"/>
    <col min="318" max="318" width="18.6640625" customWidth="1"/>
    <col min="319" max="319" width="22.77734375" customWidth="1"/>
    <col min="320" max="320" width="17.88671875" customWidth="1"/>
    <col min="321" max="321" width="16.21875" customWidth="1"/>
    <col min="322" max="322" width="20.21875" customWidth="1"/>
    <col min="323" max="323" width="22.77734375" customWidth="1"/>
    <col min="324" max="324" width="21" customWidth="1"/>
    <col min="325" max="325" width="25.109375" customWidth="1"/>
    <col min="326" max="326" width="22.109375" customWidth="1"/>
    <col min="327" max="327" width="20.33203125" customWidth="1"/>
    <col min="328" max="328" width="24.44140625" customWidth="1"/>
    <col min="329" max="329" width="17.88671875" customWidth="1"/>
    <col min="330" max="330" width="16.21875" customWidth="1"/>
    <col min="331" max="331" width="20.21875" customWidth="1"/>
    <col min="332" max="332" width="22.77734375" customWidth="1"/>
    <col min="333" max="333" width="21" customWidth="1"/>
    <col min="334" max="334" width="25.109375" customWidth="1"/>
    <col min="335" max="335" width="20.33203125" customWidth="1"/>
    <col min="336" max="336" width="18.6640625" customWidth="1"/>
    <col min="337" max="337" width="22.77734375" customWidth="1"/>
    <col min="338" max="338" width="17.88671875" customWidth="1"/>
    <col min="339" max="339" width="16.21875" customWidth="1"/>
    <col min="340" max="340" width="20.21875" customWidth="1"/>
    <col min="341" max="341" width="22.77734375" customWidth="1"/>
    <col min="342" max="342" width="21" customWidth="1"/>
    <col min="343" max="343" width="25.109375" customWidth="1"/>
    <col min="344" max="344" width="20.33203125" customWidth="1"/>
    <col min="345" max="345" width="18.6640625" customWidth="1"/>
    <col min="346" max="346" width="22.77734375" customWidth="1"/>
    <col min="347" max="347" width="17.88671875" customWidth="1"/>
    <col min="348" max="348" width="16.21875" customWidth="1"/>
    <col min="349" max="349" width="20.21875" customWidth="1"/>
    <col min="350" max="350" width="22.77734375" customWidth="1"/>
    <col min="351" max="351" width="21" customWidth="1"/>
    <col min="352" max="352" width="25.109375" customWidth="1"/>
    <col min="353" max="353" width="20.33203125" customWidth="1"/>
    <col min="354" max="354" width="18.6640625" customWidth="1"/>
    <col min="355" max="355" width="22.77734375" customWidth="1"/>
    <col min="356" max="356" width="17.88671875" customWidth="1"/>
    <col min="357" max="357" width="16.21875" customWidth="1"/>
    <col min="358" max="358" width="20.21875" customWidth="1"/>
    <col min="359" max="359" width="22.77734375" customWidth="1"/>
    <col min="360" max="360" width="21" customWidth="1"/>
    <col min="361" max="361" width="25.109375" customWidth="1"/>
    <col min="362" max="362" width="20.33203125" customWidth="1"/>
    <col min="363" max="363" width="18.6640625" customWidth="1"/>
    <col min="364" max="364" width="22.77734375" customWidth="1"/>
    <col min="365" max="365" width="17.88671875" customWidth="1"/>
    <col min="366" max="366" width="16.21875" customWidth="1"/>
    <col min="367" max="367" width="20.21875" customWidth="1"/>
    <col min="368" max="368" width="22.77734375" customWidth="1"/>
    <col min="369" max="369" width="21" customWidth="1"/>
    <col min="370" max="370" width="25.109375" customWidth="1"/>
    <col min="371" max="371" width="20.33203125" customWidth="1"/>
    <col min="372" max="372" width="18.6640625" customWidth="1"/>
    <col min="373" max="373" width="22.77734375" customWidth="1"/>
    <col min="374" max="374" width="17.88671875" customWidth="1"/>
    <col min="375" max="375" width="16.21875" customWidth="1"/>
    <col min="376" max="376" width="20.21875" customWidth="1"/>
    <col min="377" max="377" width="22.77734375" customWidth="1"/>
    <col min="378" max="378" width="21" customWidth="1"/>
    <col min="379" max="379" width="25.109375" customWidth="1"/>
    <col min="380" max="380" width="20.33203125" customWidth="1"/>
    <col min="381" max="381" width="18.6640625" customWidth="1"/>
    <col min="382" max="382" width="22.77734375" customWidth="1"/>
    <col min="383" max="383" width="17.88671875" customWidth="1"/>
    <col min="384" max="384" width="16.21875" customWidth="1"/>
    <col min="385" max="385" width="20.21875" customWidth="1"/>
    <col min="386" max="386" width="22.77734375" customWidth="1"/>
    <col min="387" max="387" width="21" customWidth="1"/>
    <col min="388" max="388" width="25.109375" customWidth="1"/>
    <col min="389" max="389" width="20.33203125" customWidth="1"/>
    <col min="390" max="390" width="18.6640625" customWidth="1"/>
    <col min="391" max="391" width="22.77734375" customWidth="1"/>
    <col min="392" max="392" width="17.88671875" customWidth="1"/>
    <col min="393" max="393" width="16.21875" customWidth="1"/>
    <col min="394" max="394" width="20.21875" customWidth="1"/>
    <col min="395" max="395" width="22.77734375" customWidth="1"/>
    <col min="396" max="396" width="21" customWidth="1"/>
    <col min="397" max="397" width="25.109375" customWidth="1"/>
    <col min="398" max="398" width="20.33203125" customWidth="1"/>
    <col min="399" max="399" width="18.6640625" customWidth="1"/>
    <col min="400" max="400" width="22.77734375" customWidth="1"/>
    <col min="401" max="401" width="17.88671875" customWidth="1"/>
    <col min="402" max="402" width="16.21875" customWidth="1"/>
    <col min="403" max="403" width="20.21875" customWidth="1"/>
    <col min="404" max="404" width="22.77734375" customWidth="1"/>
    <col min="405" max="405" width="21" customWidth="1"/>
    <col min="406" max="406" width="25.109375" customWidth="1"/>
    <col min="407" max="407" width="20.33203125" customWidth="1"/>
    <col min="408" max="408" width="18.6640625" customWidth="1"/>
    <col min="409" max="409" width="22.77734375" customWidth="1"/>
    <col min="410" max="410" width="17.88671875" customWidth="1"/>
    <col min="411" max="411" width="16.21875" customWidth="1"/>
    <col min="412" max="412" width="20.21875" customWidth="1"/>
    <col min="413" max="413" width="22.77734375" customWidth="1"/>
    <col min="414" max="414" width="21" customWidth="1"/>
    <col min="415" max="415" width="25.109375" customWidth="1"/>
    <col min="416" max="416" width="20.33203125" customWidth="1"/>
    <col min="417" max="417" width="18.6640625" customWidth="1"/>
    <col min="418" max="418" width="22.77734375" customWidth="1"/>
    <col min="419" max="419" width="17.88671875" customWidth="1"/>
    <col min="420" max="420" width="16.21875" customWidth="1"/>
    <col min="421" max="421" width="20.21875" customWidth="1"/>
    <col min="422" max="422" width="22.77734375" customWidth="1"/>
    <col min="423" max="423" width="21" customWidth="1"/>
    <col min="424" max="424" width="25.109375" customWidth="1"/>
    <col min="425" max="425" width="20.33203125" customWidth="1"/>
    <col min="426" max="426" width="18.6640625" customWidth="1"/>
    <col min="427" max="427" width="22.77734375" customWidth="1"/>
    <col min="428" max="428" width="17.88671875" customWidth="1"/>
    <col min="429" max="429" width="16.21875" customWidth="1"/>
    <col min="430" max="430" width="20.21875" customWidth="1"/>
    <col min="431" max="431" width="22.77734375" customWidth="1"/>
    <col min="432" max="432" width="21" customWidth="1"/>
    <col min="433" max="433" width="25.109375" customWidth="1"/>
    <col min="434" max="434" width="20.33203125" customWidth="1"/>
    <col min="435" max="435" width="18.6640625" customWidth="1"/>
    <col min="436" max="436" width="22.77734375" customWidth="1"/>
    <col min="437" max="437" width="17.88671875" customWidth="1"/>
    <col min="438" max="438" width="16.21875" customWidth="1"/>
    <col min="439" max="439" width="20.21875" customWidth="1"/>
    <col min="440" max="440" width="22.77734375" customWidth="1"/>
    <col min="441" max="441" width="21" customWidth="1"/>
    <col min="442" max="442" width="25.109375" customWidth="1"/>
    <col min="443" max="443" width="20.33203125" customWidth="1"/>
    <col min="444" max="444" width="18.6640625" customWidth="1"/>
    <col min="445" max="445" width="22.77734375" customWidth="1"/>
    <col min="446" max="446" width="17.88671875" customWidth="1"/>
    <col min="447" max="447" width="16.21875" customWidth="1"/>
    <col min="448" max="448" width="20.21875" customWidth="1"/>
    <col min="449" max="449" width="22.77734375" customWidth="1"/>
    <col min="450" max="450" width="21" customWidth="1"/>
    <col min="451" max="451" width="25.109375" customWidth="1"/>
    <col min="452" max="452" width="20.33203125" customWidth="1"/>
    <col min="453" max="453" width="18.6640625" customWidth="1"/>
    <col min="454" max="454" width="22.77734375" customWidth="1"/>
    <col min="455" max="455" width="17.88671875" customWidth="1"/>
    <col min="456" max="456" width="16.21875" customWidth="1"/>
    <col min="457" max="457" width="20.21875" customWidth="1"/>
    <col min="458" max="458" width="22.77734375" customWidth="1"/>
    <col min="459" max="459" width="21" customWidth="1"/>
    <col min="460" max="460" width="25.109375" customWidth="1"/>
    <col min="461" max="461" width="20.33203125" customWidth="1"/>
    <col min="462" max="462" width="18.6640625" customWidth="1"/>
    <col min="463" max="463" width="22.77734375" customWidth="1"/>
    <col min="464" max="464" width="17.88671875" customWidth="1"/>
    <col min="465" max="465" width="16.21875" customWidth="1"/>
    <col min="466" max="466" width="20.21875" customWidth="1"/>
    <col min="467" max="467" width="22.77734375" customWidth="1"/>
    <col min="468" max="468" width="21" customWidth="1"/>
    <col min="469" max="469" width="25.109375" customWidth="1"/>
    <col min="470" max="470" width="20.33203125" customWidth="1"/>
    <col min="471" max="471" width="18.6640625" customWidth="1"/>
    <col min="472" max="472" width="22.77734375" customWidth="1"/>
    <col min="473" max="473" width="17.88671875" customWidth="1"/>
    <col min="474" max="474" width="16.21875" customWidth="1"/>
    <col min="475" max="475" width="20.21875" customWidth="1"/>
    <col min="476" max="476" width="22.77734375" customWidth="1"/>
    <col min="477" max="477" width="21" customWidth="1"/>
    <col min="478" max="478" width="25.109375" customWidth="1"/>
    <col min="479" max="479" width="20.33203125" customWidth="1"/>
    <col min="480" max="480" width="18.6640625" customWidth="1"/>
    <col min="481" max="481" width="22.77734375" customWidth="1"/>
    <col min="482" max="482" width="17.88671875" customWidth="1"/>
    <col min="483" max="483" width="16.21875" customWidth="1"/>
    <col min="484" max="484" width="20.21875" customWidth="1"/>
    <col min="485" max="485" width="22.77734375" customWidth="1"/>
    <col min="486" max="486" width="21" customWidth="1"/>
    <col min="487" max="487" width="25.109375" customWidth="1"/>
    <col min="488" max="488" width="22.77734375" customWidth="1"/>
    <col min="489" max="489" width="21" customWidth="1"/>
    <col min="490" max="490" width="25.109375" customWidth="1"/>
    <col min="491" max="491" width="22.109375" customWidth="1"/>
    <col min="492" max="492" width="20.33203125" customWidth="1"/>
    <col min="493" max="493" width="24.44140625" customWidth="1"/>
  </cols>
  <sheetData>
    <row r="1" spans="1:55">
      <c r="A1" s="22" t="s">
        <v>443</v>
      </c>
      <c r="B1" t="s">
        <v>558</v>
      </c>
    </row>
    <row r="3" spans="1:55">
      <c r="A3" s="22" t="s">
        <v>441</v>
      </c>
      <c r="B3" s="22" t="s">
        <v>17</v>
      </c>
    </row>
    <row r="4" spans="1:55">
      <c r="A4" s="22" t="s">
        <v>9</v>
      </c>
      <c r="B4" s="95" t="s">
        <v>368</v>
      </c>
      <c r="C4" s="95" t="s">
        <v>369</v>
      </c>
      <c r="D4" s="95" t="s">
        <v>370</v>
      </c>
      <c r="E4" s="95" t="s">
        <v>371</v>
      </c>
      <c r="F4" s="95" t="s">
        <v>372</v>
      </c>
      <c r="G4" s="95" t="s">
        <v>373</v>
      </c>
      <c r="H4" s="95" t="s">
        <v>374</v>
      </c>
      <c r="I4" s="95" t="s">
        <v>375</v>
      </c>
      <c r="J4" s="95" t="s">
        <v>376</v>
      </c>
      <c r="K4" s="95" t="s">
        <v>377</v>
      </c>
      <c r="L4" s="95" t="s">
        <v>378</v>
      </c>
      <c r="M4" s="95" t="s">
        <v>379</v>
      </c>
      <c r="N4" s="95" t="s">
        <v>380</v>
      </c>
      <c r="O4" s="95" t="s">
        <v>381</v>
      </c>
      <c r="P4" s="95" t="s">
        <v>382</v>
      </c>
      <c r="Q4" s="95" t="s">
        <v>383</v>
      </c>
      <c r="R4" s="95" t="s">
        <v>384</v>
      </c>
      <c r="S4" s="95" t="s">
        <v>385</v>
      </c>
      <c r="T4" s="95" t="s">
        <v>386</v>
      </c>
      <c r="U4" s="95" t="s">
        <v>387</v>
      </c>
      <c r="V4" s="95" t="s">
        <v>388</v>
      </c>
      <c r="W4" s="95" t="s">
        <v>389</v>
      </c>
      <c r="X4" s="95" t="s">
        <v>390</v>
      </c>
      <c r="Y4" s="95" t="s">
        <v>391</v>
      </c>
      <c r="Z4" s="95" t="s">
        <v>392</v>
      </c>
      <c r="AA4" s="95" t="s">
        <v>393</v>
      </c>
      <c r="AB4" s="95" t="s">
        <v>394</v>
      </c>
      <c r="AC4" s="95" t="s">
        <v>395</v>
      </c>
      <c r="AD4" s="95" t="s">
        <v>396</v>
      </c>
      <c r="AE4" s="95" t="s">
        <v>397</v>
      </c>
      <c r="AF4" s="95" t="s">
        <v>398</v>
      </c>
      <c r="AG4" s="95" t="s">
        <v>399</v>
      </c>
      <c r="AH4" s="95" t="s">
        <v>400</v>
      </c>
      <c r="AI4" s="95" t="s">
        <v>401</v>
      </c>
      <c r="AJ4" s="95" t="s">
        <v>402</v>
      </c>
      <c r="AK4" s="95" t="s">
        <v>403</v>
      </c>
      <c r="AL4" s="95" t="s">
        <v>404</v>
      </c>
      <c r="AM4" s="95" t="s">
        <v>405</v>
      </c>
      <c r="AN4" s="95" t="s">
        <v>406</v>
      </c>
      <c r="AO4" s="95" t="s">
        <v>407</v>
      </c>
      <c r="AP4" s="95" t="s">
        <v>408</v>
      </c>
      <c r="AQ4" s="95" t="s">
        <v>409</v>
      </c>
      <c r="AR4" s="95" t="s">
        <v>410</v>
      </c>
      <c r="AS4" s="95" t="s">
        <v>411</v>
      </c>
      <c r="AT4" s="95" t="s">
        <v>412</v>
      </c>
      <c r="AU4" s="95" t="s">
        <v>413</v>
      </c>
      <c r="AV4" s="95" t="s">
        <v>414</v>
      </c>
      <c r="AW4" s="95" t="s">
        <v>415</v>
      </c>
      <c r="AX4" s="95" t="s">
        <v>416</v>
      </c>
      <c r="AY4" s="95" t="s">
        <v>417</v>
      </c>
      <c r="AZ4" s="95" t="s">
        <v>418</v>
      </c>
      <c r="BA4" s="95" t="s">
        <v>419</v>
      </c>
      <c r="BB4" s="95" t="s">
        <v>13</v>
      </c>
      <c r="BC4" s="95" t="s">
        <v>10</v>
      </c>
    </row>
    <row r="5" spans="1:55">
      <c r="A5" s="53" t="s">
        <v>38</v>
      </c>
      <c r="B5" s="94">
        <v>0</v>
      </c>
      <c r="C5" s="94">
        <v>0</v>
      </c>
      <c r="D5" s="94">
        <v>161.04</v>
      </c>
      <c r="E5" s="94">
        <v>79.569999999999993</v>
      </c>
      <c r="F5" s="94">
        <v>352.18</v>
      </c>
      <c r="G5" s="94">
        <v>1421.82</v>
      </c>
      <c r="H5" s="94">
        <v>28.68</v>
      </c>
      <c r="I5" s="94">
        <v>1983.1599999999999</v>
      </c>
      <c r="J5" s="94">
        <v>653.44000000000005</v>
      </c>
      <c r="K5" s="94">
        <v>0</v>
      </c>
      <c r="L5" s="94">
        <v>0</v>
      </c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>
        <v>527.21</v>
      </c>
      <c r="BC5" s="94">
        <v>5207.1000000000004</v>
      </c>
    </row>
    <row r="6" spans="1:55">
      <c r="A6" s="75" t="s">
        <v>505</v>
      </c>
      <c r="B6" s="94">
        <v>0</v>
      </c>
      <c r="C6" s="94">
        <v>0</v>
      </c>
      <c r="D6" s="94">
        <v>0</v>
      </c>
      <c r="E6" s="94">
        <v>79.569999999999993</v>
      </c>
      <c r="F6" s="94">
        <v>0</v>
      </c>
      <c r="G6" s="94">
        <v>0</v>
      </c>
      <c r="H6" s="94">
        <v>28.68</v>
      </c>
      <c r="I6" s="94">
        <v>385.25</v>
      </c>
      <c r="J6" s="94">
        <v>477.35</v>
      </c>
      <c r="K6" s="94">
        <v>0</v>
      </c>
      <c r="L6" s="94">
        <v>0</v>
      </c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>
        <v>0</v>
      </c>
      <c r="BC6" s="94">
        <v>970.85</v>
      </c>
    </row>
    <row r="7" spans="1:55">
      <c r="A7" s="75" t="s">
        <v>452</v>
      </c>
      <c r="B7" s="94">
        <v>0</v>
      </c>
      <c r="C7" s="94">
        <v>0</v>
      </c>
      <c r="D7" s="94">
        <v>161.04</v>
      </c>
      <c r="E7" s="94">
        <v>0</v>
      </c>
      <c r="F7" s="94">
        <v>352.18</v>
      </c>
      <c r="G7" s="94">
        <v>1421.82</v>
      </c>
      <c r="H7" s="94">
        <v>0</v>
      </c>
      <c r="I7" s="94">
        <v>1597.9099999999999</v>
      </c>
      <c r="J7" s="94">
        <v>176.09</v>
      </c>
      <c r="K7" s="94">
        <v>0</v>
      </c>
      <c r="L7" s="94">
        <v>0</v>
      </c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4"/>
      <c r="AK7" s="94"/>
      <c r="AL7" s="94"/>
      <c r="AM7" s="94"/>
      <c r="AN7" s="94"/>
      <c r="AO7" s="94"/>
      <c r="AP7" s="94"/>
      <c r="AQ7" s="94"/>
      <c r="AR7" s="94"/>
      <c r="AS7" s="94"/>
      <c r="AT7" s="94"/>
      <c r="AU7" s="94"/>
      <c r="AV7" s="94"/>
      <c r="AW7" s="94"/>
      <c r="AX7" s="94"/>
      <c r="AY7" s="94"/>
      <c r="AZ7" s="94"/>
      <c r="BA7" s="94"/>
      <c r="BB7" s="94">
        <v>527.21</v>
      </c>
      <c r="BC7" s="94">
        <v>4236.25</v>
      </c>
    </row>
    <row r="8" spans="1:55">
      <c r="A8" s="53" t="s">
        <v>267</v>
      </c>
      <c r="B8" s="94">
        <v>8817.84</v>
      </c>
      <c r="C8" s="94">
        <v>11918.560000000001</v>
      </c>
      <c r="D8" s="94">
        <v>10914.38</v>
      </c>
      <c r="E8" s="94">
        <v>5740.93</v>
      </c>
      <c r="F8" s="94">
        <v>9603</v>
      </c>
      <c r="G8" s="94">
        <v>5056.41</v>
      </c>
      <c r="H8" s="94">
        <v>6035.82</v>
      </c>
      <c r="I8" s="94">
        <v>7218.35</v>
      </c>
      <c r="J8" s="94">
        <v>7587.7999999999993</v>
      </c>
      <c r="K8" s="94">
        <v>3804.88</v>
      </c>
      <c r="L8" s="94">
        <v>2382.88</v>
      </c>
      <c r="M8" s="94">
        <v>0</v>
      </c>
      <c r="N8" s="94">
        <v>0</v>
      </c>
      <c r="O8" s="94">
        <v>0</v>
      </c>
      <c r="P8" s="94">
        <v>0</v>
      </c>
      <c r="Q8" s="94">
        <v>0</v>
      </c>
      <c r="R8" s="94">
        <v>0</v>
      </c>
      <c r="S8" s="94">
        <v>0</v>
      </c>
      <c r="T8" s="94">
        <v>0</v>
      </c>
      <c r="U8" s="94">
        <v>0</v>
      </c>
      <c r="V8" s="94">
        <v>0</v>
      </c>
      <c r="W8" s="94">
        <v>0</v>
      </c>
      <c r="X8" s="94">
        <v>0</v>
      </c>
      <c r="Y8" s="94">
        <v>0</v>
      </c>
      <c r="Z8" s="94">
        <v>0</v>
      </c>
      <c r="AA8" s="94">
        <v>0</v>
      </c>
      <c r="AB8" s="94">
        <v>0</v>
      </c>
      <c r="AC8" s="94">
        <v>0</v>
      </c>
      <c r="AD8" s="94">
        <v>0</v>
      </c>
      <c r="AE8" s="94">
        <v>0</v>
      </c>
      <c r="AF8" s="94">
        <v>0</v>
      </c>
      <c r="AG8" s="94">
        <v>0</v>
      </c>
      <c r="AH8" s="94">
        <v>0</v>
      </c>
      <c r="AI8" s="94">
        <v>0</v>
      </c>
      <c r="AJ8" s="94">
        <v>0</v>
      </c>
      <c r="AK8" s="94">
        <v>0</v>
      </c>
      <c r="AL8" s="94">
        <v>0</v>
      </c>
      <c r="AM8" s="94">
        <v>0</v>
      </c>
      <c r="AN8" s="94">
        <v>0</v>
      </c>
      <c r="AO8" s="94">
        <v>0</v>
      </c>
      <c r="AP8" s="94">
        <v>0</v>
      </c>
      <c r="AQ8" s="94">
        <v>0</v>
      </c>
      <c r="AR8" s="94">
        <v>0</v>
      </c>
      <c r="AS8" s="94">
        <v>0</v>
      </c>
      <c r="AT8" s="94">
        <v>0</v>
      </c>
      <c r="AU8" s="94">
        <v>0</v>
      </c>
      <c r="AV8" s="94">
        <v>0</v>
      </c>
      <c r="AW8" s="94">
        <v>0</v>
      </c>
      <c r="AX8" s="94">
        <v>0</v>
      </c>
      <c r="AY8" s="94">
        <v>0</v>
      </c>
      <c r="AZ8" s="94">
        <v>0</v>
      </c>
      <c r="BA8" s="94">
        <v>0</v>
      </c>
      <c r="BB8" s="94"/>
      <c r="BC8" s="94">
        <v>79080.850000000006</v>
      </c>
    </row>
    <row r="9" spans="1:55">
      <c r="A9" s="75" t="s">
        <v>505</v>
      </c>
      <c r="B9" s="94">
        <v>3025.95</v>
      </c>
      <c r="C9" s="94">
        <v>3945.04</v>
      </c>
      <c r="D9" s="94">
        <v>3215.27</v>
      </c>
      <c r="E9" s="94">
        <v>3553.9300000000003</v>
      </c>
      <c r="F9" s="94">
        <v>5132.75</v>
      </c>
      <c r="G9" s="94">
        <v>3909.41</v>
      </c>
      <c r="H9" s="94">
        <v>3043.7</v>
      </c>
      <c r="I9" s="94">
        <v>3270.6</v>
      </c>
      <c r="J9" s="94">
        <v>3615.9599999999996</v>
      </c>
      <c r="K9" s="94">
        <v>2230.9</v>
      </c>
      <c r="L9" s="94">
        <v>1495.88</v>
      </c>
      <c r="M9" s="94">
        <v>0</v>
      </c>
      <c r="N9" s="94">
        <v>0</v>
      </c>
      <c r="O9" s="94">
        <v>0</v>
      </c>
      <c r="P9" s="94">
        <v>0</v>
      </c>
      <c r="Q9" s="94">
        <v>0</v>
      </c>
      <c r="R9" s="94">
        <v>0</v>
      </c>
      <c r="S9" s="94">
        <v>0</v>
      </c>
      <c r="T9" s="94">
        <v>0</v>
      </c>
      <c r="U9" s="94">
        <v>0</v>
      </c>
      <c r="V9" s="94">
        <v>0</v>
      </c>
      <c r="W9" s="94">
        <v>0</v>
      </c>
      <c r="X9" s="94">
        <v>0</v>
      </c>
      <c r="Y9" s="94">
        <v>0</v>
      </c>
      <c r="Z9" s="94">
        <v>0</v>
      </c>
      <c r="AA9" s="94">
        <v>0</v>
      </c>
      <c r="AB9" s="94">
        <v>0</v>
      </c>
      <c r="AC9" s="94">
        <v>0</v>
      </c>
      <c r="AD9" s="94">
        <v>0</v>
      </c>
      <c r="AE9" s="94">
        <v>0</v>
      </c>
      <c r="AF9" s="94">
        <v>0</v>
      </c>
      <c r="AG9" s="94">
        <v>0</v>
      </c>
      <c r="AH9" s="94">
        <v>0</v>
      </c>
      <c r="AI9" s="94">
        <v>0</v>
      </c>
      <c r="AJ9" s="94">
        <v>0</v>
      </c>
      <c r="AK9" s="94">
        <v>0</v>
      </c>
      <c r="AL9" s="94">
        <v>0</v>
      </c>
      <c r="AM9" s="94">
        <v>0</v>
      </c>
      <c r="AN9" s="94">
        <v>0</v>
      </c>
      <c r="AO9" s="94">
        <v>0</v>
      </c>
      <c r="AP9" s="94">
        <v>0</v>
      </c>
      <c r="AQ9" s="94">
        <v>0</v>
      </c>
      <c r="AR9" s="94">
        <v>0</v>
      </c>
      <c r="AS9" s="94">
        <v>0</v>
      </c>
      <c r="AT9" s="94">
        <v>0</v>
      </c>
      <c r="AU9" s="94">
        <v>0</v>
      </c>
      <c r="AV9" s="94">
        <v>0</v>
      </c>
      <c r="AW9" s="94">
        <v>0</v>
      </c>
      <c r="AX9" s="94">
        <v>0</v>
      </c>
      <c r="AY9" s="94">
        <v>0</v>
      </c>
      <c r="AZ9" s="94">
        <v>0</v>
      </c>
      <c r="BA9" s="94">
        <v>0</v>
      </c>
      <c r="BB9" s="94"/>
      <c r="BC9" s="94">
        <v>36439.39</v>
      </c>
    </row>
    <row r="10" spans="1:55">
      <c r="A10" s="75" t="s">
        <v>452</v>
      </c>
      <c r="B10" s="94">
        <v>5791.89</v>
      </c>
      <c r="C10" s="94">
        <v>7973.52</v>
      </c>
      <c r="D10" s="94">
        <v>7699.11</v>
      </c>
      <c r="E10" s="94">
        <v>2187</v>
      </c>
      <c r="F10" s="94">
        <v>4470.25</v>
      </c>
      <c r="G10" s="94">
        <v>1147</v>
      </c>
      <c r="H10" s="94">
        <v>2992.12</v>
      </c>
      <c r="I10" s="94">
        <v>3947.75</v>
      </c>
      <c r="J10" s="94">
        <v>3971.84</v>
      </c>
      <c r="K10" s="94">
        <v>1573.98</v>
      </c>
      <c r="L10" s="94">
        <v>887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94">
        <v>0</v>
      </c>
      <c r="X10" s="94">
        <v>0</v>
      </c>
      <c r="Y10" s="94">
        <v>0</v>
      </c>
      <c r="Z10" s="94">
        <v>0</v>
      </c>
      <c r="AA10" s="94">
        <v>0</v>
      </c>
      <c r="AB10" s="94">
        <v>0</v>
      </c>
      <c r="AC10" s="94">
        <v>0</v>
      </c>
      <c r="AD10" s="94">
        <v>0</v>
      </c>
      <c r="AE10" s="94">
        <v>0</v>
      </c>
      <c r="AF10" s="94">
        <v>0</v>
      </c>
      <c r="AG10" s="94">
        <v>0</v>
      </c>
      <c r="AH10" s="94">
        <v>0</v>
      </c>
      <c r="AI10" s="94">
        <v>0</v>
      </c>
      <c r="AJ10" s="94">
        <v>0</v>
      </c>
      <c r="AK10" s="94">
        <v>0</v>
      </c>
      <c r="AL10" s="94">
        <v>0</v>
      </c>
      <c r="AM10" s="94">
        <v>0</v>
      </c>
      <c r="AN10" s="94">
        <v>0</v>
      </c>
      <c r="AO10" s="94">
        <v>0</v>
      </c>
      <c r="AP10" s="94">
        <v>0</v>
      </c>
      <c r="AQ10" s="94">
        <v>0</v>
      </c>
      <c r="AR10" s="94">
        <v>0</v>
      </c>
      <c r="AS10" s="94">
        <v>0</v>
      </c>
      <c r="AT10" s="94">
        <v>0</v>
      </c>
      <c r="AU10" s="94">
        <v>0</v>
      </c>
      <c r="AV10" s="94">
        <v>0</v>
      </c>
      <c r="AW10" s="94">
        <v>0</v>
      </c>
      <c r="AX10" s="94">
        <v>0</v>
      </c>
      <c r="AY10" s="94">
        <v>0</v>
      </c>
      <c r="AZ10" s="94">
        <v>0</v>
      </c>
      <c r="BA10" s="94">
        <v>0</v>
      </c>
      <c r="BB10" s="94"/>
      <c r="BC10" s="94">
        <v>42641.46</v>
      </c>
    </row>
    <row r="11" spans="1:55">
      <c r="A11" s="53" t="s">
        <v>10</v>
      </c>
      <c r="B11" s="94">
        <v>8817.84</v>
      </c>
      <c r="C11" s="94">
        <v>11918.560000000001</v>
      </c>
      <c r="D11" s="94">
        <v>11075.42</v>
      </c>
      <c r="E11" s="94">
        <v>5820.5</v>
      </c>
      <c r="F11" s="94">
        <v>9955.18</v>
      </c>
      <c r="G11" s="94">
        <v>6478.23</v>
      </c>
      <c r="H11" s="94">
        <v>6064.5</v>
      </c>
      <c r="I11" s="94">
        <v>9201.51</v>
      </c>
      <c r="J11" s="94">
        <v>8241.24</v>
      </c>
      <c r="K11" s="94">
        <v>3804.88</v>
      </c>
      <c r="L11" s="94">
        <v>2382.88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4">
        <v>0</v>
      </c>
      <c r="S11" s="94">
        <v>0</v>
      </c>
      <c r="T11" s="94">
        <v>0</v>
      </c>
      <c r="U11" s="94">
        <v>0</v>
      </c>
      <c r="V11" s="94">
        <v>0</v>
      </c>
      <c r="W11" s="94">
        <v>0</v>
      </c>
      <c r="X11" s="94">
        <v>0</v>
      </c>
      <c r="Y11" s="94">
        <v>0</v>
      </c>
      <c r="Z11" s="94">
        <v>0</v>
      </c>
      <c r="AA11" s="94">
        <v>0</v>
      </c>
      <c r="AB11" s="94">
        <v>0</v>
      </c>
      <c r="AC11" s="94">
        <v>0</v>
      </c>
      <c r="AD11" s="94">
        <v>0</v>
      </c>
      <c r="AE11" s="94">
        <v>0</v>
      </c>
      <c r="AF11" s="94">
        <v>0</v>
      </c>
      <c r="AG11" s="94">
        <v>0</v>
      </c>
      <c r="AH11" s="94">
        <v>0</v>
      </c>
      <c r="AI11" s="94">
        <v>0</v>
      </c>
      <c r="AJ11" s="94">
        <v>0</v>
      </c>
      <c r="AK11" s="94">
        <v>0</v>
      </c>
      <c r="AL11" s="94">
        <v>0</v>
      </c>
      <c r="AM11" s="94">
        <v>0</v>
      </c>
      <c r="AN11" s="94">
        <v>0</v>
      </c>
      <c r="AO11" s="94">
        <v>0</v>
      </c>
      <c r="AP11" s="94">
        <v>0</v>
      </c>
      <c r="AQ11" s="94">
        <v>0</v>
      </c>
      <c r="AR11" s="94">
        <v>0</v>
      </c>
      <c r="AS11" s="94">
        <v>0</v>
      </c>
      <c r="AT11" s="94">
        <v>0</v>
      </c>
      <c r="AU11" s="94">
        <v>0</v>
      </c>
      <c r="AV11" s="94">
        <v>0</v>
      </c>
      <c r="AW11" s="94">
        <v>0</v>
      </c>
      <c r="AX11" s="94">
        <v>0</v>
      </c>
      <c r="AY11" s="94">
        <v>0</v>
      </c>
      <c r="AZ11" s="94">
        <v>0</v>
      </c>
      <c r="BA11" s="94">
        <v>0</v>
      </c>
      <c r="BB11" s="94">
        <v>527.21</v>
      </c>
      <c r="BC11" s="94">
        <v>84287.95</v>
      </c>
    </row>
    <row r="22" spans="2:12">
      <c r="B22">
        <f>+GETPIVOTDATA("Total TTC",A$3,"Semaine RGT CB/Chèques"," 1")-Synthèse!B10-Synthèse!B20-Synthèse!B30</f>
        <v>0</v>
      </c>
      <c r="C22">
        <f>+GETPIVOTDATA("Total TTC",B$3,"Semaine RGT CB/Chèques"," 2")-Synthèse!C10-Synthèse!C20-Synthèse!C30</f>
        <v>0</v>
      </c>
      <c r="D22">
        <f>+GETPIVOTDATA("Total TTC",C$3,"Semaine RGT CB/Chèques"," 3")-Synthèse!D10-Synthèse!D20-Synthèse!D30</f>
        <v>0</v>
      </c>
      <c r="E22">
        <f>+GETPIVOTDATA("Total TTC",D$3,"Semaine RGT CB/Chèques"," 4")-Synthèse!E10-Synthèse!E20-Synthèse!E30</f>
        <v>0</v>
      </c>
      <c r="F22">
        <f>+GETPIVOTDATA("Total TTC",E$3,"Semaine RGT CB/Chèques"," 5")-Synthèse!F10-Synthèse!F20-Synthèse!F30</f>
        <v>0</v>
      </c>
      <c r="G22">
        <f>+GETPIVOTDATA("Total TTC",F$3,"Semaine RGT CB/Chèques"," 6")-Synthèse!G10-Synthèse!G20-Synthèse!G30</f>
        <v>0</v>
      </c>
      <c r="H22">
        <f>+GETPIVOTDATA("Total TTC",G$3,"Semaine RGT CB/Chèques"," 7")-Synthèse!H10-Synthèse!H20-Synthèse!H30</f>
        <v>0</v>
      </c>
      <c r="I22">
        <f>+GETPIVOTDATA("Total TTC",H$3,"Semaine RGT CB/Chèques"," 8")-Synthèse!I10-Synthèse!I20-Synthèse!I30</f>
        <v>0</v>
      </c>
      <c r="J22">
        <f>+GETPIVOTDATA("Total TTC",I$3,"Semaine RGT CB/Chèques"," 9")-Synthèse!J10-Synthèse!J20-Synthèse!J30</f>
        <v>0</v>
      </c>
      <c r="K22">
        <f>+GETPIVOTDATA("Total TTC",J$3,"Semaine RGT CB/Chèques","10")-Synthèse!K10-Synthèse!K20-Synthèse!K30</f>
        <v>0</v>
      </c>
      <c r="L22">
        <f>+GETPIVOTDATA("Total TTC",K$3,"Semaine RGT CB/Chèques","11")-Synthèse!L10-Synthèse!L20-Synthèse!L30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BA39"/>
  <sheetViews>
    <sheetView topLeftCell="A2" zoomScale="86" zoomScaleNormal="86" workbookViewId="0">
      <pane xSplit="1" topLeftCell="B1" activePane="topRight" state="frozen"/>
      <selection pane="topRight" activeCell="I42" sqref="I42"/>
    </sheetView>
  </sheetViews>
  <sheetFormatPr baseColWidth="10" defaultRowHeight="15.75"/>
  <cols>
    <col min="1" max="1" width="22.88671875" bestFit="1" customWidth="1"/>
  </cols>
  <sheetData>
    <row r="7" spans="1:53">
      <c r="A7" s="109"/>
      <c r="B7" s="99" t="s">
        <v>444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</row>
    <row r="8" spans="1:53">
      <c r="A8" s="110"/>
      <c r="B8" s="100" t="s">
        <v>368</v>
      </c>
      <c r="C8" s="100" t="s">
        <v>369</v>
      </c>
      <c r="D8" s="100" t="s">
        <v>370</v>
      </c>
      <c r="E8" s="100" t="s">
        <v>371</v>
      </c>
      <c r="F8" s="100" t="s">
        <v>372</v>
      </c>
      <c r="G8" s="100" t="s">
        <v>373</v>
      </c>
      <c r="H8" s="100" t="s">
        <v>374</v>
      </c>
      <c r="I8" s="100" t="s">
        <v>375</v>
      </c>
      <c r="J8" s="100" t="s">
        <v>376</v>
      </c>
      <c r="K8" s="100" t="s">
        <v>377</v>
      </c>
      <c r="L8" s="100" t="s">
        <v>378</v>
      </c>
      <c r="M8" s="100" t="s">
        <v>379</v>
      </c>
      <c r="N8" s="100" t="s">
        <v>380</v>
      </c>
      <c r="O8" s="100" t="s">
        <v>381</v>
      </c>
      <c r="P8" s="100" t="s">
        <v>382</v>
      </c>
      <c r="Q8" s="100" t="s">
        <v>383</v>
      </c>
      <c r="R8" s="100" t="s">
        <v>384</v>
      </c>
      <c r="S8" s="100" t="s">
        <v>385</v>
      </c>
      <c r="T8" s="100" t="s">
        <v>386</v>
      </c>
      <c r="U8" s="100" t="s">
        <v>387</v>
      </c>
      <c r="V8" s="100" t="s">
        <v>388</v>
      </c>
      <c r="W8" s="100" t="s">
        <v>389</v>
      </c>
      <c r="X8" s="100" t="s">
        <v>390</v>
      </c>
      <c r="Y8" s="100" t="s">
        <v>391</v>
      </c>
      <c r="Z8" s="100" t="s">
        <v>392</v>
      </c>
      <c r="AA8" s="100" t="s">
        <v>393</v>
      </c>
      <c r="AB8" s="100" t="s">
        <v>394</v>
      </c>
      <c r="AC8" s="100" t="s">
        <v>395</v>
      </c>
      <c r="AD8" s="100" t="s">
        <v>396</v>
      </c>
      <c r="AE8" s="100" t="s">
        <v>397</v>
      </c>
      <c r="AF8" s="100" t="s">
        <v>398</v>
      </c>
      <c r="AG8" s="100" t="s">
        <v>399</v>
      </c>
      <c r="AH8" s="100" t="s">
        <v>400</v>
      </c>
      <c r="AI8" s="100" t="s">
        <v>401</v>
      </c>
      <c r="AJ8" s="100" t="s">
        <v>402</v>
      </c>
      <c r="AK8" s="100" t="s">
        <v>403</v>
      </c>
      <c r="AL8" s="100" t="s">
        <v>404</v>
      </c>
      <c r="AM8" s="100" t="s">
        <v>405</v>
      </c>
      <c r="AN8" s="100" t="s">
        <v>406</v>
      </c>
      <c r="AO8" s="100" t="s">
        <v>407</v>
      </c>
      <c r="AP8" s="100" t="s">
        <v>408</v>
      </c>
      <c r="AQ8" s="100" t="s">
        <v>409</v>
      </c>
      <c r="AR8" s="100" t="s">
        <v>410</v>
      </c>
      <c r="AS8" s="100" t="s">
        <v>411</v>
      </c>
      <c r="AT8" s="100" t="s">
        <v>412</v>
      </c>
      <c r="AU8" s="100" t="s">
        <v>413</v>
      </c>
      <c r="AV8" s="100" t="s">
        <v>414</v>
      </c>
      <c r="AW8" s="100" t="s">
        <v>415</v>
      </c>
      <c r="AX8" s="100" t="s">
        <v>416</v>
      </c>
      <c r="AY8" s="100" t="s">
        <v>417</v>
      </c>
      <c r="AZ8" s="100" t="s">
        <v>418</v>
      </c>
      <c r="BA8" s="100" t="s">
        <v>419</v>
      </c>
    </row>
    <row r="9" spans="1:53">
      <c r="A9" s="101" t="s">
        <v>38</v>
      </c>
      <c r="B9" s="102">
        <v>1172.31</v>
      </c>
      <c r="C9" s="102"/>
      <c r="D9" s="102"/>
      <c r="E9" s="102"/>
      <c r="F9" s="102"/>
      <c r="G9" s="102">
        <v>766.49</v>
      </c>
      <c r="H9" s="102"/>
      <c r="I9" s="102"/>
      <c r="J9" s="102"/>
      <c r="K9" s="102"/>
      <c r="L9" s="102">
        <v>151.19</v>
      </c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</row>
    <row r="10" spans="1:53">
      <c r="A10" s="103" t="s">
        <v>445</v>
      </c>
      <c r="B10" s="104">
        <f>+SUM('TABLEAU TRESO 3 - RECETTES'!B6:B7)</f>
        <v>0</v>
      </c>
      <c r="C10" s="104">
        <f>+SUM('TABLEAU TRESO 3 - RECETTES'!C6:C7)</f>
        <v>0</v>
      </c>
      <c r="D10" s="104">
        <f>+SUM('TABLEAU TRESO 3 - RECETTES'!D6:D7)</f>
        <v>161.04</v>
      </c>
      <c r="E10" s="104">
        <f>+SUM('TABLEAU TRESO 3 - RECETTES'!E6:E7)</f>
        <v>79.569999999999993</v>
      </c>
      <c r="F10" s="104">
        <f>+SUM('TABLEAU TRESO 3 - RECETTES'!F6:F7)</f>
        <v>352.18</v>
      </c>
      <c r="G10" s="104">
        <f>+SUM('TABLEAU TRESO 3 - RECETTES'!G6:G7)</f>
        <v>1421.82</v>
      </c>
      <c r="H10" s="104">
        <f>+SUM('TABLEAU TRESO 3 - RECETTES'!H6:H7)</f>
        <v>28.68</v>
      </c>
      <c r="I10" s="104">
        <f>+SUM('TABLEAU TRESO 3 - RECETTES'!I6:I7)</f>
        <v>1983.1599999999999</v>
      </c>
      <c r="J10" s="104">
        <f>+SUM('TABLEAU TRESO 3 - RECETTES'!J6:J7)</f>
        <v>653.44000000000005</v>
      </c>
      <c r="K10" s="104">
        <f>+SUM('TABLEAU TRESO 3 - RECETTES'!K6:K7)</f>
        <v>0</v>
      </c>
      <c r="L10" s="104">
        <f>+SUM('TABLEAU TRESO 3 - RECETTES'!L6:L7)</f>
        <v>0</v>
      </c>
      <c r="M10" s="104">
        <f>+SUM('TABLEAU TRESO 3 - RECETTES'!M6:M7)</f>
        <v>0</v>
      </c>
      <c r="N10" s="104">
        <f>+SUM('TABLEAU TRESO 3 - RECETTES'!N6:N7)</f>
        <v>0</v>
      </c>
      <c r="O10" s="104">
        <f>+SUM('TABLEAU TRESO 3 - RECETTES'!O6:O7)</f>
        <v>0</v>
      </c>
      <c r="P10" s="104">
        <f>+SUM('TABLEAU TRESO 3 - RECETTES'!P6:P7)</f>
        <v>0</v>
      </c>
      <c r="Q10" s="104">
        <f>+SUM('TABLEAU TRESO 3 - RECETTES'!Q6:Q7)</f>
        <v>0</v>
      </c>
      <c r="R10" s="104">
        <f>+SUM('TABLEAU TRESO 3 - RECETTES'!R6:R7)</f>
        <v>0</v>
      </c>
      <c r="S10" s="104">
        <f>+SUM('TABLEAU TRESO 3 - RECETTES'!S6:S7)</f>
        <v>0</v>
      </c>
      <c r="T10" s="104">
        <f>+SUM('TABLEAU TRESO 3 - RECETTES'!T6:T7)</f>
        <v>0</v>
      </c>
      <c r="U10" s="104">
        <f>+SUM('TABLEAU TRESO 3 - RECETTES'!U6:U7)</f>
        <v>0</v>
      </c>
      <c r="V10" s="104">
        <f>+SUM('TABLEAU TRESO 3 - RECETTES'!V6:V7)</f>
        <v>0</v>
      </c>
      <c r="W10" s="104">
        <f>+SUM('TABLEAU TRESO 3 - RECETTES'!W6:W7)</f>
        <v>0</v>
      </c>
      <c r="X10" s="104">
        <f>+SUM('TABLEAU TRESO 3 - RECETTES'!X6:X7)</f>
        <v>0</v>
      </c>
      <c r="Y10" s="104">
        <f>+SUM('TABLEAU TRESO 3 - RECETTES'!Y6:Y7)</f>
        <v>0</v>
      </c>
      <c r="Z10" s="104">
        <f>+SUM('TABLEAU TRESO 3 - RECETTES'!Z6:Z7)</f>
        <v>0</v>
      </c>
      <c r="AA10" s="104">
        <f>+SUM('TABLEAU TRESO 3 - RECETTES'!AA6:AA7)</f>
        <v>0</v>
      </c>
      <c r="AB10" s="104">
        <f>+SUM('TABLEAU TRESO 3 - RECETTES'!AB6:AB7)</f>
        <v>0</v>
      </c>
      <c r="AC10" s="104">
        <f>+SUM('TABLEAU TRESO 3 - RECETTES'!AC6:AC7)</f>
        <v>0</v>
      </c>
      <c r="AD10" s="104">
        <f>+SUM('TABLEAU TRESO 3 - RECETTES'!AD6:AD7)</f>
        <v>0</v>
      </c>
      <c r="AE10" s="104">
        <f>+SUM('TABLEAU TRESO 3 - RECETTES'!AE6:AE7)</f>
        <v>0</v>
      </c>
      <c r="AF10" s="104">
        <f>+SUM('TABLEAU TRESO 3 - RECETTES'!AF6:AF7)</f>
        <v>0</v>
      </c>
      <c r="AG10" s="104">
        <f>+SUM('TABLEAU TRESO 3 - RECETTES'!AG6:AG7)</f>
        <v>0</v>
      </c>
      <c r="AH10" s="104">
        <f>+SUM('TABLEAU TRESO 3 - RECETTES'!AH6:AH7)</f>
        <v>0</v>
      </c>
      <c r="AI10" s="104">
        <f>+SUM('TABLEAU TRESO 3 - RECETTES'!AI6:AI7)</f>
        <v>0</v>
      </c>
      <c r="AJ10" s="104">
        <f>+SUM('TABLEAU TRESO 3 - RECETTES'!AJ6:AJ7)</f>
        <v>0</v>
      </c>
      <c r="AK10" s="104">
        <f>+SUM('TABLEAU TRESO 3 - RECETTES'!AK6:AK7)</f>
        <v>0</v>
      </c>
      <c r="AL10" s="104">
        <f>+SUM('TABLEAU TRESO 3 - RECETTES'!AL6:AL7)</f>
        <v>0</v>
      </c>
      <c r="AM10" s="104">
        <f>+SUM('TABLEAU TRESO 3 - RECETTES'!AM6:AM7)</f>
        <v>0</v>
      </c>
      <c r="AN10" s="104">
        <f>+SUM('TABLEAU TRESO 3 - RECETTES'!AN6:AN7)</f>
        <v>0</v>
      </c>
      <c r="AO10" s="104">
        <f>+SUM('TABLEAU TRESO 3 - RECETTES'!AO6:AO7)</f>
        <v>0</v>
      </c>
      <c r="AP10" s="104">
        <f>+SUM('TABLEAU TRESO 3 - RECETTES'!AP6:AP7)</f>
        <v>0</v>
      </c>
      <c r="AQ10" s="104">
        <f>+SUM('TABLEAU TRESO 3 - RECETTES'!AQ6:AQ7)</f>
        <v>0</v>
      </c>
      <c r="AR10" s="104">
        <f>+SUM('TABLEAU TRESO 3 - RECETTES'!AR6:AR7)</f>
        <v>0</v>
      </c>
      <c r="AS10" s="104">
        <f>+SUM('TABLEAU TRESO 3 - RECETTES'!AS6:AS7)</f>
        <v>0</v>
      </c>
      <c r="AT10" s="104">
        <f>+SUM('TABLEAU TRESO 3 - RECETTES'!AT6:AT7)</f>
        <v>0</v>
      </c>
      <c r="AU10" s="104">
        <f>+SUM('TABLEAU TRESO 3 - RECETTES'!AU6:AU7)</f>
        <v>0</v>
      </c>
      <c r="AV10" s="104">
        <f>+SUM('TABLEAU TRESO 3 - RECETTES'!AV6:AV7)</f>
        <v>0</v>
      </c>
      <c r="AW10" s="104">
        <f>+SUM('TABLEAU TRESO 3 - RECETTES'!AW6:AW7)</f>
        <v>0</v>
      </c>
      <c r="AX10" s="104">
        <f>+SUM('TABLEAU TRESO 3 - RECETTES'!AX6:AX7)</f>
        <v>0</v>
      </c>
      <c r="AY10" s="104">
        <f>+SUM('TABLEAU TRESO 3 - RECETTES'!AY6:AY7)</f>
        <v>0</v>
      </c>
      <c r="AZ10" s="104">
        <f>+SUM('TABLEAU TRESO 3 - RECETTES'!AZ6:AZ7)</f>
        <v>0</v>
      </c>
      <c r="BA10" s="104">
        <f>+SUM('TABLEAU TRESO 3 - RECETTES'!BA6:BA7)</f>
        <v>0</v>
      </c>
    </row>
    <row r="11" spans="1:53">
      <c r="A11" s="103" t="s">
        <v>446</v>
      </c>
      <c r="B11" s="104">
        <f>+SUM('TABLEAU 1 TRESO - CHARGES FIXES'!B19:B26)</f>
        <v>2671.2900000000004</v>
      </c>
      <c r="C11" s="104">
        <f>+SUM('TABLEAU 1 TRESO - CHARGES FIXES'!C19:C26)</f>
        <v>1588.2300000000002</v>
      </c>
      <c r="D11" s="104">
        <f>+SUM('TABLEAU 1 TRESO - CHARGES FIXES'!D19:D26)</f>
        <v>7335.89</v>
      </c>
      <c r="E11" s="104">
        <f>+SUM('TABLEAU 1 TRESO - CHARGES FIXES'!E19:E26)</f>
        <v>2733.5</v>
      </c>
      <c r="F11" s="104">
        <f>+SUM('TABLEAU 1 TRESO - CHARGES FIXES'!F19:F26)</f>
        <v>3248.28</v>
      </c>
      <c r="G11" s="104">
        <f>+SUM('TABLEAU 1 TRESO - CHARGES FIXES'!G19:G26)</f>
        <v>619.8900000000001</v>
      </c>
      <c r="H11" s="104">
        <f>+SUM('TABLEAU 1 TRESO - CHARGES FIXES'!H19:H26)</f>
        <v>3077.8100000000004</v>
      </c>
      <c r="I11" s="104">
        <f>+SUM('TABLEAU 1 TRESO - CHARGES FIXES'!I19:I26)</f>
        <v>1789.51</v>
      </c>
      <c r="J11" s="104">
        <f>+SUM('TABLEAU 1 TRESO - CHARGES FIXES'!J19:J26)</f>
        <v>4592.78</v>
      </c>
      <c r="K11" s="104">
        <f>+SUM('TABLEAU 1 TRESO - CHARGES FIXES'!K19:K26)</f>
        <v>609.30999999999995</v>
      </c>
      <c r="L11" s="104">
        <f>+SUM('TABLEAU 1 TRESO - CHARGES FIXES'!L19:L26)</f>
        <v>1540.91</v>
      </c>
      <c r="M11" s="104">
        <f>+SUM('TABLEAU 1 TRESO - CHARGES FIXES'!M19:M26)</f>
        <v>3169.25</v>
      </c>
      <c r="N11" s="104">
        <f>+SUM('TABLEAU 1 TRESO - CHARGES FIXES'!N19:N26)</f>
        <v>3400.58</v>
      </c>
      <c r="O11" s="104">
        <f>+SUM('TABLEAU 1 TRESO - CHARGES FIXES'!O19:O26)</f>
        <v>1239.0700000000002</v>
      </c>
      <c r="P11" s="104">
        <f>+SUM('TABLEAU 1 TRESO - CHARGES FIXES'!P19:P26)</f>
        <v>1570.9</v>
      </c>
      <c r="Q11" s="104">
        <f>+SUM('TABLEAU 1 TRESO - CHARGES FIXES'!Q19:Q26)</f>
        <v>7308.51</v>
      </c>
      <c r="R11" s="104">
        <f>+SUM('TABLEAU 1 TRESO - CHARGES FIXES'!R19:R26)</f>
        <v>3400.58</v>
      </c>
      <c r="S11" s="104">
        <f>+SUM('TABLEAU 1 TRESO - CHARGES FIXES'!S19:S26)</f>
        <v>928.06000000000006</v>
      </c>
      <c r="T11" s="104">
        <f>+SUM('TABLEAU 1 TRESO - CHARGES FIXES'!T19:T26)</f>
        <v>1841.91</v>
      </c>
      <c r="U11" s="104">
        <f>+SUM('TABLEAU 1 TRESO - CHARGES FIXES'!U19:U26)</f>
        <v>1390</v>
      </c>
      <c r="V11" s="104">
        <f>+SUM('TABLEAU 1 TRESO - CHARGES FIXES'!V19:V26)</f>
        <v>3856.25</v>
      </c>
      <c r="W11" s="104">
        <f>+SUM('TABLEAU 1 TRESO - CHARGES FIXES'!W19:W26)</f>
        <v>2038.5700000000002</v>
      </c>
      <c r="X11" s="104">
        <f>+SUM('TABLEAU 1 TRESO - CHARGES FIXES'!X19:X26)</f>
        <v>631.07000000000005</v>
      </c>
      <c r="Y11" s="104">
        <f>+SUM('TABLEAU 1 TRESO - CHARGES FIXES'!Y19:Y26)</f>
        <v>1540.91</v>
      </c>
      <c r="Z11" s="104">
        <f>+SUM('TABLEAU 1 TRESO - CHARGES FIXES'!Z19:Z26)</f>
        <v>3139.51</v>
      </c>
      <c r="AA11" s="104">
        <f>+SUM('TABLEAU 1 TRESO - CHARGES FIXES'!AA19:AA26)</f>
        <v>3400.58</v>
      </c>
      <c r="AB11" s="104">
        <f>+SUM('TABLEAU 1 TRESO - CHARGES FIXES'!AB19:AB26)</f>
        <v>1239.0700000000002</v>
      </c>
      <c r="AC11" s="104">
        <f>+SUM('TABLEAU 1 TRESO - CHARGES FIXES'!AC19:AC26)</f>
        <v>1570.9</v>
      </c>
      <c r="AD11" s="104">
        <f>+SUM('TABLEAU 1 TRESO - CHARGES FIXES'!AD19:AD26)</f>
        <v>7375.25</v>
      </c>
      <c r="AE11" s="104">
        <f>+SUM('TABLEAU 1 TRESO - CHARGES FIXES'!AE19:AE26)</f>
        <v>2733.5</v>
      </c>
      <c r="AF11" s="104">
        <f>+SUM('TABLEAU 1 TRESO - CHARGES FIXES'!AF19:AF26)</f>
        <v>1305.0700000000002</v>
      </c>
      <c r="AG11" s="104">
        <f>+SUM('TABLEAU 1 TRESO - CHARGES FIXES'!AG19:AG26)</f>
        <v>631.07000000000005</v>
      </c>
      <c r="AH11" s="104">
        <f>+SUM('TABLEAU 1 TRESO - CHARGES FIXES'!AH19:AH26)</f>
        <v>2890.91</v>
      </c>
      <c r="AI11" s="104">
        <f>+SUM('TABLEAU 1 TRESO - CHARGES FIXES'!AI19:AI26)</f>
        <v>1789.51</v>
      </c>
      <c r="AJ11" s="104">
        <f>+SUM('TABLEAU 1 TRESO - CHARGES FIXES'!AJ19:AJ26)</f>
        <v>4038.57</v>
      </c>
      <c r="AK11" s="104">
        <f>+SUM('TABLEAU 1 TRESO - CHARGES FIXES'!AK19:AK26)</f>
        <v>601.08000000000004</v>
      </c>
      <c r="AL11" s="104">
        <f>+SUM('TABLEAU 1 TRESO - CHARGES FIXES'!AL19:AL26)</f>
        <v>1570.9</v>
      </c>
      <c r="AM11" s="104">
        <f>+SUM('TABLEAU 1 TRESO - CHARGES FIXES'!AM19:AM26)</f>
        <v>3206.25</v>
      </c>
      <c r="AN11" s="104">
        <f>+SUM('TABLEAU 1 TRESO - CHARGES FIXES'!AN19:AN26)</f>
        <v>3400.58</v>
      </c>
      <c r="AO11" s="104">
        <f>+SUM('TABLEAU 1 TRESO - CHARGES FIXES'!AO19:AO26)</f>
        <v>1089.1200000000001</v>
      </c>
      <c r="AP11" s="104">
        <f>+SUM('TABLEAU 1 TRESO - CHARGES FIXES'!AP19:AP26)</f>
        <v>1626.8500000000001</v>
      </c>
      <c r="AQ11" s="104">
        <f>+SUM('TABLEAU 1 TRESO - CHARGES FIXES'!AQ19:AQ26)</f>
        <v>7348.51</v>
      </c>
      <c r="AR11" s="104">
        <f>+SUM('TABLEAU 1 TRESO - CHARGES FIXES'!AR19:AR26)</f>
        <v>2733.5</v>
      </c>
      <c r="AS11" s="104">
        <f>+SUM('TABLEAU 1 TRESO - CHARGES FIXES'!AS19:AS26)</f>
        <v>1305.0700000000002</v>
      </c>
      <c r="AT11" s="104">
        <f>+SUM('TABLEAU 1 TRESO - CHARGES FIXES'!AT19:AT26)</f>
        <v>577.07000000000005</v>
      </c>
      <c r="AU11" s="104">
        <f>+SUM('TABLEAU 1 TRESO - CHARGES FIXES'!AU19:AU26)</f>
        <v>1540.91</v>
      </c>
      <c r="AV11" s="104">
        <f>+SUM('TABLEAU 1 TRESO - CHARGES FIXES'!AV19:AV26)</f>
        <v>3206.25</v>
      </c>
      <c r="AW11" s="104">
        <f>+SUM('TABLEAU 1 TRESO - CHARGES FIXES'!AW19:AW26)</f>
        <v>4038.57</v>
      </c>
      <c r="AX11" s="104">
        <f>+SUM('TABLEAU 1 TRESO - CHARGES FIXES'!AX19:AX26)</f>
        <v>547.08000000000004</v>
      </c>
      <c r="AY11" s="104">
        <f>+SUM('TABLEAU 1 TRESO - CHARGES FIXES'!AY19:AY26)</f>
        <v>1570.9</v>
      </c>
      <c r="AZ11" s="104">
        <f>+SUM('TABLEAU 1 TRESO - CHARGES FIXES'!AZ19:AZ26)</f>
        <v>3139.51</v>
      </c>
      <c r="BA11" s="104">
        <f>+SUM('TABLEAU 1 TRESO - CHARGES FIXES'!BA19:BA26)</f>
        <v>2733.5</v>
      </c>
    </row>
    <row r="12" spans="1:53">
      <c r="A12" s="113" t="s">
        <v>447</v>
      </c>
      <c r="B12" s="114">
        <f>GETPIVOTDATA("Total TTC",'TABLEAU 2 TRESO - ACHATS'!$A$3,"Prestataire","CNOCD","Banque","Société Générale","Semaine de décaissement",1)</f>
        <v>0</v>
      </c>
      <c r="C12" s="114">
        <f>GETPIVOTDATA("Total TTC",'TABLEAU 2 TRESO - ACHATS'!$A$3,"Prestataire","CNOCD","Banque","Société Générale","Semaine de décaissement",2)</f>
        <v>0</v>
      </c>
      <c r="D12" s="114">
        <f>GETPIVOTDATA("Total TTC",'TABLEAU 2 TRESO - ACHATS'!$A$3,"Prestataire","CNOCD","Banque","Société Générale","Semaine de décaissement",3)</f>
        <v>0</v>
      </c>
      <c r="E12" s="114">
        <f>GETPIVOTDATA("Total TTC",'TABLEAU 2 TRESO - ACHATS'!$A$3,"Prestataire","CNOCD","Banque","Société Générale","Semaine de décaissement",4)</f>
        <v>0</v>
      </c>
      <c r="F12" s="114">
        <f>GETPIVOTDATA("Total TTC",'TABLEAU 2 TRESO - ACHATS'!$A$3,"Prestataire","CNOCD","Banque","Société Générale","Semaine de décaissement",5)</f>
        <v>0</v>
      </c>
      <c r="G12" s="114">
        <f>GETPIVOTDATA("Total TTC",'TABLEAU 2 TRESO - ACHATS'!$A$3,"Prestataire","CNOCD","Banque","Société Générale","Semaine de décaissement",6)</f>
        <v>0</v>
      </c>
      <c r="H12" s="114">
        <f>GETPIVOTDATA("Total TTC",'TABLEAU 2 TRESO - ACHATS'!$A$3,"Prestataire","CNOCD","Banque","Société Générale","Semaine de décaissement",7)</f>
        <v>0</v>
      </c>
      <c r="I12" s="114">
        <f>GETPIVOTDATA("Total TTC",'TABLEAU 2 TRESO - ACHATS'!$A$3,"Prestataire","CNOCD","Banque","Société Générale","Semaine de décaissement",8)</f>
        <v>0</v>
      </c>
      <c r="J12" s="114">
        <f>GETPIVOTDATA("Total TTC",'TABLEAU 2 TRESO - ACHATS'!$A$3,"Prestataire","CNOCD","Banque","Société Générale","Semaine de décaissement",9)</f>
        <v>0</v>
      </c>
      <c r="K12" s="114">
        <f>GETPIVOTDATA("Total TTC",'TABLEAU 2 TRESO - ACHATS'!$A$3,"Prestataire","CNOCD","Banque","Société Générale","Semaine de décaissement",10)</f>
        <v>0</v>
      </c>
      <c r="L12" s="114">
        <f>GETPIVOTDATA("Total TTC",'TABLEAU 2 TRESO - ACHATS'!$A$3,"Prestataire","CNOCD","Banque","Société Générale","Semaine de décaissement",11)</f>
        <v>0</v>
      </c>
      <c r="M12" s="114">
        <f>GETPIVOTDATA("Total TTC",'TABLEAU 2 TRESO - ACHATS'!$A$3,"Prestataire","CNOCD","Banque","Société Générale","Semaine de décaissement",12)</f>
        <v>0</v>
      </c>
      <c r="N12" s="114">
        <f>GETPIVOTDATA("Total TTC",'TABLEAU 2 TRESO - ACHATS'!$A$3,"Prestataire","CNOCD","Banque","Société Générale","Semaine de décaissement",3)</f>
        <v>0</v>
      </c>
      <c r="O12" s="114">
        <f>GETPIVOTDATA("Total TTC",'TABLEAU 2 TRESO - ACHATS'!$A$3,"Prestataire","CNOCD","Banque","Société Générale","Semaine de décaissement",14)</f>
        <v>417</v>
      </c>
      <c r="P12" s="114">
        <f>GETPIVOTDATA("Total TTC",'TABLEAU 2 TRESO - ACHATS'!$A$3,"Prestataire","CNOCD","Banque","Société Générale","Semaine de décaissement",3)</f>
        <v>0</v>
      </c>
      <c r="Q12" s="114">
        <f>GETPIVOTDATA("Total TTC",'TABLEAU 2 TRESO - ACHATS'!$A$3,"Prestataire","CNOCD","Banque","Société Générale","Semaine de décaissement",3)</f>
        <v>0</v>
      </c>
      <c r="R12" s="114">
        <f>GETPIVOTDATA("Total TTC",'TABLEAU 2 TRESO - ACHATS'!$A$3,"Prestataire","CNOCD","Banque","Société Générale","Semaine de décaissement",3)</f>
        <v>0</v>
      </c>
      <c r="S12" s="114">
        <f>GETPIVOTDATA("Total TTC",'TABLEAU 2 TRESO - ACHATS'!$A$3,"Prestataire","CNOCD","Banque","Société Générale","Semaine de décaissement",3)</f>
        <v>0</v>
      </c>
      <c r="T12" s="114">
        <f>GETPIVOTDATA("Total TTC",'TABLEAU 2 TRESO - ACHATS'!$A$3,"Prestataire","CNOCD","Banque","Société Générale","Semaine de décaissement",3)</f>
        <v>0</v>
      </c>
      <c r="U12" s="114">
        <f>GETPIVOTDATA("Total TTC",'TABLEAU 2 TRESO - ACHATS'!$A$3,"Prestataire","CNOCD","Banque","Société Générale","Semaine de décaissement",3)</f>
        <v>0</v>
      </c>
      <c r="V12" s="114">
        <f>GETPIVOTDATA("Total TTC",'TABLEAU 2 TRESO - ACHATS'!$A$3,"Prestataire","CNOCD","Banque","Société Générale","Semaine de décaissement",3)</f>
        <v>0</v>
      </c>
      <c r="W12" s="114">
        <f>GETPIVOTDATA("Total TTC",'TABLEAU 2 TRESO - ACHATS'!$A$3,"Prestataire","CNOCD","Banque","Société Générale","Semaine de décaissement",3)</f>
        <v>0</v>
      </c>
      <c r="X12" s="114">
        <f>GETPIVOTDATA("Total TTC",'TABLEAU 2 TRESO - ACHATS'!$A$3,"Prestataire","CNOCD","Banque","Société Générale","Semaine de décaissement",3)</f>
        <v>0</v>
      </c>
      <c r="Y12" s="114">
        <f>GETPIVOTDATA("Total TTC",'TABLEAU 2 TRESO - ACHATS'!$A$3,"Prestataire","CNOCD","Banque","Société Générale","Semaine de décaissement",3)</f>
        <v>0</v>
      </c>
      <c r="Z12" s="114">
        <f>GETPIVOTDATA("Total TTC",'TABLEAU 2 TRESO - ACHATS'!$A$3,"Prestataire","CNOCD","Banque","Société Générale","Semaine de décaissement",3)</f>
        <v>0</v>
      </c>
      <c r="AA12" s="114">
        <f>GETPIVOTDATA("Total TTC",'TABLEAU 2 TRESO - ACHATS'!$A$3,"Prestataire","CNOCD","Banque","Société Générale","Semaine de décaissement",3)</f>
        <v>0</v>
      </c>
      <c r="AB12" s="114">
        <f>GETPIVOTDATA("Total TTC",'TABLEAU 2 TRESO - ACHATS'!$A$3,"Prestataire","CNOCD","Banque","Société Générale","Semaine de décaissement",3)</f>
        <v>0</v>
      </c>
      <c r="AC12" s="114">
        <f>GETPIVOTDATA("Total TTC",'TABLEAU 2 TRESO - ACHATS'!$A$3,"Prestataire","CNOCD","Banque","Société Générale","Semaine de décaissement",3)</f>
        <v>0</v>
      </c>
      <c r="AD12" s="114">
        <f>GETPIVOTDATA("Total TTC",'TABLEAU 2 TRESO - ACHATS'!$A$3,"Prestataire","CNOCD","Banque","Société Générale","Semaine de décaissement",3)</f>
        <v>0</v>
      </c>
      <c r="AE12" s="114">
        <f>GETPIVOTDATA("Total TTC",'TABLEAU 2 TRESO - ACHATS'!$A$3,"Prestataire","CNOCD","Banque","Société Générale","Semaine de décaissement",3)</f>
        <v>0</v>
      </c>
      <c r="AF12" s="114">
        <f>GETPIVOTDATA("Total TTC",'TABLEAU 2 TRESO - ACHATS'!$A$3,"Prestataire","CNOCD","Banque","Société Générale","Semaine de décaissement",3)</f>
        <v>0</v>
      </c>
      <c r="AG12" s="114">
        <f>GETPIVOTDATA("Total TTC",'TABLEAU 2 TRESO - ACHATS'!$A$3,"Prestataire","CNOCD","Banque","Société Générale","Semaine de décaissement",3)</f>
        <v>0</v>
      </c>
      <c r="AH12" s="114">
        <f>GETPIVOTDATA("Total TTC",'TABLEAU 2 TRESO - ACHATS'!$A$3,"Prestataire","CNOCD","Banque","Société Générale","Semaine de décaissement",3)</f>
        <v>0</v>
      </c>
      <c r="AI12" s="114">
        <f>GETPIVOTDATA("Total TTC",'TABLEAU 2 TRESO - ACHATS'!$A$3,"Prestataire","CNOCD","Banque","Société Générale","Semaine de décaissement",3)</f>
        <v>0</v>
      </c>
      <c r="AJ12" s="114">
        <f>GETPIVOTDATA("Total TTC",'TABLEAU 2 TRESO - ACHATS'!$A$3,"Prestataire","CNOCD","Banque","Société Générale","Semaine de décaissement",3)</f>
        <v>0</v>
      </c>
      <c r="AK12" s="114">
        <f>GETPIVOTDATA("Total TTC",'TABLEAU 2 TRESO - ACHATS'!$A$3,"Prestataire","CNOCD","Banque","Société Générale","Semaine de décaissement",3)</f>
        <v>0</v>
      </c>
      <c r="AL12" s="114">
        <f>GETPIVOTDATA("Total TTC",'TABLEAU 2 TRESO - ACHATS'!$A$3,"Prestataire","CNOCD","Banque","Société Générale","Semaine de décaissement",3)</f>
        <v>0</v>
      </c>
      <c r="AM12" s="114">
        <f>GETPIVOTDATA("Total TTC",'TABLEAU 2 TRESO - ACHATS'!$A$3,"Prestataire","CNOCD","Banque","Société Générale","Semaine de décaissement",3)</f>
        <v>0</v>
      </c>
      <c r="AN12" s="114">
        <f>GETPIVOTDATA("Total TTC",'TABLEAU 2 TRESO - ACHATS'!$A$3,"Prestataire","CNOCD","Banque","Société Générale","Semaine de décaissement",3)</f>
        <v>0</v>
      </c>
      <c r="AO12" s="114">
        <f>GETPIVOTDATA("Total TTC",'TABLEAU 2 TRESO - ACHATS'!$A$3,"Prestataire","CNOCD","Banque","Société Générale","Semaine de décaissement",3)</f>
        <v>0</v>
      </c>
      <c r="AP12" s="114">
        <f>GETPIVOTDATA("Total TTC",'TABLEAU 2 TRESO - ACHATS'!$A$3,"Prestataire","CNOCD","Banque","Société Générale","Semaine de décaissement",3)</f>
        <v>0</v>
      </c>
      <c r="AQ12" s="114">
        <f>GETPIVOTDATA("Total TTC",'TABLEAU 2 TRESO - ACHATS'!$A$3,"Prestataire","CNOCD","Banque","Société Générale","Semaine de décaissement",3)</f>
        <v>0</v>
      </c>
      <c r="AR12" s="114">
        <f>GETPIVOTDATA("Total TTC",'TABLEAU 2 TRESO - ACHATS'!$A$3,"Prestataire","CNOCD","Banque","Société Générale","Semaine de décaissement",3)</f>
        <v>0</v>
      </c>
      <c r="AS12" s="114">
        <f>GETPIVOTDATA("Total TTC",'TABLEAU 2 TRESO - ACHATS'!$A$3,"Prestataire","CNOCD","Banque","Société Générale","Semaine de décaissement",3)</f>
        <v>0</v>
      </c>
      <c r="AT12" s="114">
        <f>GETPIVOTDATA("Total TTC",'TABLEAU 2 TRESO - ACHATS'!$A$3,"Prestataire","CNOCD","Banque","Société Générale","Semaine de décaissement",3)</f>
        <v>0</v>
      </c>
      <c r="AU12" s="114">
        <f>GETPIVOTDATA("Total TTC",'TABLEAU 2 TRESO - ACHATS'!$A$3,"Prestataire","CNOCD","Banque","Société Générale","Semaine de décaissement",3)</f>
        <v>0</v>
      </c>
      <c r="AV12" s="114">
        <f>GETPIVOTDATA("Total TTC",'TABLEAU 2 TRESO - ACHATS'!$A$3,"Prestataire","CNOCD","Banque","Société Générale","Semaine de décaissement",3)</f>
        <v>0</v>
      </c>
      <c r="AW12" s="114">
        <f>GETPIVOTDATA("Total TTC",'TABLEAU 2 TRESO - ACHATS'!$A$3,"Prestataire","CNOCD","Banque","Société Générale","Semaine de décaissement",3)</f>
        <v>0</v>
      </c>
      <c r="AX12" s="114">
        <f>GETPIVOTDATA("Total TTC",'TABLEAU 2 TRESO - ACHATS'!$A$3,"Prestataire","CNOCD","Banque","Société Générale","Semaine de décaissement",3)</f>
        <v>0</v>
      </c>
      <c r="AY12" s="114">
        <f>GETPIVOTDATA("Total TTC",'TABLEAU 2 TRESO - ACHATS'!$A$3,"Prestataire","CNOCD","Banque","Société Générale","Semaine de décaissement",3)</f>
        <v>0</v>
      </c>
      <c r="AZ12" s="114">
        <f>GETPIVOTDATA("Total TTC",'TABLEAU 2 TRESO - ACHATS'!$A$3,"Prestataire","CNOCD","Banque","Société Générale","Semaine de décaissement",3)</f>
        <v>0</v>
      </c>
      <c r="BA12" s="114">
        <f>GETPIVOTDATA("Total TTC",'TABLEAU 2 TRESO - ACHATS'!$A$3,"Prestataire","CNOCD","Banque","Société Générale","Semaine de décaissement",3)</f>
        <v>0</v>
      </c>
    </row>
    <row r="13" spans="1:53">
      <c r="A13" s="111" t="s">
        <v>448</v>
      </c>
      <c r="B13" s="112">
        <f>+B9+B10-B11-B12</f>
        <v>-1498.9800000000005</v>
      </c>
      <c r="C13" s="112">
        <f>+C10-C11-C12</f>
        <v>-1588.2300000000002</v>
      </c>
      <c r="D13" s="112">
        <f t="shared" ref="D13:BA13" si="0">+D10-D11-D12</f>
        <v>-7174.85</v>
      </c>
      <c r="E13" s="112">
        <f t="shared" si="0"/>
        <v>-2653.93</v>
      </c>
      <c r="F13" s="112">
        <f t="shared" si="0"/>
        <v>-2896.1000000000004</v>
      </c>
      <c r="G13" s="112">
        <f t="shared" si="0"/>
        <v>801.92999999999984</v>
      </c>
      <c r="H13" s="112">
        <f t="shared" si="0"/>
        <v>-3049.1300000000006</v>
      </c>
      <c r="I13" s="112">
        <f t="shared" si="0"/>
        <v>193.64999999999986</v>
      </c>
      <c r="J13" s="112">
        <f t="shared" si="0"/>
        <v>-3939.3399999999997</v>
      </c>
      <c r="K13" s="112">
        <f t="shared" si="0"/>
        <v>-609.30999999999995</v>
      </c>
      <c r="L13" s="112">
        <f t="shared" si="0"/>
        <v>-1540.91</v>
      </c>
      <c r="M13" s="112">
        <f t="shared" si="0"/>
        <v>-3169.25</v>
      </c>
      <c r="N13" s="112">
        <f t="shared" si="0"/>
        <v>-3400.58</v>
      </c>
      <c r="O13" s="112">
        <f t="shared" si="0"/>
        <v>-1656.0700000000002</v>
      </c>
      <c r="P13" s="112">
        <f t="shared" si="0"/>
        <v>-1570.9</v>
      </c>
      <c r="Q13" s="112">
        <f t="shared" si="0"/>
        <v>-7308.51</v>
      </c>
      <c r="R13" s="112">
        <f t="shared" si="0"/>
        <v>-3400.58</v>
      </c>
      <c r="S13" s="112">
        <f t="shared" si="0"/>
        <v>-928.06000000000006</v>
      </c>
      <c r="T13" s="112">
        <f t="shared" si="0"/>
        <v>-1841.91</v>
      </c>
      <c r="U13" s="112">
        <f t="shared" si="0"/>
        <v>-1390</v>
      </c>
      <c r="V13" s="112">
        <f t="shared" si="0"/>
        <v>-3856.25</v>
      </c>
      <c r="W13" s="112">
        <f t="shared" si="0"/>
        <v>-2038.5700000000002</v>
      </c>
      <c r="X13" s="112">
        <f t="shared" si="0"/>
        <v>-631.07000000000005</v>
      </c>
      <c r="Y13" s="112">
        <f t="shared" si="0"/>
        <v>-1540.91</v>
      </c>
      <c r="Z13" s="112">
        <f t="shared" si="0"/>
        <v>-3139.51</v>
      </c>
      <c r="AA13" s="112">
        <f t="shared" si="0"/>
        <v>-3400.58</v>
      </c>
      <c r="AB13" s="112">
        <f t="shared" si="0"/>
        <v>-1239.0700000000002</v>
      </c>
      <c r="AC13" s="112">
        <f t="shared" si="0"/>
        <v>-1570.9</v>
      </c>
      <c r="AD13" s="112">
        <f t="shared" si="0"/>
        <v>-7375.25</v>
      </c>
      <c r="AE13" s="112">
        <f t="shared" si="0"/>
        <v>-2733.5</v>
      </c>
      <c r="AF13" s="112">
        <f t="shared" si="0"/>
        <v>-1305.0700000000002</v>
      </c>
      <c r="AG13" s="112">
        <f t="shared" si="0"/>
        <v>-631.07000000000005</v>
      </c>
      <c r="AH13" s="112">
        <f t="shared" si="0"/>
        <v>-2890.91</v>
      </c>
      <c r="AI13" s="112">
        <f t="shared" si="0"/>
        <v>-1789.51</v>
      </c>
      <c r="AJ13" s="112">
        <f t="shared" si="0"/>
        <v>-4038.57</v>
      </c>
      <c r="AK13" s="112">
        <f t="shared" si="0"/>
        <v>-601.08000000000004</v>
      </c>
      <c r="AL13" s="112">
        <f t="shared" si="0"/>
        <v>-1570.9</v>
      </c>
      <c r="AM13" s="112">
        <f t="shared" si="0"/>
        <v>-3206.25</v>
      </c>
      <c r="AN13" s="112">
        <f t="shared" si="0"/>
        <v>-3400.58</v>
      </c>
      <c r="AO13" s="112">
        <f t="shared" si="0"/>
        <v>-1089.1200000000001</v>
      </c>
      <c r="AP13" s="112">
        <f t="shared" si="0"/>
        <v>-1626.8500000000001</v>
      </c>
      <c r="AQ13" s="112">
        <f t="shared" si="0"/>
        <v>-7348.51</v>
      </c>
      <c r="AR13" s="112">
        <f t="shared" si="0"/>
        <v>-2733.5</v>
      </c>
      <c r="AS13" s="112">
        <f t="shared" si="0"/>
        <v>-1305.0700000000002</v>
      </c>
      <c r="AT13" s="112">
        <f t="shared" si="0"/>
        <v>-577.07000000000005</v>
      </c>
      <c r="AU13" s="112">
        <f t="shared" si="0"/>
        <v>-1540.91</v>
      </c>
      <c r="AV13" s="112">
        <f t="shared" si="0"/>
        <v>-3206.25</v>
      </c>
      <c r="AW13" s="112">
        <f t="shared" si="0"/>
        <v>-4038.57</v>
      </c>
      <c r="AX13" s="112">
        <f t="shared" si="0"/>
        <v>-547.08000000000004</v>
      </c>
      <c r="AY13" s="112">
        <f t="shared" si="0"/>
        <v>-1570.9</v>
      </c>
      <c r="AZ13" s="112">
        <f t="shared" si="0"/>
        <v>-3139.51</v>
      </c>
      <c r="BA13" s="112">
        <f t="shared" si="0"/>
        <v>-2733.5</v>
      </c>
    </row>
    <row r="14" spans="1:53" ht="8.25" customHeight="1">
      <c r="A14" s="103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04"/>
      <c r="AX14" s="104"/>
      <c r="AY14" s="104"/>
      <c r="AZ14" s="104"/>
      <c r="BA14" s="104"/>
    </row>
    <row r="15" spans="1:53">
      <c r="A15" s="103" t="s">
        <v>449</v>
      </c>
      <c r="B15" s="104">
        <v>1000</v>
      </c>
      <c r="C15" s="104">
        <v>5500.91</v>
      </c>
      <c r="D15" s="104">
        <v>1313</v>
      </c>
      <c r="E15" s="104"/>
      <c r="F15" s="104">
        <f>1000+1389+500</f>
        <v>2889</v>
      </c>
      <c r="G15" s="104">
        <v>500</v>
      </c>
      <c r="H15" s="104">
        <v>500</v>
      </c>
      <c r="I15" s="104">
        <v>716.51</v>
      </c>
      <c r="J15" s="104">
        <v>243.54</v>
      </c>
      <c r="K15" s="104"/>
      <c r="L15" s="104">
        <v>2313</v>
      </c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  <c r="AL15" s="104"/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</row>
    <row r="16" spans="1:53">
      <c r="A16" s="103" t="s">
        <v>450</v>
      </c>
      <c r="B16" s="104"/>
      <c r="C16" s="104"/>
      <c r="D16" s="104"/>
      <c r="E16" s="104"/>
      <c r="F16" s="104"/>
      <c r="G16" s="104"/>
      <c r="H16" s="104">
        <v>-3540.34</v>
      </c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</row>
    <row r="17" spans="1:53">
      <c r="A17" s="103" t="s">
        <v>560</v>
      </c>
      <c r="B17" s="104"/>
      <c r="C17" s="104"/>
      <c r="D17" s="104">
        <v>-200</v>
      </c>
      <c r="E17" s="104">
        <v>-155</v>
      </c>
      <c r="F17" s="104"/>
      <c r="G17" s="104">
        <v>-200</v>
      </c>
      <c r="H17" s="104"/>
      <c r="I17" s="104"/>
      <c r="J17" s="104"/>
      <c r="K17" s="104">
        <v>-69.040000000000006</v>
      </c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104"/>
      <c r="AR17" s="104"/>
      <c r="AS17" s="104"/>
      <c r="AT17" s="104"/>
      <c r="AU17" s="104"/>
      <c r="AV17" s="104"/>
      <c r="AW17" s="104"/>
      <c r="AX17" s="104"/>
      <c r="AY17" s="104"/>
      <c r="AZ17" s="104"/>
      <c r="BA17" s="104"/>
    </row>
    <row r="18" spans="1:53">
      <c r="A18" s="101" t="s">
        <v>451</v>
      </c>
      <c r="B18" s="102">
        <f>+SUM(B13:B17)</f>
        <v>-498.98000000000047</v>
      </c>
      <c r="C18" s="102">
        <f>+SUM(C13:C17)+B18</f>
        <v>3413.6999999999989</v>
      </c>
      <c r="D18" s="102">
        <f t="shared" ref="D18:BA18" si="1">+SUM(D13:D17)+C18</f>
        <v>-2648.1500000000015</v>
      </c>
      <c r="E18" s="102">
        <f t="shared" si="1"/>
        <v>-5457.0800000000017</v>
      </c>
      <c r="F18" s="102">
        <f>+SUM(F13:F17)+E18</f>
        <v>-5464.1800000000021</v>
      </c>
      <c r="G18" s="102">
        <f t="shared" si="1"/>
        <v>-4362.2500000000018</v>
      </c>
      <c r="H18" s="102">
        <f t="shared" si="1"/>
        <v>-10451.720000000003</v>
      </c>
      <c r="I18" s="102">
        <f t="shared" si="1"/>
        <v>-9541.5600000000031</v>
      </c>
      <c r="J18" s="102">
        <f t="shared" si="1"/>
        <v>-13237.360000000002</v>
      </c>
      <c r="K18" s="102">
        <f t="shared" si="1"/>
        <v>-13915.710000000003</v>
      </c>
      <c r="L18" s="102">
        <f t="shared" si="1"/>
        <v>-13143.620000000003</v>
      </c>
      <c r="M18" s="102">
        <f t="shared" si="1"/>
        <v>-16312.870000000003</v>
      </c>
      <c r="N18" s="102">
        <f t="shared" si="1"/>
        <v>-19713.450000000004</v>
      </c>
      <c r="O18" s="102">
        <f t="shared" si="1"/>
        <v>-21369.520000000004</v>
      </c>
      <c r="P18" s="102">
        <f t="shared" si="1"/>
        <v>-22940.420000000006</v>
      </c>
      <c r="Q18" s="102">
        <f t="shared" si="1"/>
        <v>-30248.930000000008</v>
      </c>
      <c r="R18" s="102">
        <f t="shared" si="1"/>
        <v>-33649.510000000009</v>
      </c>
      <c r="S18" s="102">
        <f t="shared" si="1"/>
        <v>-34577.570000000007</v>
      </c>
      <c r="T18" s="102">
        <f t="shared" si="1"/>
        <v>-36419.48000000001</v>
      </c>
      <c r="U18" s="102">
        <f t="shared" si="1"/>
        <v>-37809.48000000001</v>
      </c>
      <c r="V18" s="102">
        <f t="shared" si="1"/>
        <v>-41665.73000000001</v>
      </c>
      <c r="W18" s="102">
        <f t="shared" si="1"/>
        <v>-43704.30000000001</v>
      </c>
      <c r="X18" s="102">
        <f t="shared" si="1"/>
        <v>-44335.37000000001</v>
      </c>
      <c r="Y18" s="102">
        <f t="shared" si="1"/>
        <v>-45876.280000000013</v>
      </c>
      <c r="Z18" s="102">
        <f t="shared" si="1"/>
        <v>-49015.790000000015</v>
      </c>
      <c r="AA18" s="102">
        <f t="shared" si="1"/>
        <v>-52416.370000000017</v>
      </c>
      <c r="AB18" s="102">
        <f t="shared" si="1"/>
        <v>-53655.440000000017</v>
      </c>
      <c r="AC18" s="102">
        <f t="shared" si="1"/>
        <v>-55226.340000000018</v>
      </c>
      <c r="AD18" s="102">
        <f t="shared" si="1"/>
        <v>-62601.590000000018</v>
      </c>
      <c r="AE18" s="102">
        <f t="shared" si="1"/>
        <v>-65335.090000000018</v>
      </c>
      <c r="AF18" s="102">
        <f t="shared" si="1"/>
        <v>-66640.160000000018</v>
      </c>
      <c r="AG18" s="102">
        <f t="shared" si="1"/>
        <v>-67271.230000000025</v>
      </c>
      <c r="AH18" s="102">
        <f t="shared" si="1"/>
        <v>-70162.140000000029</v>
      </c>
      <c r="AI18" s="102">
        <f t="shared" si="1"/>
        <v>-71951.650000000023</v>
      </c>
      <c r="AJ18" s="102">
        <f t="shared" si="1"/>
        <v>-75990.22000000003</v>
      </c>
      <c r="AK18" s="102">
        <f t="shared" si="1"/>
        <v>-76591.300000000032</v>
      </c>
      <c r="AL18" s="102">
        <f t="shared" si="1"/>
        <v>-78162.200000000026</v>
      </c>
      <c r="AM18" s="102">
        <f t="shared" si="1"/>
        <v>-81368.450000000026</v>
      </c>
      <c r="AN18" s="102">
        <f t="shared" si="1"/>
        <v>-84769.030000000028</v>
      </c>
      <c r="AO18" s="102">
        <f t="shared" si="1"/>
        <v>-85858.150000000023</v>
      </c>
      <c r="AP18" s="102">
        <f t="shared" si="1"/>
        <v>-87485.000000000029</v>
      </c>
      <c r="AQ18" s="102">
        <f t="shared" si="1"/>
        <v>-94833.510000000024</v>
      </c>
      <c r="AR18" s="102">
        <f t="shared" si="1"/>
        <v>-97567.010000000024</v>
      </c>
      <c r="AS18" s="102">
        <f t="shared" si="1"/>
        <v>-98872.080000000031</v>
      </c>
      <c r="AT18" s="102">
        <f t="shared" si="1"/>
        <v>-99449.150000000038</v>
      </c>
      <c r="AU18" s="102">
        <f t="shared" si="1"/>
        <v>-100990.06000000004</v>
      </c>
      <c r="AV18" s="102">
        <f t="shared" si="1"/>
        <v>-104196.31000000004</v>
      </c>
      <c r="AW18" s="102">
        <f t="shared" si="1"/>
        <v>-108234.88000000005</v>
      </c>
      <c r="AX18" s="102">
        <f t="shared" si="1"/>
        <v>-108781.96000000005</v>
      </c>
      <c r="AY18" s="102">
        <f t="shared" si="1"/>
        <v>-110352.86000000004</v>
      </c>
      <c r="AZ18" s="102">
        <f t="shared" si="1"/>
        <v>-113492.37000000004</v>
      </c>
      <c r="BA18" s="102">
        <f t="shared" si="1"/>
        <v>-116225.87000000004</v>
      </c>
    </row>
    <row r="19" spans="1:53">
      <c r="A19" s="101" t="s">
        <v>267</v>
      </c>
      <c r="B19" s="102">
        <v>2384.65</v>
      </c>
      <c r="C19" s="102"/>
      <c r="D19" s="102"/>
      <c r="E19" s="102"/>
      <c r="F19" s="102"/>
      <c r="G19" s="102">
        <v>4050.82</v>
      </c>
      <c r="H19" s="102"/>
      <c r="I19" s="102"/>
      <c r="J19" s="102"/>
      <c r="K19" s="102"/>
      <c r="L19" s="102">
        <v>366.72</v>
      </c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  <c r="AU19" s="102"/>
      <c r="AV19" s="102"/>
      <c r="AW19" s="102"/>
      <c r="AX19" s="102"/>
      <c r="AY19" s="102"/>
      <c r="AZ19" s="102"/>
      <c r="BA19" s="102"/>
    </row>
    <row r="20" spans="1:53">
      <c r="A20" s="103" t="s">
        <v>445</v>
      </c>
      <c r="B20" s="104">
        <f>+SUM('TABLEAU TRESO 3 - RECETTES'!B9:B10)</f>
        <v>8817.84</v>
      </c>
      <c r="C20" s="104">
        <f>+SUM('TABLEAU TRESO 3 - RECETTES'!C9:C10)</f>
        <v>11918.560000000001</v>
      </c>
      <c r="D20" s="104">
        <f>+SUM('TABLEAU TRESO 3 - RECETTES'!D9:D10)</f>
        <v>10914.38</v>
      </c>
      <c r="E20" s="104">
        <f>+SUM('TABLEAU TRESO 3 - RECETTES'!E9:E10)</f>
        <v>5740.93</v>
      </c>
      <c r="F20" s="104">
        <f>+SUM('TABLEAU TRESO 3 - RECETTES'!F9:F10)</f>
        <v>9603</v>
      </c>
      <c r="G20" s="104">
        <f>+SUM('TABLEAU TRESO 3 - RECETTES'!G9:G10)</f>
        <v>5056.41</v>
      </c>
      <c r="H20" s="104">
        <f>+SUM('TABLEAU TRESO 3 - RECETTES'!H9:H10)</f>
        <v>6035.82</v>
      </c>
      <c r="I20" s="104">
        <f>+SUM('TABLEAU TRESO 3 - RECETTES'!I9:I10)</f>
        <v>7218.35</v>
      </c>
      <c r="J20" s="104">
        <f>+SUM('TABLEAU TRESO 3 - RECETTES'!J9:J10)</f>
        <v>7587.7999999999993</v>
      </c>
      <c r="K20" s="104">
        <f>+SUM('TABLEAU TRESO 3 - RECETTES'!K9:K10)</f>
        <v>3804.88</v>
      </c>
      <c r="L20" s="104">
        <f>+SUM('TABLEAU TRESO 3 - RECETTES'!L9:L10)</f>
        <v>2382.88</v>
      </c>
      <c r="M20" s="104">
        <f>+SUM('TABLEAU TRESO 3 - RECETTES'!M9:M10)</f>
        <v>0</v>
      </c>
      <c r="N20" s="104">
        <f>+SUM('TABLEAU TRESO 3 - RECETTES'!N9:N10)</f>
        <v>0</v>
      </c>
      <c r="O20" s="104">
        <f>+SUM('TABLEAU TRESO 3 - RECETTES'!O9:O10)</f>
        <v>0</v>
      </c>
      <c r="P20" s="104">
        <f>+SUM('TABLEAU TRESO 3 - RECETTES'!P9:P10)</f>
        <v>0</v>
      </c>
      <c r="Q20" s="104">
        <f>+SUM('TABLEAU TRESO 3 - RECETTES'!Q9:Q10)</f>
        <v>0</v>
      </c>
      <c r="R20" s="104">
        <f>+SUM('TABLEAU TRESO 3 - RECETTES'!R9:R10)</f>
        <v>0</v>
      </c>
      <c r="S20" s="104">
        <f>+SUM('TABLEAU TRESO 3 - RECETTES'!S9:S10)</f>
        <v>0</v>
      </c>
      <c r="T20" s="104">
        <f>+SUM('TABLEAU TRESO 3 - RECETTES'!T9:T10)</f>
        <v>0</v>
      </c>
      <c r="U20" s="104">
        <f>+SUM('TABLEAU TRESO 3 - RECETTES'!U9:U10)</f>
        <v>0</v>
      </c>
      <c r="V20" s="104">
        <f>+SUM('TABLEAU TRESO 3 - RECETTES'!V9:V10)</f>
        <v>0</v>
      </c>
      <c r="W20" s="104">
        <f>+SUM('TABLEAU TRESO 3 - RECETTES'!W9:W10)</f>
        <v>0</v>
      </c>
      <c r="X20" s="104">
        <f>+SUM('TABLEAU TRESO 3 - RECETTES'!X9:X10)</f>
        <v>0</v>
      </c>
      <c r="Y20" s="104">
        <f>+SUM('TABLEAU TRESO 3 - RECETTES'!Y9:Y10)</f>
        <v>0</v>
      </c>
      <c r="Z20" s="104">
        <f>+SUM('TABLEAU TRESO 3 - RECETTES'!Z9:Z10)</f>
        <v>0</v>
      </c>
      <c r="AA20" s="104">
        <f>+SUM('TABLEAU TRESO 3 - RECETTES'!AA9:AA10)</f>
        <v>0</v>
      </c>
      <c r="AB20" s="104">
        <f>+SUM('TABLEAU TRESO 3 - RECETTES'!AB9:AB10)</f>
        <v>0</v>
      </c>
      <c r="AC20" s="104">
        <f>+SUM('TABLEAU TRESO 3 - RECETTES'!AC9:AC10)</f>
        <v>0</v>
      </c>
      <c r="AD20" s="104">
        <f>+SUM('TABLEAU TRESO 3 - RECETTES'!AD9:AD10)</f>
        <v>0</v>
      </c>
      <c r="AE20" s="104">
        <f>+SUM('TABLEAU TRESO 3 - RECETTES'!AE9:AE10)</f>
        <v>0</v>
      </c>
      <c r="AF20" s="104">
        <f>+SUM('TABLEAU TRESO 3 - RECETTES'!AF9:AF10)</f>
        <v>0</v>
      </c>
      <c r="AG20" s="104">
        <f>+SUM('TABLEAU TRESO 3 - RECETTES'!AG9:AG10)</f>
        <v>0</v>
      </c>
      <c r="AH20" s="104">
        <f>+SUM('TABLEAU TRESO 3 - RECETTES'!AH9:AH10)</f>
        <v>0</v>
      </c>
      <c r="AI20" s="104">
        <f>+SUM('TABLEAU TRESO 3 - RECETTES'!AI9:AI10)</f>
        <v>0</v>
      </c>
      <c r="AJ20" s="104">
        <f>+SUM('TABLEAU TRESO 3 - RECETTES'!AJ9:AJ10)</f>
        <v>0</v>
      </c>
      <c r="AK20" s="104">
        <f>+SUM('TABLEAU TRESO 3 - RECETTES'!AK9:AK10)</f>
        <v>0</v>
      </c>
      <c r="AL20" s="104">
        <f>+SUM('TABLEAU TRESO 3 - RECETTES'!AL9:AL10)</f>
        <v>0</v>
      </c>
      <c r="AM20" s="104">
        <f>+SUM('TABLEAU TRESO 3 - RECETTES'!AM9:AM10)</f>
        <v>0</v>
      </c>
      <c r="AN20" s="104">
        <f>+SUM('TABLEAU TRESO 3 - RECETTES'!AN9:AN10)</f>
        <v>0</v>
      </c>
      <c r="AO20" s="104">
        <f>+SUM('TABLEAU TRESO 3 - RECETTES'!AO9:AO10)</f>
        <v>0</v>
      </c>
      <c r="AP20" s="104">
        <f>+SUM('TABLEAU TRESO 3 - RECETTES'!AP9:AP10)</f>
        <v>0</v>
      </c>
      <c r="AQ20" s="104">
        <f>+SUM('TABLEAU TRESO 3 - RECETTES'!AQ9:AQ10)</f>
        <v>0</v>
      </c>
      <c r="AR20" s="104">
        <f>+SUM('TABLEAU TRESO 3 - RECETTES'!AR9:AR10)</f>
        <v>0</v>
      </c>
      <c r="AS20" s="104">
        <f>+SUM('TABLEAU TRESO 3 - RECETTES'!AS9:AS10)</f>
        <v>0</v>
      </c>
      <c r="AT20" s="104">
        <f>+SUM('TABLEAU TRESO 3 - RECETTES'!AT9:AT10)</f>
        <v>0</v>
      </c>
      <c r="AU20" s="104">
        <f>+SUM('TABLEAU TRESO 3 - RECETTES'!AU9:AU10)</f>
        <v>0</v>
      </c>
      <c r="AV20" s="104">
        <f>+SUM('TABLEAU TRESO 3 - RECETTES'!AV9:AV10)</f>
        <v>0</v>
      </c>
      <c r="AW20" s="104">
        <f>+SUM('TABLEAU TRESO 3 - RECETTES'!AW9:AW10)</f>
        <v>0</v>
      </c>
      <c r="AX20" s="104">
        <f>+SUM('TABLEAU TRESO 3 - RECETTES'!AX9:AX10)</f>
        <v>0</v>
      </c>
      <c r="AY20" s="104">
        <f>+SUM('TABLEAU TRESO 3 - RECETTES'!AY9:AY10)</f>
        <v>0</v>
      </c>
      <c r="AZ20" s="104">
        <f>+SUM('TABLEAU TRESO 3 - RECETTES'!AZ9:AZ10)</f>
        <v>0</v>
      </c>
      <c r="BA20" s="104">
        <f>+SUM('TABLEAU TRESO 3 - RECETTES'!BA9:BA10)</f>
        <v>0</v>
      </c>
    </row>
    <row r="21" spans="1:53">
      <c r="A21" s="103" t="s">
        <v>446</v>
      </c>
      <c r="B21" s="104">
        <f>+SUM('TABLEAU 1 TRESO - CHARGES FIXES'!B17:B17)</f>
        <v>1000</v>
      </c>
      <c r="C21" s="104">
        <f>+SUM('TABLEAU 1 TRESO - CHARGES FIXES'!C17:C17)</f>
        <v>0</v>
      </c>
      <c r="D21" s="104">
        <f>+SUM('TABLEAU 1 TRESO - CHARGES FIXES'!D17:D17)</f>
        <v>0</v>
      </c>
      <c r="E21" s="104">
        <f>+SUM('TABLEAU 1 TRESO - CHARGES FIXES'!E17:E17)</f>
        <v>0</v>
      </c>
      <c r="F21" s="104">
        <f>+SUM('TABLEAU 1 TRESO - CHARGES FIXES'!F17:F17)</f>
        <v>1000</v>
      </c>
      <c r="G21" s="104">
        <f>+SUM('TABLEAU 1 TRESO - CHARGES FIXES'!G17:G17)</f>
        <v>0</v>
      </c>
      <c r="H21" s="104">
        <f>+SUM('TABLEAU 1 TRESO - CHARGES FIXES'!H17:H17)</f>
        <v>0</v>
      </c>
      <c r="I21" s="104">
        <f>+SUM('TABLEAU 1 TRESO - CHARGES FIXES'!I17:I17)</f>
        <v>0</v>
      </c>
      <c r="J21" s="104">
        <f>+SUM('TABLEAU 1 TRESO - CHARGES FIXES'!J17:J17)</f>
        <v>1000</v>
      </c>
      <c r="K21" s="104">
        <f>+SUM('TABLEAU 1 TRESO - CHARGES FIXES'!K17:K17)</f>
        <v>0</v>
      </c>
      <c r="L21" s="104">
        <f>+SUM('TABLEAU 1 TRESO - CHARGES FIXES'!L17:L17)</f>
        <v>0</v>
      </c>
      <c r="M21" s="104">
        <f>+SUM('TABLEAU 1 TRESO - CHARGES FIXES'!M17:M17)</f>
        <v>0</v>
      </c>
      <c r="N21" s="104">
        <f>+SUM('TABLEAU 1 TRESO - CHARGES FIXES'!N17:N17)</f>
        <v>1000</v>
      </c>
      <c r="O21" s="104">
        <f>+SUM('TABLEAU 1 TRESO - CHARGES FIXES'!O17:O17)</f>
        <v>0</v>
      </c>
      <c r="P21" s="104">
        <f>+SUM('TABLEAU 1 TRESO - CHARGES FIXES'!P17:P17)</f>
        <v>0</v>
      </c>
      <c r="Q21" s="104">
        <f>+SUM('TABLEAU 1 TRESO - CHARGES FIXES'!Q17:Q17)</f>
        <v>0</v>
      </c>
      <c r="R21" s="104">
        <f>+SUM('TABLEAU 1 TRESO - CHARGES FIXES'!R17:R17)</f>
        <v>0</v>
      </c>
      <c r="S21" s="104">
        <f>+SUM('TABLEAU 1 TRESO - CHARGES FIXES'!S17:S17)</f>
        <v>1000</v>
      </c>
      <c r="T21" s="104">
        <f>+SUM('TABLEAU 1 TRESO - CHARGES FIXES'!T17:T17)</f>
        <v>0</v>
      </c>
      <c r="U21" s="104">
        <f>+SUM('TABLEAU 1 TRESO - CHARGES FIXES'!U17:U17)</f>
        <v>0</v>
      </c>
      <c r="V21" s="104">
        <f>+SUM('TABLEAU 1 TRESO - CHARGES FIXES'!V17:V17)</f>
        <v>0</v>
      </c>
      <c r="W21" s="104">
        <f>+SUM('TABLEAU 1 TRESO - CHARGES FIXES'!W17:W17)</f>
        <v>1000</v>
      </c>
      <c r="X21" s="104">
        <f>+SUM('TABLEAU 1 TRESO - CHARGES FIXES'!X17:X17)</f>
        <v>0</v>
      </c>
      <c r="Y21" s="104">
        <f>+SUM('TABLEAU 1 TRESO - CHARGES FIXES'!Y17:Y17)</f>
        <v>0</v>
      </c>
      <c r="Z21" s="104">
        <f>+SUM('TABLEAU 1 TRESO - CHARGES FIXES'!Z17:Z17)</f>
        <v>0</v>
      </c>
      <c r="AA21" s="104">
        <f>+SUM('TABLEAU 1 TRESO - CHARGES FIXES'!AA17:AA17)</f>
        <v>1000</v>
      </c>
      <c r="AB21" s="104">
        <f>+SUM('TABLEAU 1 TRESO - CHARGES FIXES'!AB17:AB17)</f>
        <v>0</v>
      </c>
      <c r="AC21" s="104">
        <f>+SUM('TABLEAU 1 TRESO - CHARGES FIXES'!AC17:AC17)</f>
        <v>0</v>
      </c>
      <c r="AD21" s="104">
        <f>+SUM('TABLEAU 1 TRESO - CHARGES FIXES'!AD17:AD17)</f>
        <v>0</v>
      </c>
      <c r="AE21" s="104">
        <f>+SUM('TABLEAU 1 TRESO - CHARGES FIXES'!AE17:AE17)</f>
        <v>0</v>
      </c>
      <c r="AF21" s="104">
        <f>+SUM('TABLEAU 1 TRESO - CHARGES FIXES'!AF17:AF17)</f>
        <v>1000</v>
      </c>
      <c r="AG21" s="104">
        <f>+SUM('TABLEAU 1 TRESO - CHARGES FIXES'!AG17:AG17)</f>
        <v>0</v>
      </c>
      <c r="AH21" s="104">
        <f>+SUM('TABLEAU 1 TRESO - CHARGES FIXES'!AH17:AH17)</f>
        <v>0</v>
      </c>
      <c r="AI21" s="104">
        <f>+SUM('TABLEAU 1 TRESO - CHARGES FIXES'!AI17:AI17)</f>
        <v>0</v>
      </c>
      <c r="AJ21" s="104">
        <f>+SUM('TABLEAU 1 TRESO - CHARGES FIXES'!AJ17:AJ17)</f>
        <v>1000</v>
      </c>
      <c r="AK21" s="104">
        <f>+SUM('TABLEAU 1 TRESO - CHARGES FIXES'!AK17:AK17)</f>
        <v>0</v>
      </c>
      <c r="AL21" s="104">
        <f>+SUM('TABLEAU 1 TRESO - CHARGES FIXES'!AL17:AL17)</f>
        <v>0</v>
      </c>
      <c r="AM21" s="104">
        <f>+SUM('TABLEAU 1 TRESO - CHARGES FIXES'!AM17:AM17)</f>
        <v>0</v>
      </c>
      <c r="AN21" s="104">
        <f>+SUM('TABLEAU 1 TRESO - CHARGES FIXES'!AN17:AN17)</f>
        <v>0</v>
      </c>
      <c r="AO21" s="104">
        <f>+SUM('TABLEAU 1 TRESO - CHARGES FIXES'!AO17:AO17)</f>
        <v>1000</v>
      </c>
      <c r="AP21" s="104">
        <f>+SUM('TABLEAU 1 TRESO - CHARGES FIXES'!AP17:AP17)</f>
        <v>0</v>
      </c>
      <c r="AQ21" s="104">
        <f>+SUM('TABLEAU 1 TRESO - CHARGES FIXES'!AQ17:AQ17)</f>
        <v>0</v>
      </c>
      <c r="AR21" s="104">
        <f>+SUM('TABLEAU 1 TRESO - CHARGES FIXES'!AR17:AR17)</f>
        <v>0</v>
      </c>
      <c r="AS21" s="104">
        <f>+SUM('TABLEAU 1 TRESO - CHARGES FIXES'!AS17:AS17)</f>
        <v>1000</v>
      </c>
      <c r="AT21" s="104">
        <f>+SUM('TABLEAU 1 TRESO - CHARGES FIXES'!AT17:AT17)</f>
        <v>0</v>
      </c>
      <c r="AU21" s="104">
        <f>+SUM('TABLEAU 1 TRESO - CHARGES FIXES'!AU17:AU17)</f>
        <v>0</v>
      </c>
      <c r="AV21" s="104">
        <f>+SUM('TABLEAU 1 TRESO - CHARGES FIXES'!AV17:AV17)</f>
        <v>0</v>
      </c>
      <c r="AW21" s="104">
        <f>+SUM('TABLEAU 1 TRESO - CHARGES FIXES'!AW17:AW17)</f>
        <v>1000</v>
      </c>
      <c r="AX21" s="104">
        <f>+SUM('TABLEAU 1 TRESO - CHARGES FIXES'!AX17:AX17)</f>
        <v>0</v>
      </c>
      <c r="AY21" s="104">
        <f>+SUM('TABLEAU 1 TRESO - CHARGES FIXES'!AY17:AY17)</f>
        <v>0</v>
      </c>
      <c r="AZ21" s="104">
        <f>+SUM('TABLEAU 1 TRESO - CHARGES FIXES'!AZ17:AZ17)</f>
        <v>0</v>
      </c>
      <c r="BA21" s="104">
        <f>+SUM('TABLEAU 1 TRESO - CHARGES FIXES'!BA17:BA17)</f>
        <v>0</v>
      </c>
    </row>
    <row r="22" spans="1:53">
      <c r="A22" s="113" t="s">
        <v>447</v>
      </c>
      <c r="B22" s="114">
        <f>+SUM('TABLEAU 2 TRESO - ACHATS'!B11:B22)</f>
        <v>5607.13</v>
      </c>
      <c r="C22" s="114">
        <f>+SUM('TABLEAU 2 TRESO - ACHATS'!C11:C22)</f>
        <v>425.9</v>
      </c>
      <c r="D22" s="114">
        <f>+SUM('TABLEAU 2 TRESO - ACHATS'!D11:D22)</f>
        <v>818.53</v>
      </c>
      <c r="E22" s="114">
        <f>+SUM('TABLEAU 2 TRESO - ACHATS'!E11:E22)</f>
        <v>461.74</v>
      </c>
      <c r="F22" s="114">
        <f>+SUM('TABLEAU 2 TRESO - ACHATS'!F11:F22)</f>
        <v>1231.32</v>
      </c>
      <c r="G22" s="114">
        <f>+SUM('TABLEAU 2 TRESO - ACHATS'!G11:G22)</f>
        <v>983.69999999999993</v>
      </c>
      <c r="H22" s="114">
        <f>+SUM('TABLEAU 2 TRESO - ACHATS'!H11:H22)</f>
        <v>121.75</v>
      </c>
      <c r="I22" s="114">
        <f>+SUM('TABLEAU 2 TRESO - ACHATS'!I11:I22)</f>
        <v>1593.9999999999998</v>
      </c>
      <c r="J22" s="114">
        <f>+SUM('TABLEAU 2 TRESO - ACHATS'!J11:J22)</f>
        <v>0</v>
      </c>
      <c r="K22" s="114">
        <f>+SUM('TABLEAU 2 TRESO - ACHATS'!K11:K22)</f>
        <v>1394.87</v>
      </c>
      <c r="L22" s="114">
        <f>+SUM('TABLEAU 2 TRESO - ACHATS'!L11:L22)</f>
        <v>0</v>
      </c>
      <c r="M22" s="114">
        <f>+SUM('TABLEAU 2 TRESO - ACHATS'!M11:M22)</f>
        <v>1774.31</v>
      </c>
      <c r="N22" s="114">
        <f>+SUM('TABLEAU 2 TRESO - ACHATS'!N11:N22)</f>
        <v>0</v>
      </c>
      <c r="O22" s="114">
        <f>+SUM('TABLEAU 2 TRESO - ACHATS'!O11:O22)</f>
        <v>0</v>
      </c>
      <c r="P22" s="114">
        <f>+SUM('TABLEAU 2 TRESO - ACHATS'!P11:P22)</f>
        <v>0</v>
      </c>
      <c r="Q22" s="114">
        <f>+SUM('TABLEAU 2 TRESO - ACHATS'!Q11:Q22)</f>
        <v>829.7</v>
      </c>
      <c r="R22" s="114">
        <f>+SUM('TABLEAU 2 TRESO - ACHATS'!R11:R22)</f>
        <v>329.57</v>
      </c>
      <c r="S22" s="114">
        <f>+SUM('TABLEAU 2 TRESO - ACHATS'!S11:S22)</f>
        <v>1801.36</v>
      </c>
      <c r="T22" s="114">
        <f>+SUM('TABLEAU 2 TRESO - ACHATS'!T11:T22)</f>
        <v>17373.879999999997</v>
      </c>
      <c r="U22" s="114">
        <f>+SUM('TABLEAU 2 TRESO - ACHATS'!U11:U22)</f>
        <v>0</v>
      </c>
      <c r="V22" s="114">
        <f>+SUM('TABLEAU 2 TRESO - ACHATS'!V11:V22)</f>
        <v>0</v>
      </c>
      <c r="W22" s="114">
        <f>+SUM('TABLEAU 2 TRESO - ACHATS'!W11:W22)</f>
        <v>0</v>
      </c>
      <c r="X22" s="114">
        <f>+SUM('TABLEAU 2 TRESO - ACHATS'!X11:X22)</f>
        <v>0</v>
      </c>
      <c r="Y22" s="114">
        <f>+SUM('TABLEAU 2 TRESO - ACHATS'!Y11:Y22)</f>
        <v>0</v>
      </c>
      <c r="Z22" s="114">
        <f>+SUM('TABLEAU 2 TRESO - ACHATS'!Z11:Z22)</f>
        <v>0</v>
      </c>
      <c r="AA22" s="114">
        <f>+SUM('TABLEAU 2 TRESO - ACHATS'!AA11:AA22)</f>
        <v>0</v>
      </c>
      <c r="AB22" s="114">
        <f>+SUM('TABLEAU 2 TRESO - ACHATS'!AB11:AB22)</f>
        <v>0</v>
      </c>
      <c r="AC22" s="114">
        <f>+SUM('TABLEAU 2 TRESO - ACHATS'!AC11:AC22)</f>
        <v>0</v>
      </c>
      <c r="AD22" s="114">
        <f>+SUM('TABLEAU 2 TRESO - ACHATS'!AD11:AD22)</f>
        <v>0</v>
      </c>
      <c r="AE22" s="114">
        <f>+SUM('TABLEAU 2 TRESO - ACHATS'!AE11:AE22)</f>
        <v>0</v>
      </c>
      <c r="AF22" s="114">
        <f>+SUM('TABLEAU 2 TRESO - ACHATS'!AF11:AF22)</f>
        <v>0</v>
      </c>
      <c r="AG22" s="114">
        <f>+SUM('TABLEAU 2 TRESO - ACHATS'!AG11:AG22)</f>
        <v>0</v>
      </c>
      <c r="AH22" s="114">
        <f>+SUM('TABLEAU 2 TRESO - ACHATS'!AH11:AH22)</f>
        <v>0</v>
      </c>
      <c r="AI22" s="114">
        <f>+SUM('TABLEAU 2 TRESO - ACHATS'!AI11:AI22)</f>
        <v>0</v>
      </c>
      <c r="AJ22" s="114">
        <f>+SUM('TABLEAU 2 TRESO - ACHATS'!AJ11:AJ22)</f>
        <v>0</v>
      </c>
      <c r="AK22" s="114">
        <f>+SUM('TABLEAU 2 TRESO - ACHATS'!AK11:AK22)</f>
        <v>0</v>
      </c>
      <c r="AL22" s="114">
        <f>+SUM('TABLEAU 2 TRESO - ACHATS'!AL11:AL22)</f>
        <v>0</v>
      </c>
      <c r="AM22" s="114">
        <f>+SUM('TABLEAU 2 TRESO - ACHATS'!AM11:AM22)</f>
        <v>0</v>
      </c>
      <c r="AN22" s="114">
        <f>+SUM('TABLEAU 2 TRESO - ACHATS'!AN11:AN22)</f>
        <v>0</v>
      </c>
      <c r="AO22" s="114">
        <f>+SUM('TABLEAU 2 TRESO - ACHATS'!AO11:AO22)</f>
        <v>0</v>
      </c>
      <c r="AP22" s="114">
        <f>+SUM('TABLEAU 2 TRESO - ACHATS'!AP11:AP22)</f>
        <v>0</v>
      </c>
      <c r="AQ22" s="114">
        <f>+SUM('TABLEAU 2 TRESO - ACHATS'!AQ11:AQ22)</f>
        <v>0</v>
      </c>
      <c r="AR22" s="114">
        <f>+SUM('TABLEAU 2 TRESO - ACHATS'!AR11:AR22)</f>
        <v>0</v>
      </c>
      <c r="AS22" s="114">
        <f>+SUM('TABLEAU 2 TRESO - ACHATS'!AS11:AS22)</f>
        <v>0</v>
      </c>
      <c r="AT22" s="114">
        <f>+SUM('TABLEAU 2 TRESO - ACHATS'!AT11:AT22)</f>
        <v>0</v>
      </c>
      <c r="AU22" s="114">
        <f>+SUM('TABLEAU 2 TRESO - ACHATS'!AU11:AU22)</f>
        <v>0</v>
      </c>
      <c r="AV22" s="114">
        <f>+SUM('TABLEAU 2 TRESO - ACHATS'!AV11:AV22)</f>
        <v>0</v>
      </c>
      <c r="AW22" s="114">
        <f>+SUM('TABLEAU 2 TRESO - ACHATS'!AW11:AW22)</f>
        <v>0</v>
      </c>
      <c r="AX22" s="114">
        <f>+SUM('TABLEAU 2 TRESO - ACHATS'!AX11:AX22)</f>
        <v>0</v>
      </c>
      <c r="AY22" s="114">
        <f>+SUM('TABLEAU 2 TRESO - ACHATS'!AY11:AY22)</f>
        <v>0</v>
      </c>
      <c r="AZ22" s="114">
        <f>+SUM('TABLEAU 2 TRESO - ACHATS'!AZ11:AZ22)</f>
        <v>0</v>
      </c>
      <c r="BA22" s="114">
        <f>+SUM('TABLEAU 2 TRESO - ACHATS'!BA11:BA22)</f>
        <v>0</v>
      </c>
    </row>
    <row r="23" spans="1:53">
      <c r="A23" s="111" t="s">
        <v>448</v>
      </c>
      <c r="B23" s="112">
        <f>+B19+B20-B21-B22</f>
        <v>4595.3599999999997</v>
      </c>
      <c r="C23" s="112">
        <f t="shared" ref="C23" si="2">+C20-C21-C22</f>
        <v>11492.660000000002</v>
      </c>
      <c r="D23" s="112">
        <f t="shared" ref="D23" si="3">+D20-D21-D22</f>
        <v>10095.849999999999</v>
      </c>
      <c r="E23" s="112">
        <f t="shared" ref="E23" si="4">+E20-E21-E22</f>
        <v>5279.1900000000005</v>
      </c>
      <c r="F23" s="112">
        <f t="shared" ref="F23" si="5">+F20-F21-F22</f>
        <v>7371.68</v>
      </c>
      <c r="G23" s="112">
        <f t="shared" ref="G23" si="6">+G20-G21-G22</f>
        <v>4072.71</v>
      </c>
      <c r="H23" s="112">
        <f t="shared" ref="H23" si="7">+H20-H21-H22</f>
        <v>5914.07</v>
      </c>
      <c r="I23" s="112">
        <f t="shared" ref="I23" si="8">+I20-I21-I22</f>
        <v>5624.35</v>
      </c>
      <c r="J23" s="112">
        <f t="shared" ref="J23" si="9">+J20-J21-J22</f>
        <v>6587.7999999999993</v>
      </c>
      <c r="K23" s="112">
        <f t="shared" ref="K23" si="10">+K20-K21-K22</f>
        <v>2410.0100000000002</v>
      </c>
      <c r="L23" s="112">
        <f t="shared" ref="L23" si="11">+L20-L21-L22</f>
        <v>2382.88</v>
      </c>
      <c r="M23" s="112">
        <f t="shared" ref="M23" si="12">+M20-M21-M22</f>
        <v>-1774.31</v>
      </c>
      <c r="N23" s="112">
        <f t="shared" ref="N23" si="13">+N20-N21-N22</f>
        <v>-1000</v>
      </c>
      <c r="O23" s="112">
        <f t="shared" ref="O23" si="14">+O20-O21-O22</f>
        <v>0</v>
      </c>
      <c r="P23" s="112">
        <f t="shared" ref="P23" si="15">+P20-P21-P22</f>
        <v>0</v>
      </c>
      <c r="Q23" s="112">
        <f t="shared" ref="Q23" si="16">+Q20-Q21-Q22</f>
        <v>-829.7</v>
      </c>
      <c r="R23" s="112">
        <f t="shared" ref="R23" si="17">+R20-R21-R22</f>
        <v>-329.57</v>
      </c>
      <c r="S23" s="112">
        <f t="shared" ref="S23" si="18">+S20-S21-S22</f>
        <v>-2801.3599999999997</v>
      </c>
      <c r="T23" s="112">
        <f t="shared" ref="T23" si="19">+T20-T21-T22</f>
        <v>-17373.879999999997</v>
      </c>
      <c r="U23" s="112">
        <f t="shared" ref="U23" si="20">+U20-U21-U22</f>
        <v>0</v>
      </c>
      <c r="V23" s="112">
        <f t="shared" ref="V23" si="21">+V20-V21-V22</f>
        <v>0</v>
      </c>
      <c r="W23" s="112">
        <f t="shared" ref="W23" si="22">+W20-W21-W22</f>
        <v>-1000</v>
      </c>
      <c r="X23" s="112">
        <f t="shared" ref="X23" si="23">+X20-X21-X22</f>
        <v>0</v>
      </c>
      <c r="Y23" s="112">
        <f t="shared" ref="Y23" si="24">+Y20-Y21-Y22</f>
        <v>0</v>
      </c>
      <c r="Z23" s="112">
        <f t="shared" ref="Z23" si="25">+Z20-Z21-Z22</f>
        <v>0</v>
      </c>
      <c r="AA23" s="112">
        <f t="shared" ref="AA23" si="26">+AA20-AA21-AA22</f>
        <v>-1000</v>
      </c>
      <c r="AB23" s="112">
        <f t="shared" ref="AB23" si="27">+AB20-AB21-AB22</f>
        <v>0</v>
      </c>
      <c r="AC23" s="112">
        <f t="shared" ref="AC23" si="28">+AC20-AC21-AC22</f>
        <v>0</v>
      </c>
      <c r="AD23" s="112">
        <f t="shared" ref="AD23" si="29">+AD20-AD21-AD22</f>
        <v>0</v>
      </c>
      <c r="AE23" s="112">
        <f t="shared" ref="AE23" si="30">+AE20-AE21-AE22</f>
        <v>0</v>
      </c>
      <c r="AF23" s="112">
        <f t="shared" ref="AF23" si="31">+AF20-AF21-AF22</f>
        <v>-1000</v>
      </c>
      <c r="AG23" s="112">
        <f t="shared" ref="AG23" si="32">+AG20-AG21-AG22</f>
        <v>0</v>
      </c>
      <c r="AH23" s="112">
        <f t="shared" ref="AH23" si="33">+AH20-AH21-AH22</f>
        <v>0</v>
      </c>
      <c r="AI23" s="112">
        <f t="shared" ref="AI23" si="34">+AI20-AI21-AI22</f>
        <v>0</v>
      </c>
      <c r="AJ23" s="112">
        <f t="shared" ref="AJ23" si="35">+AJ20-AJ21-AJ22</f>
        <v>-1000</v>
      </c>
      <c r="AK23" s="112">
        <f t="shared" ref="AK23" si="36">+AK20-AK21-AK22</f>
        <v>0</v>
      </c>
      <c r="AL23" s="112">
        <f t="shared" ref="AL23" si="37">+AL20-AL21-AL22</f>
        <v>0</v>
      </c>
      <c r="AM23" s="112">
        <f t="shared" ref="AM23" si="38">+AM20-AM21-AM22</f>
        <v>0</v>
      </c>
      <c r="AN23" s="112">
        <f t="shared" ref="AN23" si="39">+AN20-AN21-AN22</f>
        <v>0</v>
      </c>
      <c r="AO23" s="112">
        <f t="shared" ref="AO23" si="40">+AO20-AO21-AO22</f>
        <v>-1000</v>
      </c>
      <c r="AP23" s="112">
        <f t="shared" ref="AP23" si="41">+AP20-AP21-AP22</f>
        <v>0</v>
      </c>
      <c r="AQ23" s="112">
        <f t="shared" ref="AQ23" si="42">+AQ20-AQ21-AQ22</f>
        <v>0</v>
      </c>
      <c r="AR23" s="112">
        <f t="shared" ref="AR23" si="43">+AR20-AR21-AR22</f>
        <v>0</v>
      </c>
      <c r="AS23" s="112">
        <f t="shared" ref="AS23" si="44">+AS20-AS21-AS22</f>
        <v>-1000</v>
      </c>
      <c r="AT23" s="112">
        <f t="shared" ref="AT23" si="45">+AT20-AT21-AT22</f>
        <v>0</v>
      </c>
      <c r="AU23" s="112">
        <f t="shared" ref="AU23" si="46">+AU20-AU21-AU22</f>
        <v>0</v>
      </c>
      <c r="AV23" s="112">
        <f t="shared" ref="AV23" si="47">+AV20-AV21-AV22</f>
        <v>0</v>
      </c>
      <c r="AW23" s="112">
        <f t="shared" ref="AW23" si="48">+AW20-AW21-AW22</f>
        <v>-1000</v>
      </c>
      <c r="AX23" s="112">
        <f t="shared" ref="AX23" si="49">+AX20-AX21-AX22</f>
        <v>0</v>
      </c>
      <c r="AY23" s="112">
        <f t="shared" ref="AY23" si="50">+AY20-AY21-AY22</f>
        <v>0</v>
      </c>
      <c r="AZ23" s="112">
        <f t="shared" ref="AZ23" si="51">+AZ20-AZ21-AZ22</f>
        <v>0</v>
      </c>
      <c r="BA23" s="112">
        <f t="shared" ref="BA23" si="52">+BA20-BA21-BA22</f>
        <v>0</v>
      </c>
    </row>
    <row r="24" spans="1:53">
      <c r="A24" s="103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</row>
    <row r="25" spans="1:53">
      <c r="A25" s="103" t="s">
        <v>449</v>
      </c>
      <c r="B25" s="104"/>
      <c r="C25" s="104"/>
      <c r="D25" s="104"/>
      <c r="E25" s="104"/>
      <c r="F25" s="104"/>
      <c r="G25" s="104"/>
      <c r="H25" s="104"/>
      <c r="I25" s="104"/>
      <c r="J25" s="104">
        <v>3600</v>
      </c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  <c r="AK25" s="104"/>
      <c r="AL25" s="104"/>
      <c r="AM25" s="104"/>
      <c r="AN25" s="104"/>
      <c r="AO25" s="104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</row>
    <row r="26" spans="1:53">
      <c r="A26" s="103" t="s">
        <v>450</v>
      </c>
      <c r="B26" s="104">
        <v>-2000</v>
      </c>
      <c r="C26" s="104">
        <v>-5500.91</v>
      </c>
      <c r="D26" s="104">
        <f>-1313-1500</f>
        <v>-2813</v>
      </c>
      <c r="E26" s="104">
        <f>-1474.92-1171.94-4000</f>
        <v>-6646.8600000000006</v>
      </c>
      <c r="F26" s="104">
        <f>-2000-1389-500</f>
        <v>-3889</v>
      </c>
      <c r="G26" s="104">
        <f>-500-4709.12</f>
        <v>-5209.12</v>
      </c>
      <c r="H26" s="104">
        <f>-1500-500</f>
        <v>-2000</v>
      </c>
      <c r="I26" s="104">
        <f>-716.51-1171.94</f>
        <v>-1888.45</v>
      </c>
      <c r="J26" s="104">
        <f>-2000-243.54</f>
        <v>-2243.54</v>
      </c>
      <c r="K26" s="104"/>
      <c r="L26" s="104">
        <f>-3718.42-2313</f>
        <v>-6031.42</v>
      </c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</row>
    <row r="27" spans="1:53">
      <c r="A27" s="103" t="str">
        <f>+A17</f>
        <v>Virements personnels</v>
      </c>
      <c r="B27" s="104">
        <v>-984.34</v>
      </c>
      <c r="C27" s="104">
        <v>-1000</v>
      </c>
      <c r="D27" s="104"/>
      <c r="E27" s="104">
        <v>-456.69</v>
      </c>
      <c r="F27" s="104">
        <v>-650</v>
      </c>
      <c r="G27" s="104"/>
      <c r="H27" s="104"/>
      <c r="I27" s="104">
        <v>-2000</v>
      </c>
      <c r="J27" s="104">
        <v>-600</v>
      </c>
      <c r="K27" s="104">
        <v>-899.42</v>
      </c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</row>
    <row r="28" spans="1:53">
      <c r="A28" s="101" t="s">
        <v>451</v>
      </c>
      <c r="B28" s="102">
        <f>+SUM(B23:B27)</f>
        <v>1611.0199999999995</v>
      </c>
      <c r="C28" s="102">
        <f>+SUM(C23:C27)+B28</f>
        <v>6602.7700000000013</v>
      </c>
      <c r="D28" s="102">
        <f t="shared" ref="D28:BA28" si="53">+SUM(D23:D27)+C28</f>
        <v>13885.619999999999</v>
      </c>
      <c r="E28" s="102">
        <f t="shared" si="53"/>
        <v>12061.259999999998</v>
      </c>
      <c r="F28" s="102">
        <f t="shared" si="53"/>
        <v>14893.939999999999</v>
      </c>
      <c r="G28" s="102">
        <f t="shared" si="53"/>
        <v>13757.529999999999</v>
      </c>
      <c r="H28" s="102">
        <f t="shared" si="53"/>
        <v>17671.599999999999</v>
      </c>
      <c r="I28" s="102">
        <f t="shared" si="53"/>
        <v>19407.5</v>
      </c>
      <c r="J28" s="102">
        <f t="shared" si="53"/>
        <v>26751.759999999998</v>
      </c>
      <c r="K28" s="102">
        <f t="shared" si="53"/>
        <v>28262.35</v>
      </c>
      <c r="L28" s="102">
        <f t="shared" si="53"/>
        <v>24613.809999999998</v>
      </c>
      <c r="M28" s="102">
        <f t="shared" si="53"/>
        <v>22839.499999999996</v>
      </c>
      <c r="N28" s="102">
        <f t="shared" si="53"/>
        <v>21839.499999999996</v>
      </c>
      <c r="O28" s="102">
        <f t="shared" si="53"/>
        <v>21839.499999999996</v>
      </c>
      <c r="P28" s="102">
        <f t="shared" si="53"/>
        <v>21839.499999999996</v>
      </c>
      <c r="Q28" s="102">
        <f t="shared" si="53"/>
        <v>21009.799999999996</v>
      </c>
      <c r="R28" s="102">
        <f t="shared" si="53"/>
        <v>20680.229999999996</v>
      </c>
      <c r="S28" s="102">
        <f t="shared" si="53"/>
        <v>17878.869999999995</v>
      </c>
      <c r="T28" s="102">
        <f t="shared" si="53"/>
        <v>504.98999999999796</v>
      </c>
      <c r="U28" s="102">
        <f t="shared" si="53"/>
        <v>504.98999999999796</v>
      </c>
      <c r="V28" s="102">
        <f t="shared" si="53"/>
        <v>504.98999999999796</v>
      </c>
      <c r="W28" s="102">
        <f t="shared" si="53"/>
        <v>-495.01000000000204</v>
      </c>
      <c r="X28" s="102">
        <f t="shared" si="53"/>
        <v>-495.01000000000204</v>
      </c>
      <c r="Y28" s="102">
        <f t="shared" si="53"/>
        <v>-495.01000000000204</v>
      </c>
      <c r="Z28" s="102">
        <f t="shared" si="53"/>
        <v>-495.01000000000204</v>
      </c>
      <c r="AA28" s="102">
        <f t="shared" si="53"/>
        <v>-1495.010000000002</v>
      </c>
      <c r="AB28" s="102">
        <f t="shared" si="53"/>
        <v>-1495.010000000002</v>
      </c>
      <c r="AC28" s="102">
        <f t="shared" si="53"/>
        <v>-1495.010000000002</v>
      </c>
      <c r="AD28" s="102">
        <f t="shared" si="53"/>
        <v>-1495.010000000002</v>
      </c>
      <c r="AE28" s="102">
        <f t="shared" si="53"/>
        <v>-1495.010000000002</v>
      </c>
      <c r="AF28" s="102">
        <f t="shared" si="53"/>
        <v>-2495.010000000002</v>
      </c>
      <c r="AG28" s="102">
        <f t="shared" si="53"/>
        <v>-2495.010000000002</v>
      </c>
      <c r="AH28" s="102">
        <f t="shared" si="53"/>
        <v>-2495.010000000002</v>
      </c>
      <c r="AI28" s="102">
        <f t="shared" si="53"/>
        <v>-2495.010000000002</v>
      </c>
      <c r="AJ28" s="102">
        <f t="shared" si="53"/>
        <v>-3495.010000000002</v>
      </c>
      <c r="AK28" s="102">
        <f t="shared" si="53"/>
        <v>-3495.010000000002</v>
      </c>
      <c r="AL28" s="102">
        <f t="shared" si="53"/>
        <v>-3495.010000000002</v>
      </c>
      <c r="AM28" s="102">
        <f t="shared" si="53"/>
        <v>-3495.010000000002</v>
      </c>
      <c r="AN28" s="102">
        <f t="shared" si="53"/>
        <v>-3495.010000000002</v>
      </c>
      <c r="AO28" s="102">
        <f t="shared" si="53"/>
        <v>-4495.010000000002</v>
      </c>
      <c r="AP28" s="102">
        <f t="shared" si="53"/>
        <v>-4495.010000000002</v>
      </c>
      <c r="AQ28" s="102">
        <f t="shared" si="53"/>
        <v>-4495.010000000002</v>
      </c>
      <c r="AR28" s="102">
        <f t="shared" si="53"/>
        <v>-4495.010000000002</v>
      </c>
      <c r="AS28" s="102">
        <f t="shared" si="53"/>
        <v>-5495.010000000002</v>
      </c>
      <c r="AT28" s="102">
        <f t="shared" si="53"/>
        <v>-5495.010000000002</v>
      </c>
      <c r="AU28" s="102">
        <f t="shared" si="53"/>
        <v>-5495.010000000002</v>
      </c>
      <c r="AV28" s="102">
        <f t="shared" si="53"/>
        <v>-5495.010000000002</v>
      </c>
      <c r="AW28" s="102">
        <f t="shared" si="53"/>
        <v>-6495.010000000002</v>
      </c>
      <c r="AX28" s="102">
        <f t="shared" si="53"/>
        <v>-6495.010000000002</v>
      </c>
      <c r="AY28" s="102">
        <f t="shared" si="53"/>
        <v>-6495.010000000002</v>
      </c>
      <c r="AZ28" s="102">
        <f t="shared" si="53"/>
        <v>-6495.010000000002</v>
      </c>
      <c r="BA28" s="102">
        <f t="shared" si="53"/>
        <v>-6495.010000000002</v>
      </c>
    </row>
    <row r="29" spans="1:53">
      <c r="A29" s="101" t="s">
        <v>310</v>
      </c>
      <c r="B29" s="102"/>
      <c r="C29" s="102"/>
      <c r="D29" s="102"/>
      <c r="E29" s="102"/>
      <c r="F29" s="102"/>
      <c r="G29" s="102"/>
      <c r="H29" s="102"/>
      <c r="I29" s="102"/>
      <c r="J29" s="102"/>
      <c r="K29" s="102"/>
      <c r="L29" s="102">
        <v>594.32000000000005</v>
      </c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102"/>
      <c r="AU29" s="102"/>
      <c r="AV29" s="102"/>
      <c r="AW29" s="102"/>
      <c r="AX29" s="102"/>
      <c r="AY29" s="102"/>
      <c r="AZ29" s="102"/>
      <c r="BA29" s="102"/>
    </row>
    <row r="30" spans="1:53">
      <c r="A30" s="103" t="s">
        <v>445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4"/>
      <c r="AU30" s="104"/>
      <c r="AV30" s="104"/>
      <c r="AW30" s="104"/>
      <c r="AX30" s="104"/>
      <c r="AY30" s="104"/>
      <c r="AZ30" s="104"/>
      <c r="BA30" s="104"/>
    </row>
    <row r="31" spans="1:53">
      <c r="A31" s="103" t="s">
        <v>446</v>
      </c>
      <c r="B31" s="104">
        <f>+SUM('TABLEAU 1 TRESO - CHARGES FIXES'!B12:B15)</f>
        <v>254.57999999999998</v>
      </c>
      <c r="C31" s="104">
        <f>+SUM('TABLEAU 1 TRESO - CHARGES FIXES'!C12:C15)</f>
        <v>718.12</v>
      </c>
      <c r="D31" s="104">
        <f>+SUM('TABLEAU 1 TRESO - CHARGES FIXES'!D12:D15)</f>
        <v>0</v>
      </c>
      <c r="E31" s="104">
        <f>+SUM('TABLEAU 1 TRESO - CHARGES FIXES'!E12:E15)</f>
        <v>1171.94</v>
      </c>
      <c r="F31" s="104">
        <f>+SUM('TABLEAU 1 TRESO - CHARGES FIXES'!F12:F15)</f>
        <v>150</v>
      </c>
      <c r="G31" s="104">
        <f>+SUM('TABLEAU 1 TRESO - CHARGES FIXES'!G12:G15)</f>
        <v>104.58</v>
      </c>
      <c r="H31" s="104">
        <f>+SUM('TABLEAU 1 TRESO - CHARGES FIXES'!H12:H15)</f>
        <v>718.12</v>
      </c>
      <c r="I31" s="104">
        <f>+SUM('TABLEAU 1 TRESO - CHARGES FIXES'!I12:I15)</f>
        <v>0</v>
      </c>
      <c r="J31" s="104">
        <f>+SUM('TABLEAU 1 TRESO - CHARGES FIXES'!J12:J15)</f>
        <v>1321.94</v>
      </c>
      <c r="K31" s="104">
        <f>+SUM('TABLEAU 1 TRESO - CHARGES FIXES'!K12:K15)</f>
        <v>104.58</v>
      </c>
      <c r="L31" s="104">
        <f>+SUM('TABLEAU 1 TRESO - CHARGES FIXES'!L12:L15)</f>
        <v>718.12</v>
      </c>
      <c r="M31" s="104">
        <f>+SUM('TABLEAU 1 TRESO - CHARGES FIXES'!M12:M15)</f>
        <v>0</v>
      </c>
      <c r="N31" s="104">
        <f>+SUM('TABLEAU 1 TRESO - CHARGES FIXES'!N12:N15)</f>
        <v>1171.94</v>
      </c>
      <c r="O31" s="104">
        <f>+SUM('TABLEAU 1 TRESO - CHARGES FIXES'!O12:O15)</f>
        <v>254.57999999999998</v>
      </c>
      <c r="P31" s="104">
        <f>+SUM('TABLEAU 1 TRESO - CHARGES FIXES'!P12:P15)</f>
        <v>718.12</v>
      </c>
      <c r="Q31" s="104">
        <f>+SUM('TABLEAU 1 TRESO - CHARGES FIXES'!Q12:Q15)</f>
        <v>0</v>
      </c>
      <c r="R31" s="104">
        <f>+SUM('TABLEAU 1 TRESO - CHARGES FIXES'!R12:R15)</f>
        <v>1171.94</v>
      </c>
      <c r="S31" s="104">
        <f>+SUM('TABLEAU 1 TRESO - CHARGES FIXES'!S12:S15)</f>
        <v>150</v>
      </c>
      <c r="T31" s="104">
        <f>+SUM('TABLEAU 1 TRESO - CHARGES FIXES'!T12:T15)</f>
        <v>822.7</v>
      </c>
      <c r="U31" s="104">
        <f>+SUM('TABLEAU 1 TRESO - CHARGES FIXES'!U12:U15)</f>
        <v>0</v>
      </c>
      <c r="V31" s="104">
        <f>+SUM('TABLEAU 1 TRESO - CHARGES FIXES'!V12:V15)</f>
        <v>0</v>
      </c>
      <c r="W31" s="104">
        <f>+SUM('TABLEAU 1 TRESO - CHARGES FIXES'!W12:W15)</f>
        <v>1321.94</v>
      </c>
      <c r="X31" s="104">
        <f>+SUM('TABLEAU 1 TRESO - CHARGES FIXES'!X12:X15)</f>
        <v>104.58</v>
      </c>
      <c r="Y31" s="104">
        <f>+SUM('TABLEAU 1 TRESO - CHARGES FIXES'!Y12:Y15)</f>
        <v>718.12</v>
      </c>
      <c r="Z31" s="104">
        <f>+SUM('TABLEAU 1 TRESO - CHARGES FIXES'!Z12:Z15)</f>
        <v>0</v>
      </c>
      <c r="AA31" s="104">
        <f>+SUM('TABLEAU 1 TRESO - CHARGES FIXES'!AA12:AA15)</f>
        <v>1171.94</v>
      </c>
      <c r="AB31" s="104">
        <f>+SUM('TABLEAU 1 TRESO - CHARGES FIXES'!AB12:AB15)</f>
        <v>254.57999999999998</v>
      </c>
      <c r="AC31" s="104">
        <f>+SUM('TABLEAU 1 TRESO - CHARGES FIXES'!AC12:AC15)</f>
        <v>718.12</v>
      </c>
      <c r="AD31" s="104">
        <f>+SUM('TABLEAU 1 TRESO - CHARGES FIXES'!AD12:AD15)</f>
        <v>0</v>
      </c>
      <c r="AE31" s="104">
        <f>+SUM('TABLEAU 1 TRESO - CHARGES FIXES'!AE12:AE15)</f>
        <v>1171.94</v>
      </c>
      <c r="AF31" s="104">
        <f>+SUM('TABLEAU 1 TRESO - CHARGES FIXES'!AF12:AF15)</f>
        <v>150</v>
      </c>
      <c r="AG31" s="104">
        <f>+SUM('TABLEAU 1 TRESO - CHARGES FIXES'!AG12:AG15)</f>
        <v>104.58</v>
      </c>
      <c r="AH31" s="104">
        <f>+SUM('TABLEAU 1 TRESO - CHARGES FIXES'!AH12:AH15)</f>
        <v>718.12</v>
      </c>
      <c r="AI31" s="104">
        <f>+SUM('TABLEAU 1 TRESO - CHARGES FIXES'!AI12:AI15)</f>
        <v>0</v>
      </c>
      <c r="AJ31" s="104">
        <f>+SUM('TABLEAU 1 TRESO - CHARGES FIXES'!AJ12:AJ15)</f>
        <v>1321.94</v>
      </c>
      <c r="AK31" s="104">
        <f>+SUM('TABLEAU 1 TRESO - CHARGES FIXES'!AK12:AK15)</f>
        <v>104.58</v>
      </c>
      <c r="AL31" s="104">
        <f>+SUM('TABLEAU 1 TRESO - CHARGES FIXES'!AL12:AL15)</f>
        <v>718.12</v>
      </c>
      <c r="AM31" s="104">
        <f>+SUM('TABLEAU 1 TRESO - CHARGES FIXES'!AM12:AM15)</f>
        <v>0</v>
      </c>
      <c r="AN31" s="104">
        <f>+SUM('TABLEAU 1 TRESO - CHARGES FIXES'!AN12:AN15)</f>
        <v>1171.94</v>
      </c>
      <c r="AO31" s="104">
        <f>+SUM('TABLEAU 1 TRESO - CHARGES FIXES'!AO12:AO15)</f>
        <v>150</v>
      </c>
      <c r="AP31" s="104">
        <f>+SUM('TABLEAU 1 TRESO - CHARGES FIXES'!AP12:AP15)</f>
        <v>822.7</v>
      </c>
      <c r="AQ31" s="104">
        <f>+SUM('TABLEAU 1 TRESO - CHARGES FIXES'!AQ12:AQ15)</f>
        <v>0</v>
      </c>
      <c r="AR31" s="104">
        <f>+SUM('TABLEAU 1 TRESO - CHARGES FIXES'!AR12:AR15)</f>
        <v>1171.94</v>
      </c>
      <c r="AS31" s="104">
        <f>+SUM('TABLEAU 1 TRESO - CHARGES FIXES'!AS12:AS15)</f>
        <v>150</v>
      </c>
      <c r="AT31" s="104">
        <f>+SUM('TABLEAU 1 TRESO - CHARGES FIXES'!AT12:AT15)</f>
        <v>104.58</v>
      </c>
      <c r="AU31" s="104">
        <f>+SUM('TABLEAU 1 TRESO - CHARGES FIXES'!AU12:AU15)</f>
        <v>718.12</v>
      </c>
      <c r="AV31" s="104">
        <f>+SUM('TABLEAU 1 TRESO - CHARGES FIXES'!AV12:AV15)</f>
        <v>0</v>
      </c>
      <c r="AW31" s="104">
        <f>+SUM('TABLEAU 1 TRESO - CHARGES FIXES'!AW12:AW15)</f>
        <v>1321.94</v>
      </c>
      <c r="AX31" s="104">
        <f>+SUM('TABLEAU 1 TRESO - CHARGES FIXES'!AX12:AX15)</f>
        <v>104.58</v>
      </c>
      <c r="AY31" s="104">
        <f>+SUM('TABLEAU 1 TRESO - CHARGES FIXES'!AY12:AY15)</f>
        <v>718.12</v>
      </c>
      <c r="AZ31" s="104">
        <f>+SUM('TABLEAU 1 TRESO - CHARGES FIXES'!AZ12:AZ15)</f>
        <v>0</v>
      </c>
      <c r="BA31" s="104">
        <f>+SUM('TABLEAU 1 TRESO - CHARGES FIXES'!BA12:BA15)</f>
        <v>1171.94</v>
      </c>
    </row>
    <row r="32" spans="1:53">
      <c r="A32" s="113" t="s">
        <v>447</v>
      </c>
      <c r="B32" s="114">
        <f>+SUM('TABLEAU 2 TRESO - ACHATS'!B24:B27)</f>
        <v>5127.13</v>
      </c>
      <c r="C32" s="114">
        <f>+SUM('TABLEAU 2 TRESO - ACHATS'!C24:C27)</f>
        <v>425.9</v>
      </c>
      <c r="D32" s="114">
        <f>+SUM('TABLEAU 2 TRESO - ACHATS'!D24:D27)</f>
        <v>948.18</v>
      </c>
      <c r="E32" s="114">
        <f>+SUM('TABLEAU 2 TRESO - ACHATS'!E24:E27)</f>
        <v>1734.5</v>
      </c>
      <c r="F32" s="114">
        <f>+SUM('TABLEAU 2 TRESO - ACHATS'!F24:F27)</f>
        <v>1231.32</v>
      </c>
      <c r="G32" s="114">
        <f>+SUM('TABLEAU 2 TRESO - ACHATS'!G24:G27)</f>
        <v>983.69999999999993</v>
      </c>
      <c r="H32" s="114">
        <f>+SUM('TABLEAU 2 TRESO - ACHATS'!H24:H27)</f>
        <v>1090.6399999999999</v>
      </c>
      <c r="I32" s="114">
        <f>+SUM('TABLEAU 2 TRESO - ACHATS'!I24:I27)</f>
        <v>2446.16</v>
      </c>
      <c r="J32" s="114">
        <f>+SUM('TABLEAU 2 TRESO - ACHATS'!J24:J27)</f>
        <v>1123.82</v>
      </c>
      <c r="K32" s="114">
        <f>+SUM('TABLEAU 2 TRESO - ACHATS'!K24:K27)</f>
        <v>2645.87</v>
      </c>
      <c r="L32" s="114">
        <f>+SUM('TABLEAU 2 TRESO - ACHATS'!L24:L27)</f>
        <v>1044.92</v>
      </c>
      <c r="M32" s="114">
        <f>+SUM('TABLEAU 2 TRESO - ACHATS'!M24:M27)</f>
        <v>1774.31</v>
      </c>
      <c r="N32" s="114">
        <f>+SUM('TABLEAU 2 TRESO - ACHATS'!N24:N27)</f>
        <v>1345.1599999999999</v>
      </c>
      <c r="O32" s="114">
        <f>+SUM('TABLEAU 2 TRESO - ACHATS'!O24:O27)</f>
        <v>538.76</v>
      </c>
      <c r="P32" s="114">
        <f>+SUM('TABLEAU 2 TRESO - ACHATS'!P24:P27)</f>
        <v>0</v>
      </c>
      <c r="Q32" s="114">
        <f>+SUM('TABLEAU 2 TRESO - ACHATS'!Q24:Q27)</f>
        <v>2847.7</v>
      </c>
      <c r="R32" s="114">
        <f>+SUM('TABLEAU 2 TRESO - ACHATS'!R24:R27)</f>
        <v>329.57</v>
      </c>
      <c r="S32" s="114">
        <f>+SUM('TABLEAU 2 TRESO - ACHATS'!S24:S27)</f>
        <v>900.68</v>
      </c>
      <c r="T32" s="114">
        <f>+SUM('TABLEAU 2 TRESO - ACHATS'!T24:T27)</f>
        <v>26538.32</v>
      </c>
      <c r="U32" s="114">
        <f>+SUM('TABLEAU 2 TRESO - ACHATS'!U24:U27)</f>
        <v>0</v>
      </c>
      <c r="V32" s="114">
        <f>+SUM('TABLEAU 2 TRESO - ACHATS'!V24:V27)</f>
        <v>0</v>
      </c>
      <c r="W32" s="114">
        <f>+SUM('TABLEAU 2 TRESO - ACHATS'!W24:W27)</f>
        <v>0</v>
      </c>
      <c r="X32" s="114">
        <f>+SUM('TABLEAU 2 TRESO - ACHATS'!X24:X27)</f>
        <v>0</v>
      </c>
      <c r="Y32" s="114">
        <f>+SUM('TABLEAU 2 TRESO - ACHATS'!Y24:Y27)</f>
        <v>0</v>
      </c>
      <c r="Z32" s="114">
        <f>+SUM('TABLEAU 2 TRESO - ACHATS'!Z24:Z27)</f>
        <v>0</v>
      </c>
      <c r="AA32" s="114">
        <f>+SUM('TABLEAU 2 TRESO - ACHATS'!AA24:AA27)</f>
        <v>0</v>
      </c>
      <c r="AB32" s="114">
        <f>+SUM('TABLEAU 2 TRESO - ACHATS'!AB24:AB27)</f>
        <v>0</v>
      </c>
      <c r="AC32" s="114">
        <f>+SUM('TABLEAU 2 TRESO - ACHATS'!AC24:AC27)</f>
        <v>0</v>
      </c>
      <c r="AD32" s="114">
        <f>+SUM('TABLEAU 2 TRESO - ACHATS'!AD24:AD27)</f>
        <v>0</v>
      </c>
      <c r="AE32" s="114">
        <f>+SUM('TABLEAU 2 TRESO - ACHATS'!AE24:AE27)</f>
        <v>0</v>
      </c>
      <c r="AF32" s="114">
        <f>+SUM('TABLEAU 2 TRESO - ACHATS'!AF24:AF27)</f>
        <v>0</v>
      </c>
      <c r="AG32" s="114">
        <f>+SUM('TABLEAU 2 TRESO - ACHATS'!AG24:AG27)</f>
        <v>0</v>
      </c>
      <c r="AH32" s="114">
        <f>+SUM('TABLEAU 2 TRESO - ACHATS'!AH24:AH27)</f>
        <v>0</v>
      </c>
      <c r="AI32" s="114">
        <f>+SUM('TABLEAU 2 TRESO - ACHATS'!AI24:AI27)</f>
        <v>0</v>
      </c>
      <c r="AJ32" s="114">
        <f>+SUM('TABLEAU 2 TRESO - ACHATS'!AJ24:AJ27)</f>
        <v>0</v>
      </c>
      <c r="AK32" s="114">
        <f>+SUM('TABLEAU 2 TRESO - ACHATS'!AK24:AK27)</f>
        <v>0</v>
      </c>
      <c r="AL32" s="114">
        <f>+SUM('TABLEAU 2 TRESO - ACHATS'!AL24:AL27)</f>
        <v>0</v>
      </c>
      <c r="AM32" s="114">
        <f>+SUM('TABLEAU 2 TRESO - ACHATS'!AM24:AM27)</f>
        <v>0</v>
      </c>
      <c r="AN32" s="114">
        <f>+SUM('TABLEAU 2 TRESO - ACHATS'!AN24:AN27)</f>
        <v>0</v>
      </c>
      <c r="AO32" s="114">
        <f>+SUM('TABLEAU 2 TRESO - ACHATS'!AO24:AO27)</f>
        <v>0</v>
      </c>
      <c r="AP32" s="114">
        <f>+SUM('TABLEAU 2 TRESO - ACHATS'!AP24:AP27)</f>
        <v>0</v>
      </c>
      <c r="AQ32" s="114">
        <f>+SUM('TABLEAU 2 TRESO - ACHATS'!AQ24:AQ27)</f>
        <v>0</v>
      </c>
      <c r="AR32" s="114">
        <f>+SUM('TABLEAU 2 TRESO - ACHATS'!AR24:AR27)</f>
        <v>0</v>
      </c>
      <c r="AS32" s="114">
        <f>+SUM('TABLEAU 2 TRESO - ACHATS'!AS24:AS27)</f>
        <v>0</v>
      </c>
      <c r="AT32" s="114">
        <f>+SUM('TABLEAU 2 TRESO - ACHATS'!AT24:AT27)</f>
        <v>0</v>
      </c>
      <c r="AU32" s="114">
        <f>+SUM('TABLEAU 2 TRESO - ACHATS'!AU24:AU27)</f>
        <v>0</v>
      </c>
      <c r="AV32" s="114">
        <f>+SUM('TABLEAU 2 TRESO - ACHATS'!AV24:AV27)</f>
        <v>0</v>
      </c>
      <c r="AW32" s="114">
        <f>+SUM('TABLEAU 2 TRESO - ACHATS'!AW24:AW27)</f>
        <v>0</v>
      </c>
      <c r="AX32" s="114">
        <f>+SUM('TABLEAU 2 TRESO - ACHATS'!AX24:AX27)</f>
        <v>0</v>
      </c>
      <c r="AY32" s="114">
        <f>+SUM('TABLEAU 2 TRESO - ACHATS'!AY24:AY27)</f>
        <v>0</v>
      </c>
      <c r="AZ32" s="114">
        <f>+SUM('TABLEAU 2 TRESO - ACHATS'!AZ24:AZ27)</f>
        <v>0</v>
      </c>
      <c r="BA32" s="114">
        <f>+SUM('TABLEAU 2 TRESO - ACHATS'!BA24:BA27)</f>
        <v>0</v>
      </c>
    </row>
    <row r="33" spans="1:53">
      <c r="A33" s="111" t="s">
        <v>448</v>
      </c>
      <c r="B33" s="112">
        <f>+B30-B31-B32</f>
        <v>-5381.71</v>
      </c>
      <c r="C33" s="112">
        <f t="shared" ref="C33" si="54">+C30-C31-C32</f>
        <v>-1144.02</v>
      </c>
      <c r="D33" s="112">
        <f t="shared" ref="D33" si="55">+D30-D31-D32</f>
        <v>-948.18</v>
      </c>
      <c r="E33" s="112">
        <f t="shared" ref="E33" si="56">+E30-E31-E32</f>
        <v>-2906.44</v>
      </c>
      <c r="F33" s="112">
        <f t="shared" ref="F33" si="57">+F30-F31-F32</f>
        <v>-1381.32</v>
      </c>
      <c r="G33" s="112">
        <f t="shared" ref="G33" si="58">+G30-G31-G32</f>
        <v>-1088.28</v>
      </c>
      <c r="H33" s="112">
        <f t="shared" ref="H33" si="59">+H30-H31-H32</f>
        <v>-1808.7599999999998</v>
      </c>
      <c r="I33" s="112">
        <f t="shared" ref="I33" si="60">+I30-I31-I32</f>
        <v>-2446.16</v>
      </c>
      <c r="J33" s="112">
        <f t="shared" ref="J33" si="61">+J30-J31-J32</f>
        <v>-2445.7600000000002</v>
      </c>
      <c r="K33" s="112">
        <f t="shared" ref="K33" si="62">+K30-K31-K32</f>
        <v>-2750.45</v>
      </c>
      <c r="L33" s="112">
        <f t="shared" ref="L33" si="63">+L30-L31-L32</f>
        <v>-1763.04</v>
      </c>
      <c r="M33" s="112">
        <f t="shared" ref="M33" si="64">+M30-M31-M32</f>
        <v>-1774.31</v>
      </c>
      <c r="N33" s="112">
        <f t="shared" ref="N33" si="65">+N30-N31-N32</f>
        <v>-2517.1</v>
      </c>
      <c r="O33" s="112">
        <f t="shared" ref="O33" si="66">+O30-O31-O32</f>
        <v>-793.33999999999992</v>
      </c>
      <c r="P33" s="112">
        <f t="shared" ref="P33" si="67">+P30-P31-P32</f>
        <v>-718.12</v>
      </c>
      <c r="Q33" s="112">
        <f t="shared" ref="Q33" si="68">+Q30-Q31-Q32</f>
        <v>-2847.7</v>
      </c>
      <c r="R33" s="112">
        <f t="shared" ref="R33" si="69">+R30-R31-R32</f>
        <v>-1501.51</v>
      </c>
      <c r="S33" s="112">
        <f t="shared" ref="S33" si="70">+S30-S31-S32</f>
        <v>-1050.6799999999998</v>
      </c>
      <c r="T33" s="112">
        <f t="shared" ref="T33" si="71">+T30-T31-T32</f>
        <v>-27361.02</v>
      </c>
      <c r="U33" s="112">
        <f t="shared" ref="U33" si="72">+U30-U31-U32</f>
        <v>0</v>
      </c>
      <c r="V33" s="112">
        <f t="shared" ref="V33" si="73">+V30-V31-V32</f>
        <v>0</v>
      </c>
      <c r="W33" s="112">
        <f t="shared" ref="W33" si="74">+W30-W31-W32</f>
        <v>-1321.94</v>
      </c>
      <c r="X33" s="112">
        <f t="shared" ref="X33" si="75">+X30-X31-X32</f>
        <v>-104.58</v>
      </c>
      <c r="Y33" s="112">
        <f t="shared" ref="Y33" si="76">+Y30-Y31-Y32</f>
        <v>-718.12</v>
      </c>
      <c r="Z33" s="112">
        <f t="shared" ref="Z33" si="77">+Z30-Z31-Z32</f>
        <v>0</v>
      </c>
      <c r="AA33" s="112">
        <f t="shared" ref="AA33" si="78">+AA30-AA31-AA32</f>
        <v>-1171.94</v>
      </c>
      <c r="AB33" s="112">
        <f t="shared" ref="AB33" si="79">+AB30-AB31-AB32</f>
        <v>-254.57999999999998</v>
      </c>
      <c r="AC33" s="112">
        <f t="shared" ref="AC33" si="80">+AC30-AC31-AC32</f>
        <v>-718.12</v>
      </c>
      <c r="AD33" s="112">
        <f t="shared" ref="AD33" si="81">+AD30-AD31-AD32</f>
        <v>0</v>
      </c>
      <c r="AE33" s="112">
        <f t="shared" ref="AE33" si="82">+AE30-AE31-AE32</f>
        <v>-1171.94</v>
      </c>
      <c r="AF33" s="112">
        <f t="shared" ref="AF33" si="83">+AF30-AF31-AF32</f>
        <v>-150</v>
      </c>
      <c r="AG33" s="112">
        <f t="shared" ref="AG33" si="84">+AG30-AG31-AG32</f>
        <v>-104.58</v>
      </c>
      <c r="AH33" s="112">
        <f t="shared" ref="AH33" si="85">+AH30-AH31-AH32</f>
        <v>-718.12</v>
      </c>
      <c r="AI33" s="112">
        <f t="shared" ref="AI33" si="86">+AI30-AI31-AI32</f>
        <v>0</v>
      </c>
      <c r="AJ33" s="112">
        <f t="shared" ref="AJ33" si="87">+AJ30-AJ31-AJ32</f>
        <v>-1321.94</v>
      </c>
      <c r="AK33" s="112">
        <f t="shared" ref="AK33" si="88">+AK30-AK31-AK32</f>
        <v>-104.58</v>
      </c>
      <c r="AL33" s="112">
        <f t="shared" ref="AL33" si="89">+AL30-AL31-AL32</f>
        <v>-718.12</v>
      </c>
      <c r="AM33" s="112">
        <f t="shared" ref="AM33" si="90">+AM30-AM31-AM32</f>
        <v>0</v>
      </c>
      <c r="AN33" s="112">
        <f t="shared" ref="AN33" si="91">+AN30-AN31-AN32</f>
        <v>-1171.94</v>
      </c>
      <c r="AO33" s="112">
        <f t="shared" ref="AO33" si="92">+AO30-AO31-AO32</f>
        <v>-150</v>
      </c>
      <c r="AP33" s="112">
        <f t="shared" ref="AP33" si="93">+AP30-AP31-AP32</f>
        <v>-822.7</v>
      </c>
      <c r="AQ33" s="112">
        <f t="shared" ref="AQ33" si="94">+AQ30-AQ31-AQ32</f>
        <v>0</v>
      </c>
      <c r="AR33" s="112">
        <f t="shared" ref="AR33" si="95">+AR30-AR31-AR32</f>
        <v>-1171.94</v>
      </c>
      <c r="AS33" s="112">
        <f t="shared" ref="AS33" si="96">+AS30-AS31-AS32</f>
        <v>-150</v>
      </c>
      <c r="AT33" s="112">
        <f t="shared" ref="AT33" si="97">+AT30-AT31-AT32</f>
        <v>-104.58</v>
      </c>
      <c r="AU33" s="112">
        <f t="shared" ref="AU33" si="98">+AU30-AU31-AU32</f>
        <v>-718.12</v>
      </c>
      <c r="AV33" s="112">
        <f t="shared" ref="AV33" si="99">+AV30-AV31-AV32</f>
        <v>0</v>
      </c>
      <c r="AW33" s="112">
        <f t="shared" ref="AW33" si="100">+AW30-AW31-AW32</f>
        <v>-1321.94</v>
      </c>
      <c r="AX33" s="112">
        <f t="shared" ref="AX33" si="101">+AX30-AX31-AX32</f>
        <v>-104.58</v>
      </c>
      <c r="AY33" s="112">
        <f t="shared" ref="AY33" si="102">+AY30-AY31-AY32</f>
        <v>-718.12</v>
      </c>
      <c r="AZ33" s="112">
        <f t="shared" ref="AZ33" si="103">+AZ30-AZ31-AZ32</f>
        <v>0</v>
      </c>
      <c r="BA33" s="112">
        <f t="shared" ref="BA33" si="104">+BA30-BA31-BA32</f>
        <v>-1171.94</v>
      </c>
    </row>
    <row r="34" spans="1:53">
      <c r="A34" s="103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4"/>
      <c r="AW34" s="104"/>
      <c r="AX34" s="104"/>
      <c r="AY34" s="104"/>
      <c r="AZ34" s="104"/>
      <c r="BA34" s="104"/>
    </row>
    <row r="35" spans="1:53">
      <c r="A35" s="103" t="s">
        <v>449</v>
      </c>
      <c r="B35" s="104">
        <v>1000</v>
      </c>
      <c r="C35" s="104"/>
      <c r="D35" s="104">
        <v>1500</v>
      </c>
      <c r="E35" s="104">
        <f>1474.92+1171.94+4000</f>
        <v>6646.8600000000006</v>
      </c>
      <c r="F35" s="104">
        <v>1000</v>
      </c>
      <c r="G35" s="104">
        <v>4709.12</v>
      </c>
      <c r="H35" s="104">
        <f>1500+3540.34</f>
        <v>5040.34</v>
      </c>
      <c r="I35" s="104">
        <v>1171.94</v>
      </c>
      <c r="J35" s="104">
        <v>2000</v>
      </c>
      <c r="K35" s="104"/>
      <c r="L35" s="104">
        <v>3718.42</v>
      </c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</row>
    <row r="36" spans="1:53">
      <c r="A36" s="103" t="s">
        <v>450</v>
      </c>
      <c r="B36" s="104"/>
      <c r="C36" s="104"/>
      <c r="D36" s="104"/>
      <c r="E36" s="104"/>
      <c r="F36" s="104"/>
      <c r="G36" s="104"/>
      <c r="H36" s="104"/>
      <c r="I36" s="104"/>
      <c r="J36" s="104">
        <v>-3600</v>
      </c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</row>
    <row r="37" spans="1:53">
      <c r="A37" s="103" t="str">
        <f>+A27</f>
        <v>Virements personnels</v>
      </c>
      <c r="B37" s="104">
        <v>-300</v>
      </c>
      <c r="C37" s="104"/>
      <c r="D37" s="104">
        <v>-600</v>
      </c>
      <c r="E37" s="104">
        <v>-1200</v>
      </c>
      <c r="F37" s="104">
        <v>-500</v>
      </c>
      <c r="G37" s="104">
        <v>-4300</v>
      </c>
      <c r="H37" s="104">
        <v>-1750</v>
      </c>
      <c r="I37" s="104">
        <v>-500</v>
      </c>
      <c r="J37" s="104">
        <f>-8100+6000</f>
        <v>-2100</v>
      </c>
      <c r="K37" s="104"/>
      <c r="L37" s="104">
        <f>-3000+250-150</f>
        <v>-2900</v>
      </c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</row>
    <row r="38" spans="1:53" ht="16.5" thickBot="1">
      <c r="A38" s="101" t="s">
        <v>451</v>
      </c>
      <c r="B38" s="102">
        <f>+SUM(B33:B37)</f>
        <v>-4681.71</v>
      </c>
      <c r="C38" s="102">
        <f>+SUM(C33:C37)+B38</f>
        <v>-5825.73</v>
      </c>
      <c r="D38" s="102">
        <f t="shared" ref="D38:BA38" si="105">+SUM(D33:D37)+C38</f>
        <v>-5873.91</v>
      </c>
      <c r="E38" s="102">
        <f t="shared" si="105"/>
        <v>-3333.4899999999993</v>
      </c>
      <c r="F38" s="102">
        <f t="shared" si="105"/>
        <v>-4214.8099999999995</v>
      </c>
      <c r="G38" s="102">
        <f t="shared" si="105"/>
        <v>-4893.9699999999993</v>
      </c>
      <c r="H38" s="102">
        <f t="shared" si="105"/>
        <v>-3412.389999999999</v>
      </c>
      <c r="I38" s="102">
        <f t="shared" si="105"/>
        <v>-5186.6099999999988</v>
      </c>
      <c r="J38" s="102">
        <f t="shared" si="105"/>
        <v>-11332.369999999999</v>
      </c>
      <c r="K38" s="102">
        <f t="shared" si="105"/>
        <v>-14082.82</v>
      </c>
      <c r="L38" s="102">
        <f t="shared" si="105"/>
        <v>-15027.439999999999</v>
      </c>
      <c r="M38" s="102">
        <f t="shared" si="105"/>
        <v>-16801.75</v>
      </c>
      <c r="N38" s="102">
        <f t="shared" si="105"/>
        <v>-19318.849999999999</v>
      </c>
      <c r="O38" s="102">
        <f t="shared" si="105"/>
        <v>-20112.189999999999</v>
      </c>
      <c r="P38" s="102">
        <f t="shared" si="105"/>
        <v>-20830.309999999998</v>
      </c>
      <c r="Q38" s="102">
        <f t="shared" si="105"/>
        <v>-23678.01</v>
      </c>
      <c r="R38" s="102">
        <f t="shared" si="105"/>
        <v>-25179.519999999997</v>
      </c>
      <c r="S38" s="102">
        <f t="shared" si="105"/>
        <v>-26230.199999999997</v>
      </c>
      <c r="T38" s="102">
        <f t="shared" si="105"/>
        <v>-53591.22</v>
      </c>
      <c r="U38" s="102">
        <f t="shared" si="105"/>
        <v>-53591.22</v>
      </c>
      <c r="V38" s="102">
        <f t="shared" si="105"/>
        <v>-53591.22</v>
      </c>
      <c r="W38" s="102">
        <f t="shared" si="105"/>
        <v>-54913.16</v>
      </c>
      <c r="X38" s="102">
        <f t="shared" si="105"/>
        <v>-55017.740000000005</v>
      </c>
      <c r="Y38" s="102">
        <f t="shared" si="105"/>
        <v>-55735.860000000008</v>
      </c>
      <c r="Z38" s="102">
        <f t="shared" si="105"/>
        <v>-55735.860000000008</v>
      </c>
      <c r="AA38" s="102">
        <f t="shared" si="105"/>
        <v>-56907.80000000001</v>
      </c>
      <c r="AB38" s="102">
        <f t="shared" si="105"/>
        <v>-57162.380000000012</v>
      </c>
      <c r="AC38" s="102">
        <f t="shared" si="105"/>
        <v>-57880.500000000015</v>
      </c>
      <c r="AD38" s="102">
        <f t="shared" si="105"/>
        <v>-57880.500000000015</v>
      </c>
      <c r="AE38" s="102">
        <f t="shared" si="105"/>
        <v>-59052.440000000017</v>
      </c>
      <c r="AF38" s="102">
        <f t="shared" si="105"/>
        <v>-59202.440000000017</v>
      </c>
      <c r="AG38" s="102">
        <f t="shared" si="105"/>
        <v>-59307.020000000019</v>
      </c>
      <c r="AH38" s="102">
        <f t="shared" si="105"/>
        <v>-60025.140000000021</v>
      </c>
      <c r="AI38" s="102">
        <f t="shared" si="105"/>
        <v>-60025.140000000021</v>
      </c>
      <c r="AJ38" s="102">
        <f t="shared" si="105"/>
        <v>-61347.080000000024</v>
      </c>
      <c r="AK38" s="102">
        <f t="shared" si="105"/>
        <v>-61451.660000000025</v>
      </c>
      <c r="AL38" s="102">
        <f t="shared" si="105"/>
        <v>-62169.780000000028</v>
      </c>
      <c r="AM38" s="102">
        <f t="shared" si="105"/>
        <v>-62169.780000000028</v>
      </c>
      <c r="AN38" s="102">
        <f t="shared" si="105"/>
        <v>-63341.72000000003</v>
      </c>
      <c r="AO38" s="102">
        <f t="shared" si="105"/>
        <v>-63491.72000000003</v>
      </c>
      <c r="AP38" s="102">
        <f t="shared" si="105"/>
        <v>-64314.420000000027</v>
      </c>
      <c r="AQ38" s="102">
        <f t="shared" si="105"/>
        <v>-64314.420000000027</v>
      </c>
      <c r="AR38" s="102">
        <f t="shared" si="105"/>
        <v>-65486.36000000003</v>
      </c>
      <c r="AS38" s="102">
        <f t="shared" si="105"/>
        <v>-65636.36000000003</v>
      </c>
      <c r="AT38" s="102">
        <f t="shared" si="105"/>
        <v>-65740.940000000031</v>
      </c>
      <c r="AU38" s="102">
        <f t="shared" si="105"/>
        <v>-66459.060000000027</v>
      </c>
      <c r="AV38" s="102">
        <f t="shared" si="105"/>
        <v>-66459.060000000027</v>
      </c>
      <c r="AW38" s="102">
        <f t="shared" si="105"/>
        <v>-67781.000000000029</v>
      </c>
      <c r="AX38" s="102">
        <f t="shared" si="105"/>
        <v>-67885.580000000031</v>
      </c>
      <c r="AY38" s="102">
        <f t="shared" si="105"/>
        <v>-68603.700000000026</v>
      </c>
      <c r="AZ38" s="102">
        <f t="shared" si="105"/>
        <v>-68603.700000000026</v>
      </c>
      <c r="BA38" s="102">
        <f t="shared" si="105"/>
        <v>-69775.640000000029</v>
      </c>
    </row>
    <row r="39" spans="1:53" ht="16.5" thickTop="1">
      <c r="A39" s="105" t="s">
        <v>10</v>
      </c>
      <c r="B39" s="106">
        <f>+B18+B28+B38</f>
        <v>-3569.670000000001</v>
      </c>
      <c r="C39" s="106">
        <f t="shared" ref="C39:BA39" si="106">+C18+C28+C38</f>
        <v>4190.7400000000016</v>
      </c>
      <c r="D39" s="106">
        <f t="shared" si="106"/>
        <v>5363.5599999999977</v>
      </c>
      <c r="E39" s="106">
        <f t="shared" si="106"/>
        <v>3270.6899999999973</v>
      </c>
      <c r="F39" s="106">
        <f t="shared" si="106"/>
        <v>5214.9499999999971</v>
      </c>
      <c r="G39" s="106">
        <f t="shared" si="106"/>
        <v>4501.3099999999977</v>
      </c>
      <c r="H39" s="106">
        <f t="shared" si="106"/>
        <v>3807.4899999999966</v>
      </c>
      <c r="I39" s="106">
        <f t="shared" si="106"/>
        <v>4679.3299999999981</v>
      </c>
      <c r="J39" s="106">
        <f t="shared" si="106"/>
        <v>2182.029999999997</v>
      </c>
      <c r="K39" s="106">
        <f t="shared" si="106"/>
        <v>263.81999999999607</v>
      </c>
      <c r="L39" s="106">
        <f t="shared" si="106"/>
        <v>-3557.2500000000036</v>
      </c>
      <c r="M39" s="106">
        <f t="shared" si="106"/>
        <v>-10275.120000000006</v>
      </c>
      <c r="N39" s="106">
        <f t="shared" si="106"/>
        <v>-17192.800000000007</v>
      </c>
      <c r="O39" s="106">
        <f t="shared" si="106"/>
        <v>-19642.210000000006</v>
      </c>
      <c r="P39" s="106">
        <f t="shared" si="106"/>
        <v>-21931.230000000007</v>
      </c>
      <c r="Q39" s="106">
        <f t="shared" si="106"/>
        <v>-32917.140000000014</v>
      </c>
      <c r="R39" s="106">
        <f t="shared" si="106"/>
        <v>-38148.80000000001</v>
      </c>
      <c r="S39" s="106">
        <f t="shared" si="106"/>
        <v>-42928.900000000009</v>
      </c>
      <c r="T39" s="106">
        <f t="shared" si="106"/>
        <v>-89505.710000000021</v>
      </c>
      <c r="U39" s="106">
        <f t="shared" si="106"/>
        <v>-90895.710000000021</v>
      </c>
      <c r="V39" s="106">
        <f t="shared" si="106"/>
        <v>-94751.960000000021</v>
      </c>
      <c r="W39" s="106">
        <f t="shared" si="106"/>
        <v>-99112.470000000016</v>
      </c>
      <c r="X39" s="106">
        <f t="shared" si="106"/>
        <v>-99848.120000000024</v>
      </c>
      <c r="Y39" s="106">
        <f t="shared" si="106"/>
        <v>-102107.15000000002</v>
      </c>
      <c r="Z39" s="106">
        <f t="shared" si="106"/>
        <v>-105246.66000000003</v>
      </c>
      <c r="AA39" s="106">
        <f t="shared" si="106"/>
        <v>-110819.18000000002</v>
      </c>
      <c r="AB39" s="106">
        <f t="shared" si="106"/>
        <v>-112312.83000000003</v>
      </c>
      <c r="AC39" s="106">
        <f t="shared" si="106"/>
        <v>-114601.85000000003</v>
      </c>
      <c r="AD39" s="106">
        <f t="shared" si="106"/>
        <v>-121977.10000000003</v>
      </c>
      <c r="AE39" s="106">
        <f t="shared" si="106"/>
        <v>-125882.54000000004</v>
      </c>
      <c r="AF39" s="106">
        <f t="shared" si="106"/>
        <v>-128337.61000000003</v>
      </c>
      <c r="AG39" s="106">
        <f t="shared" si="106"/>
        <v>-129073.26000000004</v>
      </c>
      <c r="AH39" s="106">
        <f t="shared" si="106"/>
        <v>-132682.29000000004</v>
      </c>
      <c r="AI39" s="106">
        <f t="shared" si="106"/>
        <v>-134471.80000000005</v>
      </c>
      <c r="AJ39" s="106">
        <f t="shared" si="106"/>
        <v>-140832.31000000006</v>
      </c>
      <c r="AK39" s="106">
        <f t="shared" si="106"/>
        <v>-141537.97000000006</v>
      </c>
      <c r="AL39" s="106">
        <f t="shared" si="106"/>
        <v>-143826.99000000005</v>
      </c>
      <c r="AM39" s="106">
        <f t="shared" si="106"/>
        <v>-147033.24000000005</v>
      </c>
      <c r="AN39" s="106">
        <f t="shared" si="106"/>
        <v>-151605.76000000007</v>
      </c>
      <c r="AO39" s="106">
        <f t="shared" si="106"/>
        <v>-153844.88000000006</v>
      </c>
      <c r="AP39" s="106">
        <f t="shared" si="106"/>
        <v>-156294.43000000005</v>
      </c>
      <c r="AQ39" s="106">
        <f t="shared" si="106"/>
        <v>-163642.94000000006</v>
      </c>
      <c r="AR39" s="106">
        <f t="shared" si="106"/>
        <v>-167548.38000000006</v>
      </c>
      <c r="AS39" s="106">
        <f t="shared" si="106"/>
        <v>-170003.45000000007</v>
      </c>
      <c r="AT39" s="106">
        <f t="shared" si="106"/>
        <v>-170685.10000000006</v>
      </c>
      <c r="AU39" s="106">
        <f t="shared" si="106"/>
        <v>-172944.13000000006</v>
      </c>
      <c r="AV39" s="106">
        <f t="shared" si="106"/>
        <v>-176150.38000000006</v>
      </c>
      <c r="AW39" s="106">
        <f t="shared" si="106"/>
        <v>-182510.89000000007</v>
      </c>
      <c r="AX39" s="106">
        <f t="shared" si="106"/>
        <v>-183162.5500000001</v>
      </c>
      <c r="AY39" s="106">
        <f t="shared" si="106"/>
        <v>-185451.57000000007</v>
      </c>
      <c r="AZ39" s="106">
        <f t="shared" si="106"/>
        <v>-188591.08000000007</v>
      </c>
      <c r="BA39" s="106">
        <f t="shared" si="106"/>
        <v>-192496.52000000008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BDD 1 - CHARGES FIXES</vt:lpstr>
      <vt:lpstr>BDD 2- CHARGES VARIABLES</vt:lpstr>
      <vt:lpstr>BDD 3 - RECETTES</vt:lpstr>
      <vt:lpstr>TABLEAU 1 TRESO - CHARGES FIXES</vt:lpstr>
      <vt:lpstr>TABLEAU 2 TRESO - ACHATS</vt:lpstr>
      <vt:lpstr>TABLEAU TRESO 3 - RECETTES</vt:lpstr>
      <vt:lpstr>Synthèse</vt:lpstr>
    </vt:vector>
  </TitlesOfParts>
  <Company>Bruno Prédebon Productions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Prédebon</dc:creator>
  <cp:lastModifiedBy>Nikko Bellaiche</cp:lastModifiedBy>
  <cp:lastPrinted>2013-05-29T09:15:11Z</cp:lastPrinted>
  <dcterms:created xsi:type="dcterms:W3CDTF">2012-08-03T09:28:25Z</dcterms:created>
  <dcterms:modified xsi:type="dcterms:W3CDTF">2016-03-22T13:12:56Z</dcterms:modified>
</cp:coreProperties>
</file>