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utique4\Desktop\"/>
    </mc:Choice>
  </mc:AlternateContent>
  <bookViews>
    <workbookView xWindow="0" yWindow="0" windowWidth="23730" windowHeight="9510"/>
  </bookViews>
  <sheets>
    <sheet name="01" sheetId="19" r:id="rId1"/>
    <sheet name="02" sheetId="64" r:id="rId2"/>
    <sheet name="VENTES" sheetId="60" r:id="rId3"/>
    <sheet name="CHIFFRES" sheetId="61" r:id="rId4"/>
    <sheet name="STATS" sheetId="62" r:id="rId5"/>
    <sheet name="TRAFIC" sheetId="63" r:id="rId6"/>
  </sheets>
  <functionGroups builtInGroupCount="18"/>
  <definedNames>
    <definedName name="_xlnm._FilterDatabase" localSheetId="0" hidden="1">'01'!$B$6:$L$21</definedName>
    <definedName name="_xlnm._FilterDatabase" localSheetId="1" hidden="1">'02'!$B$6:$L$21</definedName>
    <definedName name="Abricot">4</definedName>
    <definedName name="Ananas">6</definedName>
    <definedName name="Cerise">2</definedName>
    <definedName name="Coco">5</definedName>
    <definedName name="Poire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64" l="1"/>
  <c r="E2" i="64" s="1"/>
  <c r="Y30" i="64"/>
  <c r="R30" i="64"/>
  <c r="Y29" i="64"/>
  <c r="Y27" i="64"/>
  <c r="W27" i="64"/>
  <c r="Y26" i="64"/>
  <c r="W26" i="64"/>
  <c r="Y25" i="64"/>
  <c r="W25" i="64"/>
  <c r="Y24" i="64"/>
  <c r="W24" i="64"/>
  <c r="Y23" i="64"/>
  <c r="W23" i="64"/>
  <c r="Y22" i="64"/>
  <c r="W22" i="64"/>
  <c r="Y20" i="64"/>
  <c r="W20" i="64"/>
  <c r="Y19" i="64"/>
  <c r="W19" i="64"/>
  <c r="R19" i="64"/>
  <c r="Y18" i="64"/>
  <c r="W18" i="64"/>
  <c r="AD17" i="64"/>
  <c r="Y17" i="64"/>
  <c r="W17" i="64"/>
  <c r="AD16" i="64"/>
  <c r="R16" i="64"/>
  <c r="AD15" i="64"/>
  <c r="Y15" i="64"/>
  <c r="W15" i="64"/>
  <c r="AD14" i="64"/>
  <c r="Y14" i="64"/>
  <c r="W14" i="64"/>
  <c r="R14" i="64"/>
  <c r="AD13" i="64"/>
  <c r="Y13" i="64"/>
  <c r="W13" i="64"/>
  <c r="AD12" i="64"/>
  <c r="Y12" i="64"/>
  <c r="W12" i="64"/>
  <c r="R12" i="64"/>
  <c r="AD11" i="64"/>
  <c r="Y11" i="64"/>
  <c r="W11" i="64"/>
  <c r="AD10" i="64"/>
  <c r="Y10" i="64"/>
  <c r="W10" i="64"/>
  <c r="AD9" i="64"/>
  <c r="Y9" i="64"/>
  <c r="W9" i="64"/>
  <c r="AD8" i="64"/>
  <c r="AD7" i="64"/>
  <c r="Y7" i="64"/>
  <c r="W7" i="64"/>
  <c r="AD6" i="64"/>
  <c r="Y6" i="64"/>
  <c r="W6" i="64"/>
  <c r="E21" i="64"/>
  <c r="E20" i="64"/>
  <c r="E15" i="64"/>
  <c r="E19" i="64"/>
  <c r="E18" i="64"/>
  <c r="E10" i="64"/>
  <c r="E9" i="64"/>
  <c r="E8" i="64"/>
  <c r="E11" i="64"/>
  <c r="E17" i="64"/>
  <c r="E16" i="64"/>
  <c r="E13" i="64"/>
  <c r="R13" i="64" l="1"/>
  <c r="F13" i="64"/>
  <c r="F16" i="64"/>
  <c r="F17" i="64"/>
  <c r="F11" i="64"/>
  <c r="F8" i="64"/>
  <c r="R6" i="64"/>
  <c r="R10" i="64" s="1"/>
  <c r="F9" i="64"/>
  <c r="F10" i="64"/>
  <c r="F18" i="64"/>
  <c r="F19" i="64"/>
  <c r="F15" i="64"/>
  <c r="F20" i="64"/>
  <c r="F21" i="64"/>
  <c r="R15" i="64"/>
  <c r="R8" i="64" l="1"/>
  <c r="E8" i="19" l="1"/>
  <c r="F8" i="19" l="1"/>
  <c r="Y30" i="19"/>
  <c r="Y29" i="19"/>
  <c r="Y27" i="19"/>
  <c r="Y26" i="19"/>
  <c r="Y25" i="19"/>
  <c r="Y24" i="19"/>
  <c r="Y23" i="19"/>
  <c r="Y22" i="19"/>
  <c r="Y20" i="19"/>
  <c r="Y19" i="19"/>
  <c r="Y18" i="19"/>
  <c r="Y17" i="19"/>
  <c r="Y7" i="19"/>
  <c r="Y6" i="19"/>
  <c r="Y15" i="19"/>
  <c r="Y14" i="19"/>
  <c r="Y13" i="19"/>
  <c r="Y12" i="19"/>
  <c r="Y11" i="19"/>
  <c r="Y10" i="19"/>
  <c r="Y9" i="19"/>
  <c r="C29" i="63" l="1"/>
  <c r="C28" i="63"/>
  <c r="C27" i="63"/>
  <c r="C26" i="63"/>
  <c r="C25" i="63"/>
  <c r="C24" i="63"/>
  <c r="C23" i="63"/>
  <c r="C22" i="63"/>
  <c r="C21" i="63"/>
  <c r="C20" i="63"/>
  <c r="C19" i="63"/>
  <c r="C18" i="63"/>
  <c r="C16" i="63"/>
  <c r="C15" i="63"/>
  <c r="C14" i="63"/>
  <c r="C13" i="63"/>
  <c r="C12" i="63"/>
  <c r="C11" i="63"/>
  <c r="C10" i="63"/>
  <c r="C9" i="63"/>
  <c r="C8" i="63"/>
  <c r="C7" i="63"/>
  <c r="C6" i="63"/>
  <c r="C5" i="63"/>
  <c r="C27" i="62"/>
  <c r="C26" i="62"/>
  <c r="C25" i="62"/>
  <c r="C24" i="62"/>
  <c r="C23" i="62"/>
  <c r="C22" i="62"/>
  <c r="C20" i="62"/>
  <c r="C19" i="62"/>
  <c r="C18" i="62"/>
  <c r="C17" i="62"/>
  <c r="C15" i="62"/>
  <c r="C14" i="62"/>
  <c r="C13" i="62"/>
  <c r="C12" i="62"/>
  <c r="C11" i="62"/>
  <c r="C10" i="62"/>
  <c r="C9" i="62"/>
  <c r="C7" i="62"/>
  <c r="R30" i="19" l="1"/>
  <c r="W20" i="19" l="1"/>
  <c r="W19" i="19"/>
  <c r="W18" i="19"/>
  <c r="W17" i="19"/>
  <c r="W25" i="19"/>
  <c r="W22" i="19" l="1"/>
  <c r="W23" i="19"/>
  <c r="E20" i="19"/>
  <c r="E17" i="19"/>
  <c r="E13" i="19"/>
  <c r="E18" i="19"/>
  <c r="E15" i="19"/>
  <c r="E10" i="19"/>
  <c r="E11" i="19"/>
  <c r="E21" i="19"/>
  <c r="E9" i="19"/>
  <c r="E19" i="19"/>
  <c r="E16" i="19"/>
  <c r="R6" i="19" l="1"/>
  <c r="F9" i="19"/>
  <c r="E2" i="19" l="1"/>
  <c r="W27" i="19" l="1"/>
  <c r="W26" i="19"/>
  <c r="W24" i="19"/>
  <c r="W15" i="19"/>
  <c r="W14" i="19"/>
  <c r="W13" i="19"/>
  <c r="W11" i="19"/>
  <c r="W10" i="19"/>
  <c r="W9" i="19"/>
  <c r="W7" i="19"/>
  <c r="W6" i="19"/>
  <c r="R14" i="19"/>
  <c r="R12" i="19"/>
  <c r="AD17" i="19"/>
  <c r="AD16" i="19"/>
  <c r="AD15" i="19"/>
  <c r="AD14" i="19"/>
  <c r="AD13" i="19"/>
  <c r="AD12" i="19"/>
  <c r="AD11" i="19"/>
  <c r="AD10" i="19"/>
  <c r="AD9" i="19"/>
  <c r="AD8" i="19"/>
  <c r="AD7" i="19"/>
  <c r="AD6" i="19"/>
  <c r="W12" i="19"/>
  <c r="R16" i="19"/>
  <c r="R19" i="19"/>
  <c r="F19" i="19" l="1"/>
  <c r="F16" i="19"/>
  <c r="R13" i="19"/>
  <c r="R15" i="19"/>
  <c r="R10" i="19" l="1"/>
  <c r="F10" i="19"/>
  <c r="F11" i="19"/>
  <c r="F13" i="19"/>
  <c r="F15" i="19"/>
  <c r="F17" i="19"/>
  <c r="F20" i="19"/>
  <c r="F18" i="19"/>
  <c r="F21" i="19"/>
  <c r="R8" i="19" l="1"/>
</calcChain>
</file>

<file path=xl/comments1.xml><?xml version="1.0" encoding="utf-8"?>
<comments xmlns="http://schemas.openxmlformats.org/spreadsheetml/2006/main">
  <authors>
    <author>Boutique Printemps</author>
  </authors>
  <commentList>
    <comment ref="R6" authorId="0" shapeId="0">
      <text>
        <r>
          <rPr>
            <sz val="12"/>
            <color indexed="81"/>
            <rFont val="Tahoma"/>
            <family val="2"/>
          </rPr>
          <t>= Total des montants des ventes de la journée (E)</t>
        </r>
      </text>
    </comment>
    <comment ref="W6" authorId="0" shapeId="0">
      <text>
        <r>
          <rPr>
            <sz val="12"/>
            <color indexed="81"/>
            <rFont val="Tahoma"/>
            <family val="2"/>
          </rPr>
          <t>Pourcentage d'hommes sur la totalité des ventes et conseils</t>
        </r>
      </text>
    </comment>
    <comment ref="X6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'Sexe' = H</t>
        </r>
      </text>
    </comment>
    <comment ref="AD6" authorId="0" shapeId="0">
      <text>
        <r>
          <rPr>
            <sz val="12"/>
            <color indexed="81"/>
            <rFont val="Tahoma"/>
            <family val="2"/>
          </rPr>
          <t>Nombre de ventes ou conseils correspondants à l'heure indiquée</t>
        </r>
      </text>
    </comment>
    <comment ref="W7" authorId="0" shapeId="0">
      <text>
        <r>
          <rPr>
            <sz val="12"/>
            <color indexed="81"/>
            <rFont val="Tahoma"/>
            <family val="2"/>
          </rPr>
          <t>Pourcentage de femmes sur la totalité des ventes et conseils</t>
        </r>
      </text>
    </comment>
    <comment ref="X7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'Sexe' = F</t>
        </r>
      </text>
    </comment>
    <comment ref="B8" authorId="0" shapeId="0">
      <text>
        <r>
          <rPr>
            <sz val="12"/>
            <color indexed="81"/>
            <rFont val="Tahoma"/>
            <family val="2"/>
          </rPr>
          <t>L'heure s'affiche automatiquement au moment de la création d'une nouvelle ligne de vente grace au bouton "nouvelle vente" ou "nouveau conseil".</t>
        </r>
      </text>
    </comment>
    <comment ref="C8" authorId="0" shapeId="0">
      <text>
        <r>
          <rPr>
            <sz val="12"/>
            <color indexed="81"/>
            <rFont val="Tahoma"/>
            <family val="2"/>
          </rPr>
          <t>Grâce au gestionnaire de noms et à la formule CFORM, on rentre les références de la vente comme ceci, en comprenant les calculs.</t>
        </r>
      </text>
    </comment>
    <comment ref="D8" authorId="0" shapeId="0">
      <text>
        <r>
          <rPr>
            <sz val="12"/>
            <color indexed="81"/>
            <rFont val="Tahoma"/>
            <family val="2"/>
          </rPr>
          <t>Si l'on rentre un discount (en pourcentage), celui-ci est automatiquement déduis du montant de la ligne de vente. Si la cellule discount est vide, celle-ci n'est pas prise en compte par le montant.</t>
        </r>
      </text>
    </comment>
    <comment ref="K8" authorId="0" shapeId="0">
      <text>
        <r>
          <rPr>
            <sz val="12"/>
            <color indexed="81"/>
            <rFont val="Tahoma"/>
            <family val="2"/>
          </rPr>
          <t>La cellule quantité reconnaîtra le nombre de "noms" figurant dans la cellule 'produits' de la ligne de vente tout en considérant leurs additions et multiplications.
Ex : cerise+cerise+abricot*2 = 4</t>
        </r>
      </text>
    </comment>
    <comment ref="W9" authorId="0" shapeId="0">
      <text>
        <r>
          <rPr>
            <sz val="12"/>
            <color indexed="81"/>
            <rFont val="Tahoma"/>
            <family val="2"/>
          </rPr>
          <t>Pourcentage selon provenance de la vente ou du conseil (colonne H)</t>
        </r>
      </text>
    </comment>
    <comment ref="X9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'Provenance' = FR</t>
        </r>
      </text>
    </comment>
    <comment ref="X10" authorId="0" shapeId="0">
      <text>
        <r>
          <rPr>
            <sz val="12"/>
            <color indexed="81"/>
            <rFont val="Tahoma"/>
            <family val="2"/>
          </rPr>
          <t>idem</t>
        </r>
      </text>
    </comment>
    <comment ref="R12" authorId="0" shapeId="0">
      <text>
        <r>
          <rPr>
            <sz val="12"/>
            <color indexed="81"/>
            <rFont val="Tahoma"/>
            <family val="2"/>
          </rPr>
          <t>Nombre total de lignes de vente (ventes + conseils)</t>
        </r>
      </text>
    </comment>
    <comment ref="R13" authorId="0" shapeId="0">
      <text>
        <r>
          <rPr>
            <sz val="12"/>
            <color indexed="81"/>
            <rFont val="Tahoma"/>
            <family val="2"/>
          </rPr>
          <t>Nombre total de lignes de vente (uniquement conseils)</t>
        </r>
      </text>
    </comment>
    <comment ref="R14" authorId="0" shapeId="0">
      <text>
        <r>
          <rPr>
            <sz val="12"/>
            <color indexed="81"/>
            <rFont val="Tahoma"/>
            <family val="2"/>
          </rPr>
          <t>Nombre total de lignes de vente (uniquement ventes)</t>
        </r>
      </text>
    </comment>
    <comment ref="R16" authorId="0" shapeId="0">
      <text>
        <r>
          <rPr>
            <sz val="12"/>
            <color indexed="81"/>
            <rFont val="Tahoma"/>
            <family val="2"/>
          </rPr>
          <t>Nombre total d'échantillons</t>
        </r>
      </text>
    </comment>
    <comment ref="W17" authorId="0" shapeId="0">
      <text>
        <r>
          <rPr>
            <sz val="12"/>
            <color indexed="81"/>
            <rFont val="Tahoma"/>
            <family val="2"/>
          </rPr>
          <t>Pourcentage des codes clients sur la totalité des ventes et conseils (colonne J)</t>
        </r>
      </text>
    </comment>
    <comment ref="X17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'Nature' = DEC</t>
        </r>
      </text>
    </comment>
    <comment ref="R18" authorId="0" shapeId="0">
      <text>
        <r>
          <rPr>
            <sz val="12"/>
            <color indexed="81"/>
            <rFont val="Tahoma"/>
            <family val="2"/>
          </rPr>
          <t>Nombre total d'articles vendus</t>
        </r>
      </text>
    </comment>
    <comment ref="X18" authorId="0" shapeId="0">
      <text>
        <r>
          <rPr>
            <sz val="12"/>
            <color indexed="81"/>
            <rFont val="Tahoma"/>
            <family val="2"/>
          </rPr>
          <t>Idem</t>
        </r>
      </text>
    </comment>
    <comment ref="AD19" authorId="0" shapeId="0">
      <text>
        <r>
          <rPr>
            <sz val="12"/>
            <color indexed="81"/>
            <rFont val="Tahoma"/>
            <family val="2"/>
          </rPr>
          <t>Montant total des ventes passées à l'heure indiquée.</t>
        </r>
      </text>
    </comment>
    <comment ref="R21" authorId="0" shapeId="0">
      <text>
        <r>
          <rPr>
            <sz val="12"/>
            <color indexed="81"/>
            <rFont val="Tahoma"/>
            <family val="2"/>
          </rPr>
          <t>Nombre total de noms dans la colonne C qui appartiennent aux fruits "exotiques". Calculs pris en compte.
Ex : cerise+coco+poire*2+ananas*3 = 3</t>
        </r>
      </text>
    </comment>
    <comment ref="R22" authorId="0" shapeId="0">
      <text>
        <r>
          <rPr>
            <sz val="12"/>
            <color indexed="81"/>
            <rFont val="Tahoma"/>
            <family val="2"/>
          </rPr>
          <t>Nombre total de noms dans la colonne C qui appartiennent aux fruits "exotiques". Calculs pris en compte.
Ex : cerise+coco+poire*2+ananas*3 = 4</t>
        </r>
      </text>
    </comment>
    <comment ref="W22" authorId="0" shapeId="0">
      <text>
        <r>
          <rPr>
            <sz val="12"/>
            <color indexed="81"/>
            <rFont val="Tahoma"/>
            <family val="2"/>
          </rPr>
          <t>Pourcentage des moyens de paiement sur la totalité des ventes et conseils (colonne I)</t>
        </r>
      </text>
    </comment>
    <comment ref="X22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'MdP' = CB</t>
        </r>
      </text>
    </comment>
    <comment ref="X23" authorId="0" shapeId="0">
      <text>
        <r>
          <rPr>
            <sz val="12"/>
            <color indexed="81"/>
            <rFont val="Tahoma"/>
            <family val="2"/>
          </rPr>
          <t>Idem</t>
        </r>
      </text>
    </comment>
    <comment ref="R24" authorId="0" shapeId="0">
      <text>
        <r>
          <rPr>
            <b/>
            <sz val="12"/>
            <color indexed="81"/>
            <rFont val="Tahoma"/>
            <family val="2"/>
          </rPr>
          <t>Montant</t>
        </r>
        <r>
          <rPr>
            <sz val="12"/>
            <color indexed="81"/>
            <rFont val="Tahoma"/>
            <family val="2"/>
          </rPr>
          <t xml:space="preserve"> total de noms dans la colonne C qui appartiennent aux fruits "exotiques". Calculs pris en compte.
Ex : cerise+coco+poire*2+ananas*3 = 8€</t>
        </r>
      </text>
    </comment>
    <comment ref="R25" authorId="0" shapeId="0">
      <text>
        <r>
          <rPr>
            <b/>
            <sz val="12"/>
            <color indexed="81"/>
            <rFont val="Tahoma"/>
            <family val="2"/>
          </rPr>
          <t>Montant</t>
        </r>
        <r>
          <rPr>
            <sz val="12"/>
            <color indexed="81"/>
            <rFont val="Tahoma"/>
            <family val="2"/>
          </rPr>
          <t xml:space="preserve"> total de noms dans la colonne C qui appartiennent aux fruits "exotiques". Calculs pris en compte.
Ex : cerise+coco+poire*2+ananas*3 = 23€</t>
        </r>
      </text>
    </comment>
    <comment ref="R27" authorId="0" shapeId="0">
      <text>
        <r>
          <rPr>
            <sz val="12"/>
            <color indexed="81"/>
            <rFont val="Tahoma"/>
            <family val="2"/>
          </rPr>
          <t>Addition des montants (colonne E), si la cellule boutique 2 (colonne M) de la ligne de vente est égale à 1.</t>
        </r>
      </text>
    </comment>
    <comment ref="R29" authorId="0" shapeId="0">
      <text>
        <r>
          <rPr>
            <sz val="12"/>
            <color indexed="81"/>
            <rFont val="Tahoma"/>
            <family val="2"/>
          </rPr>
          <t>Addition des quantités (colonne K), si la cellule boutique 2 (colonne M) de la ligne de vente est égale à 1</t>
        </r>
      </text>
    </comment>
    <comment ref="W29" authorId="0" shapeId="0">
      <text>
        <r>
          <rPr>
            <sz val="12"/>
            <color indexed="81"/>
            <rFont val="Tahoma"/>
            <family val="2"/>
          </rPr>
          <t>Pourcentage des ventes passées sur la boutique 1</t>
        </r>
      </text>
    </comment>
    <comment ref="X29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'Boutique 2' n'est pas égale à 1</t>
        </r>
      </text>
    </comment>
    <comment ref="R30" authorId="0" shapeId="0">
      <text>
        <r>
          <rPr>
            <sz val="12"/>
            <color indexed="81"/>
            <rFont val="Tahoma"/>
            <family val="2"/>
          </rPr>
          <t>Nombre passages sur la boutique 2 = colonne M</t>
        </r>
      </text>
    </comment>
    <comment ref="W30" authorId="0" shapeId="0">
      <text>
        <r>
          <rPr>
            <sz val="12"/>
            <color indexed="81"/>
            <rFont val="Tahoma"/>
            <family val="2"/>
          </rPr>
          <t>Pourcentage des ventes passées sur la boutique 2</t>
        </r>
      </text>
    </comment>
    <comment ref="X30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'Boutique 2' = 1</t>
        </r>
      </text>
    </comment>
  </commentList>
</comments>
</file>

<file path=xl/comments2.xml><?xml version="1.0" encoding="utf-8"?>
<comments xmlns="http://schemas.openxmlformats.org/spreadsheetml/2006/main">
  <authors>
    <author>Boutique Printemps</author>
  </authors>
  <commentList>
    <comment ref="R6" authorId="0" shapeId="0">
      <text>
        <r>
          <rPr>
            <sz val="12"/>
            <color indexed="81"/>
            <rFont val="Tahoma"/>
            <family val="2"/>
          </rPr>
          <t>= Total des montants des ventes de la journée (E)</t>
        </r>
      </text>
    </comment>
    <comment ref="W6" authorId="0" shapeId="0">
      <text>
        <r>
          <rPr>
            <sz val="12"/>
            <color indexed="81"/>
            <rFont val="Tahoma"/>
            <family val="2"/>
          </rPr>
          <t>Pourcentage d'hommes sur la totalité des ventes et conseils</t>
        </r>
      </text>
    </comment>
    <comment ref="X6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'Sexe' = H</t>
        </r>
      </text>
    </comment>
    <comment ref="AD6" authorId="0" shapeId="0">
      <text>
        <r>
          <rPr>
            <sz val="12"/>
            <color indexed="81"/>
            <rFont val="Tahoma"/>
            <family val="2"/>
          </rPr>
          <t>Nombre de ventes ou conseils correspondants à l'heure indiquée</t>
        </r>
      </text>
    </comment>
    <comment ref="W7" authorId="0" shapeId="0">
      <text>
        <r>
          <rPr>
            <sz val="12"/>
            <color indexed="81"/>
            <rFont val="Tahoma"/>
            <family val="2"/>
          </rPr>
          <t>Pourcentage de femmes sur la totalité des ventes et conseils</t>
        </r>
      </text>
    </comment>
    <comment ref="X7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'Sexe' = F</t>
        </r>
      </text>
    </comment>
    <comment ref="B8" authorId="0" shapeId="0">
      <text>
        <r>
          <rPr>
            <sz val="12"/>
            <color indexed="81"/>
            <rFont val="Tahoma"/>
            <family val="2"/>
          </rPr>
          <t>L'heure s'affiche automatiquement au moment de la création d'une nouvelle ligne de vente grace au bouton "nouvelle vente" ou "nouveau conseil".</t>
        </r>
      </text>
    </comment>
    <comment ref="C8" authorId="0" shapeId="0">
      <text>
        <r>
          <rPr>
            <sz val="12"/>
            <color indexed="81"/>
            <rFont val="Tahoma"/>
            <family val="2"/>
          </rPr>
          <t>Grâce au gestionnaire de noms et à la formule CFORM, on rentre les références de la vente comme ceci, en comprenant les calculs.</t>
        </r>
      </text>
    </comment>
    <comment ref="D8" authorId="0" shapeId="0">
      <text>
        <r>
          <rPr>
            <sz val="12"/>
            <color indexed="81"/>
            <rFont val="Tahoma"/>
            <family val="2"/>
          </rPr>
          <t>Si l'on rentre un discount (en pourcentage), celui-ci est automatiquement déduis du montant de la ligne de vente. Si la cellule discount est vide, celle-ci n'est pas prise en compte par le montant.</t>
        </r>
      </text>
    </comment>
    <comment ref="K8" authorId="0" shapeId="0">
      <text>
        <r>
          <rPr>
            <sz val="12"/>
            <color indexed="81"/>
            <rFont val="Tahoma"/>
            <family val="2"/>
          </rPr>
          <t>La cellule quantité reconnaîtra le nombre de "noms" figurant dans la cellule 'produits' de la ligne de vente tout en considérant leurs additions et multiplications.
Ex : cerise+cerise+abricot*2 = 4</t>
        </r>
      </text>
    </comment>
    <comment ref="W9" authorId="0" shapeId="0">
      <text>
        <r>
          <rPr>
            <sz val="12"/>
            <color indexed="81"/>
            <rFont val="Tahoma"/>
            <family val="2"/>
          </rPr>
          <t>Pourcentage selon provenance de la vente ou du conseil (colonne H)</t>
        </r>
      </text>
    </comment>
    <comment ref="X9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'Provenance' = FR</t>
        </r>
      </text>
    </comment>
    <comment ref="X10" authorId="0" shapeId="0">
      <text>
        <r>
          <rPr>
            <sz val="12"/>
            <color indexed="81"/>
            <rFont val="Tahoma"/>
            <family val="2"/>
          </rPr>
          <t>idem</t>
        </r>
      </text>
    </comment>
    <comment ref="R12" authorId="0" shapeId="0">
      <text>
        <r>
          <rPr>
            <sz val="12"/>
            <color indexed="81"/>
            <rFont val="Tahoma"/>
            <family val="2"/>
          </rPr>
          <t>Nombre total de lignes de vente (ventes + conseils)</t>
        </r>
      </text>
    </comment>
    <comment ref="R13" authorId="0" shapeId="0">
      <text>
        <r>
          <rPr>
            <sz val="12"/>
            <color indexed="81"/>
            <rFont val="Tahoma"/>
            <family val="2"/>
          </rPr>
          <t>Nombre total de lignes de vente (uniquement conseils)</t>
        </r>
      </text>
    </comment>
    <comment ref="R14" authorId="0" shapeId="0">
      <text>
        <r>
          <rPr>
            <sz val="12"/>
            <color indexed="81"/>
            <rFont val="Tahoma"/>
            <family val="2"/>
          </rPr>
          <t>Nombre total de lignes de vente (uniquement ventes)</t>
        </r>
      </text>
    </comment>
    <comment ref="R16" authorId="0" shapeId="0">
      <text>
        <r>
          <rPr>
            <sz val="12"/>
            <color indexed="81"/>
            <rFont val="Tahoma"/>
            <family val="2"/>
          </rPr>
          <t>Nombre total d'échantillons</t>
        </r>
      </text>
    </comment>
    <comment ref="W17" authorId="0" shapeId="0">
      <text>
        <r>
          <rPr>
            <sz val="12"/>
            <color indexed="81"/>
            <rFont val="Tahoma"/>
            <family val="2"/>
          </rPr>
          <t>Pourcentage des codes clients sur la totalité des ventes et conseils (colonne J)</t>
        </r>
      </text>
    </comment>
    <comment ref="X17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'Nature' = DEC</t>
        </r>
      </text>
    </comment>
    <comment ref="R18" authorId="0" shapeId="0">
      <text>
        <r>
          <rPr>
            <sz val="12"/>
            <color indexed="81"/>
            <rFont val="Tahoma"/>
            <family val="2"/>
          </rPr>
          <t>Nombre total d'articles vendus</t>
        </r>
      </text>
    </comment>
    <comment ref="X18" authorId="0" shapeId="0">
      <text>
        <r>
          <rPr>
            <sz val="12"/>
            <color indexed="81"/>
            <rFont val="Tahoma"/>
            <family val="2"/>
          </rPr>
          <t>Idem</t>
        </r>
      </text>
    </comment>
    <comment ref="AD19" authorId="0" shapeId="0">
      <text>
        <r>
          <rPr>
            <sz val="12"/>
            <color indexed="81"/>
            <rFont val="Tahoma"/>
            <family val="2"/>
          </rPr>
          <t>Montant total des ventes passées à l'heure indiquée.</t>
        </r>
      </text>
    </comment>
    <comment ref="R21" authorId="0" shapeId="0">
      <text>
        <r>
          <rPr>
            <sz val="12"/>
            <color indexed="81"/>
            <rFont val="Tahoma"/>
            <family val="2"/>
          </rPr>
          <t>Nombre total de noms dans la colonne C qui appartiennent aux fruits "exotiques". Calculs pris en compte.
Ex : cerise+coco+poire*2+ananas*3 = 3</t>
        </r>
      </text>
    </comment>
    <comment ref="R22" authorId="0" shapeId="0">
      <text>
        <r>
          <rPr>
            <sz val="12"/>
            <color indexed="81"/>
            <rFont val="Tahoma"/>
            <family val="2"/>
          </rPr>
          <t>Nombre total de noms dans la colonne C qui appartiennent aux fruits "exotiques". Calculs pris en compte.
Ex : cerise+coco+poire*2+ananas*3 = 4</t>
        </r>
      </text>
    </comment>
    <comment ref="W22" authorId="0" shapeId="0">
      <text>
        <r>
          <rPr>
            <sz val="12"/>
            <color indexed="81"/>
            <rFont val="Tahoma"/>
            <family val="2"/>
          </rPr>
          <t>Pourcentage des moyens de paiement sur la totalité des ventes et conseils (colonne I)</t>
        </r>
      </text>
    </comment>
    <comment ref="X22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'MdP' = CB</t>
        </r>
      </text>
    </comment>
    <comment ref="X23" authorId="0" shapeId="0">
      <text>
        <r>
          <rPr>
            <sz val="12"/>
            <color indexed="81"/>
            <rFont val="Tahoma"/>
            <family val="2"/>
          </rPr>
          <t>Idem</t>
        </r>
      </text>
    </comment>
    <comment ref="R24" authorId="0" shapeId="0">
      <text>
        <r>
          <rPr>
            <b/>
            <sz val="12"/>
            <color indexed="81"/>
            <rFont val="Tahoma"/>
            <family val="2"/>
          </rPr>
          <t>Montant</t>
        </r>
        <r>
          <rPr>
            <sz val="12"/>
            <color indexed="81"/>
            <rFont val="Tahoma"/>
            <family val="2"/>
          </rPr>
          <t xml:space="preserve"> total de noms dans la colonne C qui appartiennent aux fruits "exotiques". Calculs pris en compte.
Ex : cerise+coco+poire*2+ananas*3 = 8€</t>
        </r>
      </text>
    </comment>
    <comment ref="R25" authorId="0" shapeId="0">
      <text>
        <r>
          <rPr>
            <b/>
            <sz val="12"/>
            <color indexed="81"/>
            <rFont val="Tahoma"/>
            <family val="2"/>
          </rPr>
          <t>Montant</t>
        </r>
        <r>
          <rPr>
            <sz val="12"/>
            <color indexed="81"/>
            <rFont val="Tahoma"/>
            <family val="2"/>
          </rPr>
          <t xml:space="preserve"> total de noms dans la colonne C qui appartiennent aux fruits "exotiques". Calculs pris en compte.
Ex : cerise+coco+poire*2+ananas*3 = 23€</t>
        </r>
      </text>
    </comment>
    <comment ref="R27" authorId="0" shapeId="0">
      <text>
        <r>
          <rPr>
            <sz val="12"/>
            <color indexed="81"/>
            <rFont val="Tahoma"/>
            <family val="2"/>
          </rPr>
          <t>Addition des montants (colonne E), si la cellule boutique 2 (colonne M) de la ligne de vente est égale à 1.</t>
        </r>
      </text>
    </comment>
    <comment ref="R29" authorId="0" shapeId="0">
      <text>
        <r>
          <rPr>
            <sz val="12"/>
            <color indexed="81"/>
            <rFont val="Tahoma"/>
            <family val="2"/>
          </rPr>
          <t>Addition des quantités (colonne K), si la cellule boutique 2 (colonne M) de la ligne de vente est égale à 1</t>
        </r>
      </text>
    </comment>
    <comment ref="W29" authorId="0" shapeId="0">
      <text>
        <r>
          <rPr>
            <sz val="12"/>
            <color indexed="81"/>
            <rFont val="Tahoma"/>
            <family val="2"/>
          </rPr>
          <t>Pourcentage des ventes passées sur la boutique 1</t>
        </r>
      </text>
    </comment>
    <comment ref="X29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'Boutique 2' n'est pas égale à 1</t>
        </r>
      </text>
    </comment>
    <comment ref="R30" authorId="0" shapeId="0">
      <text>
        <r>
          <rPr>
            <sz val="12"/>
            <color indexed="81"/>
            <rFont val="Tahoma"/>
            <family val="2"/>
          </rPr>
          <t>Nombre passages sur la boutique 2 = colonne M</t>
        </r>
      </text>
    </comment>
    <comment ref="W30" authorId="0" shapeId="0">
      <text>
        <r>
          <rPr>
            <sz val="12"/>
            <color indexed="81"/>
            <rFont val="Tahoma"/>
            <family val="2"/>
          </rPr>
          <t>Pourcentage des ventes passées sur la boutique 2</t>
        </r>
      </text>
    </comment>
    <comment ref="X30" authorId="0" shapeId="0">
      <text>
        <r>
          <rPr>
            <sz val="12"/>
            <color indexed="81"/>
            <rFont val="Tahoma"/>
            <family val="2"/>
          </rPr>
          <t>Addition des montants (colonne E) des lignes de ventes où la cellule 'Boutique 2' = 1</t>
        </r>
      </text>
    </comment>
  </commentList>
</comments>
</file>

<file path=xl/sharedStrings.xml><?xml version="1.0" encoding="utf-8"?>
<sst xmlns="http://schemas.openxmlformats.org/spreadsheetml/2006/main" count="339" uniqueCount="89">
  <si>
    <t>Montant</t>
  </si>
  <si>
    <t>Heure</t>
  </si>
  <si>
    <t>HT</t>
  </si>
  <si>
    <t>Sexe</t>
  </si>
  <si>
    <t>Provenance</t>
  </si>
  <si>
    <t>Mdp</t>
  </si>
  <si>
    <t>FR</t>
  </si>
  <si>
    <t>CB</t>
  </si>
  <si>
    <t>Produits</t>
  </si>
  <si>
    <t>AF</t>
  </si>
  <si>
    <t>ES</t>
  </si>
  <si>
    <t>US</t>
  </si>
  <si>
    <t>RU</t>
  </si>
  <si>
    <t>Conseils</t>
  </si>
  <si>
    <t>Ventes</t>
  </si>
  <si>
    <t>Passages</t>
  </si>
  <si>
    <t>Panier moy.</t>
  </si>
  <si>
    <t>Total</t>
  </si>
  <si>
    <t>Echantillons</t>
  </si>
  <si>
    <t>Taux de tr</t>
  </si>
  <si>
    <t>Hommes</t>
  </si>
  <si>
    <t>Femmes</t>
  </si>
  <si>
    <t>EU</t>
  </si>
  <si>
    <t>AS</t>
  </si>
  <si>
    <t>OT</t>
  </si>
  <si>
    <t>CP</t>
  </si>
  <si>
    <t>CC</t>
  </si>
  <si>
    <t>CH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</si>
  <si>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</si>
  <si>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</si>
  <si>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</si>
  <si>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</si>
  <si>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</si>
  <si>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</si>
  <si>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</si>
  <si>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</si>
  <si>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</si>
  <si>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</si>
  <si>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</si>
  <si>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</si>
  <si>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Stats</t>
  </si>
  <si>
    <t>Dis</t>
  </si>
  <si>
    <t>H</t>
  </si>
  <si>
    <t>MO</t>
  </si>
  <si>
    <t>F</t>
  </si>
  <si>
    <t>ENR</t>
  </si>
  <si>
    <t>AM</t>
  </si>
  <si>
    <t>DEC</t>
  </si>
  <si>
    <t>CLI</t>
  </si>
  <si>
    <t>NOU</t>
  </si>
  <si>
    <t>Tr. Moyenne</t>
  </si>
  <si>
    <t>Chiffres</t>
  </si>
  <si>
    <t>Avancée/r</t>
  </si>
  <si>
    <t>Trafic</t>
  </si>
  <si>
    <t>CHIFFRES</t>
  </si>
  <si>
    <t>VENTES</t>
  </si>
  <si>
    <t>TRAFIC</t>
  </si>
  <si>
    <t>Référence</t>
  </si>
  <si>
    <t>Quantité</t>
  </si>
  <si>
    <t>Prix Total</t>
  </si>
  <si>
    <t>Prix Total HT</t>
  </si>
  <si>
    <t>STATISTIQUES</t>
  </si>
  <si>
    <t>qu.</t>
  </si>
  <si>
    <t>Cerise</t>
  </si>
  <si>
    <t>Ananas</t>
  </si>
  <si>
    <t>Cerise+Abricot</t>
  </si>
  <si>
    <t>Abricot*2</t>
  </si>
  <si>
    <t>Abricot*2+Cerise</t>
  </si>
  <si>
    <t>Poire*3+Ananas</t>
  </si>
  <si>
    <t>Ananas*3</t>
  </si>
  <si>
    <t>Coco</t>
  </si>
  <si>
    <t>Coco+Poire</t>
  </si>
  <si>
    <t>Poire</t>
  </si>
  <si>
    <t>Ananas*2</t>
  </si>
  <si>
    <t>Local</t>
  </si>
  <si>
    <t>Exotique</t>
  </si>
  <si>
    <t>Boutique 2</t>
  </si>
  <si>
    <t>Nature</t>
  </si>
  <si>
    <t>BO1</t>
  </si>
  <si>
    <t>BO2</t>
  </si>
  <si>
    <t>Ici figure la liste de tous les noms utilisés sur les
onglets journaliers.
Ex : Onglet '01' contient cerise+cerise+ananas*2
        Onglet '02' contient abricot+cerise+coco*2
La liste de cet onglet "VENTES" affichera =
référence : cerise
quantité : 3
prix total : 6€</t>
  </si>
  <si>
    <t>Pas nécessaire de toucher</t>
  </si>
  <si>
    <t>Coco+Abricot+Ananas</t>
  </si>
  <si>
    <t>Cerise*4</t>
  </si>
  <si>
    <t>Cerise+Ananas</t>
  </si>
  <si>
    <t>En cliquant sur "ajouter une vente" une nouvelle ligne de vente se créé à la suite du tableau ci-dessus, prête à être remplie.
L'heure s'incrit automatiquement, la formule pour le calcul du montant est automatique, et les références seront prises en compte
par toutes les autres statistiques du classeur !
Même chose pour le bouton "ajouter un conseil" sauf que celui-ci laisse la nouvelle ligne de vente sans références et sans formules
dans le tableau.</t>
  </si>
  <si>
    <t>qui fait appelle à une formule pour automatisation</t>
  </si>
  <si>
    <t>qui dépend du tableau des ventes</t>
  </si>
  <si>
    <t>Lire les commentaires sur cellules colorées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</si>
</sst>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#,##0\ &quot;€&quot;"/>
  </numFmts>
  <fonts count="14" x14ac:knownFonts="1">
    <font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sz val="18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3FF"/>
        <bgColor indexed="64"/>
      </patternFill>
    </fill>
    <fill>
      <patternFill patternType="solid">
        <fgColor rgb="FF14ECD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B3FB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47C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66CCFF"/>
        <bgColor indexed="64"/>
      </patternFill>
    </fill>
  </fills>
  <borders count="64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 style="thin">
        <color indexed="64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theme="1"/>
      </bottom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indexed="64"/>
      </left>
      <right style="thin">
        <color theme="1"/>
      </right>
      <top/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theme="1"/>
      </bottom>
      <diagonal/>
    </border>
    <border>
      <left style="medium">
        <color theme="1"/>
      </left>
      <right style="medium">
        <color indexed="64"/>
      </right>
      <top style="medium">
        <color indexed="64"/>
      </top>
      <bottom/>
      <diagonal/>
    </border>
    <border>
      <left style="medium">
        <color theme="1"/>
      </left>
      <right style="medium">
        <color indexed="64"/>
      </right>
      <top/>
      <bottom style="medium">
        <color theme="1"/>
      </bottom>
      <diagonal/>
    </border>
    <border>
      <left style="medium">
        <color indexed="64"/>
      </left>
      <right style="medium">
        <color theme="1"/>
      </right>
      <top style="medium">
        <color indexed="64"/>
      </top>
      <bottom/>
      <diagonal/>
    </border>
    <border>
      <left style="medium">
        <color indexed="64"/>
      </left>
      <right style="medium">
        <color theme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theme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/>
      <bottom style="medium">
        <color theme="1"/>
      </bottom>
      <diagonal/>
    </border>
    <border>
      <left/>
      <right style="thin">
        <color theme="1"/>
      </right>
      <top/>
      <bottom/>
      <diagonal/>
    </border>
    <border>
      <left style="medium">
        <color theme="1"/>
      </left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indexed="64"/>
      </right>
      <top/>
      <bottom/>
      <diagonal/>
    </border>
    <border>
      <left style="thin">
        <color indexed="64"/>
      </left>
      <right style="medium">
        <color theme="1"/>
      </right>
      <top/>
      <bottom/>
      <diagonal/>
    </border>
    <border>
      <left style="medium">
        <color theme="1"/>
      </left>
      <right style="thin">
        <color indexed="64"/>
      </right>
      <top/>
      <bottom style="medium">
        <color theme="1"/>
      </bottom>
      <diagonal/>
    </border>
    <border>
      <left style="thin">
        <color indexed="64"/>
      </left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/>
      <bottom style="medium">
        <color indexed="64"/>
      </bottom>
      <diagonal/>
    </border>
    <border>
      <left/>
      <right style="medium">
        <color theme="1"/>
      </right>
      <top/>
      <bottom style="medium">
        <color indexed="64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/>
      <diagonal/>
    </border>
    <border>
      <left style="thin">
        <color theme="1"/>
      </left>
      <right style="medium">
        <color theme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7">
    <xf numFmtId="0" fontId="0" fillId="0" borderId="0" xfId="0"/>
    <xf numFmtId="0" fontId="0" fillId="0" borderId="4" xfId="0" applyBorder="1"/>
    <xf numFmtId="0" fontId="0" fillId="0" borderId="0" xfId="0" applyBorder="1"/>
    <xf numFmtId="1" fontId="0" fillId="0" borderId="0" xfId="0" applyNumberFormat="1" applyBorder="1"/>
    <xf numFmtId="0" fontId="0" fillId="0" borderId="4" xfId="0" applyFill="1" applyBorder="1"/>
    <xf numFmtId="0" fontId="0" fillId="2" borderId="0" xfId="0" applyFill="1" applyBorder="1"/>
    <xf numFmtId="0" fontId="0" fillId="2" borderId="0" xfId="0" applyFill="1"/>
    <xf numFmtId="14" fontId="1" fillId="2" borderId="0" xfId="0" applyNumberFormat="1" applyFont="1" applyFill="1" applyBorder="1" applyAlignment="1"/>
    <xf numFmtId="0" fontId="1" fillId="2" borderId="0" xfId="0" applyFont="1" applyFill="1" applyBorder="1" applyAlignment="1"/>
    <xf numFmtId="9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Border="1" applyAlignment="1">
      <alignment horizontal="center"/>
    </xf>
    <xf numFmtId="1" fontId="4" fillId="0" borderId="0" xfId="0" applyNumberFormat="1" applyFont="1" applyBorder="1"/>
    <xf numFmtId="0" fontId="1" fillId="2" borderId="0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7" xfId="0" applyBorder="1"/>
    <xf numFmtId="0" fontId="0" fillId="0" borderId="7" xfId="0" applyFill="1" applyBorder="1"/>
    <xf numFmtId="0" fontId="0" fillId="0" borderId="8" xfId="0" applyFill="1" applyBorder="1"/>
    <xf numFmtId="0" fontId="0" fillId="0" borderId="6" xfId="0" applyFill="1" applyBorder="1"/>
    <xf numFmtId="10" fontId="0" fillId="0" borderId="7" xfId="0" applyNumberFormat="1" applyBorder="1"/>
    <xf numFmtId="1" fontId="0" fillId="2" borderId="0" xfId="0" applyNumberFormat="1" applyFill="1" applyBorder="1"/>
    <xf numFmtId="14" fontId="3" fillId="0" borderId="0" xfId="0" applyNumberFormat="1" applyFont="1" applyFill="1" applyBorder="1" applyAlignment="1">
      <alignment horizontal="center"/>
    </xf>
    <xf numFmtId="14" fontId="6" fillId="4" borderId="0" xfId="0" applyNumberFormat="1" applyFont="1" applyFill="1" applyBorder="1" applyAlignment="1">
      <alignment horizontal="center" vertical="top"/>
    </xf>
    <xf numFmtId="0" fontId="0" fillId="3" borderId="0" xfId="0" applyFill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2" borderId="0" xfId="0" applyNumberFormat="1" applyFill="1" applyBorder="1" applyAlignment="1">
      <alignment horizontal="left"/>
    </xf>
    <xf numFmtId="9" fontId="5" fillId="2" borderId="0" xfId="0" applyNumberFormat="1" applyFont="1" applyFill="1" applyBorder="1"/>
    <xf numFmtId="0" fontId="0" fillId="2" borderId="0" xfId="0" applyFill="1" applyBorder="1" applyAlignment="1">
      <alignment horizontal="center"/>
    </xf>
    <xf numFmtId="9" fontId="0" fillId="2" borderId="0" xfId="0" applyNumberFormat="1" applyFill="1" applyBorder="1" applyAlignment="1">
      <alignment horizontal="center"/>
    </xf>
    <xf numFmtId="0" fontId="0" fillId="0" borderId="0" xfId="0" applyFill="1" applyBorder="1"/>
    <xf numFmtId="0" fontId="4" fillId="0" borderId="4" xfId="0" applyFont="1" applyFill="1" applyBorder="1" applyAlignment="1">
      <alignment horizontal="left"/>
    </xf>
    <xf numFmtId="0" fontId="0" fillId="2" borderId="11" xfId="0" applyFill="1" applyBorder="1"/>
    <xf numFmtId="0" fontId="0" fillId="2" borderId="14" xfId="0" applyFill="1" applyBorder="1"/>
    <xf numFmtId="0" fontId="0" fillId="2" borderId="16" xfId="0" applyFill="1" applyBorder="1"/>
    <xf numFmtId="0" fontId="0" fillId="2" borderId="15" xfId="0" applyFill="1" applyBorder="1"/>
    <xf numFmtId="10" fontId="0" fillId="2" borderId="11" xfId="0" applyNumberFormat="1" applyFill="1" applyBorder="1"/>
    <xf numFmtId="10" fontId="0" fillId="2" borderId="12" xfId="0" applyNumberFormat="1" applyFill="1" applyBorder="1"/>
    <xf numFmtId="0" fontId="0" fillId="0" borderId="20" xfId="0" applyBorder="1"/>
    <xf numFmtId="0" fontId="0" fillId="0" borderId="14" xfId="0" applyBorder="1"/>
    <xf numFmtId="0" fontId="0" fillId="0" borderId="10" xfId="0" applyBorder="1"/>
    <xf numFmtId="0" fontId="0" fillId="0" borderId="1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6" fillId="3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1" fontId="0" fillId="0" borderId="0" xfId="0" applyNumberFormat="1"/>
    <xf numFmtId="165" fontId="0" fillId="0" borderId="4" xfId="0" applyNumberFormat="1" applyBorder="1"/>
    <xf numFmtId="165" fontId="4" fillId="0" borderId="0" xfId="0" applyNumberFormat="1" applyFont="1" applyBorder="1"/>
    <xf numFmtId="165" fontId="4" fillId="0" borderId="0" xfId="0" applyNumberFormat="1" applyFont="1" applyFill="1" applyBorder="1"/>
    <xf numFmtId="165" fontId="4" fillId="0" borderId="4" xfId="0" applyNumberFormat="1" applyFont="1" applyFill="1" applyBorder="1"/>
    <xf numFmtId="165" fontId="0" fillId="0" borderId="2" xfId="0" applyNumberFormat="1" applyBorder="1"/>
    <xf numFmtId="165" fontId="4" fillId="0" borderId="5" xfId="0" applyNumberFormat="1" applyFont="1" applyFill="1" applyBorder="1"/>
    <xf numFmtId="165" fontId="0" fillId="2" borderId="0" xfId="0" applyNumberFormat="1" applyFill="1" applyBorder="1"/>
    <xf numFmtId="165" fontId="4" fillId="2" borderId="0" xfId="0" applyNumberFormat="1" applyFont="1" applyFill="1" applyBorder="1"/>
    <xf numFmtId="165" fontId="0" fillId="0" borderId="12" xfId="0" applyNumberFormat="1" applyBorder="1"/>
    <xf numFmtId="1" fontId="4" fillId="0" borderId="11" xfId="0" applyNumberFormat="1" applyFont="1" applyBorder="1"/>
    <xf numFmtId="10" fontId="0" fillId="2" borderId="23" xfId="0" applyNumberFormat="1" applyFill="1" applyBorder="1"/>
    <xf numFmtId="10" fontId="0" fillId="2" borderId="24" xfId="0" applyNumberFormat="1" applyFill="1" applyBorder="1"/>
    <xf numFmtId="10" fontId="0" fillId="2" borderId="25" xfId="0" applyNumberFormat="1" applyFill="1" applyBorder="1"/>
    <xf numFmtId="0" fontId="0" fillId="0" borderId="32" xfId="0" applyBorder="1"/>
    <xf numFmtId="0" fontId="0" fillId="2" borderId="32" xfId="0" applyFill="1" applyBorder="1"/>
    <xf numFmtId="0" fontId="0" fillId="0" borderId="40" xfId="0" applyBorder="1" applyAlignment="1">
      <alignment horizontal="center"/>
    </xf>
    <xf numFmtId="0" fontId="0" fillId="0" borderId="16" xfId="0" applyBorder="1"/>
    <xf numFmtId="0" fontId="0" fillId="0" borderId="15" xfId="0" applyBorder="1"/>
    <xf numFmtId="10" fontId="0" fillId="2" borderId="10" xfId="0" applyNumberFormat="1" applyFill="1" applyBorder="1"/>
    <xf numFmtId="9" fontId="0" fillId="2" borderId="10" xfId="0" applyNumberFormat="1" applyFill="1" applyBorder="1"/>
    <xf numFmtId="9" fontId="0" fillId="2" borderId="42" xfId="0" applyNumberFormat="1" applyFill="1" applyBorder="1"/>
    <xf numFmtId="9" fontId="0" fillId="2" borderId="12" xfId="0" applyNumberFormat="1" applyFill="1" applyBorder="1"/>
    <xf numFmtId="165" fontId="0" fillId="2" borderId="10" xfId="0" applyNumberFormat="1" applyFill="1" applyBorder="1"/>
    <xf numFmtId="165" fontId="0" fillId="2" borderId="11" xfId="0" applyNumberFormat="1" applyFill="1" applyBorder="1"/>
    <xf numFmtId="165" fontId="0" fillId="2" borderId="12" xfId="0" applyNumberFormat="1" applyFill="1" applyBorder="1"/>
    <xf numFmtId="9" fontId="0" fillId="2" borderId="11" xfId="0" applyNumberFormat="1" applyFill="1" applyBorder="1"/>
    <xf numFmtId="0" fontId="0" fillId="0" borderId="34" xfId="0" applyBorder="1"/>
    <xf numFmtId="0" fontId="0" fillId="0" borderId="13" xfId="0" applyBorder="1"/>
    <xf numFmtId="0" fontId="0" fillId="0" borderId="16" xfId="0" applyFill="1" applyBorder="1"/>
    <xf numFmtId="0" fontId="0" fillId="4" borderId="0" xfId="0" applyFill="1" applyBorder="1"/>
    <xf numFmtId="0" fontId="0" fillId="4" borderId="0" xfId="0" applyFill="1"/>
    <xf numFmtId="0" fontId="6" fillId="9" borderId="0" xfId="0" applyFont="1" applyFill="1" applyBorder="1" applyAlignment="1">
      <alignment vertical="center"/>
    </xf>
    <xf numFmtId="0" fontId="0" fillId="9" borderId="0" xfId="0" applyFill="1" applyBorder="1"/>
    <xf numFmtId="0" fontId="0" fillId="9" borderId="0" xfId="0" applyFill="1"/>
    <xf numFmtId="0" fontId="0" fillId="8" borderId="0" xfId="0" applyFill="1"/>
    <xf numFmtId="0" fontId="0" fillId="8" borderId="0" xfId="0" applyFill="1" applyBorder="1"/>
    <xf numFmtId="0" fontId="0" fillId="0" borderId="46" xfId="0" applyBorder="1"/>
    <xf numFmtId="0" fontId="0" fillId="2" borderId="47" xfId="0" applyFill="1" applyBorder="1"/>
    <xf numFmtId="0" fontId="0" fillId="0" borderId="48" xfId="0" applyBorder="1"/>
    <xf numFmtId="0" fontId="0" fillId="2" borderId="49" xfId="0" applyFill="1" applyBorder="1"/>
    <xf numFmtId="0" fontId="0" fillId="0" borderId="50" xfId="0" applyBorder="1"/>
    <xf numFmtId="0" fontId="0" fillId="2" borderId="51" xfId="0" applyFill="1" applyBorder="1"/>
    <xf numFmtId="165" fontId="4" fillId="0" borderId="26" xfId="0" applyNumberFormat="1" applyFont="1" applyBorder="1" applyAlignment="1">
      <alignment horizontal="right"/>
    </xf>
    <xf numFmtId="9" fontId="0" fillId="2" borderId="28" xfId="0" applyNumberFormat="1" applyFill="1" applyBorder="1"/>
    <xf numFmtId="9" fontId="0" fillId="2" borderId="29" xfId="0" applyNumberFormat="1" applyFill="1" applyBorder="1"/>
    <xf numFmtId="9" fontId="0" fillId="2" borderId="52" xfId="0" applyNumberFormat="1" applyFill="1" applyBorder="1"/>
    <xf numFmtId="9" fontId="0" fillId="2" borderId="53" xfId="0" applyNumberFormat="1" applyFill="1" applyBorder="1"/>
    <xf numFmtId="9" fontId="0" fillId="2" borderId="30" xfId="0" applyNumberFormat="1" applyFill="1" applyBorder="1"/>
    <xf numFmtId="165" fontId="0" fillId="2" borderId="54" xfId="0" applyNumberFormat="1" applyFill="1" applyBorder="1"/>
    <xf numFmtId="165" fontId="0" fillId="2" borderId="45" xfId="0" applyNumberFormat="1" applyFill="1" applyBorder="1"/>
    <xf numFmtId="165" fontId="0" fillId="2" borderId="53" xfId="0" applyNumberFormat="1" applyFill="1" applyBorder="1"/>
    <xf numFmtId="10" fontId="0" fillId="2" borderId="52" xfId="0" applyNumberFormat="1" applyFill="1" applyBorder="1"/>
    <xf numFmtId="10" fontId="0" fillId="2" borderId="56" xfId="0" applyNumberFormat="1" applyFill="1" applyBorder="1"/>
    <xf numFmtId="10" fontId="0" fillId="2" borderId="53" xfId="0" applyNumberFormat="1" applyFill="1" applyBorder="1"/>
    <xf numFmtId="9" fontId="0" fillId="2" borderId="56" xfId="0" applyNumberFormat="1" applyFill="1" applyBorder="1"/>
    <xf numFmtId="0" fontId="0" fillId="0" borderId="54" xfId="0" applyBorder="1"/>
    <xf numFmtId="0" fontId="0" fillId="0" borderId="55" xfId="0" applyBorder="1"/>
    <xf numFmtId="0" fontId="0" fillId="0" borderId="52" xfId="0" applyBorder="1"/>
    <xf numFmtId="0" fontId="0" fillId="0" borderId="53" xfId="0" applyBorder="1"/>
    <xf numFmtId="0" fontId="0" fillId="0" borderId="23" xfId="0" applyFill="1" applyBorder="1"/>
    <xf numFmtId="0" fontId="0" fillId="0" borderId="25" xfId="0" applyFill="1" applyBorder="1"/>
    <xf numFmtId="0" fontId="0" fillId="0" borderId="43" xfId="0" applyBorder="1"/>
    <xf numFmtId="0" fontId="0" fillId="0" borderId="57" xfId="0" applyBorder="1"/>
    <xf numFmtId="9" fontId="0" fillId="0" borderId="0" xfId="0" applyNumberFormat="1"/>
    <xf numFmtId="1" fontId="4" fillId="0" borderId="0" xfId="0" applyNumberFormat="1" applyFont="1"/>
    <xf numFmtId="0" fontId="4" fillId="0" borderId="0" xfId="0" applyFont="1"/>
    <xf numFmtId="9" fontId="4" fillId="0" borderId="0" xfId="0" applyNumberFormat="1" applyFont="1"/>
    <xf numFmtId="2" fontId="0" fillId="0" borderId="0" xfId="0" applyNumberFormat="1" applyBorder="1"/>
    <xf numFmtId="0" fontId="0" fillId="0" borderId="17" xfId="0" applyFill="1" applyBorder="1"/>
    <xf numFmtId="2" fontId="0" fillId="0" borderId="18" xfId="0" applyNumberFormat="1" applyBorder="1"/>
    <xf numFmtId="0" fontId="0" fillId="0" borderId="0" xfId="0"/>
    <xf numFmtId="14" fontId="6" fillId="4" borderId="0" xfId="0" applyNumberFormat="1" applyFont="1" applyFill="1" applyBorder="1" applyAlignment="1">
      <alignment horizontal="center" vertical="top"/>
    </xf>
    <xf numFmtId="0" fontId="7" fillId="0" borderId="0" xfId="0" applyFont="1" applyFill="1" applyAlignment="1">
      <alignment vertical="center"/>
    </xf>
    <xf numFmtId="14" fontId="3" fillId="5" borderId="0" xfId="0" applyNumberFormat="1" applyFont="1" applyFill="1" applyBorder="1" applyAlignment="1">
      <alignment horizontal="center"/>
    </xf>
    <xf numFmtId="14" fontId="6" fillId="4" borderId="0" xfId="0" applyNumberFormat="1" applyFont="1" applyFill="1" applyBorder="1" applyAlignment="1">
      <alignment horizontal="center" vertical="top"/>
    </xf>
    <xf numFmtId="164" fontId="3" fillId="6" borderId="0" xfId="0" applyNumberFormat="1" applyFont="1" applyFill="1" applyBorder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8" xfId="0" applyFont="1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0" fontId="2" fillId="10" borderId="36" xfId="0" applyFont="1" applyFill="1" applyBorder="1" applyAlignment="1">
      <alignment horizontal="center" vertical="center"/>
    </xf>
    <xf numFmtId="0" fontId="2" fillId="10" borderId="37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0" xfId="0"/>
    <xf numFmtId="0" fontId="7" fillId="0" borderId="0" xfId="0" applyFont="1" applyFill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44" xfId="0" applyFont="1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6" fillId="8" borderId="0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0" fillId="11" borderId="4" xfId="0" applyNumberFormat="1" applyFill="1" applyBorder="1" applyAlignment="1">
      <alignment horizontal="left"/>
    </xf>
    <xf numFmtId="0" fontId="0" fillId="11" borderId="2" xfId="0" applyNumberFormat="1" applyFill="1" applyBorder="1" applyAlignment="1">
      <alignment horizontal="left"/>
    </xf>
    <xf numFmtId="0" fontId="0" fillId="11" borderId="9" xfId="0" applyFill="1" applyBorder="1"/>
    <xf numFmtId="9" fontId="5" fillId="11" borderId="0" xfId="0" applyNumberFormat="1" applyFont="1" applyFill="1" applyBorder="1"/>
    <xf numFmtId="9" fontId="5" fillId="11" borderId="3" xfId="0" applyNumberFormat="1" applyFont="1" applyFill="1" applyBorder="1"/>
    <xf numFmtId="9" fontId="5" fillId="11" borderId="4" xfId="0" applyNumberFormat="1" applyFont="1" applyFill="1" applyBorder="1"/>
    <xf numFmtId="9" fontId="5" fillId="11" borderId="2" xfId="0" applyNumberFormat="1" applyFont="1" applyFill="1" applyBorder="1"/>
    <xf numFmtId="0" fontId="0" fillId="11" borderId="4" xfId="0" applyFill="1" applyBorder="1"/>
    <xf numFmtId="0" fontId="0" fillId="11" borderId="2" xfId="0" applyFill="1" applyBorder="1"/>
    <xf numFmtId="165" fontId="8" fillId="12" borderId="41" xfId="0" applyNumberFormat="1" applyFont="1" applyFill="1" applyBorder="1" applyAlignment="1">
      <alignment horizontal="center" vertical="center"/>
    </xf>
    <xf numFmtId="165" fontId="8" fillId="12" borderId="26" xfId="0" applyNumberFormat="1" applyFont="1" applyFill="1" applyBorder="1" applyAlignment="1">
      <alignment horizontal="center" vertical="center"/>
    </xf>
    <xf numFmtId="0" fontId="0" fillId="12" borderId="19" xfId="0" applyFill="1" applyBorder="1"/>
    <xf numFmtId="0" fontId="0" fillId="12" borderId="3" xfId="0" applyFill="1" applyBorder="1"/>
    <xf numFmtId="0" fontId="0" fillId="12" borderId="1" xfId="0" applyFill="1" applyBorder="1"/>
    <xf numFmtId="0" fontId="0" fillId="12" borderId="31" xfId="0" applyFill="1" applyBorder="1"/>
    <xf numFmtId="0" fontId="0" fillId="0" borderId="58" xfId="0" applyBorder="1"/>
    <xf numFmtId="0" fontId="0" fillId="12" borderId="10" xfId="0" applyFill="1" applyBorder="1"/>
    <xf numFmtId="0" fontId="0" fillId="12" borderId="59" xfId="0" applyFill="1" applyBorder="1"/>
    <xf numFmtId="0" fontId="0" fillId="12" borderId="10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2" borderId="11" xfId="0" applyFill="1" applyBorder="1"/>
    <xf numFmtId="0" fontId="0" fillId="12" borderId="12" xfId="0" applyFill="1" applyBorder="1"/>
    <xf numFmtId="9" fontId="0" fillId="12" borderId="28" xfId="0" applyNumberFormat="1" applyFill="1" applyBorder="1"/>
    <xf numFmtId="9" fontId="0" fillId="12" borderId="29" xfId="0" applyNumberFormat="1" applyFill="1" applyBorder="1"/>
    <xf numFmtId="9" fontId="0" fillId="12" borderId="30" xfId="0" applyNumberFormat="1" applyFill="1" applyBorder="1"/>
    <xf numFmtId="9" fontId="0" fillId="12" borderId="42" xfId="0" applyNumberFormat="1" applyFill="1" applyBorder="1"/>
    <xf numFmtId="10" fontId="0" fillId="12" borderId="23" xfId="0" applyNumberFormat="1" applyFill="1" applyBorder="1"/>
    <xf numFmtId="10" fontId="0" fillId="12" borderId="24" xfId="0" applyNumberFormat="1" applyFill="1" applyBorder="1"/>
    <xf numFmtId="10" fontId="0" fillId="12" borderId="25" xfId="0" applyNumberFormat="1" applyFill="1" applyBorder="1"/>
    <xf numFmtId="0" fontId="0" fillId="12" borderId="54" xfId="0" applyFill="1" applyBorder="1"/>
    <xf numFmtId="0" fontId="0" fillId="12" borderId="55" xfId="0" applyFill="1" applyBorder="1"/>
    <xf numFmtId="165" fontId="0" fillId="0" borderId="32" xfId="0" applyNumberFormat="1" applyBorder="1"/>
    <xf numFmtId="165" fontId="0" fillId="0" borderId="0" xfId="0" applyNumberFormat="1"/>
    <xf numFmtId="165" fontId="0" fillId="2" borderId="32" xfId="0" applyNumberFormat="1" applyFill="1" applyBorder="1"/>
    <xf numFmtId="165" fontId="0" fillId="12" borderId="52" xfId="0" applyNumberFormat="1" applyFill="1" applyBorder="1"/>
    <xf numFmtId="165" fontId="0" fillId="12" borderId="53" xfId="0" applyNumberFormat="1" applyFill="1" applyBorder="1"/>
    <xf numFmtId="165" fontId="0" fillId="12" borderId="54" xfId="0" applyNumberFormat="1" applyFill="1" applyBorder="1"/>
    <xf numFmtId="165" fontId="0" fillId="12" borderId="45" xfId="0" applyNumberFormat="1" applyFill="1" applyBorder="1"/>
    <xf numFmtId="165" fontId="0" fillId="12" borderId="56" xfId="0" applyNumberFormat="1" applyFill="1" applyBorder="1"/>
    <xf numFmtId="165" fontId="4" fillId="2" borderId="10" xfId="0" applyNumberFormat="1" applyFont="1" applyFill="1" applyBorder="1"/>
    <xf numFmtId="165" fontId="4" fillId="2" borderId="60" xfId="0" applyNumberFormat="1" applyFont="1" applyFill="1" applyBorder="1"/>
    <xf numFmtId="165" fontId="4" fillId="0" borderId="32" xfId="0" applyNumberFormat="1" applyFont="1" applyBorder="1"/>
    <xf numFmtId="165" fontId="4" fillId="2" borderId="61" xfId="0" applyNumberFormat="1" applyFont="1" applyFill="1" applyBorder="1"/>
    <xf numFmtId="165" fontId="4" fillId="2" borderId="11" xfId="0" applyNumberFormat="1" applyFont="1" applyFill="1" applyBorder="1"/>
    <xf numFmtId="165" fontId="4" fillId="2" borderId="32" xfId="0" applyNumberFormat="1" applyFont="1" applyFill="1" applyBorder="1"/>
    <xf numFmtId="165" fontId="4" fillId="2" borderId="31" xfId="0" applyNumberFormat="1" applyFont="1" applyFill="1" applyBorder="1"/>
    <xf numFmtId="165" fontId="4" fillId="2" borderId="62" xfId="0" applyNumberFormat="1" applyFont="1" applyFill="1" applyBorder="1"/>
    <xf numFmtId="0" fontId="0" fillId="12" borderId="47" xfId="0" applyFill="1" applyBorder="1"/>
    <xf numFmtId="0" fontId="0" fillId="12" borderId="49" xfId="0" applyFill="1" applyBorder="1"/>
    <xf numFmtId="0" fontId="0" fillId="12" borderId="51" xfId="0" applyFill="1" applyBorder="1"/>
    <xf numFmtId="0" fontId="0" fillId="12" borderId="21" xfId="0" applyFill="1" applyBorder="1"/>
    <xf numFmtId="0" fontId="0" fillId="12" borderId="0" xfId="0" applyFill="1" applyBorder="1"/>
    <xf numFmtId="0" fontId="0" fillId="12" borderId="22" xfId="0" applyFill="1" applyBorder="1"/>
    <xf numFmtId="0" fontId="0" fillId="12" borderId="27" xfId="0" applyFill="1" applyBorder="1"/>
    <xf numFmtId="0" fontId="0" fillId="0" borderId="0" xfId="0" applyAlignment="1">
      <alignment horizontal="left" vertical="top" wrapText="1"/>
    </xf>
    <xf numFmtId="0" fontId="0" fillId="2" borderId="0" xfId="0" applyFill="1" applyBorder="1" applyAlignment="1">
      <alignment horizontal="left" vertical="top" wrapText="1"/>
    </xf>
    <xf numFmtId="0" fontId="0" fillId="11" borderId="63" xfId="0" applyNumberFormat="1" applyFill="1" applyBorder="1" applyAlignment="1">
      <alignment horizontal="left"/>
    </xf>
    <xf numFmtId="0" fontId="0" fillId="9" borderId="63" xfId="0" applyNumberFormat="1" applyFill="1" applyBorder="1" applyAlignment="1">
      <alignment horizontal="left"/>
    </xf>
    <xf numFmtId="165" fontId="13" fillId="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7"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C3C28"/>
        </patternFill>
      </fill>
    </dxf>
    <dxf>
      <fill>
        <patternFill>
          <bgColor rgb="FF00B0F0"/>
        </patternFill>
      </fill>
    </dxf>
    <dxf>
      <fill>
        <patternFill>
          <bgColor rgb="FFFF93FF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C3C28"/>
        </patternFill>
      </fill>
    </dxf>
    <dxf>
      <fill>
        <patternFill>
          <bgColor rgb="FF00B0F0"/>
        </patternFill>
      </fill>
    </dxf>
    <dxf>
      <fill>
        <patternFill>
          <bgColor rgb="FFFF93FF"/>
        </patternFill>
      </fill>
    </dxf>
    <dxf>
      <fill>
        <patternFill>
          <bgColor rgb="FFFF99CC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C3C28"/>
        </patternFill>
      </fill>
    </dxf>
    <dxf>
      <fill>
        <patternFill>
          <bgColor rgb="FF00B0F0"/>
        </patternFill>
      </fill>
    </dxf>
    <dxf>
      <fill>
        <patternFill>
          <bgColor rgb="FFFF93FF"/>
        </patternFill>
      </fill>
    </dxf>
  </dxfs>
  <tableStyles count="0" defaultTableStyle="TableStyleMedium2" defaultPivotStyle="PivotStyleLight16"/>
  <colors>
    <mruColors>
      <color rgb="FF47CFFF"/>
      <color rgb="FFFF99FF"/>
      <color rgb="FF66CCFF"/>
      <color rgb="FFFF93FF"/>
      <color rgb="FF14ECD2"/>
      <color rgb="FF9BE5FF"/>
      <color rgb="FFFFB3FB"/>
      <color rgb="FFFF754F"/>
      <color rgb="FFD9FFF2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TATS!A1"/><Relationship Id="rId2" Type="http://schemas.openxmlformats.org/officeDocument/2006/relationships/hyperlink" Target="#CHIFFRES!A1"/><Relationship Id="rId1" Type="http://schemas.openxmlformats.org/officeDocument/2006/relationships/hyperlink" Target="#VENTES!A1"/><Relationship Id="rId4" Type="http://schemas.openxmlformats.org/officeDocument/2006/relationships/hyperlink" Target="#TRAFIC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TATS!A1"/><Relationship Id="rId2" Type="http://schemas.openxmlformats.org/officeDocument/2006/relationships/hyperlink" Target="#CHIFFRES!A1"/><Relationship Id="rId1" Type="http://schemas.openxmlformats.org/officeDocument/2006/relationships/hyperlink" Target="#VENTES!A1"/><Relationship Id="rId4" Type="http://schemas.openxmlformats.org/officeDocument/2006/relationships/hyperlink" Target="#TRAFIC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52916</xdr:colOff>
      <xdr:row>0</xdr:row>
      <xdr:rowOff>10583</xdr:rowOff>
    </xdr:from>
    <xdr:to>
      <xdr:col>14</xdr:col>
      <xdr:colOff>42332</xdr:colOff>
      <xdr:row>2</xdr:row>
      <xdr:rowOff>21167</xdr:rowOff>
    </xdr:to>
    <xdr:sp macro="" textlink="">
      <xdr:nvSpPr>
        <xdr:cNvPr id="6" name="Rectangle 5">
          <a:hlinkClick xmlns:r="http://schemas.openxmlformats.org/officeDocument/2006/relationships" r:id="rId1" tooltip="Consulter la liste des produits vendus du mois"/>
        </xdr:cNvPr>
        <xdr:cNvSpPr/>
      </xdr:nvSpPr>
      <xdr:spPr>
        <a:xfrm>
          <a:off x="7672916" y="10583"/>
          <a:ext cx="1121833" cy="497417"/>
        </a:xfrm>
        <a:prstGeom prst="rect">
          <a:avLst/>
        </a:prstGeom>
        <a:solidFill>
          <a:srgbClr val="14ECD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VENTES</a:t>
          </a:r>
        </a:p>
      </xdr:txBody>
    </xdr:sp>
    <xdr:clientData/>
  </xdr:twoCellAnchor>
  <xdr:twoCellAnchor>
    <xdr:from>
      <xdr:col>16</xdr:col>
      <xdr:colOff>709083</xdr:colOff>
      <xdr:row>0</xdr:row>
      <xdr:rowOff>10584</xdr:rowOff>
    </xdr:from>
    <xdr:to>
      <xdr:col>20</xdr:col>
      <xdr:colOff>10583</xdr:colOff>
      <xdr:row>2</xdr:row>
      <xdr:rowOff>21168</xdr:rowOff>
    </xdr:to>
    <xdr:sp macro="" textlink="">
      <xdr:nvSpPr>
        <xdr:cNvPr id="7" name="Rectangle 6">
          <a:hlinkClick xmlns:r="http://schemas.openxmlformats.org/officeDocument/2006/relationships" r:id="rId2" tooltip="Consulter les chiffres du mois en cours"/>
        </xdr:cNvPr>
        <xdr:cNvSpPr/>
      </xdr:nvSpPr>
      <xdr:spPr>
        <a:xfrm>
          <a:off x="9842500" y="10584"/>
          <a:ext cx="1121833" cy="497417"/>
        </a:xfrm>
        <a:prstGeom prst="rect">
          <a:avLst/>
        </a:prstGeom>
        <a:solidFill>
          <a:srgbClr val="47C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CHIFFRES</a:t>
          </a:r>
        </a:p>
      </xdr:txBody>
    </xdr:sp>
    <xdr:clientData/>
  </xdr:twoCellAnchor>
  <xdr:twoCellAnchor>
    <xdr:from>
      <xdr:col>23</xdr:col>
      <xdr:colOff>275167</xdr:colOff>
      <xdr:row>0</xdr:row>
      <xdr:rowOff>10584</xdr:rowOff>
    </xdr:from>
    <xdr:to>
      <xdr:col>27</xdr:col>
      <xdr:colOff>10583</xdr:colOff>
      <xdr:row>2</xdr:row>
      <xdr:rowOff>21168</xdr:rowOff>
    </xdr:to>
    <xdr:sp macro="" textlink="">
      <xdr:nvSpPr>
        <xdr:cNvPr id="4" name="Rectangle 3">
          <a:hlinkClick xmlns:r="http://schemas.openxmlformats.org/officeDocument/2006/relationships" r:id="rId3" tooltip="Consulter les statistiques du mois en cours"/>
        </xdr:cNvPr>
        <xdr:cNvSpPr/>
      </xdr:nvSpPr>
      <xdr:spPr>
        <a:xfrm>
          <a:off x="12604750" y="10584"/>
          <a:ext cx="1121833" cy="497417"/>
        </a:xfrm>
        <a:prstGeom prst="rect">
          <a:avLst/>
        </a:prstGeom>
        <a:solidFill>
          <a:srgbClr val="FF93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STATISTIQUES</a:t>
          </a:r>
        </a:p>
      </xdr:txBody>
    </xdr:sp>
    <xdr:clientData/>
  </xdr:twoCellAnchor>
  <xdr:twoCellAnchor>
    <xdr:from>
      <xdr:col>28</xdr:col>
      <xdr:colOff>179917</xdr:colOff>
      <xdr:row>0</xdr:row>
      <xdr:rowOff>10583</xdr:rowOff>
    </xdr:from>
    <xdr:to>
      <xdr:col>32</xdr:col>
      <xdr:colOff>0</xdr:colOff>
      <xdr:row>2</xdr:row>
      <xdr:rowOff>21167</xdr:rowOff>
    </xdr:to>
    <xdr:sp macro="" textlink="">
      <xdr:nvSpPr>
        <xdr:cNvPr id="5" name="Rectangle 4">
          <a:hlinkClick xmlns:r="http://schemas.openxmlformats.org/officeDocument/2006/relationships" r:id="rId4" tooltip="Consulter le trafic du mois en cours"/>
        </xdr:cNvPr>
        <xdr:cNvSpPr/>
      </xdr:nvSpPr>
      <xdr:spPr>
        <a:xfrm>
          <a:off x="14287500" y="10583"/>
          <a:ext cx="1121833" cy="497417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TRAFIC</a:t>
          </a:r>
        </a:p>
      </xdr:txBody>
    </xdr:sp>
    <xdr:clientData/>
  </xdr:twoCellAnchor>
  <xdr:twoCellAnchor>
    <xdr:from>
      <xdr:col>2</xdr:col>
      <xdr:colOff>105833</xdr:colOff>
      <xdr:row>24</xdr:row>
      <xdr:rowOff>116417</xdr:rowOff>
    </xdr:from>
    <xdr:to>
      <xdr:col>2</xdr:col>
      <xdr:colOff>2709333</xdr:colOff>
      <xdr:row>27</xdr:row>
      <xdr:rowOff>84667</xdr:rowOff>
    </xdr:to>
    <xdr:sp macro="" textlink="">
      <xdr:nvSpPr>
        <xdr:cNvPr id="2" name="Rectangle 1"/>
        <xdr:cNvSpPr/>
      </xdr:nvSpPr>
      <xdr:spPr>
        <a:xfrm>
          <a:off x="1026583" y="4826000"/>
          <a:ext cx="260350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Ajouter une vente</a:t>
          </a:r>
        </a:p>
      </xdr:txBody>
    </xdr:sp>
    <xdr:clientData/>
  </xdr:twoCellAnchor>
  <xdr:twoCellAnchor>
    <xdr:from>
      <xdr:col>3</xdr:col>
      <xdr:colOff>254000</xdr:colOff>
      <xdr:row>24</xdr:row>
      <xdr:rowOff>127001</xdr:rowOff>
    </xdr:from>
    <xdr:to>
      <xdr:col>7</xdr:col>
      <xdr:colOff>645584</xdr:colOff>
      <xdr:row>27</xdr:row>
      <xdr:rowOff>95251</xdr:rowOff>
    </xdr:to>
    <xdr:sp macro="" textlink="">
      <xdr:nvSpPr>
        <xdr:cNvPr id="8" name="Rectangle 7"/>
        <xdr:cNvSpPr/>
      </xdr:nvSpPr>
      <xdr:spPr>
        <a:xfrm>
          <a:off x="4085167" y="4836584"/>
          <a:ext cx="260350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Ajouter un</a:t>
          </a:r>
          <a:r>
            <a:rPr lang="fr-FR" sz="1100" baseline="0"/>
            <a:t> conseil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52916</xdr:colOff>
      <xdr:row>0</xdr:row>
      <xdr:rowOff>10583</xdr:rowOff>
    </xdr:from>
    <xdr:to>
      <xdr:col>14</xdr:col>
      <xdr:colOff>42332</xdr:colOff>
      <xdr:row>2</xdr:row>
      <xdr:rowOff>21167</xdr:rowOff>
    </xdr:to>
    <xdr:sp macro="" textlink="">
      <xdr:nvSpPr>
        <xdr:cNvPr id="2" name="Rectangle 1">
          <a:hlinkClick xmlns:r="http://schemas.openxmlformats.org/officeDocument/2006/relationships" r:id="rId1" tooltip="Consulter la liste des produits vendus du mois"/>
        </xdr:cNvPr>
        <xdr:cNvSpPr/>
      </xdr:nvSpPr>
      <xdr:spPr>
        <a:xfrm>
          <a:off x="7663391" y="10583"/>
          <a:ext cx="1913466" cy="496359"/>
        </a:xfrm>
        <a:prstGeom prst="rect">
          <a:avLst/>
        </a:prstGeom>
        <a:solidFill>
          <a:srgbClr val="14ECD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VENTES</a:t>
          </a:r>
        </a:p>
      </xdr:txBody>
    </xdr:sp>
    <xdr:clientData/>
  </xdr:twoCellAnchor>
  <xdr:twoCellAnchor>
    <xdr:from>
      <xdr:col>16</xdr:col>
      <xdr:colOff>709083</xdr:colOff>
      <xdr:row>0</xdr:row>
      <xdr:rowOff>10584</xdr:rowOff>
    </xdr:from>
    <xdr:to>
      <xdr:col>20</xdr:col>
      <xdr:colOff>10583</xdr:colOff>
      <xdr:row>2</xdr:row>
      <xdr:rowOff>21168</xdr:rowOff>
    </xdr:to>
    <xdr:sp macro="" textlink="">
      <xdr:nvSpPr>
        <xdr:cNvPr id="3" name="Rectangle 2">
          <a:hlinkClick xmlns:r="http://schemas.openxmlformats.org/officeDocument/2006/relationships" r:id="rId2" tooltip="Consulter les chiffres du mois en cours"/>
        </xdr:cNvPr>
        <xdr:cNvSpPr/>
      </xdr:nvSpPr>
      <xdr:spPr>
        <a:xfrm>
          <a:off x="10624608" y="10584"/>
          <a:ext cx="1120775" cy="496359"/>
        </a:xfrm>
        <a:prstGeom prst="rect">
          <a:avLst/>
        </a:prstGeom>
        <a:solidFill>
          <a:srgbClr val="47C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CHIFFRES</a:t>
          </a:r>
        </a:p>
      </xdr:txBody>
    </xdr:sp>
    <xdr:clientData/>
  </xdr:twoCellAnchor>
  <xdr:twoCellAnchor>
    <xdr:from>
      <xdr:col>23</xdr:col>
      <xdr:colOff>275167</xdr:colOff>
      <xdr:row>0</xdr:row>
      <xdr:rowOff>10584</xdr:rowOff>
    </xdr:from>
    <xdr:to>
      <xdr:col>27</xdr:col>
      <xdr:colOff>10583</xdr:colOff>
      <xdr:row>2</xdr:row>
      <xdr:rowOff>21168</xdr:rowOff>
    </xdr:to>
    <xdr:sp macro="" textlink="">
      <xdr:nvSpPr>
        <xdr:cNvPr id="4" name="Rectangle 3">
          <a:hlinkClick xmlns:r="http://schemas.openxmlformats.org/officeDocument/2006/relationships" r:id="rId3" tooltip="Consulter les statistiques du mois en cours"/>
        </xdr:cNvPr>
        <xdr:cNvSpPr/>
      </xdr:nvSpPr>
      <xdr:spPr>
        <a:xfrm>
          <a:off x="13638742" y="10584"/>
          <a:ext cx="1116541" cy="496359"/>
        </a:xfrm>
        <a:prstGeom prst="rect">
          <a:avLst/>
        </a:prstGeom>
        <a:solidFill>
          <a:srgbClr val="FF93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STATISTIQUES</a:t>
          </a:r>
        </a:p>
      </xdr:txBody>
    </xdr:sp>
    <xdr:clientData/>
  </xdr:twoCellAnchor>
  <xdr:twoCellAnchor>
    <xdr:from>
      <xdr:col>28</xdr:col>
      <xdr:colOff>179917</xdr:colOff>
      <xdr:row>0</xdr:row>
      <xdr:rowOff>10583</xdr:rowOff>
    </xdr:from>
    <xdr:to>
      <xdr:col>32</xdr:col>
      <xdr:colOff>0</xdr:colOff>
      <xdr:row>2</xdr:row>
      <xdr:rowOff>21167</xdr:rowOff>
    </xdr:to>
    <xdr:sp macro="" textlink="">
      <xdr:nvSpPr>
        <xdr:cNvPr id="5" name="Rectangle 4">
          <a:hlinkClick xmlns:r="http://schemas.openxmlformats.org/officeDocument/2006/relationships" r:id="rId4" tooltip="Consulter le trafic du mois en cours"/>
        </xdr:cNvPr>
        <xdr:cNvSpPr/>
      </xdr:nvSpPr>
      <xdr:spPr>
        <a:xfrm>
          <a:off x="15315142" y="10583"/>
          <a:ext cx="1115483" cy="496359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TRAFIC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FF0000"/>
  </sheetPr>
  <dimension ref="A1:AH42"/>
  <sheetViews>
    <sheetView tabSelected="1" zoomScale="90" zoomScaleNormal="90" zoomScaleSheetLayoutView="100" workbookViewId="0">
      <selection activeCell="M28" sqref="M28"/>
    </sheetView>
  </sheetViews>
  <sheetFormatPr baseColWidth="10" defaultRowHeight="15" x14ac:dyDescent="0.25"/>
  <cols>
    <col min="1" max="1" width="6" customWidth="1"/>
    <col min="2" max="2" width="7.7109375" customWidth="1"/>
    <col min="3" max="3" width="43.7109375" customWidth="1"/>
    <col min="4" max="4" width="4.85546875" customWidth="1"/>
    <col min="5" max="5" width="11.28515625" customWidth="1"/>
    <col min="6" max="6" width="10.7109375" customWidth="1"/>
    <col min="7" max="7" width="6.140625" customWidth="1"/>
    <col min="8" max="8" width="9.85546875" customWidth="1"/>
    <col min="9" max="9" width="5.28515625" customWidth="1"/>
    <col min="10" max="10" width="8.5703125" customWidth="1"/>
    <col min="11" max="11" width="5" customWidth="1"/>
    <col min="12" max="12" width="11.7109375" customWidth="1"/>
    <col min="13" max="13" width="11" customWidth="1"/>
    <col min="14" max="14" width="1.140625" customWidth="1"/>
    <col min="15" max="15" width="0.5703125" customWidth="1"/>
    <col min="16" max="16" width="5.140625" customWidth="1"/>
    <col min="17" max="17" width="13.28515625" customWidth="1"/>
    <col min="18" max="18" width="12.28515625" customWidth="1"/>
    <col min="19" max="19" width="1.140625" customWidth="1"/>
    <col min="20" max="20" width="0.5703125" customWidth="1"/>
    <col min="21" max="21" width="6" customWidth="1"/>
    <col min="22" max="22" width="9" customWidth="1"/>
    <col min="23" max="23" width="9.42578125" customWidth="1"/>
    <col min="24" max="24" width="9.7109375" customWidth="1"/>
    <col min="25" max="25" width="9.28515625" customWidth="1"/>
    <col min="26" max="26" width="1.140625" customWidth="1"/>
    <col min="27" max="27" width="0.5703125" customWidth="1"/>
    <col min="28" max="29" width="5.85546875" customWidth="1"/>
    <col min="30" max="30" width="11.85546875" customWidth="1"/>
    <col min="31" max="31" width="1.140625" customWidth="1"/>
    <col min="32" max="32" width="0.5703125" customWidth="1"/>
  </cols>
  <sheetData>
    <row r="1" spans="1:34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145"/>
      <c r="L1" s="145"/>
      <c r="M1" s="145"/>
      <c r="N1" s="145"/>
      <c r="O1" s="145"/>
      <c r="P1" s="6"/>
      <c r="Q1" s="6"/>
      <c r="R1" s="146"/>
      <c r="S1" s="146"/>
      <c r="T1" s="146"/>
      <c r="U1" s="6"/>
      <c r="V1" s="6"/>
      <c r="W1" s="6"/>
      <c r="X1" s="146"/>
      <c r="Y1" s="146"/>
      <c r="Z1" s="146"/>
      <c r="AA1" s="146"/>
      <c r="AB1" s="6"/>
      <c r="AC1" s="6"/>
      <c r="AD1" s="124"/>
      <c r="AE1" s="124"/>
      <c r="AF1" s="124"/>
      <c r="AG1" s="6"/>
    </row>
    <row r="2" spans="1:34" ht="23.25" x14ac:dyDescent="0.35">
      <c r="A2" s="5"/>
      <c r="B2" s="125">
        <v>42461</v>
      </c>
      <c r="C2" s="125"/>
      <c r="D2" s="25"/>
      <c r="E2" s="127">
        <f>B2</f>
        <v>42461</v>
      </c>
      <c r="F2" s="127"/>
      <c r="G2" s="5"/>
      <c r="H2" s="5"/>
      <c r="I2" s="5"/>
      <c r="J2" s="5"/>
      <c r="K2" s="145"/>
      <c r="L2" s="145"/>
      <c r="M2" s="145"/>
      <c r="N2" s="145"/>
      <c r="O2" s="145"/>
      <c r="P2" s="5"/>
      <c r="Q2" s="5"/>
      <c r="R2" s="146"/>
      <c r="S2" s="146"/>
      <c r="T2" s="146"/>
      <c r="U2" s="6"/>
      <c r="V2" s="6"/>
      <c r="W2" s="6"/>
      <c r="X2" s="146"/>
      <c r="Y2" s="146"/>
      <c r="Z2" s="146"/>
      <c r="AA2" s="146"/>
      <c r="AB2" s="6"/>
      <c r="AC2" s="6"/>
      <c r="AD2" s="124"/>
      <c r="AE2" s="124"/>
      <c r="AF2" s="124"/>
      <c r="AG2" s="6"/>
      <c r="AH2" s="6"/>
    </row>
    <row r="3" spans="1:34" ht="20.25" customHeight="1" x14ac:dyDescent="0.25">
      <c r="A3" s="5"/>
      <c r="B3" s="6"/>
      <c r="C3" s="6"/>
      <c r="D3" s="6"/>
      <c r="E3" s="6"/>
      <c r="F3" s="6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6"/>
      <c r="T3" s="6"/>
      <c r="U3" s="6"/>
      <c r="V3" s="6"/>
      <c r="W3" s="6"/>
      <c r="X3" s="6"/>
      <c r="Y3" s="6"/>
      <c r="Z3" s="5"/>
      <c r="AA3" s="6"/>
      <c r="AB3" s="6"/>
      <c r="AC3" s="5"/>
      <c r="AD3" s="5"/>
      <c r="AE3" s="5"/>
      <c r="AF3" s="5"/>
      <c r="AG3" s="5"/>
      <c r="AH3" s="6"/>
    </row>
    <row r="4" spans="1:34" ht="12" customHeight="1" x14ac:dyDescent="0.25">
      <c r="A4" s="5"/>
      <c r="B4" s="126" t="s">
        <v>14</v>
      </c>
      <c r="C4" s="126"/>
      <c r="D4" s="126"/>
      <c r="E4" s="126"/>
      <c r="F4" s="126"/>
      <c r="G4" s="126"/>
      <c r="H4" s="126"/>
      <c r="I4" s="126"/>
      <c r="J4" s="126"/>
      <c r="K4" s="126"/>
      <c r="L4" s="126"/>
      <c r="M4" s="26"/>
      <c r="N4" s="81"/>
      <c r="O4" s="81"/>
      <c r="P4" s="5"/>
      <c r="Q4" s="128" t="s">
        <v>51</v>
      </c>
      <c r="R4" s="128"/>
      <c r="S4" s="83"/>
      <c r="T4" s="83"/>
      <c r="U4" s="50"/>
      <c r="V4" s="142" t="s">
        <v>40</v>
      </c>
      <c r="W4" s="142"/>
      <c r="X4" s="142"/>
      <c r="Y4" s="142"/>
      <c r="Z4" s="49"/>
      <c r="AA4" s="49"/>
      <c r="AB4" s="50"/>
      <c r="AC4" s="151" t="s">
        <v>53</v>
      </c>
      <c r="AD4" s="151"/>
      <c r="AE4" s="87"/>
      <c r="AF4" s="87"/>
      <c r="AG4" s="5"/>
    </row>
    <row r="5" spans="1:34" ht="6.75" customHeight="1" thickBot="1" x14ac:dyDescent="0.3">
      <c r="A5" s="5"/>
      <c r="B5" s="7"/>
      <c r="C5" s="8"/>
      <c r="D5" s="8"/>
      <c r="E5" s="5"/>
      <c r="F5" s="5"/>
      <c r="G5" s="16"/>
      <c r="H5" s="16"/>
      <c r="I5" s="5"/>
      <c r="J5" s="5"/>
      <c r="K5" s="5"/>
      <c r="L5" s="5"/>
      <c r="M5" s="5"/>
      <c r="N5" s="5"/>
      <c r="O5" s="81"/>
      <c r="P5" s="5"/>
      <c r="Q5" s="5"/>
      <c r="R5" s="5"/>
      <c r="S5" s="5"/>
      <c r="T5" s="84"/>
      <c r="U5" s="6"/>
      <c r="V5" s="6"/>
      <c r="W5" s="6"/>
      <c r="X5" s="6"/>
      <c r="Y5" s="6"/>
      <c r="Z5" s="5"/>
      <c r="AA5" s="27"/>
      <c r="AB5" s="6"/>
      <c r="AC5" s="6"/>
      <c r="AD5" s="6"/>
      <c r="AE5" s="6"/>
      <c r="AF5" s="87"/>
      <c r="AG5" s="5"/>
    </row>
    <row r="6" spans="1:34" ht="15" customHeight="1" x14ac:dyDescent="0.25">
      <c r="A6" s="5"/>
      <c r="B6" s="129" t="s">
        <v>1</v>
      </c>
      <c r="C6" s="131" t="s">
        <v>8</v>
      </c>
      <c r="D6" s="133" t="s">
        <v>41</v>
      </c>
      <c r="E6" s="135" t="s">
        <v>0</v>
      </c>
      <c r="F6" s="135" t="s">
        <v>2</v>
      </c>
      <c r="G6" s="135" t="s">
        <v>3</v>
      </c>
      <c r="H6" s="135" t="s">
        <v>4</v>
      </c>
      <c r="I6" s="135" t="s">
        <v>5</v>
      </c>
      <c r="J6" s="138" t="s">
        <v>77</v>
      </c>
      <c r="K6" s="140" t="s">
        <v>62</v>
      </c>
      <c r="L6" s="147" t="s">
        <v>18</v>
      </c>
      <c r="M6" s="152" t="s">
        <v>76</v>
      </c>
      <c r="N6" s="5"/>
      <c r="O6" s="81"/>
      <c r="P6" s="5"/>
      <c r="Q6" s="149" t="s">
        <v>17</v>
      </c>
      <c r="R6" s="167">
        <f ca="1">SUM(E8:E34)</f>
        <v>95</v>
      </c>
      <c r="S6" s="5"/>
      <c r="T6" s="84"/>
      <c r="U6" s="6"/>
      <c r="V6" s="22" t="s">
        <v>20</v>
      </c>
      <c r="W6" s="180">
        <f>COUNTIF(G8:G34,"H")/COUNTA(G8:G34)</f>
        <v>0.33333333333333331</v>
      </c>
      <c r="X6" s="192"/>
      <c r="Y6" s="197">
        <f>X6/1.2</f>
        <v>0</v>
      </c>
      <c r="Z6" s="5"/>
      <c r="AA6" s="27"/>
      <c r="AB6" s="6"/>
      <c r="AC6" s="88" t="s">
        <v>28</v>
      </c>
      <c r="AD6" s="205">
        <f>COUNTIF(B8:B34,"9")</f>
        <v>0</v>
      </c>
      <c r="AE6" s="5"/>
      <c r="AF6" s="87"/>
      <c r="AG6" s="5"/>
      <c r="AH6" s="2"/>
    </row>
    <row r="7" spans="1:34" ht="15" customHeight="1" thickBot="1" x14ac:dyDescent="0.3">
      <c r="A7" s="5"/>
      <c r="B7" s="130"/>
      <c r="C7" s="132"/>
      <c r="D7" s="134"/>
      <c r="E7" s="136"/>
      <c r="F7" s="136"/>
      <c r="G7" s="136"/>
      <c r="H7" s="136"/>
      <c r="I7" s="137"/>
      <c r="J7" s="139"/>
      <c r="K7" s="141"/>
      <c r="L7" s="148"/>
      <c r="M7" s="153"/>
      <c r="N7" s="5"/>
      <c r="O7" s="81"/>
      <c r="P7" s="5"/>
      <c r="Q7" s="150"/>
      <c r="R7" s="168"/>
      <c r="S7" s="5"/>
      <c r="T7" s="84"/>
      <c r="U7" s="6"/>
      <c r="V7" s="21" t="s">
        <v>21</v>
      </c>
      <c r="W7" s="181">
        <f>COUNTIF(G8:G34,"F")/COUNTA(G8:G34)</f>
        <v>0.66666666666666663</v>
      </c>
      <c r="X7" s="193"/>
      <c r="Y7" s="198">
        <f>X7/1.2</f>
        <v>0</v>
      </c>
      <c r="Z7" s="5"/>
      <c r="AA7" s="27"/>
      <c r="AB7" s="6"/>
      <c r="AC7" s="90" t="s">
        <v>29</v>
      </c>
      <c r="AD7" s="206">
        <f>COUNTIF(B8:B34,"10")</f>
        <v>1</v>
      </c>
      <c r="AE7" s="5"/>
      <c r="AF7" s="87"/>
      <c r="AG7" s="5"/>
      <c r="AH7" s="2"/>
    </row>
    <row r="8" spans="1:34" ht="15" customHeight="1" thickBot="1" x14ac:dyDescent="0.3">
      <c r="A8" s="5"/>
      <c r="B8" s="158">
        <v>10</v>
      </c>
      <c r="C8" s="160" t="s">
        <v>63</v>
      </c>
      <c r="D8" s="161"/>
      <c r="E8" s="52">
        <f ca="1">IF(D8&lt;&gt;0,CFORM(C8)-D8,CFORM(C8))</f>
        <v>2</v>
      </c>
      <c r="F8" s="53">
        <f ca="1">E8/1.2</f>
        <v>1.6666666666666667</v>
      </c>
      <c r="G8" s="10" t="s">
        <v>42</v>
      </c>
      <c r="H8" s="11" t="s">
        <v>43</v>
      </c>
      <c r="I8" s="67" t="s">
        <v>7</v>
      </c>
      <c r="J8" s="67" t="s">
        <v>48</v>
      </c>
      <c r="K8" s="165">
        <v>1</v>
      </c>
      <c r="L8" s="2">
        <v>1</v>
      </c>
      <c r="M8" s="79">
        <v>1</v>
      </c>
      <c r="N8" s="5"/>
      <c r="O8" s="81"/>
      <c r="P8" s="5"/>
      <c r="Q8" s="19" t="s">
        <v>2</v>
      </c>
      <c r="R8" s="94">
        <f ca="1">SUM(F8:F34)</f>
        <v>79.166666666666671</v>
      </c>
      <c r="S8" s="5"/>
      <c r="T8" s="84"/>
      <c r="U8" s="6"/>
      <c r="W8" s="2"/>
      <c r="X8" s="189"/>
      <c r="Y8" s="199"/>
      <c r="Z8" s="5"/>
      <c r="AA8" s="27"/>
      <c r="AB8" s="6"/>
      <c r="AC8" s="90" t="s">
        <v>30</v>
      </c>
      <c r="AD8" s="206">
        <f>COUNTIF(B8:B34,"11")</f>
        <v>0</v>
      </c>
      <c r="AE8" s="5"/>
      <c r="AF8" s="87"/>
      <c r="AG8" s="5"/>
      <c r="AH8" s="2"/>
    </row>
    <row r="9" spans="1:34" x14ac:dyDescent="0.25">
      <c r="A9" s="5"/>
      <c r="B9" s="158">
        <v>12</v>
      </c>
      <c r="C9" s="1" t="s">
        <v>64</v>
      </c>
      <c r="D9" s="161"/>
      <c r="E9" s="52">
        <f ca="1">IF(D9&lt;&gt;0,CFORM(C9)-D9,CFORM(C9))</f>
        <v>6</v>
      </c>
      <c r="F9" s="53">
        <f ca="1">E9/1.2</f>
        <v>5</v>
      </c>
      <c r="G9" s="10" t="s">
        <v>44</v>
      </c>
      <c r="H9" s="11" t="s">
        <v>6</v>
      </c>
      <c r="I9" s="10" t="s">
        <v>7</v>
      </c>
      <c r="J9" s="14" t="s">
        <v>47</v>
      </c>
      <c r="K9" s="165">
        <v>1</v>
      </c>
      <c r="L9" s="2"/>
      <c r="M9" s="68"/>
      <c r="N9" s="5"/>
      <c r="O9" s="81"/>
      <c r="P9" s="36"/>
      <c r="Q9" s="47" t="s">
        <v>52</v>
      </c>
      <c r="R9" s="61"/>
      <c r="S9" s="5"/>
      <c r="T9" s="84"/>
      <c r="U9" s="6"/>
      <c r="V9" s="22" t="s">
        <v>6</v>
      </c>
      <c r="W9" s="180">
        <f>COUNTIF(H8:H34,"FR")/COUNTA(H8:H34)</f>
        <v>0.66666666666666663</v>
      </c>
      <c r="X9" s="194"/>
      <c r="Y9" s="197">
        <f>X9/1.2</f>
        <v>0</v>
      </c>
      <c r="Z9" s="5"/>
      <c r="AA9" s="27"/>
      <c r="AB9" s="6"/>
      <c r="AC9" s="90" t="s">
        <v>31</v>
      </c>
      <c r="AD9" s="206">
        <f>COUNTIF(B8:B34,"12")</f>
        <v>1</v>
      </c>
      <c r="AE9" s="5"/>
      <c r="AF9" s="87"/>
      <c r="AG9" s="5"/>
      <c r="AH9" s="2"/>
    </row>
    <row r="10" spans="1:34" ht="15.75" thickBot="1" x14ac:dyDescent="0.3">
      <c r="A10" s="5"/>
      <c r="B10" s="158">
        <v>14</v>
      </c>
      <c r="C10" s="4" t="s">
        <v>65</v>
      </c>
      <c r="D10" s="161"/>
      <c r="E10" s="52">
        <f ca="1">IF(D10&lt;&gt;0,CFORM(C10)-D10,CFORM(C10))</f>
        <v>6</v>
      </c>
      <c r="F10" s="53">
        <f ca="1">E10/1.2</f>
        <v>5</v>
      </c>
      <c r="G10" s="10" t="s">
        <v>44</v>
      </c>
      <c r="H10" s="12" t="s">
        <v>6</v>
      </c>
      <c r="I10" s="10" t="s">
        <v>7</v>
      </c>
      <c r="J10" s="14" t="s">
        <v>47</v>
      </c>
      <c r="K10" s="165">
        <v>1</v>
      </c>
      <c r="L10" s="2"/>
      <c r="M10" s="68"/>
      <c r="N10" s="5"/>
      <c r="O10" s="81"/>
      <c r="P10" s="36"/>
      <c r="Q10" s="48" t="s">
        <v>50</v>
      </c>
      <c r="R10" s="60">
        <f ca="1">R6/R14</f>
        <v>6.333333333333333</v>
      </c>
      <c r="S10" s="5"/>
      <c r="T10" s="84"/>
      <c r="U10" s="6"/>
      <c r="V10" s="20" t="s">
        <v>22</v>
      </c>
      <c r="W10" s="182">
        <f>COUNTIF(H8:H34,"EU")/COUNTA(H8:H34)</f>
        <v>0</v>
      </c>
      <c r="X10" s="195"/>
      <c r="Y10" s="200">
        <f t="shared" ref="Y10:Y15" si="0">X10/1.2</f>
        <v>0</v>
      </c>
      <c r="Z10" s="5"/>
      <c r="AA10" s="27"/>
      <c r="AB10" s="6"/>
      <c r="AC10" s="90" t="s">
        <v>32</v>
      </c>
      <c r="AD10" s="206">
        <f>COUNTIF(B8:B34,"13")</f>
        <v>0</v>
      </c>
      <c r="AE10" s="5"/>
      <c r="AF10" s="87"/>
      <c r="AG10" s="5"/>
      <c r="AH10" s="2"/>
    </row>
    <row r="11" spans="1:34" ht="15.75" thickBot="1" x14ac:dyDescent="0.3">
      <c r="A11" s="5"/>
      <c r="B11" s="158">
        <v>15</v>
      </c>
      <c r="C11" s="4" t="s">
        <v>66</v>
      </c>
      <c r="D11" s="161"/>
      <c r="E11" s="52">
        <f ca="1">IF(D11&lt;&gt;0,CFORM(C11)-D11,CFORM(C11))</f>
        <v>8</v>
      </c>
      <c r="F11" s="53">
        <f ca="1">E11/1.2</f>
        <v>6.666666666666667</v>
      </c>
      <c r="G11" s="10" t="s">
        <v>44</v>
      </c>
      <c r="H11" s="12" t="s">
        <v>6</v>
      </c>
      <c r="I11" s="10" t="s">
        <v>7</v>
      </c>
      <c r="J11" s="14" t="s">
        <v>45</v>
      </c>
      <c r="K11" s="165">
        <v>1</v>
      </c>
      <c r="L11" s="2">
        <v>1</v>
      </c>
      <c r="M11" s="68"/>
      <c r="N11" s="5"/>
      <c r="O11" s="81"/>
      <c r="P11" s="5"/>
      <c r="Q11" s="2"/>
      <c r="R11" s="15"/>
      <c r="S11" s="5"/>
      <c r="T11" s="84"/>
      <c r="U11" s="6"/>
      <c r="V11" s="20" t="s">
        <v>11</v>
      </c>
      <c r="W11" s="182">
        <f>COUNTIF(H8:H34,"US")/COUNTA(H8:H34)</f>
        <v>8.3333333333333329E-2</v>
      </c>
      <c r="X11" s="195"/>
      <c r="Y11" s="201">
        <f t="shared" si="0"/>
        <v>0</v>
      </c>
      <c r="Z11" s="5"/>
      <c r="AA11" s="27"/>
      <c r="AB11" s="6"/>
      <c r="AC11" s="90" t="s">
        <v>33</v>
      </c>
      <c r="AD11" s="206">
        <f>COUNTIF(B8:B34,"14")</f>
        <v>1</v>
      </c>
      <c r="AE11" s="5"/>
      <c r="AF11" s="87"/>
      <c r="AG11" s="5"/>
      <c r="AH11" s="2"/>
    </row>
    <row r="12" spans="1:34" x14ac:dyDescent="0.25">
      <c r="A12" s="5"/>
      <c r="B12" s="158">
        <v>15</v>
      </c>
      <c r="C12" s="35"/>
      <c r="D12" s="161"/>
      <c r="E12" s="52"/>
      <c r="F12" s="53"/>
      <c r="G12" s="10"/>
      <c r="H12" s="12"/>
      <c r="I12" s="10"/>
      <c r="J12" s="14"/>
      <c r="K12" s="165"/>
      <c r="L12" s="2"/>
      <c r="M12" s="68"/>
      <c r="N12" s="5"/>
      <c r="O12" s="81"/>
      <c r="P12" s="5"/>
      <c r="Q12" s="42" t="s">
        <v>15</v>
      </c>
      <c r="R12" s="169">
        <f>COUNTA(B8:B34)</f>
        <v>14</v>
      </c>
      <c r="S12" s="5"/>
      <c r="T12" s="84"/>
      <c r="U12" s="6"/>
      <c r="V12" s="23" t="s">
        <v>12</v>
      </c>
      <c r="W12" s="182">
        <f>COUNTIF(H8:H21,"RU")/COUNTA(H8:H21)</f>
        <v>8.3333333333333329E-2</v>
      </c>
      <c r="X12" s="195"/>
      <c r="Y12" s="200">
        <f t="shared" si="0"/>
        <v>0</v>
      </c>
      <c r="Z12" s="5"/>
      <c r="AA12" s="27"/>
      <c r="AB12" s="6"/>
      <c r="AC12" s="90" t="s">
        <v>34</v>
      </c>
      <c r="AD12" s="206">
        <f>COUNTIF(B8:B34,"15")</f>
        <v>2</v>
      </c>
      <c r="AE12" s="5"/>
      <c r="AF12" s="87"/>
      <c r="AG12" s="5"/>
      <c r="AH12" s="2"/>
    </row>
    <row r="13" spans="1:34" x14ac:dyDescent="0.25">
      <c r="A13" s="5"/>
      <c r="B13" s="158">
        <v>16</v>
      </c>
      <c r="C13" s="4" t="s">
        <v>67</v>
      </c>
      <c r="D13" s="161"/>
      <c r="E13" s="52">
        <f ca="1">IF(D13&lt;&gt;0,CFORM(C13)-D13,CFORM(C13))</f>
        <v>10</v>
      </c>
      <c r="F13" s="53">
        <f ca="1">E13/1.2</f>
        <v>8.3333333333333339</v>
      </c>
      <c r="G13" s="10" t="s">
        <v>44</v>
      </c>
      <c r="H13" s="12" t="s">
        <v>6</v>
      </c>
      <c r="I13" s="10" t="s">
        <v>7</v>
      </c>
      <c r="J13" s="14" t="s">
        <v>45</v>
      </c>
      <c r="K13" s="165">
        <v>1</v>
      </c>
      <c r="L13" s="2">
        <v>1</v>
      </c>
      <c r="M13" s="68"/>
      <c r="N13" s="5"/>
      <c r="O13" s="81"/>
      <c r="P13" s="5"/>
      <c r="Q13" s="20" t="s">
        <v>13</v>
      </c>
      <c r="R13" s="170">
        <f>R12-R14</f>
        <v>-1</v>
      </c>
      <c r="S13" s="5"/>
      <c r="T13" s="84"/>
      <c r="U13" s="6"/>
      <c r="V13" s="23" t="s">
        <v>9</v>
      </c>
      <c r="W13" s="182">
        <f>COUNTIF(H8:H34,"AF")/COUNTA(H8:H34)</f>
        <v>8.3333333333333329E-2</v>
      </c>
      <c r="X13" s="195"/>
      <c r="Y13" s="200">
        <f t="shared" si="0"/>
        <v>0</v>
      </c>
      <c r="Z13" s="5"/>
      <c r="AA13" s="27"/>
      <c r="AB13" s="6"/>
      <c r="AC13" s="90" t="s">
        <v>35</v>
      </c>
      <c r="AD13" s="206">
        <f>COUNTIF(B8:B34,"16")</f>
        <v>2</v>
      </c>
      <c r="AE13" s="5"/>
      <c r="AF13" s="87"/>
      <c r="AG13" s="5"/>
      <c r="AH13" s="2"/>
    </row>
    <row r="14" spans="1:34" x14ac:dyDescent="0.25">
      <c r="A14" s="5"/>
      <c r="B14" s="158">
        <v>16</v>
      </c>
      <c r="C14" s="35"/>
      <c r="D14" s="161"/>
      <c r="E14" s="52"/>
      <c r="F14" s="53"/>
      <c r="G14" s="10"/>
      <c r="H14" s="12"/>
      <c r="I14" s="10"/>
      <c r="J14" s="14"/>
      <c r="K14" s="165"/>
      <c r="L14" s="2"/>
      <c r="M14" s="68"/>
      <c r="N14" s="5"/>
      <c r="O14" s="81"/>
      <c r="P14" s="5"/>
      <c r="Q14" s="19" t="s">
        <v>14</v>
      </c>
      <c r="R14" s="170">
        <f>COUNTA(C8:C34)</f>
        <v>15</v>
      </c>
      <c r="S14" s="5"/>
      <c r="T14" s="84"/>
      <c r="U14" s="6"/>
      <c r="V14" s="20" t="s">
        <v>23</v>
      </c>
      <c r="W14" s="182">
        <f>COUNTIF(H8:H34,"AS")/COUNTA(H8:H34)</f>
        <v>0</v>
      </c>
      <c r="X14" s="195"/>
      <c r="Y14" s="200">
        <f t="shared" si="0"/>
        <v>0</v>
      </c>
      <c r="Z14" s="5"/>
      <c r="AA14" s="27"/>
      <c r="AB14" s="6"/>
      <c r="AC14" s="90" t="s">
        <v>36</v>
      </c>
      <c r="AD14" s="206">
        <f>COUNTIF(B8:B34,"17")</f>
        <v>3</v>
      </c>
      <c r="AE14" s="5"/>
      <c r="AF14" s="87"/>
      <c r="AG14" s="5"/>
      <c r="AH14" s="2"/>
    </row>
    <row r="15" spans="1:34" ht="15.75" thickBot="1" x14ac:dyDescent="0.3">
      <c r="A15" s="5"/>
      <c r="B15" s="158">
        <v>17</v>
      </c>
      <c r="C15" s="4" t="s">
        <v>68</v>
      </c>
      <c r="D15" s="161"/>
      <c r="E15" s="52">
        <f ca="1">IF(D15&lt;&gt;0,CFORM(C15)-D15,CFORM(C15))</f>
        <v>15</v>
      </c>
      <c r="F15" s="53">
        <f t="shared" ref="F15:F21" ca="1" si="1">E15/1.2</f>
        <v>12.5</v>
      </c>
      <c r="G15" s="10" t="s">
        <v>44</v>
      </c>
      <c r="H15" s="12" t="s">
        <v>6</v>
      </c>
      <c r="I15" s="10" t="s">
        <v>7</v>
      </c>
      <c r="J15" s="14" t="s">
        <v>48</v>
      </c>
      <c r="K15" s="165">
        <v>2</v>
      </c>
      <c r="L15" s="2">
        <v>1</v>
      </c>
      <c r="M15" s="68">
        <v>1</v>
      </c>
      <c r="N15" s="5"/>
      <c r="O15" s="81"/>
      <c r="P15" s="5"/>
      <c r="Q15" s="20" t="s">
        <v>19</v>
      </c>
      <c r="R15" s="9">
        <f>R14/R12</f>
        <v>1.0714285714285714</v>
      </c>
      <c r="S15" s="5"/>
      <c r="T15" s="84"/>
      <c r="U15" s="6"/>
      <c r="V15" s="21" t="s">
        <v>24</v>
      </c>
      <c r="W15" s="183">
        <f>COUNTIF(H8:H34,"OT")/COUNTA(H8:H34)</f>
        <v>0</v>
      </c>
      <c r="X15" s="193"/>
      <c r="Y15" s="201">
        <f t="shared" si="0"/>
        <v>0</v>
      </c>
      <c r="Z15" s="5"/>
      <c r="AA15" s="27"/>
      <c r="AB15" s="6"/>
      <c r="AC15" s="90" t="s">
        <v>37</v>
      </c>
      <c r="AD15" s="206">
        <f>COUNTIF(B8:B34,"18")</f>
        <v>1</v>
      </c>
      <c r="AE15" s="5"/>
      <c r="AF15" s="87"/>
      <c r="AG15" s="5"/>
      <c r="AH15" s="2"/>
    </row>
    <row r="16" spans="1:34" ht="15.75" thickBot="1" x14ac:dyDescent="0.3">
      <c r="A16" s="5"/>
      <c r="B16" s="158">
        <v>17</v>
      </c>
      <c r="C16" s="4" t="s">
        <v>69</v>
      </c>
      <c r="D16" s="161"/>
      <c r="E16" s="52">
        <f ca="1">IF(D16&lt;&gt;0,CFORM(C16)-D16,CFORM(C16))</f>
        <v>18</v>
      </c>
      <c r="F16" s="54">
        <f t="shared" ca="1" si="1"/>
        <v>15</v>
      </c>
      <c r="G16" s="13" t="s">
        <v>44</v>
      </c>
      <c r="H16" s="12" t="s">
        <v>6</v>
      </c>
      <c r="I16" s="13" t="s">
        <v>7</v>
      </c>
      <c r="J16" s="18" t="s">
        <v>49</v>
      </c>
      <c r="K16" s="165">
        <v>1</v>
      </c>
      <c r="L16" s="34">
        <v>1</v>
      </c>
      <c r="M16" s="80"/>
      <c r="N16" s="5"/>
      <c r="O16" s="81"/>
      <c r="P16" s="5"/>
      <c r="Q16" s="21" t="s">
        <v>18</v>
      </c>
      <c r="R16" s="171">
        <f>SUM(L8:L21)</f>
        <v>9</v>
      </c>
      <c r="S16" s="5"/>
      <c r="T16" s="84"/>
      <c r="U16" s="6"/>
      <c r="X16" s="190"/>
      <c r="Y16" s="199"/>
      <c r="Z16" s="5"/>
      <c r="AA16" s="27"/>
      <c r="AB16" s="6"/>
      <c r="AC16" s="90" t="s">
        <v>38</v>
      </c>
      <c r="AD16" s="206">
        <f>COUNTIF(B8:B34,"19")</f>
        <v>3</v>
      </c>
      <c r="AE16" s="5"/>
      <c r="AF16" s="87"/>
      <c r="AG16" s="5"/>
      <c r="AH16" s="2"/>
    </row>
    <row r="17" spans="1:34" ht="15.75" thickBot="1" x14ac:dyDescent="0.3">
      <c r="A17" s="5"/>
      <c r="B17" s="158">
        <v>17</v>
      </c>
      <c r="C17" s="4" t="s">
        <v>70</v>
      </c>
      <c r="D17" s="161"/>
      <c r="E17" s="52">
        <f ca="1">IF(D17&lt;&gt;0,CFORM(C17)-D17,CFORM(C17))</f>
        <v>5</v>
      </c>
      <c r="F17" s="53">
        <f t="shared" ca="1" si="1"/>
        <v>4.166666666666667</v>
      </c>
      <c r="G17" s="10" t="s">
        <v>42</v>
      </c>
      <c r="H17" s="12" t="s">
        <v>9</v>
      </c>
      <c r="I17" s="10" t="s">
        <v>10</v>
      </c>
      <c r="J17" s="14" t="s">
        <v>48</v>
      </c>
      <c r="K17" s="165">
        <v>1</v>
      </c>
      <c r="L17" s="2">
        <v>1</v>
      </c>
      <c r="M17" s="68"/>
      <c r="N17" s="5"/>
      <c r="O17" s="81"/>
      <c r="P17" s="5"/>
      <c r="S17" s="5"/>
      <c r="T17" s="84"/>
      <c r="U17" s="6"/>
      <c r="V17" s="37" t="s">
        <v>47</v>
      </c>
      <c r="W17" s="184">
        <f>COUNTIF(J8:J34,"DEC")/COUNTA(J8:J34)</f>
        <v>0.33333333333333331</v>
      </c>
      <c r="X17" s="192"/>
      <c r="Y17" s="197">
        <f t="shared" ref="Y17:Y20" si="2">X17/1.2</f>
        <v>0</v>
      </c>
      <c r="Z17" s="5"/>
      <c r="AA17" s="27"/>
      <c r="AB17" s="6"/>
      <c r="AC17" s="92" t="s">
        <v>39</v>
      </c>
      <c r="AD17" s="207">
        <f>COUNTIF(B8:B34,"20")</f>
        <v>0</v>
      </c>
      <c r="AE17" s="5"/>
      <c r="AF17" s="87"/>
      <c r="AG17" s="5"/>
      <c r="AH17" s="2"/>
    </row>
    <row r="18" spans="1:34" ht="15.75" thickBot="1" x14ac:dyDescent="0.3">
      <c r="A18" s="5"/>
      <c r="B18" s="158">
        <v>18</v>
      </c>
      <c r="C18" s="4" t="s">
        <v>71</v>
      </c>
      <c r="D18" s="162"/>
      <c r="E18" s="52">
        <f ca="1">IF(D18&lt;&gt;0,CFORM(C18)-D18,CFORM(C18))</f>
        <v>8</v>
      </c>
      <c r="F18" s="55">
        <f t="shared" ca="1" si="1"/>
        <v>6.666666666666667</v>
      </c>
      <c r="G18" s="10" t="s">
        <v>42</v>
      </c>
      <c r="H18" s="10" t="s">
        <v>11</v>
      </c>
      <c r="I18" s="10" t="s">
        <v>7</v>
      </c>
      <c r="J18" s="10" t="s">
        <v>48</v>
      </c>
      <c r="K18" s="165">
        <v>2</v>
      </c>
      <c r="L18" s="2">
        <v>1</v>
      </c>
      <c r="M18" s="68"/>
      <c r="N18" s="5"/>
      <c r="O18" s="81"/>
      <c r="P18" s="5"/>
      <c r="Q18" s="43" t="s">
        <v>58</v>
      </c>
      <c r="R18" s="172"/>
      <c r="S18" s="5"/>
      <c r="T18" s="84"/>
      <c r="U18" s="6"/>
      <c r="V18" s="38" t="s">
        <v>48</v>
      </c>
      <c r="W18" s="185">
        <f>COUNTIF(J8:J34,"CLI")/COUNTA(J8:J34)</f>
        <v>0.41666666666666669</v>
      </c>
      <c r="X18" s="196"/>
      <c r="Y18" s="200">
        <f t="shared" si="2"/>
        <v>0</v>
      </c>
      <c r="Z18" s="5"/>
      <c r="AA18" s="27"/>
      <c r="AB18" s="6"/>
      <c r="AC18" s="6"/>
      <c r="AD18" s="6"/>
      <c r="AE18" s="5"/>
      <c r="AF18" s="87"/>
      <c r="AG18" s="5"/>
      <c r="AH18" s="2"/>
    </row>
    <row r="19" spans="1:34" ht="15.75" thickBot="1" x14ac:dyDescent="0.3">
      <c r="A19" s="5"/>
      <c r="B19" s="158">
        <v>19</v>
      </c>
      <c r="C19" s="4" t="s">
        <v>72</v>
      </c>
      <c r="D19" s="163"/>
      <c r="E19" s="52">
        <f ca="1">IF(D19&lt;&gt;0,CFORM(C19)-D19,CFORM(C19))</f>
        <v>3</v>
      </c>
      <c r="F19" s="54">
        <f t="shared" ca="1" si="1"/>
        <v>2.5</v>
      </c>
      <c r="G19" s="13" t="s">
        <v>42</v>
      </c>
      <c r="H19" s="13" t="s">
        <v>6</v>
      </c>
      <c r="I19" s="13" t="s">
        <v>7</v>
      </c>
      <c r="J19" s="18" t="s">
        <v>47</v>
      </c>
      <c r="K19" s="165">
        <v>1</v>
      </c>
      <c r="L19" s="34">
        <v>1</v>
      </c>
      <c r="M19" s="80"/>
      <c r="N19" s="5"/>
      <c r="O19" s="81"/>
      <c r="P19" s="5"/>
      <c r="Q19" s="120" t="s">
        <v>16</v>
      </c>
      <c r="R19" s="121">
        <f>AVERAGE(K8:K21)</f>
        <v>1.1666666666666667</v>
      </c>
      <c r="S19" s="5"/>
      <c r="T19" s="84"/>
      <c r="U19" s="6"/>
      <c r="V19" s="38" t="s">
        <v>45</v>
      </c>
      <c r="W19" s="185">
        <f>COUNTIF(J8:J34,"ENR")/COUNTA(J8:J34)</f>
        <v>0.16666666666666666</v>
      </c>
      <c r="X19" s="196"/>
      <c r="Y19" s="200">
        <f t="shared" si="2"/>
        <v>0</v>
      </c>
      <c r="Z19" s="5"/>
      <c r="AA19" s="27"/>
      <c r="AB19" s="6"/>
      <c r="AC19" s="88" t="s">
        <v>28</v>
      </c>
      <c r="AD19" s="205"/>
      <c r="AE19" s="5"/>
      <c r="AF19" s="87"/>
      <c r="AG19" s="5"/>
      <c r="AH19" s="2"/>
    </row>
    <row r="20" spans="1:34" ht="15.75" thickBot="1" x14ac:dyDescent="0.3">
      <c r="A20" s="5"/>
      <c r="B20" s="158">
        <v>19</v>
      </c>
      <c r="C20" s="4" t="s">
        <v>73</v>
      </c>
      <c r="D20" s="163"/>
      <c r="E20" s="52">
        <f ca="1">IF(D20&lt;&gt;0,CFORM(C20)-D20,CFORM(C20))</f>
        <v>12</v>
      </c>
      <c r="F20" s="54">
        <f t="shared" ca="1" si="1"/>
        <v>10</v>
      </c>
      <c r="G20" s="10" t="s">
        <v>44</v>
      </c>
      <c r="H20" s="13" t="s">
        <v>6</v>
      </c>
      <c r="I20" s="10" t="s">
        <v>10</v>
      </c>
      <c r="J20" s="14" t="s">
        <v>48</v>
      </c>
      <c r="K20" s="165">
        <v>1</v>
      </c>
      <c r="L20" s="2"/>
      <c r="M20" s="68"/>
      <c r="N20" s="5"/>
      <c r="O20" s="81"/>
      <c r="P20" s="5"/>
      <c r="Q20" s="34"/>
      <c r="R20" s="119"/>
      <c r="S20" s="5"/>
      <c r="T20" s="84"/>
      <c r="U20" s="6"/>
      <c r="V20" s="39" t="s">
        <v>49</v>
      </c>
      <c r="W20" s="186">
        <f>COUNTIF(J8:J34,"NOU")/COUNTA(J8:J34)</f>
        <v>8.3333333333333329E-2</v>
      </c>
      <c r="X20" s="193"/>
      <c r="Y20" s="198">
        <f t="shared" si="2"/>
        <v>0</v>
      </c>
      <c r="Z20" s="5"/>
      <c r="AA20" s="27"/>
      <c r="AB20" s="6"/>
      <c r="AC20" s="90" t="s">
        <v>29</v>
      </c>
      <c r="AD20" s="206"/>
      <c r="AE20" s="5"/>
      <c r="AF20" s="87"/>
      <c r="AG20" s="5"/>
      <c r="AH20" s="2"/>
    </row>
    <row r="21" spans="1:34" ht="15.75" thickBot="1" x14ac:dyDescent="0.3">
      <c r="A21" s="5"/>
      <c r="B21" s="159">
        <v>19</v>
      </c>
      <c r="C21" s="28" t="s">
        <v>63</v>
      </c>
      <c r="D21" s="164"/>
      <c r="E21" s="56">
        <f ca="1">IF(D21&lt;&gt;0,CFORM(C21)-D21,CFORM(C21))</f>
        <v>2</v>
      </c>
      <c r="F21" s="57">
        <f t="shared" ca="1" si="1"/>
        <v>1.6666666666666667</v>
      </c>
      <c r="G21" s="17" t="s">
        <v>44</v>
      </c>
      <c r="H21" s="29" t="s">
        <v>12</v>
      </c>
      <c r="I21" s="17" t="s">
        <v>7</v>
      </c>
      <c r="J21" s="17" t="s">
        <v>47</v>
      </c>
      <c r="K21" s="166">
        <v>1</v>
      </c>
      <c r="L21" s="78">
        <v>1</v>
      </c>
      <c r="M21" s="69"/>
      <c r="N21" s="5"/>
      <c r="O21" s="81"/>
      <c r="P21" s="5"/>
      <c r="Q21" s="46" t="s">
        <v>74</v>
      </c>
      <c r="R21" s="174"/>
      <c r="S21" s="5"/>
      <c r="T21" s="84"/>
      <c r="U21" s="6"/>
      <c r="V21" s="6"/>
      <c r="W21" s="5"/>
      <c r="X21" s="191"/>
      <c r="Y21" s="202"/>
      <c r="Z21" s="5"/>
      <c r="AA21" s="27"/>
      <c r="AB21" s="6"/>
      <c r="AC21" s="90" t="s">
        <v>30</v>
      </c>
      <c r="AD21" s="206"/>
      <c r="AE21" s="5"/>
      <c r="AF21" s="87"/>
      <c r="AG21" s="5"/>
      <c r="AH21" s="2"/>
    </row>
    <row r="22" spans="1:34" ht="15.75" thickBot="1" x14ac:dyDescent="0.3">
      <c r="A22" s="5"/>
      <c r="B22" s="30"/>
      <c r="C22" s="5"/>
      <c r="D22" s="31"/>
      <c r="E22" s="58"/>
      <c r="F22" s="59"/>
      <c r="G22" s="32"/>
      <c r="H22" s="5"/>
      <c r="I22" s="5"/>
      <c r="J22" s="5"/>
      <c r="K22" s="5"/>
      <c r="L22" s="5"/>
      <c r="M22" s="5"/>
      <c r="N22" s="5"/>
      <c r="O22" s="81"/>
      <c r="P22" s="5"/>
      <c r="Q22" s="173" t="s">
        <v>75</v>
      </c>
      <c r="R22" s="175"/>
      <c r="S22" s="5"/>
      <c r="T22" s="84"/>
      <c r="U22" s="6"/>
      <c r="V22" s="22" t="s">
        <v>7</v>
      </c>
      <c r="W22" s="180">
        <f>COUNTIF(I8:I34,"CB")/COUNTA(I8:I34)</f>
        <v>0.83333333333333337</v>
      </c>
      <c r="X22" s="192"/>
      <c r="Y22" s="197">
        <f t="shared" ref="Y22:Y27" si="3">X22/1.2</f>
        <v>0</v>
      </c>
      <c r="Z22" s="5"/>
      <c r="AA22" s="27"/>
      <c r="AB22" s="6"/>
      <c r="AC22" s="90" t="s">
        <v>31</v>
      </c>
      <c r="AD22" s="206"/>
      <c r="AE22" s="5"/>
      <c r="AF22" s="87"/>
      <c r="AG22" s="5"/>
      <c r="AH22" s="2"/>
    </row>
    <row r="23" spans="1:34" ht="15.75" customHeight="1" thickBot="1" x14ac:dyDescent="0.3">
      <c r="A23" s="5"/>
      <c r="B23" s="214"/>
      <c r="C23" s="5" t="s">
        <v>86</v>
      </c>
      <c r="D23" s="31"/>
      <c r="E23" s="216" t="s">
        <v>88</v>
      </c>
      <c r="F23" s="216"/>
      <c r="G23" s="216"/>
      <c r="H23" s="216"/>
      <c r="I23" s="216"/>
      <c r="J23" s="216"/>
      <c r="K23" s="216"/>
      <c r="L23" s="216"/>
      <c r="M23" s="5"/>
      <c r="N23" s="5"/>
      <c r="O23" s="81"/>
      <c r="P23" s="5"/>
      <c r="S23" s="5"/>
      <c r="T23" s="84"/>
      <c r="U23" s="6"/>
      <c r="V23" s="20" t="s">
        <v>10</v>
      </c>
      <c r="W23" s="182">
        <f>COUNTIF(I8:I34,"ES")/COUNTA(I8:I34)</f>
        <v>0.16666666666666666</v>
      </c>
      <c r="X23" s="196"/>
      <c r="Y23" s="200">
        <f t="shared" si="3"/>
        <v>0</v>
      </c>
      <c r="Z23" s="5"/>
      <c r="AA23" s="27"/>
      <c r="AB23" s="6"/>
      <c r="AC23" s="90" t="s">
        <v>32</v>
      </c>
      <c r="AD23" s="206"/>
      <c r="AE23" s="6"/>
      <c r="AF23" s="86"/>
      <c r="AG23" s="6"/>
    </row>
    <row r="24" spans="1:34" ht="15.75" customHeight="1" thickBot="1" x14ac:dyDescent="0.3">
      <c r="A24" s="5"/>
      <c r="B24" s="215"/>
      <c r="C24" s="5" t="s">
        <v>87</v>
      </c>
      <c r="D24" s="31"/>
      <c r="E24" s="216"/>
      <c r="F24" s="216"/>
      <c r="G24" s="216"/>
      <c r="H24" s="216"/>
      <c r="I24" s="216"/>
      <c r="J24" s="216"/>
      <c r="K24" s="216"/>
      <c r="L24" s="216"/>
      <c r="M24" s="5"/>
      <c r="N24" s="5"/>
      <c r="O24" s="81"/>
      <c r="P24" s="5"/>
      <c r="Q24" s="46" t="s">
        <v>74</v>
      </c>
      <c r="R24" s="174"/>
      <c r="S24" s="5"/>
      <c r="T24" s="84"/>
      <c r="U24" s="6"/>
      <c r="V24" s="20" t="s">
        <v>25</v>
      </c>
      <c r="W24" s="182">
        <f>COUNTIF(I8:I34,"CP")/COUNTA(I8:I34)</f>
        <v>0</v>
      </c>
      <c r="X24" s="196"/>
      <c r="Y24" s="200">
        <f t="shared" si="3"/>
        <v>0</v>
      </c>
      <c r="Z24" s="5"/>
      <c r="AA24" s="27"/>
      <c r="AB24" s="6"/>
      <c r="AC24" s="90" t="s">
        <v>33</v>
      </c>
      <c r="AD24" s="206"/>
      <c r="AE24" s="6"/>
      <c r="AF24" s="86"/>
      <c r="AG24" s="6"/>
    </row>
    <row r="25" spans="1:34" ht="15.75" thickBot="1" x14ac:dyDescent="0.3">
      <c r="A25" s="5"/>
      <c r="B25" s="30"/>
      <c r="C25" s="5"/>
      <c r="D25" s="31"/>
      <c r="E25" s="58"/>
      <c r="F25" s="59"/>
      <c r="G25" s="32"/>
      <c r="H25" s="5"/>
      <c r="I25" s="5"/>
      <c r="J25" s="5"/>
      <c r="K25" s="5"/>
      <c r="L25" s="5"/>
      <c r="M25" s="5"/>
      <c r="N25" s="5"/>
      <c r="O25" s="81"/>
      <c r="P25" s="5"/>
      <c r="Q25" s="173" t="s">
        <v>75</v>
      </c>
      <c r="R25" s="175"/>
      <c r="S25" s="5"/>
      <c r="T25" s="84"/>
      <c r="U25" s="6"/>
      <c r="V25" s="20" t="s">
        <v>46</v>
      </c>
      <c r="W25" s="182">
        <f>COUNTIF(I8:I34,"AM")/COUNTA(I8:I34)</f>
        <v>0</v>
      </c>
      <c r="X25" s="196"/>
      <c r="Y25" s="200">
        <f t="shared" si="3"/>
        <v>0</v>
      </c>
      <c r="Z25" s="5"/>
      <c r="AA25" s="27"/>
      <c r="AB25" s="6"/>
      <c r="AC25" s="90" t="s">
        <v>34</v>
      </c>
      <c r="AD25" s="206"/>
      <c r="AE25" s="6"/>
      <c r="AF25" s="86"/>
      <c r="AG25" s="6"/>
    </row>
    <row r="26" spans="1:34" ht="15.75" thickBot="1" x14ac:dyDescent="0.3">
      <c r="A26" s="5"/>
      <c r="B26" s="30"/>
      <c r="C26" s="5"/>
      <c r="D26" s="31"/>
      <c r="E26" s="58"/>
      <c r="F26" s="59"/>
      <c r="G26" s="32"/>
      <c r="H26" s="5"/>
      <c r="I26" s="5"/>
      <c r="J26" s="5"/>
      <c r="K26" s="5"/>
      <c r="L26" s="5"/>
      <c r="M26" s="5"/>
      <c r="N26" s="5"/>
      <c r="O26" s="81"/>
      <c r="P26" s="5"/>
      <c r="S26" s="5"/>
      <c r="T26" s="84"/>
      <c r="U26" s="6"/>
      <c r="V26" s="20" t="s">
        <v>26</v>
      </c>
      <c r="W26" s="182">
        <f>COUNTIF(I8:I34,"CC")/COUNTA(I8:I34)</f>
        <v>0</v>
      </c>
      <c r="X26" s="196"/>
      <c r="Y26" s="200">
        <f t="shared" si="3"/>
        <v>0</v>
      </c>
      <c r="Z26" s="5"/>
      <c r="AA26" s="27"/>
      <c r="AB26" s="6"/>
      <c r="AC26" s="90" t="s">
        <v>35</v>
      </c>
      <c r="AD26" s="206"/>
      <c r="AE26" s="6"/>
      <c r="AF26" s="86"/>
      <c r="AG26" s="6"/>
    </row>
    <row r="27" spans="1:34" ht="15.75" thickBot="1" x14ac:dyDescent="0.3">
      <c r="A27" s="5"/>
      <c r="B27" s="30"/>
      <c r="C27" s="5"/>
      <c r="D27" s="31"/>
      <c r="E27" s="58"/>
      <c r="F27" s="59"/>
      <c r="G27" s="32"/>
      <c r="H27" s="5"/>
      <c r="I27" s="5"/>
      <c r="J27" s="5"/>
      <c r="K27" s="5"/>
      <c r="L27" s="5"/>
      <c r="M27" s="5"/>
      <c r="N27" s="5"/>
      <c r="O27" s="81"/>
      <c r="P27" s="5"/>
      <c r="Q27" s="143" t="s">
        <v>76</v>
      </c>
      <c r="R27" s="176"/>
      <c r="S27" s="5"/>
      <c r="T27" s="84"/>
      <c r="U27" s="6"/>
      <c r="V27" s="21" t="s">
        <v>27</v>
      </c>
      <c r="W27" s="181">
        <f>COUNTIF(I8:I34,"CH")/COUNTA(I8:I34)</f>
        <v>0</v>
      </c>
      <c r="X27" s="193"/>
      <c r="Y27" s="201">
        <f t="shared" si="3"/>
        <v>0</v>
      </c>
      <c r="Z27" s="5"/>
      <c r="AA27" s="27"/>
      <c r="AB27" s="6"/>
      <c r="AC27" s="90" t="s">
        <v>36</v>
      </c>
      <c r="AD27" s="206"/>
      <c r="AE27" s="6"/>
      <c r="AF27" s="86"/>
      <c r="AG27" s="6"/>
    </row>
    <row r="28" spans="1:34" ht="15.75" thickBot="1" x14ac:dyDescent="0.3">
      <c r="A28" s="5"/>
      <c r="B28" s="30"/>
      <c r="C28" s="5"/>
      <c r="D28" s="31"/>
      <c r="E28" s="58"/>
      <c r="F28" s="59"/>
      <c r="G28" s="32"/>
      <c r="H28" s="5"/>
      <c r="I28" s="5"/>
      <c r="J28" s="5"/>
      <c r="K28" s="5"/>
      <c r="L28" s="5"/>
      <c r="M28" s="5"/>
      <c r="N28" s="5"/>
      <c r="O28" s="81"/>
      <c r="P28" s="5"/>
      <c r="Q28" s="144"/>
      <c r="R28" s="177"/>
      <c r="S28" s="5"/>
      <c r="T28" s="84"/>
      <c r="U28" s="6"/>
      <c r="V28" s="6"/>
      <c r="W28" s="6"/>
      <c r="X28" s="58"/>
      <c r="Y28" s="202"/>
      <c r="Z28" s="5"/>
      <c r="AA28" s="27"/>
      <c r="AB28" s="6"/>
      <c r="AC28" s="90" t="s">
        <v>37</v>
      </c>
      <c r="AD28" s="206"/>
      <c r="AE28" s="6"/>
      <c r="AF28" s="86"/>
      <c r="AG28" s="6"/>
    </row>
    <row r="29" spans="1:34" ht="15" customHeight="1" x14ac:dyDescent="0.25">
      <c r="A29" s="5"/>
      <c r="B29" s="30"/>
      <c r="C29" s="213" t="s">
        <v>85</v>
      </c>
      <c r="D29" s="213"/>
      <c r="E29" s="213"/>
      <c r="F29" s="213"/>
      <c r="G29" s="213"/>
      <c r="H29" s="213"/>
      <c r="I29" s="213"/>
      <c r="J29" s="213"/>
      <c r="K29" s="213"/>
      <c r="L29" s="213"/>
      <c r="M29" s="5"/>
      <c r="N29" s="5"/>
      <c r="O29" s="81"/>
      <c r="P29" s="5"/>
      <c r="Q29" s="47" t="s">
        <v>58</v>
      </c>
      <c r="R29" s="178"/>
      <c r="S29" s="5"/>
      <c r="T29" s="84"/>
      <c r="U29" s="6"/>
      <c r="V29" s="111" t="s">
        <v>78</v>
      </c>
      <c r="W29" s="187"/>
      <c r="X29" s="192"/>
      <c r="Y29" s="203">
        <f t="shared" ref="Y29:Y30" si="4">X29/1.2</f>
        <v>0</v>
      </c>
      <c r="Z29" s="5"/>
      <c r="AA29" s="27"/>
      <c r="AB29" s="6"/>
      <c r="AC29" s="90" t="s">
        <v>38</v>
      </c>
      <c r="AD29" s="206"/>
      <c r="AF29" s="86"/>
      <c r="AG29" s="6"/>
    </row>
    <row r="30" spans="1:34" ht="15.75" thickBot="1" x14ac:dyDescent="0.3">
      <c r="A30" s="5"/>
      <c r="B30" s="30"/>
      <c r="C30" s="213"/>
      <c r="D30" s="213"/>
      <c r="E30" s="213"/>
      <c r="F30" s="213"/>
      <c r="G30" s="213"/>
      <c r="H30" s="213"/>
      <c r="I30" s="213"/>
      <c r="J30" s="213"/>
      <c r="K30" s="213"/>
      <c r="L30" s="213"/>
      <c r="M30" s="5"/>
      <c r="N30" s="5"/>
      <c r="O30" s="81"/>
      <c r="P30" s="5"/>
      <c r="Q30" s="112" t="s">
        <v>15</v>
      </c>
      <c r="R30" s="179">
        <f>SUM(M8:M33)</f>
        <v>2</v>
      </c>
      <c r="S30" s="5"/>
      <c r="T30" s="84"/>
      <c r="U30" s="6"/>
      <c r="V30" s="112" t="s">
        <v>79</v>
      </c>
      <c r="W30" s="188"/>
      <c r="X30" s="193"/>
      <c r="Y30" s="204">
        <f t="shared" si="4"/>
        <v>0</v>
      </c>
      <c r="Z30" s="5"/>
      <c r="AA30" s="27"/>
      <c r="AB30" s="6"/>
      <c r="AC30" s="92" t="s">
        <v>39</v>
      </c>
      <c r="AD30" s="207"/>
      <c r="AF30" s="86"/>
      <c r="AG30" s="6"/>
    </row>
    <row r="31" spans="1:34" x14ac:dyDescent="0.25">
      <c r="A31" s="5"/>
      <c r="B31" s="30"/>
      <c r="C31" s="213"/>
      <c r="D31" s="213"/>
      <c r="E31" s="213"/>
      <c r="F31" s="213"/>
      <c r="G31" s="213"/>
      <c r="H31" s="213"/>
      <c r="I31" s="213"/>
      <c r="J31" s="213"/>
      <c r="K31" s="213"/>
      <c r="L31" s="213"/>
      <c r="M31" s="5"/>
      <c r="N31" s="5"/>
      <c r="O31" s="81"/>
      <c r="P31" s="5"/>
      <c r="S31" s="5"/>
      <c r="T31" s="84"/>
      <c r="U31" s="6"/>
      <c r="Z31" s="5"/>
      <c r="AA31" s="27"/>
      <c r="AB31" s="6"/>
      <c r="AC31" s="6"/>
      <c r="AD31" s="6"/>
      <c r="AF31" s="86"/>
      <c r="AG31" s="6"/>
    </row>
    <row r="32" spans="1:34" x14ac:dyDescent="0.25">
      <c r="A32" s="5"/>
      <c r="B32" s="30"/>
      <c r="C32" s="213"/>
      <c r="D32" s="213"/>
      <c r="E32" s="213"/>
      <c r="F32" s="213"/>
      <c r="G32" s="213"/>
      <c r="H32" s="213"/>
      <c r="I32" s="213"/>
      <c r="J32" s="213"/>
      <c r="K32" s="213"/>
      <c r="L32" s="213"/>
      <c r="M32" s="5"/>
      <c r="N32" s="5"/>
      <c r="O32" s="81"/>
      <c r="P32" s="6"/>
      <c r="S32" s="5"/>
      <c r="T32" s="84"/>
      <c r="U32" s="6"/>
      <c r="Z32" s="5"/>
      <c r="AA32" s="27"/>
      <c r="AB32" s="6"/>
      <c r="AC32" s="6"/>
      <c r="AD32" s="6"/>
      <c r="AF32" s="86"/>
      <c r="AG32" s="6"/>
    </row>
    <row r="33" spans="1:33" x14ac:dyDescent="0.25">
      <c r="A33" s="5"/>
      <c r="B33" s="30"/>
      <c r="C33" s="213"/>
      <c r="D33" s="213"/>
      <c r="E33" s="213"/>
      <c r="F33" s="213"/>
      <c r="G33" s="213"/>
      <c r="H33" s="213"/>
      <c r="I33" s="213"/>
      <c r="J33" s="213"/>
      <c r="K33" s="213"/>
      <c r="L33" s="213"/>
      <c r="M33" s="5"/>
      <c r="N33" s="5"/>
      <c r="O33" s="81"/>
      <c r="P33" s="6"/>
      <c r="S33" s="5"/>
      <c r="T33" s="84"/>
      <c r="U33" s="6"/>
      <c r="V33" s="6"/>
      <c r="W33" s="6"/>
      <c r="X33" s="6"/>
      <c r="Y33" s="6"/>
      <c r="Z33" s="5"/>
      <c r="AA33" s="27"/>
      <c r="AB33" s="6"/>
      <c r="AC33" s="6"/>
      <c r="AD33" s="6"/>
      <c r="AF33" s="86"/>
      <c r="AG33" s="6"/>
    </row>
    <row r="34" spans="1:33" x14ac:dyDescent="0.25">
      <c r="A34" s="5"/>
      <c r="B34" s="30"/>
      <c r="C34" s="5"/>
      <c r="D34" s="31"/>
      <c r="E34" s="58"/>
      <c r="F34" s="59"/>
      <c r="G34" s="32"/>
      <c r="H34" s="5"/>
      <c r="I34" s="5"/>
      <c r="J34" s="5"/>
      <c r="K34" s="5"/>
      <c r="L34" s="5"/>
      <c r="M34" s="5"/>
      <c r="N34" s="5"/>
      <c r="O34" s="81"/>
      <c r="P34" s="6"/>
      <c r="S34" s="5"/>
      <c r="T34" s="84"/>
      <c r="U34" s="6"/>
      <c r="V34" s="6"/>
      <c r="W34" s="6"/>
      <c r="X34" s="6"/>
      <c r="Y34" s="6"/>
      <c r="Z34" s="5"/>
      <c r="AA34" s="27"/>
      <c r="AB34" s="6"/>
      <c r="AC34" s="6"/>
      <c r="AD34" s="6"/>
      <c r="AF34" s="86"/>
      <c r="AG34" s="6"/>
    </row>
    <row r="35" spans="1:33" x14ac:dyDescent="0.25">
      <c r="A35" s="6"/>
      <c r="B35" s="5"/>
      <c r="C35" s="5"/>
      <c r="D35" s="5"/>
      <c r="E35" s="5"/>
      <c r="F35" s="24"/>
      <c r="G35" s="5"/>
      <c r="H35" s="5"/>
      <c r="I35" s="5"/>
      <c r="J35" s="5"/>
      <c r="K35" s="5"/>
      <c r="L35" s="5"/>
      <c r="M35" s="5"/>
      <c r="N35" s="5"/>
      <c r="O35" s="82"/>
      <c r="P35" s="6"/>
      <c r="S35" s="5"/>
      <c r="T35" s="84"/>
      <c r="U35" s="6"/>
      <c r="V35" s="6"/>
      <c r="W35" s="6"/>
      <c r="X35" s="6"/>
      <c r="Y35" s="6"/>
      <c r="Z35" s="5"/>
      <c r="AA35" s="27"/>
      <c r="AB35" s="6"/>
      <c r="AC35" s="6"/>
      <c r="AD35" s="6"/>
      <c r="AF35" s="86"/>
    </row>
    <row r="36" spans="1:33" x14ac:dyDescent="0.25">
      <c r="A36" s="6"/>
      <c r="B36" s="5"/>
      <c r="C36" s="5"/>
      <c r="D36" s="5"/>
      <c r="E36" s="5"/>
      <c r="F36" s="24"/>
      <c r="G36" s="5"/>
      <c r="H36" s="5"/>
      <c r="I36" s="5"/>
      <c r="J36" s="5"/>
      <c r="K36" s="5"/>
      <c r="L36" s="5"/>
      <c r="M36" s="5"/>
      <c r="N36" s="5"/>
      <c r="O36" s="82"/>
      <c r="P36" s="6"/>
      <c r="Q36" s="5"/>
      <c r="R36" s="5"/>
      <c r="S36" s="5"/>
      <c r="T36" s="84"/>
      <c r="U36" s="6"/>
      <c r="Z36" s="5"/>
      <c r="AA36" s="27"/>
      <c r="AB36" s="6"/>
      <c r="AC36" s="6"/>
      <c r="AD36" s="6"/>
      <c r="AF36" s="86"/>
    </row>
    <row r="37" spans="1:33" x14ac:dyDescent="0.25">
      <c r="A37" s="6"/>
      <c r="B37" s="5"/>
      <c r="C37" s="5"/>
      <c r="D37" s="5"/>
      <c r="E37" s="5"/>
      <c r="F37" s="24"/>
      <c r="G37" s="5"/>
      <c r="H37" s="5"/>
      <c r="I37" s="5"/>
      <c r="J37" s="5"/>
      <c r="K37" s="5"/>
      <c r="L37" s="5"/>
      <c r="M37" s="5"/>
      <c r="N37" s="6"/>
      <c r="O37" s="82"/>
      <c r="P37" s="6"/>
      <c r="Q37" s="5"/>
      <c r="R37" s="5"/>
      <c r="S37" s="5"/>
      <c r="T37" s="84"/>
      <c r="U37" s="6"/>
      <c r="Z37" s="5"/>
      <c r="AA37" s="27"/>
      <c r="AB37" s="6"/>
      <c r="AC37" s="6"/>
      <c r="AD37" s="6"/>
      <c r="AF37" s="86"/>
    </row>
    <row r="38" spans="1:33" x14ac:dyDescent="0.25">
      <c r="B38" s="2"/>
      <c r="C38" s="2"/>
      <c r="D38" s="2"/>
      <c r="E38" s="2"/>
      <c r="F38" s="3"/>
      <c r="G38" s="2"/>
      <c r="H38" s="2"/>
      <c r="I38" s="2"/>
      <c r="J38" s="2"/>
      <c r="K38" s="2"/>
      <c r="L38" s="2"/>
      <c r="M38" s="2"/>
      <c r="O38" s="82"/>
      <c r="Q38" s="5"/>
      <c r="R38" s="5"/>
      <c r="S38" s="2"/>
      <c r="T38" s="84"/>
      <c r="Z38" s="2"/>
      <c r="AA38" s="27"/>
      <c r="AC38" s="6"/>
      <c r="AD38" s="6"/>
      <c r="AF38" s="86"/>
    </row>
    <row r="39" spans="1:33" x14ac:dyDescent="0.25">
      <c r="B39" s="2"/>
      <c r="C39" s="2"/>
      <c r="D39" s="2"/>
      <c r="E39" s="2"/>
      <c r="F39" s="3"/>
      <c r="G39" s="2"/>
      <c r="H39" s="2"/>
      <c r="I39" s="2"/>
      <c r="J39" s="2"/>
      <c r="K39" s="2"/>
      <c r="L39" s="2"/>
      <c r="M39" s="2"/>
      <c r="O39" s="82"/>
      <c r="Q39" s="5"/>
      <c r="R39" s="5"/>
      <c r="S39" s="2"/>
      <c r="T39" s="84"/>
      <c r="Z39" s="2"/>
      <c r="AA39" s="27"/>
      <c r="AC39" s="6"/>
      <c r="AD39" s="6"/>
      <c r="AF39" s="86"/>
    </row>
    <row r="40" spans="1:33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O40" s="82"/>
      <c r="Q40" s="5"/>
      <c r="R40" s="5"/>
      <c r="S40" s="2"/>
      <c r="T40" s="84"/>
      <c r="Z40" s="2"/>
      <c r="AA40" s="27"/>
      <c r="AF40" s="86"/>
    </row>
    <row r="41" spans="1:33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O41" s="82"/>
      <c r="Q41" s="6"/>
      <c r="R41" s="6"/>
      <c r="T41" s="85"/>
      <c r="Z41" s="2"/>
      <c r="AA41" s="27"/>
      <c r="AF41" s="86"/>
    </row>
    <row r="42" spans="1:33" x14ac:dyDescent="0.25">
      <c r="Z42" s="2"/>
    </row>
  </sheetData>
  <autoFilter ref="B6:L21">
    <sortState ref="B9:L21">
      <sortCondition ref="B6:B21"/>
    </sortState>
  </autoFilter>
  <mergeCells count="27">
    <mergeCell ref="AC4:AD4"/>
    <mergeCell ref="M6:M7"/>
    <mergeCell ref="C29:L33"/>
    <mergeCell ref="E23:L24"/>
    <mergeCell ref="V4:Y4"/>
    <mergeCell ref="Q27:Q28"/>
    <mergeCell ref="R27:R28"/>
    <mergeCell ref="K1:O2"/>
    <mergeCell ref="R1:T2"/>
    <mergeCell ref="X1:AA2"/>
    <mergeCell ref="L6:L7"/>
    <mergeCell ref="R6:R7"/>
    <mergeCell ref="Q6:Q7"/>
    <mergeCell ref="B2:C2"/>
    <mergeCell ref="B4:L4"/>
    <mergeCell ref="E2:F2"/>
    <mergeCell ref="Q4:R4"/>
    <mergeCell ref="B6:B7"/>
    <mergeCell ref="C6:C7"/>
    <mergeCell ref="D6:D7"/>
    <mergeCell ref="E6:E7"/>
    <mergeCell ref="F6:F7"/>
    <mergeCell ref="G6:G7"/>
    <mergeCell ref="H6:H7"/>
    <mergeCell ref="I6:I7"/>
    <mergeCell ref="J6:J7"/>
    <mergeCell ref="K6:K7"/>
  </mergeCells>
  <conditionalFormatting sqref="G22 G34:G39 G25:G28">
    <cfRule type="containsText" dxfId="26" priority="22" operator="containsText" text="F">
      <formula>NOT(ISERROR(SEARCH("F",G22)))</formula>
    </cfRule>
    <cfRule type="containsText" dxfId="25" priority="23" operator="containsText" text="H">
      <formula>NOT(ISERROR(SEARCH("H",G22)))</formula>
    </cfRule>
  </conditionalFormatting>
  <conditionalFormatting sqref="H22 H34:H39 H25:H28">
    <cfRule type="containsText" dxfId="24" priority="17" operator="containsText" text="RU">
      <formula>NOT(ISERROR(SEARCH("RU",H22)))</formula>
    </cfRule>
    <cfRule type="containsText" dxfId="23" priority="18" operator="containsText" text="US">
      <formula>NOT(ISERROR(SEARCH("US",H22)))</formula>
    </cfRule>
    <cfRule type="containsText" dxfId="22" priority="19" operator="containsText" text="AF">
      <formula>NOT(ISERROR(SEARCH("AF",H22)))</formula>
    </cfRule>
    <cfRule type="containsText" dxfId="21" priority="20" operator="containsText" text="MO">
      <formula>NOT(ISERROR(SEARCH("MO",H22)))</formula>
    </cfRule>
    <cfRule type="containsText" dxfId="20" priority="21" operator="containsText" text="FR">
      <formula>NOT(ISERROR(SEARCH("FR",H22)))</formula>
    </cfRule>
  </conditionalFormatting>
  <conditionalFormatting sqref="W9:W15">
    <cfRule type="dataBar" priority="1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{DBFE20A4-041C-444A-83A1-1161B33605DC}</x14:id>
        </ext>
      </extLst>
    </cfRule>
  </conditionalFormatting>
  <conditionalFormatting sqref="W6:X7">
    <cfRule type="dataBar" priority="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{DB2E1E10-4463-41F2-9BF3-3B799EED5378}</x14:id>
        </ext>
      </extLst>
    </cfRule>
  </conditionalFormatting>
  <conditionalFormatting sqref="H22 H34 H25:H28">
    <cfRule type="containsText" dxfId="19" priority="11" operator="containsText" text="EU">
      <formula>NOT(ISERROR(SEARCH("EU",H22)))</formula>
    </cfRule>
    <cfRule type="containsText" dxfId="18" priority="12" operator="containsText" text="AS">
      <formula>NOT(ISERROR(SEARCH("AS",H22)))</formula>
    </cfRule>
  </conditionalFormatting>
  <conditionalFormatting sqref="W22:X27">
    <cfRule type="dataBar" priority="2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{2F0E1074-7715-43EF-8186-5D1125D4EA0D}</x14:id>
        </ext>
      </extLst>
    </cfRule>
  </conditionalFormatting>
  <conditionalFormatting sqref="W17:X20">
    <cfRule type="dataBar" priority="10">
      <dataBar>
        <cfvo type="min"/>
        <cfvo type="max"/>
        <color rgb="FFFF99CC"/>
      </dataBar>
      <extLst>
        <ext xmlns:x14="http://schemas.microsoft.com/office/spreadsheetml/2009/9/main" uri="{B025F937-C7B1-47D3-B67F-A62EFF666E3E}">
          <x14:id>{ADE01B15-D205-4573-B022-4A1BA49881E5}</x14:id>
        </ext>
      </extLst>
    </cfRule>
  </conditionalFormatting>
  <conditionalFormatting sqref="J8:J21">
    <cfRule type="iconSet" priority="9">
      <iconSet iconSet="4TrafficLights" reverse="1">
        <cfvo type="percent" val="0"/>
        <cfvo type="percent" val="&quot;NOUV&quot;"/>
        <cfvo type="percent" val="&quot;CLI&quot;"/>
        <cfvo type="num" val="&quot;DEC&quot;"/>
      </iconSet>
    </cfRule>
  </conditionalFormatting>
  <conditionalFormatting sqref="X9:X15">
    <cfRule type="dataBar" priority="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{C2A2778D-0D74-4080-8CC6-59BE49BCDEB9}</x14:id>
        </ext>
      </extLst>
    </cfRule>
  </conditionalFormatting>
  <conditionalFormatting sqref="AD6:AD17">
    <cfRule type="dataBar" priority="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{66295ECA-287F-4B22-80C4-F852D6451D7C}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BFE20A4-041C-444A-83A1-1161B33605DC}">
            <x14:dataBar minLength="0" maxLength="100" border="1" direction="leftToRight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W9:W15</xm:sqref>
        </x14:conditionalFormatting>
        <x14:conditionalFormatting xmlns:xm="http://schemas.microsoft.com/office/excel/2006/main">
          <x14:cfRule type="dataBar" id="{DB2E1E10-4463-41F2-9BF3-3B799EED5378}">
            <x14:dataBar minLength="0" maxLength="100" border="1" direction="leftToRight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W6:X7</xm:sqref>
        </x14:conditionalFormatting>
        <x14:conditionalFormatting xmlns:xm="http://schemas.microsoft.com/office/excel/2006/main">
          <x14:cfRule type="dataBar" id="{2F0E1074-7715-43EF-8186-5D1125D4EA0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W22:X27</xm:sqref>
        </x14:conditionalFormatting>
        <x14:conditionalFormatting xmlns:xm="http://schemas.microsoft.com/office/excel/2006/main">
          <x14:cfRule type="dataBar" id="{ADE01B15-D205-4573-B022-4A1BA49881E5}">
            <x14:dataBar minLength="0" maxLength="100" border="1" negativeBarBorderColorSameAsPositive="0">
              <x14:cfvo type="autoMin"/>
              <x14:cfvo type="autoMax"/>
              <x14:borderColor rgb="FFFF99CC"/>
              <x14:negativeFillColor rgb="FFFF0000"/>
              <x14:negativeBorderColor rgb="FFFF0000"/>
              <x14:axisColor rgb="FF000000"/>
            </x14:dataBar>
          </x14:cfRule>
          <xm:sqref>W17:X20</xm:sqref>
        </x14:conditionalFormatting>
        <x14:conditionalFormatting xmlns:xm="http://schemas.microsoft.com/office/excel/2006/main">
          <x14:cfRule type="dataBar" id="{C2A2778D-0D74-4080-8CC6-59BE49BCDEB9}">
            <x14:dataBar minLength="0" maxLength="100" border="1" direction="leftToRight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X9:X15</xm:sqref>
        </x14:conditionalFormatting>
        <x14:conditionalFormatting xmlns:xm="http://schemas.microsoft.com/office/excel/2006/main">
          <x14:cfRule type="dataBar" id="{66295ECA-287F-4B22-80C4-F852D6451D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AD6:AD17</xm:sqref>
        </x14:conditionalFormatting>
        <x14:conditionalFormatting xmlns:xm="http://schemas.microsoft.com/office/excel/2006/main">
          <x14:cfRule type="iconSet" priority="7" id="{2D5F4D8C-AE1D-436E-9297-4D740B0BF493}">
            <x14:iconSet iconSet="3Signs" custom="1">
              <x14:cfvo type="percent">
                <xm:f>0</xm:f>
              </x14:cfvo>
              <x14:cfvo type="percent">
                <xm:f>0</xm:f>
              </x14:cfvo>
              <x14:cfvo type="percent">
                <xm:f>1</xm:f>
              </x14:cfvo>
              <x14:cfIcon iconSet="NoIcons" iconId="0"/>
              <x14:cfIcon iconSet="NoIcons" iconId="0"/>
              <x14:cfIcon iconSet="3Signs" iconId="1"/>
            </x14:iconSet>
          </x14:cfRule>
          <xm:sqref>M8:M33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AH42"/>
  <sheetViews>
    <sheetView zoomScale="90" zoomScaleNormal="90" zoomScaleSheetLayoutView="100" workbookViewId="0">
      <selection activeCell="C22" sqref="C22"/>
    </sheetView>
  </sheetViews>
  <sheetFormatPr baseColWidth="10" defaultRowHeight="15" x14ac:dyDescent="0.25"/>
  <cols>
    <col min="1" max="1" width="6" style="122" customWidth="1"/>
    <col min="2" max="2" width="7.7109375" style="122" customWidth="1"/>
    <col min="3" max="3" width="43.7109375" style="122" customWidth="1"/>
    <col min="4" max="4" width="4.85546875" style="122" customWidth="1"/>
    <col min="5" max="5" width="11.28515625" style="122" customWidth="1"/>
    <col min="6" max="6" width="10.7109375" style="122" customWidth="1"/>
    <col min="7" max="7" width="6.140625" style="122" customWidth="1"/>
    <col min="8" max="8" width="9.85546875" style="122" customWidth="1"/>
    <col min="9" max="9" width="5.28515625" style="122" customWidth="1"/>
    <col min="10" max="10" width="8.5703125" style="122" customWidth="1"/>
    <col min="11" max="11" width="5" style="122" customWidth="1"/>
    <col min="12" max="12" width="11.7109375" style="122" customWidth="1"/>
    <col min="13" max="13" width="11" style="122" customWidth="1"/>
    <col min="14" max="14" width="1.140625" style="122" customWidth="1"/>
    <col min="15" max="15" width="0.5703125" style="122" customWidth="1"/>
    <col min="16" max="16" width="5.140625" style="122" customWidth="1"/>
    <col min="17" max="17" width="13.28515625" style="122" customWidth="1"/>
    <col min="18" max="18" width="12.28515625" style="122" customWidth="1"/>
    <col min="19" max="19" width="1.140625" style="122" customWidth="1"/>
    <col min="20" max="20" width="0.5703125" style="122" customWidth="1"/>
    <col min="21" max="21" width="6" style="122" customWidth="1"/>
    <col min="22" max="22" width="9" style="122" customWidth="1"/>
    <col min="23" max="23" width="9.42578125" style="122" customWidth="1"/>
    <col min="24" max="24" width="9.7109375" style="122" customWidth="1"/>
    <col min="25" max="25" width="9.28515625" style="122" customWidth="1"/>
    <col min="26" max="26" width="1.140625" style="122" customWidth="1"/>
    <col min="27" max="27" width="0.5703125" style="122" customWidth="1"/>
    <col min="28" max="29" width="5.85546875" style="122" customWidth="1"/>
    <col min="30" max="30" width="11.85546875" style="122" customWidth="1"/>
    <col min="31" max="31" width="1.140625" style="122" customWidth="1"/>
    <col min="32" max="32" width="0.5703125" style="122" customWidth="1"/>
    <col min="33" max="16384" width="11.42578125" style="122"/>
  </cols>
  <sheetData>
    <row r="1" spans="1:34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145"/>
      <c r="L1" s="145"/>
      <c r="M1" s="145"/>
      <c r="N1" s="145"/>
      <c r="O1" s="145"/>
      <c r="P1" s="6"/>
      <c r="Q1" s="6"/>
      <c r="R1" s="146"/>
      <c r="S1" s="146"/>
      <c r="T1" s="146"/>
      <c r="U1" s="6"/>
      <c r="V1" s="6"/>
      <c r="W1" s="6"/>
      <c r="X1" s="146"/>
      <c r="Y1" s="146"/>
      <c r="Z1" s="146"/>
      <c r="AA1" s="146"/>
      <c r="AB1" s="6"/>
      <c r="AC1" s="6"/>
      <c r="AD1" s="124"/>
      <c r="AE1" s="124"/>
      <c r="AF1" s="124"/>
      <c r="AG1" s="6"/>
    </row>
    <row r="2" spans="1:34" ht="23.25" x14ac:dyDescent="0.35">
      <c r="A2" s="5"/>
      <c r="B2" s="125">
        <f>'01'!B2:C2+1</f>
        <v>42462</v>
      </c>
      <c r="C2" s="125"/>
      <c r="D2" s="25"/>
      <c r="E2" s="127">
        <f>B2</f>
        <v>42462</v>
      </c>
      <c r="F2" s="127"/>
      <c r="G2" s="5"/>
      <c r="H2" s="5"/>
      <c r="I2" s="5"/>
      <c r="J2" s="5"/>
      <c r="K2" s="145"/>
      <c r="L2" s="145"/>
      <c r="M2" s="145"/>
      <c r="N2" s="145"/>
      <c r="O2" s="145"/>
      <c r="P2" s="5"/>
      <c r="Q2" s="5"/>
      <c r="R2" s="146"/>
      <c r="S2" s="146"/>
      <c r="T2" s="146"/>
      <c r="U2" s="6"/>
      <c r="V2" s="6"/>
      <c r="W2" s="6"/>
      <c r="X2" s="146"/>
      <c r="Y2" s="146"/>
      <c r="Z2" s="146"/>
      <c r="AA2" s="146"/>
      <c r="AB2" s="6"/>
      <c r="AC2" s="6"/>
      <c r="AD2" s="124"/>
      <c r="AE2" s="124"/>
      <c r="AF2" s="124"/>
      <c r="AG2" s="6"/>
      <c r="AH2" s="6"/>
    </row>
    <row r="3" spans="1:34" ht="20.25" customHeight="1" x14ac:dyDescent="0.25">
      <c r="A3" s="5"/>
      <c r="B3" s="6"/>
      <c r="C3" s="6"/>
      <c r="D3" s="6"/>
      <c r="E3" s="6"/>
      <c r="F3" s="6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6"/>
      <c r="T3" s="6"/>
      <c r="U3" s="6"/>
      <c r="V3" s="6"/>
      <c r="W3" s="6"/>
      <c r="X3" s="6"/>
      <c r="Y3" s="6"/>
      <c r="Z3" s="5"/>
      <c r="AA3" s="6"/>
      <c r="AB3" s="6"/>
      <c r="AC3" s="5"/>
      <c r="AD3" s="5"/>
      <c r="AE3" s="5"/>
      <c r="AF3" s="5"/>
      <c r="AG3" s="5"/>
      <c r="AH3" s="6"/>
    </row>
    <row r="4" spans="1:34" ht="12" customHeight="1" x14ac:dyDescent="0.25">
      <c r="A4" s="5"/>
      <c r="B4" s="126" t="s">
        <v>14</v>
      </c>
      <c r="C4" s="126"/>
      <c r="D4" s="126"/>
      <c r="E4" s="126"/>
      <c r="F4" s="126"/>
      <c r="G4" s="126"/>
      <c r="H4" s="126"/>
      <c r="I4" s="126"/>
      <c r="J4" s="126"/>
      <c r="K4" s="126"/>
      <c r="L4" s="126"/>
      <c r="M4" s="123"/>
      <c r="N4" s="81"/>
      <c r="O4" s="81"/>
      <c r="P4" s="5"/>
      <c r="Q4" s="128" t="s">
        <v>51</v>
      </c>
      <c r="R4" s="128"/>
      <c r="S4" s="83"/>
      <c r="T4" s="83"/>
      <c r="U4" s="50"/>
      <c r="V4" s="142" t="s">
        <v>40</v>
      </c>
      <c r="W4" s="142"/>
      <c r="X4" s="142"/>
      <c r="Y4" s="142"/>
      <c r="Z4" s="49"/>
      <c r="AA4" s="49"/>
      <c r="AB4" s="50"/>
      <c r="AC4" s="151" t="s">
        <v>53</v>
      </c>
      <c r="AD4" s="151"/>
      <c r="AE4" s="87"/>
      <c r="AF4" s="87"/>
      <c r="AG4" s="5"/>
    </row>
    <row r="5" spans="1:34" ht="6.75" customHeight="1" thickBot="1" x14ac:dyDescent="0.3">
      <c r="A5" s="5"/>
      <c r="B5" s="7"/>
      <c r="C5" s="8"/>
      <c r="D5" s="8"/>
      <c r="E5" s="5"/>
      <c r="F5" s="5"/>
      <c r="G5" s="16"/>
      <c r="H5" s="16"/>
      <c r="I5" s="5"/>
      <c r="J5" s="5"/>
      <c r="K5" s="5"/>
      <c r="L5" s="5"/>
      <c r="M5" s="5"/>
      <c r="N5" s="5"/>
      <c r="O5" s="81"/>
      <c r="P5" s="5"/>
      <c r="Q5" s="5"/>
      <c r="R5" s="5"/>
      <c r="S5" s="5"/>
      <c r="T5" s="84"/>
      <c r="U5" s="6"/>
      <c r="V5" s="6"/>
      <c r="W5" s="6"/>
      <c r="X5" s="6"/>
      <c r="Y5" s="6"/>
      <c r="Z5" s="5"/>
      <c r="AA5" s="27"/>
      <c r="AB5" s="6"/>
      <c r="AC5" s="6"/>
      <c r="AD5" s="6"/>
      <c r="AE5" s="6"/>
      <c r="AF5" s="87"/>
      <c r="AG5" s="5"/>
    </row>
    <row r="6" spans="1:34" ht="15" customHeight="1" x14ac:dyDescent="0.25">
      <c r="A6" s="5"/>
      <c r="B6" s="129" t="s">
        <v>1</v>
      </c>
      <c r="C6" s="131" t="s">
        <v>8</v>
      </c>
      <c r="D6" s="133" t="s">
        <v>41</v>
      </c>
      <c r="E6" s="135" t="s">
        <v>0</v>
      </c>
      <c r="F6" s="135" t="s">
        <v>2</v>
      </c>
      <c r="G6" s="135" t="s">
        <v>3</v>
      </c>
      <c r="H6" s="135" t="s">
        <v>4</v>
      </c>
      <c r="I6" s="135" t="s">
        <v>5</v>
      </c>
      <c r="J6" s="138" t="s">
        <v>77</v>
      </c>
      <c r="K6" s="140" t="s">
        <v>62</v>
      </c>
      <c r="L6" s="147" t="s">
        <v>18</v>
      </c>
      <c r="M6" s="152" t="s">
        <v>76</v>
      </c>
      <c r="N6" s="5"/>
      <c r="O6" s="81"/>
      <c r="P6" s="5"/>
      <c r="Q6" s="149" t="s">
        <v>17</v>
      </c>
      <c r="R6" s="167">
        <f ca="1">SUM(E8:E34)</f>
        <v>72</v>
      </c>
      <c r="S6" s="5"/>
      <c r="T6" s="84"/>
      <c r="U6" s="6"/>
      <c r="V6" s="22" t="s">
        <v>20</v>
      </c>
      <c r="W6" s="180">
        <f>COUNTIF(G8:G34,"H")/COUNTA(G8:G34)</f>
        <v>0.33333333333333331</v>
      </c>
      <c r="X6" s="192"/>
      <c r="Y6" s="197">
        <f>X6/1.2</f>
        <v>0</v>
      </c>
      <c r="Z6" s="5"/>
      <c r="AA6" s="27"/>
      <c r="AB6" s="6"/>
      <c r="AC6" s="88" t="s">
        <v>28</v>
      </c>
      <c r="AD6" s="205">
        <f>COUNTIF(B8:B34,"9")</f>
        <v>0</v>
      </c>
      <c r="AE6" s="5"/>
      <c r="AF6" s="87"/>
      <c r="AG6" s="5"/>
      <c r="AH6" s="2"/>
    </row>
    <row r="7" spans="1:34" ht="15" customHeight="1" thickBot="1" x14ac:dyDescent="0.3">
      <c r="A7" s="5"/>
      <c r="B7" s="130"/>
      <c r="C7" s="132"/>
      <c r="D7" s="134"/>
      <c r="E7" s="136"/>
      <c r="F7" s="136"/>
      <c r="G7" s="136"/>
      <c r="H7" s="136"/>
      <c r="I7" s="137"/>
      <c r="J7" s="139"/>
      <c r="K7" s="141"/>
      <c r="L7" s="148"/>
      <c r="M7" s="153"/>
      <c r="N7" s="5"/>
      <c r="O7" s="81"/>
      <c r="P7" s="5"/>
      <c r="Q7" s="150"/>
      <c r="R7" s="168"/>
      <c r="S7" s="5"/>
      <c r="T7" s="84"/>
      <c r="U7" s="6"/>
      <c r="V7" s="21" t="s">
        <v>21</v>
      </c>
      <c r="W7" s="181">
        <f>COUNTIF(G8:G34,"F")/COUNTA(G8:G34)</f>
        <v>0.66666666666666663</v>
      </c>
      <c r="X7" s="193"/>
      <c r="Y7" s="198">
        <f>X7/1.2</f>
        <v>0</v>
      </c>
      <c r="Z7" s="5"/>
      <c r="AA7" s="27"/>
      <c r="AB7" s="6"/>
      <c r="AC7" s="90" t="s">
        <v>29</v>
      </c>
      <c r="AD7" s="206">
        <f>COUNTIF(B8:B34,"10")</f>
        <v>1</v>
      </c>
      <c r="AE7" s="5"/>
      <c r="AF7" s="87"/>
      <c r="AG7" s="5"/>
      <c r="AH7" s="2"/>
    </row>
    <row r="8" spans="1:34" ht="15" customHeight="1" thickBot="1" x14ac:dyDescent="0.3">
      <c r="A8" s="5"/>
      <c r="B8" s="158">
        <v>10</v>
      </c>
      <c r="C8" s="160" t="s">
        <v>64</v>
      </c>
      <c r="D8" s="161"/>
      <c r="E8" s="52">
        <f ca="1">IF(D8&lt;&gt;0,CFORM(C8)-D8,CFORM(C8))</f>
        <v>6</v>
      </c>
      <c r="F8" s="53">
        <f ca="1">E8/1.2</f>
        <v>5</v>
      </c>
      <c r="G8" s="10" t="s">
        <v>42</v>
      </c>
      <c r="H8" s="11" t="s">
        <v>43</v>
      </c>
      <c r="I8" s="67" t="s">
        <v>7</v>
      </c>
      <c r="J8" s="67" t="s">
        <v>48</v>
      </c>
      <c r="K8" s="165">
        <v>1</v>
      </c>
      <c r="L8" s="2">
        <v>1</v>
      </c>
      <c r="M8" s="79">
        <v>1</v>
      </c>
      <c r="N8" s="5"/>
      <c r="O8" s="81"/>
      <c r="P8" s="5"/>
      <c r="Q8" s="19" t="s">
        <v>2</v>
      </c>
      <c r="R8" s="94">
        <f ca="1">SUM(F8:F34)</f>
        <v>59.999999999999993</v>
      </c>
      <c r="S8" s="5"/>
      <c r="T8" s="84"/>
      <c r="U8" s="6"/>
      <c r="W8" s="2"/>
      <c r="X8" s="189"/>
      <c r="Y8" s="199"/>
      <c r="Z8" s="5"/>
      <c r="AA8" s="27"/>
      <c r="AB8" s="6"/>
      <c r="AC8" s="90" t="s">
        <v>30</v>
      </c>
      <c r="AD8" s="206">
        <f>COUNTIF(B8:B34,"11")</f>
        <v>0</v>
      </c>
      <c r="AE8" s="5"/>
      <c r="AF8" s="87"/>
      <c r="AG8" s="5"/>
      <c r="AH8" s="2"/>
    </row>
    <row r="9" spans="1:34" x14ac:dyDescent="0.25">
      <c r="A9" s="5"/>
      <c r="B9" s="158">
        <v>12</v>
      </c>
      <c r="C9" s="1" t="s">
        <v>73</v>
      </c>
      <c r="D9" s="161"/>
      <c r="E9" s="52">
        <f ca="1">IF(D9&lt;&gt;0,CFORM(C9)-D9,CFORM(C9))</f>
        <v>12</v>
      </c>
      <c r="F9" s="53">
        <f ca="1">E9/1.2</f>
        <v>10</v>
      </c>
      <c r="G9" s="10" t="s">
        <v>44</v>
      </c>
      <c r="H9" s="11" t="s">
        <v>6</v>
      </c>
      <c r="I9" s="10" t="s">
        <v>7</v>
      </c>
      <c r="J9" s="14" t="s">
        <v>47</v>
      </c>
      <c r="K9" s="165">
        <v>1</v>
      </c>
      <c r="L9" s="2"/>
      <c r="M9" s="68"/>
      <c r="N9" s="5"/>
      <c r="O9" s="81"/>
      <c r="P9" s="36"/>
      <c r="Q9" s="47" t="s">
        <v>52</v>
      </c>
      <c r="R9" s="61"/>
      <c r="S9" s="5"/>
      <c r="T9" s="84"/>
      <c r="U9" s="6"/>
      <c r="V9" s="22" t="s">
        <v>6</v>
      </c>
      <c r="W9" s="180">
        <f>COUNTIF(H8:H34,"FR")/COUNTA(H8:H34)</f>
        <v>0.66666666666666663</v>
      </c>
      <c r="X9" s="194"/>
      <c r="Y9" s="197">
        <f>X9/1.2</f>
        <v>0</v>
      </c>
      <c r="Z9" s="5"/>
      <c r="AA9" s="27"/>
      <c r="AB9" s="6"/>
      <c r="AC9" s="90" t="s">
        <v>31</v>
      </c>
      <c r="AD9" s="206">
        <f>COUNTIF(B8:B34,"12")</f>
        <v>1</v>
      </c>
      <c r="AE9" s="5"/>
      <c r="AF9" s="87"/>
      <c r="AG9" s="5"/>
      <c r="AH9" s="2"/>
    </row>
    <row r="10" spans="1:34" ht="15.75" thickBot="1" x14ac:dyDescent="0.3">
      <c r="A10" s="5"/>
      <c r="B10" s="158">
        <v>14</v>
      </c>
      <c r="C10" s="4" t="s">
        <v>82</v>
      </c>
      <c r="D10" s="161"/>
      <c r="E10" s="52">
        <f ca="1">IF(D10&lt;&gt;0,CFORM(C10)-D10,CFORM(C10))</f>
        <v>15</v>
      </c>
      <c r="F10" s="53">
        <f ca="1">E10/1.2</f>
        <v>12.5</v>
      </c>
      <c r="G10" s="10" t="s">
        <v>44</v>
      </c>
      <c r="H10" s="12" t="s">
        <v>6</v>
      </c>
      <c r="I10" s="10" t="s">
        <v>7</v>
      </c>
      <c r="J10" s="14" t="s">
        <v>47</v>
      </c>
      <c r="K10" s="165">
        <v>1</v>
      </c>
      <c r="L10" s="2"/>
      <c r="M10" s="68"/>
      <c r="N10" s="5"/>
      <c r="O10" s="81"/>
      <c r="P10" s="36"/>
      <c r="Q10" s="48" t="s">
        <v>50</v>
      </c>
      <c r="R10" s="60">
        <f ca="1">R6/R14</f>
        <v>6</v>
      </c>
      <c r="S10" s="5"/>
      <c r="T10" s="84"/>
      <c r="U10" s="6"/>
      <c r="V10" s="20" t="s">
        <v>22</v>
      </c>
      <c r="W10" s="182">
        <f>COUNTIF(H8:H34,"EU")/COUNTA(H8:H34)</f>
        <v>0</v>
      </c>
      <c r="X10" s="195"/>
      <c r="Y10" s="200">
        <f t="shared" ref="Y10:Y15" si="0">X10/1.2</f>
        <v>0</v>
      </c>
      <c r="Z10" s="5"/>
      <c r="AA10" s="27"/>
      <c r="AB10" s="6"/>
      <c r="AC10" s="90" t="s">
        <v>32</v>
      </c>
      <c r="AD10" s="206">
        <f>COUNTIF(B8:B34,"13")</f>
        <v>0</v>
      </c>
      <c r="AE10" s="5"/>
      <c r="AF10" s="87"/>
      <c r="AG10" s="5"/>
      <c r="AH10" s="2"/>
    </row>
    <row r="11" spans="1:34" ht="15.75" thickBot="1" x14ac:dyDescent="0.3">
      <c r="A11" s="5"/>
      <c r="B11" s="158">
        <v>15</v>
      </c>
      <c r="C11" s="4" t="s">
        <v>63</v>
      </c>
      <c r="D11" s="161"/>
      <c r="E11" s="52">
        <f ca="1">IF(D11&lt;&gt;0,CFORM(C11)-D11,CFORM(C11))</f>
        <v>2</v>
      </c>
      <c r="F11" s="53">
        <f ca="1">E11/1.2</f>
        <v>1.6666666666666667</v>
      </c>
      <c r="G11" s="10" t="s">
        <v>44</v>
      </c>
      <c r="H11" s="12" t="s">
        <v>6</v>
      </c>
      <c r="I11" s="10" t="s">
        <v>7</v>
      </c>
      <c r="J11" s="14" t="s">
        <v>45</v>
      </c>
      <c r="K11" s="165">
        <v>1</v>
      </c>
      <c r="L11" s="2">
        <v>1</v>
      </c>
      <c r="M11" s="68"/>
      <c r="N11" s="5"/>
      <c r="O11" s="81"/>
      <c r="P11" s="5"/>
      <c r="Q11" s="2"/>
      <c r="R11" s="15"/>
      <c r="S11" s="5"/>
      <c r="T11" s="84"/>
      <c r="U11" s="6"/>
      <c r="V11" s="20" t="s">
        <v>11</v>
      </c>
      <c r="W11" s="182">
        <f>COUNTIF(H8:H34,"US")/COUNTA(H8:H34)</f>
        <v>8.3333333333333329E-2</v>
      </c>
      <c r="X11" s="195"/>
      <c r="Y11" s="201">
        <f t="shared" si="0"/>
        <v>0</v>
      </c>
      <c r="Z11" s="5"/>
      <c r="AA11" s="27"/>
      <c r="AB11" s="6"/>
      <c r="AC11" s="90" t="s">
        <v>33</v>
      </c>
      <c r="AD11" s="206">
        <f>COUNTIF(B8:B34,"14")</f>
        <v>1</v>
      </c>
      <c r="AE11" s="5"/>
      <c r="AF11" s="87"/>
      <c r="AG11" s="5"/>
      <c r="AH11" s="2"/>
    </row>
    <row r="12" spans="1:34" x14ac:dyDescent="0.25">
      <c r="A12" s="5"/>
      <c r="B12" s="158">
        <v>15</v>
      </c>
      <c r="C12" s="35"/>
      <c r="D12" s="161"/>
      <c r="E12" s="52"/>
      <c r="F12" s="53"/>
      <c r="G12" s="10"/>
      <c r="H12" s="12"/>
      <c r="I12" s="10"/>
      <c r="J12" s="14"/>
      <c r="K12" s="165"/>
      <c r="L12" s="2"/>
      <c r="M12" s="68"/>
      <c r="N12" s="5"/>
      <c r="O12" s="81"/>
      <c r="P12" s="5"/>
      <c r="Q12" s="42" t="s">
        <v>15</v>
      </c>
      <c r="R12" s="169">
        <f>COUNTA(B8:B34)</f>
        <v>14</v>
      </c>
      <c r="S12" s="5"/>
      <c r="T12" s="84"/>
      <c r="U12" s="6"/>
      <c r="V12" s="23" t="s">
        <v>12</v>
      </c>
      <c r="W12" s="182">
        <f>COUNTIF(H8:H21,"RU")/COUNTA(H8:H21)</f>
        <v>8.3333333333333329E-2</v>
      </c>
      <c r="X12" s="195"/>
      <c r="Y12" s="200">
        <f t="shared" si="0"/>
        <v>0</v>
      </c>
      <c r="Z12" s="5"/>
      <c r="AA12" s="27"/>
      <c r="AB12" s="6"/>
      <c r="AC12" s="90" t="s">
        <v>34</v>
      </c>
      <c r="AD12" s="206">
        <f>COUNTIF(B8:B34,"15")</f>
        <v>2</v>
      </c>
      <c r="AE12" s="5"/>
      <c r="AF12" s="87"/>
      <c r="AG12" s="5"/>
      <c r="AH12" s="2"/>
    </row>
    <row r="13" spans="1:34" x14ac:dyDescent="0.25">
      <c r="A13" s="5"/>
      <c r="B13" s="158">
        <v>16</v>
      </c>
      <c r="C13" s="4" t="s">
        <v>83</v>
      </c>
      <c r="D13" s="161"/>
      <c r="E13" s="52">
        <f ca="1">IF(D13&lt;&gt;0,CFORM(C13)-D13,CFORM(C13))</f>
        <v>8</v>
      </c>
      <c r="F13" s="53">
        <f ca="1">E13/1.2</f>
        <v>6.666666666666667</v>
      </c>
      <c r="G13" s="10" t="s">
        <v>44</v>
      </c>
      <c r="H13" s="12" t="s">
        <v>6</v>
      </c>
      <c r="I13" s="10" t="s">
        <v>7</v>
      </c>
      <c r="J13" s="14" t="s">
        <v>45</v>
      </c>
      <c r="K13" s="165">
        <v>1</v>
      </c>
      <c r="L13" s="2">
        <v>1</v>
      </c>
      <c r="M13" s="68"/>
      <c r="N13" s="5"/>
      <c r="O13" s="81"/>
      <c r="P13" s="5"/>
      <c r="Q13" s="20" t="s">
        <v>13</v>
      </c>
      <c r="R13" s="170">
        <f>R12-R14</f>
        <v>2</v>
      </c>
      <c r="S13" s="5"/>
      <c r="T13" s="84"/>
      <c r="U13" s="6"/>
      <c r="V13" s="23" t="s">
        <v>9</v>
      </c>
      <c r="W13" s="182">
        <f>COUNTIF(H8:H34,"AF")/COUNTA(H8:H34)</f>
        <v>8.3333333333333329E-2</v>
      </c>
      <c r="X13" s="195"/>
      <c r="Y13" s="200">
        <f t="shared" si="0"/>
        <v>0</v>
      </c>
      <c r="Z13" s="5"/>
      <c r="AA13" s="27"/>
      <c r="AB13" s="6"/>
      <c r="AC13" s="90" t="s">
        <v>35</v>
      </c>
      <c r="AD13" s="206">
        <f>COUNTIF(B8:B34,"16")</f>
        <v>2</v>
      </c>
      <c r="AE13" s="5"/>
      <c r="AF13" s="87"/>
      <c r="AG13" s="5"/>
      <c r="AH13" s="2"/>
    </row>
    <row r="14" spans="1:34" x14ac:dyDescent="0.25">
      <c r="A14" s="5"/>
      <c r="B14" s="158">
        <v>16</v>
      </c>
      <c r="C14" s="35"/>
      <c r="D14" s="161"/>
      <c r="E14" s="52"/>
      <c r="F14" s="53"/>
      <c r="G14" s="10"/>
      <c r="H14" s="12"/>
      <c r="I14" s="10"/>
      <c r="J14" s="14"/>
      <c r="K14" s="165"/>
      <c r="L14" s="2"/>
      <c r="M14" s="68"/>
      <c r="N14" s="5"/>
      <c r="O14" s="81"/>
      <c r="P14" s="5"/>
      <c r="Q14" s="19" t="s">
        <v>14</v>
      </c>
      <c r="R14" s="170">
        <f>COUNTA(C8:C34)</f>
        <v>12</v>
      </c>
      <c r="S14" s="5"/>
      <c r="T14" s="84"/>
      <c r="U14" s="6"/>
      <c r="V14" s="20" t="s">
        <v>23</v>
      </c>
      <c r="W14" s="182">
        <f>COUNTIF(H8:H34,"AS")/COUNTA(H8:H34)</f>
        <v>0</v>
      </c>
      <c r="X14" s="195"/>
      <c r="Y14" s="200">
        <f t="shared" si="0"/>
        <v>0</v>
      </c>
      <c r="Z14" s="5"/>
      <c r="AA14" s="27"/>
      <c r="AB14" s="6"/>
      <c r="AC14" s="90" t="s">
        <v>36</v>
      </c>
      <c r="AD14" s="206">
        <f>COUNTIF(B8:B34,"17")</f>
        <v>3</v>
      </c>
      <c r="AE14" s="5"/>
      <c r="AF14" s="87"/>
      <c r="AG14" s="5"/>
      <c r="AH14" s="2"/>
    </row>
    <row r="15" spans="1:34" ht="15.75" thickBot="1" x14ac:dyDescent="0.3">
      <c r="A15" s="5"/>
      <c r="B15" s="158">
        <v>17</v>
      </c>
      <c r="C15" s="4" t="s">
        <v>72</v>
      </c>
      <c r="D15" s="161"/>
      <c r="E15" s="52">
        <f ca="1">IF(D15&lt;&gt;0,CFORM(C15)-D15,CFORM(C15))</f>
        <v>3</v>
      </c>
      <c r="F15" s="53">
        <f t="shared" ref="F15:F21" ca="1" si="1">E15/1.2</f>
        <v>2.5</v>
      </c>
      <c r="G15" s="10" t="s">
        <v>44</v>
      </c>
      <c r="H15" s="12" t="s">
        <v>6</v>
      </c>
      <c r="I15" s="10" t="s">
        <v>7</v>
      </c>
      <c r="J15" s="14" t="s">
        <v>48</v>
      </c>
      <c r="K15" s="165">
        <v>2</v>
      </c>
      <c r="L15" s="2">
        <v>1</v>
      </c>
      <c r="M15" s="68">
        <v>1</v>
      </c>
      <c r="N15" s="5"/>
      <c r="O15" s="81"/>
      <c r="P15" s="5"/>
      <c r="Q15" s="20" t="s">
        <v>19</v>
      </c>
      <c r="R15" s="9">
        <f>R14/R12</f>
        <v>0.8571428571428571</v>
      </c>
      <c r="S15" s="5"/>
      <c r="T15" s="84"/>
      <c r="U15" s="6"/>
      <c r="V15" s="21" t="s">
        <v>24</v>
      </c>
      <c r="W15" s="183">
        <f>COUNTIF(H8:H34,"OT")/COUNTA(H8:H34)</f>
        <v>0</v>
      </c>
      <c r="X15" s="193"/>
      <c r="Y15" s="201">
        <f t="shared" si="0"/>
        <v>0</v>
      </c>
      <c r="Z15" s="5"/>
      <c r="AA15" s="27"/>
      <c r="AB15" s="6"/>
      <c r="AC15" s="90" t="s">
        <v>37</v>
      </c>
      <c r="AD15" s="206">
        <f>COUNTIF(B8:B34,"18")</f>
        <v>1</v>
      </c>
      <c r="AE15" s="5"/>
      <c r="AF15" s="87"/>
      <c r="AG15" s="5"/>
      <c r="AH15" s="2"/>
    </row>
    <row r="16" spans="1:34" ht="15.75" thickBot="1" x14ac:dyDescent="0.3">
      <c r="A16" s="5"/>
      <c r="B16" s="158">
        <v>17</v>
      </c>
      <c r="C16" s="4" t="s">
        <v>70</v>
      </c>
      <c r="D16" s="161"/>
      <c r="E16" s="52">
        <f ca="1">IF(D16&lt;&gt;0,CFORM(C16)-D16,CFORM(C16))</f>
        <v>5</v>
      </c>
      <c r="F16" s="54">
        <f t="shared" ca="1" si="1"/>
        <v>4.166666666666667</v>
      </c>
      <c r="G16" s="13" t="s">
        <v>44</v>
      </c>
      <c r="H16" s="12" t="s">
        <v>6</v>
      </c>
      <c r="I16" s="13" t="s">
        <v>7</v>
      </c>
      <c r="J16" s="18" t="s">
        <v>49</v>
      </c>
      <c r="K16" s="165">
        <v>1</v>
      </c>
      <c r="L16" s="34">
        <v>1</v>
      </c>
      <c r="M16" s="80"/>
      <c r="N16" s="5"/>
      <c r="O16" s="81"/>
      <c r="P16" s="5"/>
      <c r="Q16" s="21" t="s">
        <v>18</v>
      </c>
      <c r="R16" s="171">
        <f>SUM(L8:L21)</f>
        <v>9</v>
      </c>
      <c r="S16" s="5"/>
      <c r="T16" s="84"/>
      <c r="U16" s="6"/>
      <c r="X16" s="190"/>
      <c r="Y16" s="199"/>
      <c r="Z16" s="5"/>
      <c r="AA16" s="27"/>
      <c r="AB16" s="6"/>
      <c r="AC16" s="90" t="s">
        <v>38</v>
      </c>
      <c r="AD16" s="206">
        <f>COUNTIF(B8:B34,"19")</f>
        <v>3</v>
      </c>
      <c r="AE16" s="5"/>
      <c r="AF16" s="87"/>
      <c r="AG16" s="5"/>
      <c r="AH16" s="2"/>
    </row>
    <row r="17" spans="1:34" ht="15.75" thickBot="1" x14ac:dyDescent="0.3">
      <c r="A17" s="5"/>
      <c r="B17" s="158">
        <v>17</v>
      </c>
      <c r="C17" s="4" t="s">
        <v>70</v>
      </c>
      <c r="D17" s="161"/>
      <c r="E17" s="52">
        <f ca="1">IF(D17&lt;&gt;0,CFORM(C17)-D17,CFORM(C17))</f>
        <v>5</v>
      </c>
      <c r="F17" s="53">
        <f t="shared" ca="1" si="1"/>
        <v>4.166666666666667</v>
      </c>
      <c r="G17" s="10" t="s">
        <v>42</v>
      </c>
      <c r="H17" s="12" t="s">
        <v>9</v>
      </c>
      <c r="I17" s="10" t="s">
        <v>10</v>
      </c>
      <c r="J17" s="14" t="s">
        <v>48</v>
      </c>
      <c r="K17" s="165">
        <v>1</v>
      </c>
      <c r="L17" s="2">
        <v>1</v>
      </c>
      <c r="M17" s="68"/>
      <c r="N17" s="5"/>
      <c r="O17" s="81"/>
      <c r="P17" s="5"/>
      <c r="S17" s="5"/>
      <c r="T17" s="84"/>
      <c r="U17" s="6"/>
      <c r="V17" s="37" t="s">
        <v>47</v>
      </c>
      <c r="W17" s="184">
        <f>COUNTIF(J8:J34,"DEC")/COUNTA(J8:J34)</f>
        <v>0.33333333333333331</v>
      </c>
      <c r="X17" s="192"/>
      <c r="Y17" s="197">
        <f t="shared" ref="Y17:Y20" si="2">X17/1.2</f>
        <v>0</v>
      </c>
      <c r="Z17" s="5"/>
      <c r="AA17" s="27"/>
      <c r="AB17" s="6"/>
      <c r="AC17" s="92" t="s">
        <v>39</v>
      </c>
      <c r="AD17" s="207">
        <f>COUNTIF(B8:B34,"20")</f>
        <v>0</v>
      </c>
      <c r="AE17" s="5"/>
      <c r="AF17" s="87"/>
      <c r="AG17" s="5"/>
      <c r="AH17" s="2"/>
    </row>
    <row r="18" spans="1:34" ht="15.75" thickBot="1" x14ac:dyDescent="0.3">
      <c r="A18" s="5"/>
      <c r="B18" s="158">
        <v>18</v>
      </c>
      <c r="C18" s="4" t="s">
        <v>84</v>
      </c>
      <c r="D18" s="162"/>
      <c r="E18" s="52">
        <f ca="1">IF(D18&lt;&gt;0,CFORM(C18)-D18,CFORM(C18))</f>
        <v>8</v>
      </c>
      <c r="F18" s="55">
        <f t="shared" ca="1" si="1"/>
        <v>6.666666666666667</v>
      </c>
      <c r="G18" s="10" t="s">
        <v>42</v>
      </c>
      <c r="H18" s="10" t="s">
        <v>11</v>
      </c>
      <c r="I18" s="10" t="s">
        <v>7</v>
      </c>
      <c r="J18" s="10" t="s">
        <v>48</v>
      </c>
      <c r="K18" s="165">
        <v>2</v>
      </c>
      <c r="L18" s="2">
        <v>1</v>
      </c>
      <c r="M18" s="68"/>
      <c r="N18" s="5"/>
      <c r="O18" s="81"/>
      <c r="P18" s="5"/>
      <c r="Q18" s="43" t="s">
        <v>58</v>
      </c>
      <c r="R18" s="172"/>
      <c r="S18" s="5"/>
      <c r="T18" s="84"/>
      <c r="U18" s="6"/>
      <c r="V18" s="38" t="s">
        <v>48</v>
      </c>
      <c r="W18" s="185">
        <f>COUNTIF(J8:J34,"CLI")/COUNTA(J8:J34)</f>
        <v>0.41666666666666669</v>
      </c>
      <c r="X18" s="196"/>
      <c r="Y18" s="200">
        <f t="shared" si="2"/>
        <v>0</v>
      </c>
      <c r="Z18" s="5"/>
      <c r="AA18" s="27"/>
      <c r="AB18" s="6"/>
      <c r="AC18" s="6"/>
      <c r="AD18" s="6"/>
      <c r="AE18" s="5"/>
      <c r="AF18" s="87"/>
      <c r="AG18" s="5"/>
      <c r="AH18" s="2"/>
    </row>
    <row r="19" spans="1:34" ht="15.75" thickBot="1" x14ac:dyDescent="0.3">
      <c r="A19" s="5"/>
      <c r="B19" s="158">
        <v>19</v>
      </c>
      <c r="C19" s="4" t="s">
        <v>72</v>
      </c>
      <c r="D19" s="163"/>
      <c r="E19" s="52">
        <f ca="1">IF(D19&lt;&gt;0,CFORM(C19)-D19,CFORM(C19))</f>
        <v>3</v>
      </c>
      <c r="F19" s="54">
        <f t="shared" ca="1" si="1"/>
        <v>2.5</v>
      </c>
      <c r="G19" s="13" t="s">
        <v>42</v>
      </c>
      <c r="H19" s="13" t="s">
        <v>6</v>
      </c>
      <c r="I19" s="13" t="s">
        <v>7</v>
      </c>
      <c r="J19" s="18" t="s">
        <v>47</v>
      </c>
      <c r="K19" s="165">
        <v>1</v>
      </c>
      <c r="L19" s="34">
        <v>1</v>
      </c>
      <c r="M19" s="80"/>
      <c r="N19" s="5"/>
      <c r="O19" s="81"/>
      <c r="P19" s="5"/>
      <c r="Q19" s="120" t="s">
        <v>16</v>
      </c>
      <c r="R19" s="121">
        <f>AVERAGE(K8:K21)</f>
        <v>1.1666666666666667</v>
      </c>
      <c r="S19" s="5"/>
      <c r="T19" s="84"/>
      <c r="U19" s="6"/>
      <c r="V19" s="38" t="s">
        <v>45</v>
      </c>
      <c r="W19" s="185">
        <f>COUNTIF(J8:J34,"ENR")/COUNTA(J8:J34)</f>
        <v>0.16666666666666666</v>
      </c>
      <c r="X19" s="196"/>
      <c r="Y19" s="200">
        <f t="shared" si="2"/>
        <v>0</v>
      </c>
      <c r="Z19" s="5"/>
      <c r="AA19" s="27"/>
      <c r="AB19" s="6"/>
      <c r="AC19" s="88" t="s">
        <v>28</v>
      </c>
      <c r="AD19" s="205"/>
      <c r="AE19" s="5"/>
      <c r="AF19" s="87"/>
      <c r="AG19" s="5"/>
      <c r="AH19" s="2"/>
    </row>
    <row r="20" spans="1:34" ht="15.75" thickBot="1" x14ac:dyDescent="0.3">
      <c r="A20" s="5"/>
      <c r="B20" s="158">
        <v>19</v>
      </c>
      <c r="C20" s="4" t="s">
        <v>72</v>
      </c>
      <c r="D20" s="163"/>
      <c r="E20" s="52">
        <f ca="1">IF(D20&lt;&gt;0,CFORM(C20)-D20,CFORM(C20))</f>
        <v>3</v>
      </c>
      <c r="F20" s="54">
        <f t="shared" ca="1" si="1"/>
        <v>2.5</v>
      </c>
      <c r="G20" s="10" t="s">
        <v>44</v>
      </c>
      <c r="H20" s="13" t="s">
        <v>6</v>
      </c>
      <c r="I20" s="10" t="s">
        <v>10</v>
      </c>
      <c r="J20" s="14" t="s">
        <v>48</v>
      </c>
      <c r="K20" s="165">
        <v>1</v>
      </c>
      <c r="L20" s="2"/>
      <c r="M20" s="68"/>
      <c r="N20" s="5"/>
      <c r="O20" s="81"/>
      <c r="P20" s="5"/>
      <c r="Q20" s="34"/>
      <c r="R20" s="119"/>
      <c r="S20" s="5"/>
      <c r="T20" s="84"/>
      <c r="U20" s="6"/>
      <c r="V20" s="39" t="s">
        <v>49</v>
      </c>
      <c r="W20" s="186">
        <f>COUNTIF(J8:J34,"NOU")/COUNTA(J8:J34)</f>
        <v>8.3333333333333329E-2</v>
      </c>
      <c r="X20" s="193"/>
      <c r="Y20" s="198">
        <f t="shared" si="2"/>
        <v>0</v>
      </c>
      <c r="Z20" s="5"/>
      <c r="AA20" s="27"/>
      <c r="AB20" s="6"/>
      <c r="AC20" s="90" t="s">
        <v>29</v>
      </c>
      <c r="AD20" s="206"/>
      <c r="AE20" s="5"/>
      <c r="AF20" s="87"/>
      <c r="AG20" s="5"/>
      <c r="AH20" s="2"/>
    </row>
    <row r="21" spans="1:34" ht="15.75" thickBot="1" x14ac:dyDescent="0.3">
      <c r="A21" s="5"/>
      <c r="B21" s="159">
        <v>19</v>
      </c>
      <c r="C21" s="28" t="s">
        <v>63</v>
      </c>
      <c r="D21" s="164"/>
      <c r="E21" s="56">
        <f ca="1">IF(D21&lt;&gt;0,CFORM(C21)-D21,CFORM(C21))</f>
        <v>2</v>
      </c>
      <c r="F21" s="57">
        <f t="shared" ca="1" si="1"/>
        <v>1.6666666666666667</v>
      </c>
      <c r="G21" s="17" t="s">
        <v>44</v>
      </c>
      <c r="H21" s="29" t="s">
        <v>12</v>
      </c>
      <c r="I21" s="17" t="s">
        <v>7</v>
      </c>
      <c r="J21" s="17" t="s">
        <v>47</v>
      </c>
      <c r="K21" s="166">
        <v>1</v>
      </c>
      <c r="L21" s="78">
        <v>1</v>
      </c>
      <c r="M21" s="69"/>
      <c r="N21" s="5"/>
      <c r="O21" s="81"/>
      <c r="P21" s="5"/>
      <c r="Q21" s="46" t="s">
        <v>74</v>
      </c>
      <c r="R21" s="174"/>
      <c r="S21" s="5"/>
      <c r="T21" s="84"/>
      <c r="U21" s="6"/>
      <c r="V21" s="6"/>
      <c r="W21" s="5"/>
      <c r="X21" s="191"/>
      <c r="Y21" s="202"/>
      <c r="Z21" s="5"/>
      <c r="AA21" s="27"/>
      <c r="AB21" s="6"/>
      <c r="AC21" s="90" t="s">
        <v>30</v>
      </c>
      <c r="AD21" s="206"/>
      <c r="AE21" s="5"/>
      <c r="AF21" s="87"/>
      <c r="AG21" s="5"/>
      <c r="AH21" s="2"/>
    </row>
    <row r="22" spans="1:34" ht="15.75" thickBot="1" x14ac:dyDescent="0.3">
      <c r="A22" s="5"/>
      <c r="B22" s="30"/>
      <c r="C22" s="5"/>
      <c r="D22" s="31"/>
      <c r="E22" s="58"/>
      <c r="F22" s="59"/>
      <c r="G22" s="32"/>
      <c r="H22" s="5"/>
      <c r="I22" s="5"/>
      <c r="J22" s="5"/>
      <c r="K22" s="5"/>
      <c r="L22" s="5"/>
      <c r="M22" s="5"/>
      <c r="N22" s="5"/>
      <c r="O22" s="81"/>
      <c r="P22" s="5"/>
      <c r="Q22" s="173" t="s">
        <v>75</v>
      </c>
      <c r="R22" s="175"/>
      <c r="S22" s="5"/>
      <c r="T22" s="84"/>
      <c r="U22" s="6"/>
      <c r="V22" s="22" t="s">
        <v>7</v>
      </c>
      <c r="W22" s="180">
        <f>COUNTIF(I8:I34,"CB")/COUNTA(I8:I34)</f>
        <v>0.83333333333333337</v>
      </c>
      <c r="X22" s="192"/>
      <c r="Y22" s="197">
        <f t="shared" ref="Y22:Y27" si="3">X22/1.2</f>
        <v>0</v>
      </c>
      <c r="Z22" s="5"/>
      <c r="AA22" s="27"/>
      <c r="AB22" s="6"/>
      <c r="AC22" s="90" t="s">
        <v>31</v>
      </c>
      <c r="AD22" s="206"/>
      <c r="AE22" s="5"/>
      <c r="AF22" s="87"/>
      <c r="AG22" s="5"/>
      <c r="AH22" s="2"/>
    </row>
    <row r="23" spans="1:34" ht="15.75" thickBot="1" x14ac:dyDescent="0.3">
      <c r="A23" s="5"/>
      <c r="B23" s="30"/>
      <c r="C23" s="5"/>
      <c r="D23" s="31"/>
      <c r="E23" s="58"/>
      <c r="F23" s="59"/>
      <c r="G23" s="33"/>
      <c r="H23" s="5"/>
      <c r="I23" s="5"/>
      <c r="J23" s="5"/>
      <c r="K23" s="5"/>
      <c r="L23" s="5"/>
      <c r="M23" s="5"/>
      <c r="N23" s="5"/>
      <c r="O23" s="81"/>
      <c r="P23" s="5"/>
      <c r="S23" s="5"/>
      <c r="T23" s="84"/>
      <c r="U23" s="6"/>
      <c r="V23" s="20" t="s">
        <v>10</v>
      </c>
      <c r="W23" s="182">
        <f>COUNTIF(I8:I34,"ES")/COUNTA(I8:I34)</f>
        <v>0.16666666666666666</v>
      </c>
      <c r="X23" s="196"/>
      <c r="Y23" s="200">
        <f t="shared" si="3"/>
        <v>0</v>
      </c>
      <c r="Z23" s="5"/>
      <c r="AA23" s="27"/>
      <c r="AB23" s="6"/>
      <c r="AC23" s="90" t="s">
        <v>32</v>
      </c>
      <c r="AD23" s="206"/>
      <c r="AE23" s="6"/>
      <c r="AF23" s="86"/>
      <c r="AG23" s="6"/>
    </row>
    <row r="24" spans="1:34" x14ac:dyDescent="0.25">
      <c r="A24" s="5"/>
      <c r="B24" s="30"/>
      <c r="C24" s="5"/>
      <c r="D24" s="31"/>
      <c r="E24" s="58"/>
      <c r="F24" s="59"/>
      <c r="G24" s="32"/>
      <c r="H24" s="5"/>
      <c r="I24" s="5"/>
      <c r="J24" s="5"/>
      <c r="K24" s="5"/>
      <c r="L24" s="5"/>
      <c r="M24" s="5"/>
      <c r="N24" s="5"/>
      <c r="O24" s="81"/>
      <c r="P24" s="5"/>
      <c r="Q24" s="46" t="s">
        <v>74</v>
      </c>
      <c r="R24" s="174"/>
      <c r="S24" s="5"/>
      <c r="T24" s="84"/>
      <c r="U24" s="6"/>
      <c r="V24" s="20" t="s">
        <v>25</v>
      </c>
      <c r="W24" s="182">
        <f>COUNTIF(I8:I34,"CP")/COUNTA(I8:I34)</f>
        <v>0</v>
      </c>
      <c r="X24" s="196"/>
      <c r="Y24" s="200">
        <f t="shared" si="3"/>
        <v>0</v>
      </c>
      <c r="Z24" s="5"/>
      <c r="AA24" s="27"/>
      <c r="AB24" s="6"/>
      <c r="AC24" s="90" t="s">
        <v>33</v>
      </c>
      <c r="AD24" s="206"/>
      <c r="AE24" s="6"/>
      <c r="AF24" s="86"/>
      <c r="AG24" s="6"/>
    </row>
    <row r="25" spans="1:34" ht="15.75" thickBot="1" x14ac:dyDescent="0.3">
      <c r="A25" s="5"/>
      <c r="B25" s="30"/>
      <c r="C25" s="5"/>
      <c r="D25" s="31"/>
      <c r="E25" s="58"/>
      <c r="F25" s="59"/>
      <c r="G25" s="32"/>
      <c r="H25" s="5"/>
      <c r="I25" s="5"/>
      <c r="J25" s="5"/>
      <c r="K25" s="5"/>
      <c r="L25" s="5"/>
      <c r="M25" s="5"/>
      <c r="N25" s="5"/>
      <c r="O25" s="81"/>
      <c r="P25" s="5"/>
      <c r="Q25" s="173" t="s">
        <v>75</v>
      </c>
      <c r="R25" s="175"/>
      <c r="S25" s="5"/>
      <c r="T25" s="84"/>
      <c r="U25" s="6"/>
      <c r="V25" s="20" t="s">
        <v>46</v>
      </c>
      <c r="W25" s="182">
        <f>COUNTIF(I8:I34,"AM")/COUNTA(I8:I34)</f>
        <v>0</v>
      </c>
      <c r="X25" s="196"/>
      <c r="Y25" s="200">
        <f t="shared" si="3"/>
        <v>0</v>
      </c>
      <c r="Z25" s="5"/>
      <c r="AA25" s="27"/>
      <c r="AB25" s="6"/>
      <c r="AC25" s="90" t="s">
        <v>34</v>
      </c>
      <c r="AD25" s="206"/>
      <c r="AE25" s="6"/>
      <c r="AF25" s="86"/>
      <c r="AG25" s="6"/>
    </row>
    <row r="26" spans="1:34" ht="15.75" thickBot="1" x14ac:dyDescent="0.3">
      <c r="A26" s="5"/>
      <c r="B26" s="30"/>
      <c r="C26" s="5"/>
      <c r="D26" s="31"/>
      <c r="E26" s="58"/>
      <c r="F26" s="59"/>
      <c r="G26" s="32"/>
      <c r="H26" s="5"/>
      <c r="I26" s="5"/>
      <c r="J26" s="5"/>
      <c r="K26" s="5"/>
      <c r="L26" s="5"/>
      <c r="M26" s="5"/>
      <c r="N26" s="5"/>
      <c r="O26" s="81"/>
      <c r="P26" s="5"/>
      <c r="S26" s="5"/>
      <c r="T26" s="84"/>
      <c r="U26" s="6"/>
      <c r="V26" s="20" t="s">
        <v>26</v>
      </c>
      <c r="W26" s="182">
        <f>COUNTIF(I8:I34,"CC")/COUNTA(I8:I34)</f>
        <v>0</v>
      </c>
      <c r="X26" s="196"/>
      <c r="Y26" s="200">
        <f t="shared" si="3"/>
        <v>0</v>
      </c>
      <c r="Z26" s="5"/>
      <c r="AA26" s="27"/>
      <c r="AB26" s="6"/>
      <c r="AC26" s="90" t="s">
        <v>35</v>
      </c>
      <c r="AD26" s="206"/>
      <c r="AE26" s="6"/>
      <c r="AF26" s="86"/>
      <c r="AG26" s="6"/>
    </row>
    <row r="27" spans="1:34" ht="15.75" thickBot="1" x14ac:dyDescent="0.3">
      <c r="A27" s="5"/>
      <c r="B27" s="30"/>
      <c r="C27" s="5"/>
      <c r="D27" s="31"/>
      <c r="E27" s="58"/>
      <c r="F27" s="59"/>
      <c r="G27" s="32"/>
      <c r="H27" s="5"/>
      <c r="I27" s="5"/>
      <c r="J27" s="5"/>
      <c r="K27" s="5"/>
      <c r="L27" s="5"/>
      <c r="M27" s="5"/>
      <c r="N27" s="5"/>
      <c r="O27" s="81"/>
      <c r="P27" s="5"/>
      <c r="Q27" s="143" t="s">
        <v>76</v>
      </c>
      <c r="R27" s="176"/>
      <c r="S27" s="5"/>
      <c r="T27" s="84"/>
      <c r="U27" s="6"/>
      <c r="V27" s="21" t="s">
        <v>27</v>
      </c>
      <c r="W27" s="181">
        <f>COUNTIF(I8:I34,"CH")/COUNTA(I8:I34)</f>
        <v>0</v>
      </c>
      <c r="X27" s="193"/>
      <c r="Y27" s="201">
        <f t="shared" si="3"/>
        <v>0</v>
      </c>
      <c r="Z27" s="5"/>
      <c r="AA27" s="27"/>
      <c r="AB27" s="6"/>
      <c r="AC27" s="90" t="s">
        <v>36</v>
      </c>
      <c r="AD27" s="206"/>
      <c r="AE27" s="6"/>
      <c r="AF27" s="86"/>
      <c r="AG27" s="6"/>
    </row>
    <row r="28" spans="1:34" ht="15.75" thickBot="1" x14ac:dyDescent="0.3">
      <c r="A28" s="5"/>
      <c r="B28" s="30"/>
      <c r="C28" s="5"/>
      <c r="D28" s="31"/>
      <c r="E28" s="58"/>
      <c r="F28" s="59"/>
      <c r="G28" s="32"/>
      <c r="H28" s="5"/>
      <c r="I28" s="5"/>
      <c r="J28" s="5"/>
      <c r="K28" s="5"/>
      <c r="L28" s="5"/>
      <c r="M28" s="5"/>
      <c r="N28" s="5"/>
      <c r="O28" s="81"/>
      <c r="P28" s="5"/>
      <c r="Q28" s="144"/>
      <c r="R28" s="177"/>
      <c r="S28" s="5"/>
      <c r="T28" s="84"/>
      <c r="U28" s="6"/>
      <c r="V28" s="6"/>
      <c r="W28" s="6"/>
      <c r="X28" s="58"/>
      <c r="Y28" s="202"/>
      <c r="Z28" s="5"/>
      <c r="AA28" s="27"/>
      <c r="AB28" s="6"/>
      <c r="AC28" s="90" t="s">
        <v>37</v>
      </c>
      <c r="AD28" s="206"/>
      <c r="AE28" s="6"/>
      <c r="AF28" s="86"/>
      <c r="AG28" s="6"/>
    </row>
    <row r="29" spans="1:34" x14ac:dyDescent="0.25">
      <c r="A29" s="5"/>
      <c r="B29" s="30"/>
      <c r="C29" s="5"/>
      <c r="D29" s="31"/>
      <c r="E29" s="58"/>
      <c r="F29" s="59"/>
      <c r="G29" s="32"/>
      <c r="H29" s="5"/>
      <c r="I29" s="5"/>
      <c r="J29" s="5"/>
      <c r="K29" s="5"/>
      <c r="L29" s="5"/>
      <c r="M29" s="5"/>
      <c r="N29" s="5"/>
      <c r="O29" s="81"/>
      <c r="P29" s="5"/>
      <c r="Q29" s="47" t="s">
        <v>58</v>
      </c>
      <c r="R29" s="178"/>
      <c r="S29" s="5"/>
      <c r="T29" s="84"/>
      <c r="U29" s="6"/>
      <c r="V29" s="111" t="s">
        <v>78</v>
      </c>
      <c r="W29" s="187"/>
      <c r="X29" s="192"/>
      <c r="Y29" s="203">
        <f t="shared" ref="Y29:Y30" si="4">X29/1.2</f>
        <v>0</v>
      </c>
      <c r="Z29" s="5"/>
      <c r="AA29" s="27"/>
      <c r="AB29" s="6"/>
      <c r="AC29" s="90" t="s">
        <v>38</v>
      </c>
      <c r="AD29" s="206"/>
      <c r="AF29" s="86"/>
      <c r="AG29" s="6"/>
    </row>
    <row r="30" spans="1:34" ht="15.75" thickBot="1" x14ac:dyDescent="0.3">
      <c r="A30" s="5"/>
      <c r="B30" s="30"/>
      <c r="C30" s="5"/>
      <c r="D30" s="31"/>
      <c r="E30" s="58"/>
      <c r="F30" s="59"/>
      <c r="G30" s="32"/>
      <c r="H30" s="5"/>
      <c r="I30" s="5"/>
      <c r="J30" s="5"/>
      <c r="K30" s="5"/>
      <c r="L30" s="5"/>
      <c r="M30" s="5"/>
      <c r="N30" s="5"/>
      <c r="O30" s="81"/>
      <c r="P30" s="5"/>
      <c r="Q30" s="112" t="s">
        <v>15</v>
      </c>
      <c r="R30" s="179">
        <f>SUM(M8:M33)</f>
        <v>2</v>
      </c>
      <c r="S30" s="5"/>
      <c r="T30" s="84"/>
      <c r="U30" s="6"/>
      <c r="V30" s="112" t="s">
        <v>79</v>
      </c>
      <c r="W30" s="188"/>
      <c r="X30" s="193"/>
      <c r="Y30" s="204">
        <f t="shared" si="4"/>
        <v>0</v>
      </c>
      <c r="Z30" s="5"/>
      <c r="AA30" s="27"/>
      <c r="AB30" s="6"/>
      <c r="AC30" s="92" t="s">
        <v>39</v>
      </c>
      <c r="AD30" s="207"/>
      <c r="AF30" s="86"/>
      <c r="AG30" s="6"/>
    </row>
    <row r="31" spans="1:34" x14ac:dyDescent="0.25">
      <c r="A31" s="5"/>
      <c r="B31" s="30"/>
      <c r="C31" s="5"/>
      <c r="D31" s="31"/>
      <c r="E31" s="58"/>
      <c r="F31" s="59"/>
      <c r="G31" s="32"/>
      <c r="H31" s="5"/>
      <c r="I31" s="5"/>
      <c r="J31" s="5"/>
      <c r="K31" s="5"/>
      <c r="L31" s="5"/>
      <c r="M31" s="5"/>
      <c r="N31" s="5"/>
      <c r="O31" s="81"/>
      <c r="P31" s="5"/>
      <c r="S31" s="5"/>
      <c r="T31" s="84"/>
      <c r="U31" s="6"/>
      <c r="Z31" s="5"/>
      <c r="AA31" s="27"/>
      <c r="AB31" s="6"/>
      <c r="AC31" s="6"/>
      <c r="AD31" s="6"/>
      <c r="AF31" s="86"/>
      <c r="AG31" s="6"/>
    </row>
    <row r="32" spans="1:34" x14ac:dyDescent="0.25">
      <c r="A32" s="5"/>
      <c r="B32" s="30"/>
      <c r="C32" s="5"/>
      <c r="D32" s="31"/>
      <c r="E32" s="58"/>
      <c r="F32" s="59"/>
      <c r="G32" s="32"/>
      <c r="H32" s="5"/>
      <c r="I32" s="5"/>
      <c r="J32" s="5"/>
      <c r="K32" s="5"/>
      <c r="L32" s="5"/>
      <c r="M32" s="5"/>
      <c r="N32" s="5"/>
      <c r="O32" s="81"/>
      <c r="P32" s="6"/>
      <c r="S32" s="5"/>
      <c r="T32" s="84"/>
      <c r="U32" s="6"/>
      <c r="Z32" s="5"/>
      <c r="AA32" s="27"/>
      <c r="AB32" s="6"/>
      <c r="AC32" s="6"/>
      <c r="AD32" s="6"/>
      <c r="AF32" s="86"/>
      <c r="AG32" s="6"/>
    </row>
    <row r="33" spans="1:33" x14ac:dyDescent="0.25">
      <c r="A33" s="5"/>
      <c r="B33" s="30"/>
      <c r="C33" s="5"/>
      <c r="D33" s="31"/>
      <c r="E33" s="58"/>
      <c r="F33" s="59"/>
      <c r="G33" s="32"/>
      <c r="H33" s="5"/>
      <c r="I33" s="5"/>
      <c r="J33" s="5"/>
      <c r="K33" s="5"/>
      <c r="L33" s="5"/>
      <c r="M33" s="5"/>
      <c r="N33" s="5"/>
      <c r="O33" s="81"/>
      <c r="P33" s="6"/>
      <c r="S33" s="5"/>
      <c r="T33" s="84"/>
      <c r="U33" s="6"/>
      <c r="V33" s="6"/>
      <c r="W33" s="6"/>
      <c r="X33" s="6"/>
      <c r="Y33" s="6"/>
      <c r="Z33" s="5"/>
      <c r="AA33" s="27"/>
      <c r="AB33" s="6"/>
      <c r="AC33" s="6"/>
      <c r="AD33" s="6"/>
      <c r="AF33" s="86"/>
      <c r="AG33" s="6"/>
    </row>
    <row r="34" spans="1:33" x14ac:dyDescent="0.25">
      <c r="A34" s="5"/>
      <c r="B34" s="30"/>
      <c r="C34" s="5"/>
      <c r="D34" s="31"/>
      <c r="E34" s="58"/>
      <c r="F34" s="59"/>
      <c r="G34" s="32"/>
      <c r="H34" s="5"/>
      <c r="I34" s="5"/>
      <c r="J34" s="5"/>
      <c r="K34" s="5"/>
      <c r="L34" s="5"/>
      <c r="M34" s="5"/>
      <c r="N34" s="5"/>
      <c r="O34" s="81"/>
      <c r="P34" s="6"/>
      <c r="S34" s="5"/>
      <c r="T34" s="84"/>
      <c r="U34" s="6"/>
      <c r="V34" s="6"/>
      <c r="W34" s="6"/>
      <c r="X34" s="6"/>
      <c r="Y34" s="6"/>
      <c r="Z34" s="5"/>
      <c r="AA34" s="27"/>
      <c r="AB34" s="6"/>
      <c r="AC34" s="6"/>
      <c r="AD34" s="6"/>
      <c r="AF34" s="86"/>
      <c r="AG34" s="6"/>
    </row>
    <row r="35" spans="1:33" x14ac:dyDescent="0.25">
      <c r="A35" s="6"/>
      <c r="B35" s="5"/>
      <c r="C35" s="5"/>
      <c r="D35" s="5"/>
      <c r="E35" s="5"/>
      <c r="F35" s="24"/>
      <c r="G35" s="5"/>
      <c r="H35" s="5"/>
      <c r="I35" s="5"/>
      <c r="J35" s="5"/>
      <c r="K35" s="5"/>
      <c r="L35" s="5"/>
      <c r="M35" s="5"/>
      <c r="N35" s="5"/>
      <c r="O35" s="82"/>
      <c r="P35" s="6"/>
      <c r="S35" s="5"/>
      <c r="T35" s="84"/>
      <c r="U35" s="6"/>
      <c r="V35" s="6"/>
      <c r="W35" s="6"/>
      <c r="X35" s="6"/>
      <c r="Y35" s="6"/>
      <c r="Z35" s="5"/>
      <c r="AA35" s="27"/>
      <c r="AB35" s="6"/>
      <c r="AC35" s="6"/>
      <c r="AD35" s="6"/>
      <c r="AF35" s="86"/>
    </row>
    <row r="36" spans="1:33" x14ac:dyDescent="0.25">
      <c r="A36" s="6"/>
      <c r="B36" s="5"/>
      <c r="C36" s="5"/>
      <c r="D36" s="5"/>
      <c r="E36" s="5"/>
      <c r="F36" s="24"/>
      <c r="G36" s="5"/>
      <c r="H36" s="5"/>
      <c r="I36" s="5"/>
      <c r="J36" s="5"/>
      <c r="K36" s="5"/>
      <c r="L36" s="5"/>
      <c r="M36" s="5"/>
      <c r="N36" s="5"/>
      <c r="O36" s="82"/>
      <c r="P36" s="6"/>
      <c r="Q36" s="5"/>
      <c r="R36" s="5"/>
      <c r="S36" s="5"/>
      <c r="T36" s="84"/>
      <c r="U36" s="6"/>
      <c r="Z36" s="5"/>
      <c r="AA36" s="27"/>
      <c r="AB36" s="6"/>
      <c r="AC36" s="6"/>
      <c r="AD36" s="6"/>
      <c r="AF36" s="86"/>
    </row>
    <row r="37" spans="1:33" x14ac:dyDescent="0.25">
      <c r="A37" s="6"/>
      <c r="B37" s="5"/>
      <c r="C37" s="5"/>
      <c r="D37" s="5"/>
      <c r="E37" s="5"/>
      <c r="F37" s="24"/>
      <c r="G37" s="5"/>
      <c r="H37" s="5"/>
      <c r="I37" s="5"/>
      <c r="J37" s="5"/>
      <c r="K37" s="5"/>
      <c r="L37" s="5"/>
      <c r="M37" s="5"/>
      <c r="N37" s="6"/>
      <c r="O37" s="82"/>
      <c r="P37" s="6"/>
      <c r="Q37" s="5"/>
      <c r="R37" s="5"/>
      <c r="S37" s="5"/>
      <c r="T37" s="84"/>
      <c r="U37" s="6"/>
      <c r="Z37" s="5"/>
      <c r="AA37" s="27"/>
      <c r="AB37" s="6"/>
      <c r="AC37" s="6"/>
      <c r="AD37" s="6"/>
      <c r="AF37" s="86"/>
    </row>
    <row r="38" spans="1:33" x14ac:dyDescent="0.25">
      <c r="B38" s="2"/>
      <c r="C38" s="2"/>
      <c r="D38" s="2"/>
      <c r="E38" s="2"/>
      <c r="F38" s="3"/>
      <c r="G38" s="2"/>
      <c r="H38" s="2"/>
      <c r="I38" s="2"/>
      <c r="J38" s="2"/>
      <c r="K38" s="2"/>
      <c r="L38" s="2"/>
      <c r="M38" s="2"/>
      <c r="O38" s="82"/>
      <c r="Q38" s="5"/>
      <c r="R38" s="5"/>
      <c r="S38" s="2"/>
      <c r="T38" s="84"/>
      <c r="Z38" s="2"/>
      <c r="AA38" s="27"/>
      <c r="AC38" s="6"/>
      <c r="AD38" s="6"/>
      <c r="AF38" s="86"/>
    </row>
    <row r="39" spans="1:33" x14ac:dyDescent="0.25">
      <c r="B39" s="2"/>
      <c r="C39" s="2"/>
      <c r="D39" s="2"/>
      <c r="E39" s="2"/>
      <c r="F39" s="3"/>
      <c r="G39" s="2"/>
      <c r="H39" s="2"/>
      <c r="I39" s="2"/>
      <c r="J39" s="2"/>
      <c r="K39" s="2"/>
      <c r="L39" s="2"/>
      <c r="M39" s="2"/>
      <c r="O39" s="82"/>
      <c r="Q39" s="5"/>
      <c r="R39" s="5"/>
      <c r="S39" s="2"/>
      <c r="T39" s="84"/>
      <c r="Z39" s="2"/>
      <c r="AA39" s="27"/>
      <c r="AC39" s="6"/>
      <c r="AD39" s="6"/>
      <c r="AF39" s="86"/>
    </row>
    <row r="40" spans="1:33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O40" s="82"/>
      <c r="Q40" s="5"/>
      <c r="R40" s="5"/>
      <c r="S40" s="2"/>
      <c r="T40" s="84"/>
      <c r="Z40" s="2"/>
      <c r="AA40" s="27"/>
      <c r="AF40" s="86"/>
    </row>
    <row r="41" spans="1:33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O41" s="82"/>
      <c r="Q41" s="6"/>
      <c r="R41" s="6"/>
      <c r="T41" s="85"/>
      <c r="Z41" s="2"/>
      <c r="AA41" s="27"/>
      <c r="AF41" s="86"/>
    </row>
    <row r="42" spans="1:33" x14ac:dyDescent="0.25">
      <c r="Z42" s="2"/>
    </row>
  </sheetData>
  <autoFilter ref="B6:L21">
    <sortState ref="B9:L21">
      <sortCondition ref="B6:B21"/>
    </sortState>
  </autoFilter>
  <mergeCells count="25">
    <mergeCell ref="K6:K7"/>
    <mergeCell ref="L6:L7"/>
    <mergeCell ref="M6:M7"/>
    <mergeCell ref="Q6:Q7"/>
    <mergeCell ref="R6:R7"/>
    <mergeCell ref="Q27:Q28"/>
    <mergeCell ref="R27:R28"/>
    <mergeCell ref="AC4:AD4"/>
    <mergeCell ref="B6:B7"/>
    <mergeCell ref="C6:C7"/>
    <mergeCell ref="D6:D7"/>
    <mergeCell ref="E6:E7"/>
    <mergeCell ref="F6:F7"/>
    <mergeCell ref="G6:G7"/>
    <mergeCell ref="H6:H7"/>
    <mergeCell ref="I6:I7"/>
    <mergeCell ref="J6:J7"/>
    <mergeCell ref="K1:O2"/>
    <mergeCell ref="R1:T2"/>
    <mergeCell ref="X1:AA2"/>
    <mergeCell ref="B2:C2"/>
    <mergeCell ref="E2:F2"/>
    <mergeCell ref="B4:L4"/>
    <mergeCell ref="Q4:R4"/>
    <mergeCell ref="V4:Y4"/>
  </mergeCells>
  <conditionalFormatting sqref="G22:G39">
    <cfRule type="containsText" dxfId="8" priority="14" operator="containsText" text="F">
      <formula>NOT(ISERROR(SEARCH("F",G22)))</formula>
    </cfRule>
    <cfRule type="containsText" dxfId="7" priority="15" operator="containsText" text="H">
      <formula>NOT(ISERROR(SEARCH("H",G22)))</formula>
    </cfRule>
  </conditionalFormatting>
  <conditionalFormatting sqref="H22:H39">
    <cfRule type="containsText" dxfId="6" priority="9" operator="containsText" text="RU">
      <formula>NOT(ISERROR(SEARCH("RU",H22)))</formula>
    </cfRule>
    <cfRule type="containsText" dxfId="5" priority="10" operator="containsText" text="US">
      <formula>NOT(ISERROR(SEARCH("US",H22)))</formula>
    </cfRule>
    <cfRule type="containsText" dxfId="4" priority="11" operator="containsText" text="AF">
      <formula>NOT(ISERROR(SEARCH("AF",H22)))</formula>
    </cfRule>
    <cfRule type="containsText" dxfId="3" priority="12" operator="containsText" text="MO">
      <formula>NOT(ISERROR(SEARCH("MO",H22)))</formula>
    </cfRule>
    <cfRule type="containsText" dxfId="2" priority="13" operator="containsText" text="FR">
      <formula>NOT(ISERROR(SEARCH("FR",H22)))</formula>
    </cfRule>
  </conditionalFormatting>
  <conditionalFormatting sqref="W9:W15">
    <cfRule type="dataBar" priority="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{59CF29FD-7B3C-44E9-A77F-9BDD92851012}</x14:id>
        </ext>
      </extLst>
    </cfRule>
  </conditionalFormatting>
  <conditionalFormatting sqref="W6:X7">
    <cfRule type="dataBar" priority="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{AC2422F7-67D0-4447-BFD7-E3A51BC21BCB}</x14:id>
        </ext>
      </extLst>
    </cfRule>
  </conditionalFormatting>
  <conditionalFormatting sqref="H22:H34">
    <cfRule type="containsText" dxfId="1" priority="5" operator="containsText" text="EU">
      <formula>NOT(ISERROR(SEARCH("EU",H22)))</formula>
    </cfRule>
    <cfRule type="containsText" dxfId="0" priority="6" operator="containsText" text="AS">
      <formula>NOT(ISERROR(SEARCH("AS",H22)))</formula>
    </cfRule>
  </conditionalFormatting>
  <conditionalFormatting sqref="W22:X27">
    <cfRule type="dataBar" priority="1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{E9793936-ED82-4840-BB1A-FD4BD5F89A53}</x14:id>
        </ext>
      </extLst>
    </cfRule>
  </conditionalFormatting>
  <conditionalFormatting sqref="W17:X20">
    <cfRule type="dataBar" priority="4">
      <dataBar>
        <cfvo type="min"/>
        <cfvo type="max"/>
        <color rgb="FFFF99CC"/>
      </dataBar>
      <extLst>
        <ext xmlns:x14="http://schemas.microsoft.com/office/spreadsheetml/2009/9/main" uri="{B025F937-C7B1-47D3-B67F-A62EFF666E3E}">
          <x14:id>{05AC5C51-A9FD-4E45-BBF4-C1A15E4764E2}</x14:id>
        </ext>
      </extLst>
    </cfRule>
  </conditionalFormatting>
  <conditionalFormatting sqref="J8:J21">
    <cfRule type="iconSet" priority="3">
      <iconSet iconSet="4TrafficLights" reverse="1">
        <cfvo type="percent" val="0"/>
        <cfvo type="percent" val="&quot;NOUV&quot;"/>
        <cfvo type="percent" val="&quot;CLI&quot;"/>
        <cfvo type="num" val="&quot;DEC&quot;"/>
      </iconSet>
    </cfRule>
  </conditionalFormatting>
  <conditionalFormatting sqref="X9:X15"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{18300E18-CAC3-4730-A6B8-38F633D23023}</x14:id>
        </ext>
      </extLst>
    </cfRule>
  </conditionalFormatting>
  <conditionalFormatting sqref="AD6:AD17">
    <cfRule type="dataBar" priority="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{BC34B056-9DE6-4D2E-839D-13FD729E0B0A}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9CF29FD-7B3C-44E9-A77F-9BDD92851012}">
            <x14:dataBar minLength="0" maxLength="100" border="1" direction="leftToRight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W9:W15</xm:sqref>
        </x14:conditionalFormatting>
        <x14:conditionalFormatting xmlns:xm="http://schemas.microsoft.com/office/excel/2006/main">
          <x14:cfRule type="dataBar" id="{AC2422F7-67D0-4447-BFD7-E3A51BC21BCB}">
            <x14:dataBar minLength="0" maxLength="100" border="1" direction="leftToRight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W6:X7</xm:sqref>
        </x14:conditionalFormatting>
        <x14:conditionalFormatting xmlns:xm="http://schemas.microsoft.com/office/excel/2006/main">
          <x14:cfRule type="dataBar" id="{E9793936-ED82-4840-BB1A-FD4BD5F89A5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W22:X27</xm:sqref>
        </x14:conditionalFormatting>
        <x14:conditionalFormatting xmlns:xm="http://schemas.microsoft.com/office/excel/2006/main">
          <x14:cfRule type="dataBar" id="{05AC5C51-A9FD-4E45-BBF4-C1A15E4764E2}">
            <x14:dataBar minLength="0" maxLength="100" border="1" negativeBarBorderColorSameAsPositive="0">
              <x14:cfvo type="autoMin"/>
              <x14:cfvo type="autoMax"/>
              <x14:borderColor rgb="FFFF99CC"/>
              <x14:negativeFillColor rgb="FFFF0000"/>
              <x14:negativeBorderColor rgb="FFFF0000"/>
              <x14:axisColor rgb="FF000000"/>
            </x14:dataBar>
          </x14:cfRule>
          <xm:sqref>W17:X20</xm:sqref>
        </x14:conditionalFormatting>
        <x14:conditionalFormatting xmlns:xm="http://schemas.microsoft.com/office/excel/2006/main">
          <x14:cfRule type="dataBar" id="{18300E18-CAC3-4730-A6B8-38F633D23023}">
            <x14:dataBar minLength="0" maxLength="100" border="1" direction="leftToRight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X9:X15</xm:sqref>
        </x14:conditionalFormatting>
        <x14:conditionalFormatting xmlns:xm="http://schemas.microsoft.com/office/excel/2006/main">
          <x14:cfRule type="dataBar" id="{BC34B056-9DE6-4D2E-839D-13FD729E0B0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AD6:AD17</xm:sqref>
        </x14:conditionalFormatting>
        <x14:conditionalFormatting xmlns:xm="http://schemas.microsoft.com/office/excel/2006/main">
          <x14:cfRule type="iconSet" priority="1" id="{5EC45853-213A-459B-AB13-CD422E69FAB7}">
            <x14:iconSet iconSet="3Signs" custom="1">
              <x14:cfvo type="percent">
                <xm:f>0</xm:f>
              </x14:cfvo>
              <x14:cfvo type="percent">
                <xm:f>0</xm:f>
              </x14:cfvo>
              <x14:cfvo type="percent">
                <xm:f>1</xm:f>
              </x14:cfvo>
              <x14:cfIcon iconSet="NoIcons" iconId="0"/>
              <x14:cfIcon iconSet="NoIcons" iconId="0"/>
              <x14:cfIcon iconSet="3Signs" iconId="1"/>
            </x14:iconSet>
          </x14:cfRule>
          <xm:sqref>M8:M33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J26"/>
  <sheetViews>
    <sheetView workbookViewId="0">
      <selection activeCell="G22" sqref="G22"/>
    </sheetView>
  </sheetViews>
  <sheetFormatPr baseColWidth="10" defaultRowHeight="15" x14ac:dyDescent="0.25"/>
  <cols>
    <col min="2" max="2" width="22.42578125" customWidth="1"/>
    <col min="5" max="5" width="12.28515625" customWidth="1"/>
  </cols>
  <sheetData>
    <row r="2" spans="2:10" x14ac:dyDescent="0.25">
      <c r="B2" s="154" t="s">
        <v>55</v>
      </c>
      <c r="C2" s="154"/>
      <c r="D2" s="154"/>
    </row>
    <row r="3" spans="2:10" x14ac:dyDescent="0.25">
      <c r="B3" s="154"/>
      <c r="C3" s="154"/>
      <c r="D3" s="154"/>
    </row>
    <row r="4" spans="2:10" ht="15.75" thickBot="1" x14ac:dyDescent="0.3"/>
    <row r="5" spans="2:10" ht="15.75" thickBot="1" x14ac:dyDescent="0.3">
      <c r="B5" s="113" t="s">
        <v>57</v>
      </c>
      <c r="C5" s="65" t="s">
        <v>58</v>
      </c>
      <c r="D5" s="65" t="s">
        <v>59</v>
      </c>
      <c r="E5" s="114" t="s">
        <v>60</v>
      </c>
    </row>
    <row r="6" spans="2:10" ht="15" customHeight="1" x14ac:dyDescent="0.25">
      <c r="B6" s="208"/>
      <c r="C6" s="209"/>
      <c r="D6" s="209"/>
      <c r="E6" s="178"/>
      <c r="G6" s="212" t="s">
        <v>80</v>
      </c>
      <c r="H6" s="212"/>
      <c r="I6" s="212"/>
      <c r="J6" s="212"/>
    </row>
    <row r="7" spans="2:10" x14ac:dyDescent="0.25">
      <c r="B7" s="208"/>
      <c r="C7" s="209"/>
      <c r="D7" s="209"/>
      <c r="E7" s="178"/>
      <c r="G7" s="212"/>
      <c r="H7" s="212"/>
      <c r="I7" s="212"/>
      <c r="J7" s="212"/>
    </row>
    <row r="8" spans="2:10" x14ac:dyDescent="0.25">
      <c r="B8" s="208"/>
      <c r="C8" s="209"/>
      <c r="D8" s="209"/>
      <c r="E8" s="178"/>
      <c r="G8" s="212"/>
      <c r="H8" s="212"/>
      <c r="I8" s="212"/>
      <c r="J8" s="212"/>
    </row>
    <row r="9" spans="2:10" x14ac:dyDescent="0.25">
      <c r="B9" s="208"/>
      <c r="C9" s="209"/>
      <c r="D9" s="209"/>
      <c r="E9" s="178"/>
      <c r="G9" s="212"/>
      <c r="H9" s="212"/>
      <c r="I9" s="212"/>
      <c r="J9" s="212"/>
    </row>
    <row r="10" spans="2:10" x14ac:dyDescent="0.25">
      <c r="B10" s="208"/>
      <c r="C10" s="209"/>
      <c r="D10" s="209"/>
      <c r="E10" s="178"/>
      <c r="G10" s="212"/>
      <c r="H10" s="212"/>
      <c r="I10" s="212"/>
      <c r="J10" s="212"/>
    </row>
    <row r="11" spans="2:10" x14ac:dyDescent="0.25">
      <c r="B11" s="208"/>
      <c r="C11" s="209"/>
      <c r="D11" s="209"/>
      <c r="E11" s="178"/>
      <c r="G11" s="212"/>
      <c r="H11" s="212"/>
      <c r="I11" s="212"/>
      <c r="J11" s="212"/>
    </row>
    <row r="12" spans="2:10" x14ac:dyDescent="0.25">
      <c r="B12" s="208"/>
      <c r="C12" s="209"/>
      <c r="D12" s="209"/>
      <c r="E12" s="178"/>
      <c r="G12" s="212"/>
      <c r="H12" s="212"/>
      <c r="I12" s="212"/>
      <c r="J12" s="212"/>
    </row>
    <row r="13" spans="2:10" x14ac:dyDescent="0.25">
      <c r="B13" s="208"/>
      <c r="C13" s="209"/>
      <c r="D13" s="209"/>
      <c r="E13" s="178"/>
      <c r="G13" s="212"/>
      <c r="H13" s="212"/>
      <c r="I13" s="212"/>
      <c r="J13" s="212"/>
    </row>
    <row r="14" spans="2:10" x14ac:dyDescent="0.25">
      <c r="B14" s="208"/>
      <c r="C14" s="209"/>
      <c r="D14" s="209"/>
      <c r="E14" s="178"/>
      <c r="G14" s="212"/>
      <c r="H14" s="212"/>
      <c r="I14" s="212"/>
      <c r="J14" s="212"/>
    </row>
    <row r="15" spans="2:10" x14ac:dyDescent="0.25">
      <c r="B15" s="208"/>
      <c r="C15" s="209"/>
      <c r="D15" s="209"/>
      <c r="E15" s="178"/>
      <c r="G15" s="212"/>
      <c r="H15" s="212"/>
      <c r="I15" s="212"/>
      <c r="J15" s="212"/>
    </row>
    <row r="16" spans="2:10" x14ac:dyDescent="0.25">
      <c r="B16" s="208"/>
      <c r="C16" s="209"/>
      <c r="D16" s="209"/>
      <c r="E16" s="178"/>
      <c r="G16" s="212"/>
      <c r="H16" s="212"/>
      <c r="I16" s="212"/>
      <c r="J16" s="212"/>
    </row>
    <row r="17" spans="2:10" x14ac:dyDescent="0.25">
      <c r="B17" s="208"/>
      <c r="C17" s="209"/>
      <c r="D17" s="209"/>
      <c r="E17" s="178"/>
      <c r="G17" s="212"/>
      <c r="H17" s="212"/>
      <c r="I17" s="212"/>
      <c r="J17" s="212"/>
    </row>
    <row r="18" spans="2:10" x14ac:dyDescent="0.25">
      <c r="B18" s="208"/>
      <c r="C18" s="209"/>
      <c r="D18" s="209"/>
      <c r="E18" s="178"/>
    </row>
    <row r="19" spans="2:10" x14ac:dyDescent="0.25">
      <c r="B19" s="208"/>
      <c r="C19" s="209"/>
      <c r="D19" s="209"/>
      <c r="E19" s="178"/>
    </row>
    <row r="20" spans="2:10" x14ac:dyDescent="0.25">
      <c r="B20" s="208"/>
      <c r="C20" s="209"/>
      <c r="D20" s="209"/>
      <c r="E20" s="178"/>
    </row>
    <row r="21" spans="2:10" x14ac:dyDescent="0.25">
      <c r="B21" s="208"/>
      <c r="C21" s="209"/>
      <c r="D21" s="209"/>
      <c r="E21" s="178"/>
    </row>
    <row r="22" spans="2:10" x14ac:dyDescent="0.25">
      <c r="B22" s="208"/>
      <c r="C22" s="209"/>
      <c r="D22" s="209"/>
      <c r="E22" s="178"/>
    </row>
    <row r="23" spans="2:10" x14ac:dyDescent="0.25">
      <c r="B23" s="208"/>
      <c r="C23" s="209"/>
      <c r="D23" s="209"/>
      <c r="E23" s="178"/>
    </row>
    <row r="24" spans="2:10" x14ac:dyDescent="0.25">
      <c r="B24" s="208"/>
      <c r="C24" s="209"/>
      <c r="D24" s="209"/>
      <c r="E24" s="178"/>
    </row>
    <row r="25" spans="2:10" x14ac:dyDescent="0.25">
      <c r="B25" s="208"/>
      <c r="C25" s="209"/>
      <c r="D25" s="209"/>
      <c r="E25" s="178"/>
    </row>
    <row r="26" spans="2:10" ht="15.75" thickBot="1" x14ac:dyDescent="0.3">
      <c r="B26" s="210"/>
      <c r="C26" s="211"/>
      <c r="D26" s="211"/>
      <c r="E26" s="179"/>
    </row>
  </sheetData>
  <mergeCells count="2">
    <mergeCell ref="B2:D3"/>
    <mergeCell ref="G6:J1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B2:J16"/>
  <sheetViews>
    <sheetView workbookViewId="0">
      <selection activeCell="G14" sqref="G14"/>
    </sheetView>
  </sheetViews>
  <sheetFormatPr baseColWidth="10" defaultRowHeight="15" x14ac:dyDescent="0.25"/>
  <cols>
    <col min="9" max="9" width="39" customWidth="1"/>
  </cols>
  <sheetData>
    <row r="2" spans="2:10" x14ac:dyDescent="0.25">
      <c r="B2" s="155" t="s">
        <v>54</v>
      </c>
      <c r="C2" s="155"/>
      <c r="D2" s="155"/>
    </row>
    <row r="3" spans="2:10" x14ac:dyDescent="0.25">
      <c r="B3" s="155"/>
      <c r="C3" s="155"/>
      <c r="D3" s="155"/>
    </row>
    <row r="6" spans="2:10" ht="17.25" customHeight="1" x14ac:dyDescent="0.25">
      <c r="I6" s="117"/>
    </row>
    <row r="7" spans="2:10" x14ac:dyDescent="0.25">
      <c r="H7" s="116"/>
      <c r="I7" s="115"/>
    </row>
    <row r="8" spans="2:10" hidden="1" x14ac:dyDescent="0.25">
      <c r="H8" s="116"/>
      <c r="I8" s="115"/>
    </row>
    <row r="9" spans="2:10" x14ac:dyDescent="0.25">
      <c r="H9" s="116"/>
      <c r="I9" s="118"/>
    </row>
    <row r="10" spans="2:10" x14ac:dyDescent="0.25">
      <c r="G10" t="s">
        <v>81</v>
      </c>
      <c r="H10" s="116"/>
    </row>
    <row r="11" spans="2:10" x14ac:dyDescent="0.25">
      <c r="H11" s="116"/>
    </row>
    <row r="13" spans="2:10" hidden="1" x14ac:dyDescent="0.25"/>
    <row r="14" spans="2:10" x14ac:dyDescent="0.25">
      <c r="G14" s="51"/>
      <c r="H14" s="116"/>
      <c r="I14" s="115"/>
      <c r="J14" s="51"/>
    </row>
    <row r="15" spans="2:10" hidden="1" x14ac:dyDescent="0.25">
      <c r="I15" s="115"/>
    </row>
    <row r="16" spans="2:10" hidden="1" x14ac:dyDescent="0.25">
      <c r="I16" s="115"/>
    </row>
  </sheetData>
  <mergeCells count="1">
    <mergeCell ref="B2:D3"/>
  </mergeCells>
  <conditionalFormatting sqref="I7:I9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{A22D6C97-70D4-4712-927F-8DC830A5ACF1}</x14:id>
        </ext>
      </extLst>
    </cfRule>
  </conditionalFormatting>
  <conditionalFormatting sqref="I10:I11 I13">
    <cfRule type="dataBar" priority="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{303BA361-DA53-4176-B19B-2FF7CA59F872}</x14:id>
        </ext>
      </extLst>
    </cfRule>
  </conditionalFormatting>
  <conditionalFormatting sqref="I14:I16">
    <cfRule type="dataBar" priority="1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{2A11D1C0-E9B1-4325-9030-08ACBF36110C}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22D6C97-70D4-4712-927F-8DC830A5ACF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I7:I9</xm:sqref>
        </x14:conditionalFormatting>
        <x14:conditionalFormatting xmlns:xm="http://schemas.microsoft.com/office/excel/2006/main">
          <x14:cfRule type="dataBar" id="{303BA361-DA53-4176-B19B-2FF7CA59F87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I10:I11 I13</xm:sqref>
        </x14:conditionalFormatting>
        <x14:conditionalFormatting xmlns:xm="http://schemas.microsoft.com/office/excel/2006/main">
          <x14:cfRule type="dataBar" id="{2A11D1C0-E9B1-4325-9030-08ACBF36110C}">
            <x14:dataBar minLength="0" maxLength="100" gradient="0">
              <x14:cfvo type="autoMin"/>
              <x14:cfvo type="autoMax"/>
              <x14:negativeFillColor rgb="FFFF754F"/>
              <x14:axisColor rgb="FF000000"/>
            </x14:dataBar>
          </x14:cfRule>
          <xm:sqref>I14:I16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B2:G30"/>
  <sheetViews>
    <sheetView workbookViewId="0">
      <selection activeCell="I25" sqref="I25"/>
    </sheetView>
  </sheetViews>
  <sheetFormatPr baseColWidth="10" defaultRowHeight="15" x14ac:dyDescent="0.25"/>
  <sheetData>
    <row r="2" spans="2:7" x14ac:dyDescent="0.25">
      <c r="B2" s="156" t="s">
        <v>61</v>
      </c>
      <c r="C2" s="156"/>
      <c r="D2" s="156"/>
    </row>
    <row r="3" spans="2:7" x14ac:dyDescent="0.25">
      <c r="B3" s="156"/>
      <c r="C3" s="156"/>
      <c r="D3" s="156"/>
    </row>
    <row r="4" spans="2:7" x14ac:dyDescent="0.25">
      <c r="G4" t="s">
        <v>81</v>
      </c>
    </row>
    <row r="5" spans="2:7" ht="15.75" thickBot="1" x14ac:dyDescent="0.3"/>
    <row r="6" spans="2:7" x14ac:dyDescent="0.25">
      <c r="B6" s="22" t="s">
        <v>20</v>
      </c>
      <c r="C6" s="95"/>
      <c r="D6" s="97"/>
      <c r="E6" s="71"/>
    </row>
    <row r="7" spans="2:7" ht="15.75" thickBot="1" x14ac:dyDescent="0.3">
      <c r="B7" s="21" t="s">
        <v>21</v>
      </c>
      <c r="C7" s="96" t="e">
        <f>COUNTIF(#REF!,"F")/COUNTA(#REF!)</f>
        <v>#REF!</v>
      </c>
      <c r="D7" s="98"/>
      <c r="E7" s="73"/>
    </row>
    <row r="8" spans="2:7" ht="15.75" thickBot="1" x14ac:dyDescent="0.3">
      <c r="C8" s="2"/>
      <c r="D8" s="65"/>
      <c r="E8" s="65"/>
    </row>
    <row r="9" spans="2:7" x14ac:dyDescent="0.25">
      <c r="B9" s="22" t="s">
        <v>6</v>
      </c>
      <c r="C9" s="95" t="e">
        <f>COUNTIF(#REF!,"FR")/COUNTA(#REF!)</f>
        <v>#REF!</v>
      </c>
      <c r="D9" s="100">
        <v>1186</v>
      </c>
      <c r="E9" s="74"/>
    </row>
    <row r="10" spans="2:7" x14ac:dyDescent="0.25">
      <c r="B10" s="20" t="s">
        <v>22</v>
      </c>
      <c r="C10" s="99" t="e">
        <f>COUNTIF(#REF!,"EU")/COUNTA(#REF!)</f>
        <v>#REF!</v>
      </c>
      <c r="D10" s="101"/>
      <c r="E10" s="75"/>
    </row>
    <row r="11" spans="2:7" x14ac:dyDescent="0.25">
      <c r="B11" s="20" t="s">
        <v>11</v>
      </c>
      <c r="C11" s="99" t="e">
        <f>COUNTIF(#REF!,"US")/COUNTA(#REF!)</f>
        <v>#REF!</v>
      </c>
      <c r="D11" s="101">
        <v>395</v>
      </c>
      <c r="E11" s="75"/>
    </row>
    <row r="12" spans="2:7" x14ac:dyDescent="0.25">
      <c r="B12" s="23" t="s">
        <v>12</v>
      </c>
      <c r="C12" s="99" t="e">
        <f>COUNTIF(#REF!,"RU")/COUNTA(#REF!)</f>
        <v>#REF!</v>
      </c>
      <c r="D12" s="101">
        <v>250</v>
      </c>
      <c r="E12" s="75"/>
    </row>
    <row r="13" spans="2:7" x14ac:dyDescent="0.25">
      <c r="B13" s="23" t="s">
        <v>9</v>
      </c>
      <c r="C13" s="99" t="e">
        <f>COUNTIF(#REF!,"AF")/COUNTA(#REF!)</f>
        <v>#REF!</v>
      </c>
      <c r="D13" s="101">
        <v>250</v>
      </c>
      <c r="E13" s="75"/>
    </row>
    <row r="14" spans="2:7" x14ac:dyDescent="0.25">
      <c r="B14" s="20" t="s">
        <v>23</v>
      </c>
      <c r="C14" s="99" t="e">
        <f>COUNTIF(#REF!,"AS")/COUNTA(#REF!)</f>
        <v>#REF!</v>
      </c>
      <c r="D14" s="101"/>
      <c r="E14" s="75"/>
    </row>
    <row r="15" spans="2:7" ht="15.75" thickBot="1" x14ac:dyDescent="0.3">
      <c r="B15" s="21" t="s">
        <v>24</v>
      </c>
      <c r="C15" s="72" t="e">
        <f>COUNTIF(#REF!,"OT")/COUNTA(#REF!)</f>
        <v>#REF!</v>
      </c>
      <c r="D15" s="102"/>
      <c r="E15" s="76"/>
    </row>
    <row r="16" spans="2:7" ht="15.75" thickBot="1" x14ac:dyDescent="0.3">
      <c r="E16" s="65"/>
    </row>
    <row r="17" spans="2:5" x14ac:dyDescent="0.25">
      <c r="B17" s="37" t="s">
        <v>47</v>
      </c>
      <c r="C17" s="62" t="e">
        <f>COUNTIF(#REF!,"DEC")/COUNTA(#REF!)</f>
        <v>#REF!</v>
      </c>
      <c r="D17" s="103"/>
      <c r="E17" s="70"/>
    </row>
    <row r="18" spans="2:5" x14ac:dyDescent="0.25">
      <c r="B18" s="38" t="s">
        <v>48</v>
      </c>
      <c r="C18" s="63" t="e">
        <f>COUNTIF(#REF!,"CLI")/COUNTA(#REF!)</f>
        <v>#REF!</v>
      </c>
      <c r="D18" s="104"/>
      <c r="E18" s="40"/>
    </row>
    <row r="19" spans="2:5" x14ac:dyDescent="0.25">
      <c r="B19" s="38" t="s">
        <v>45</v>
      </c>
      <c r="C19" s="63" t="e">
        <f>COUNTIF(#REF!,"ENR")/COUNTA(#REF!)</f>
        <v>#REF!</v>
      </c>
      <c r="D19" s="104"/>
      <c r="E19" s="40"/>
    </row>
    <row r="20" spans="2:5" ht="15.75" thickBot="1" x14ac:dyDescent="0.3">
      <c r="B20" s="39" t="s">
        <v>49</v>
      </c>
      <c r="C20" s="64" t="e">
        <f>COUNTIF(#REF!,"NOU")/COUNTA(#REF!)</f>
        <v>#REF!</v>
      </c>
      <c r="D20" s="105"/>
      <c r="E20" s="41"/>
    </row>
    <row r="21" spans="2:5" ht="15.75" thickBot="1" x14ac:dyDescent="0.3">
      <c r="B21" s="6"/>
      <c r="C21" s="5"/>
      <c r="D21" s="66"/>
      <c r="E21" s="66"/>
    </row>
    <row r="22" spans="2:5" x14ac:dyDescent="0.25">
      <c r="B22" s="22" t="s">
        <v>7</v>
      </c>
      <c r="C22" s="95" t="e">
        <f>COUNTIF(#REF!,"CB")/COUNTA(#REF!)</f>
        <v>#REF!</v>
      </c>
      <c r="D22" s="97"/>
      <c r="E22" s="71"/>
    </row>
    <row r="23" spans="2:5" x14ac:dyDescent="0.25">
      <c r="B23" s="20" t="s">
        <v>10</v>
      </c>
      <c r="C23" s="99" t="e">
        <f>COUNTIF(#REF!,"ES")/COUNTA(#REF!)</f>
        <v>#REF!</v>
      </c>
      <c r="D23" s="106"/>
      <c r="E23" s="77"/>
    </row>
    <row r="24" spans="2:5" x14ac:dyDescent="0.25">
      <c r="B24" s="20" t="s">
        <v>25</v>
      </c>
      <c r="C24" s="99" t="e">
        <f>COUNTIF(#REF!,"CP")/COUNTA(#REF!)</f>
        <v>#REF!</v>
      </c>
      <c r="D24" s="106"/>
      <c r="E24" s="77"/>
    </row>
    <row r="25" spans="2:5" x14ac:dyDescent="0.25">
      <c r="B25" s="20" t="s">
        <v>46</v>
      </c>
      <c r="C25" s="99" t="e">
        <f>COUNTIF(#REF!,"AM")/COUNTA(#REF!)</f>
        <v>#REF!</v>
      </c>
      <c r="D25" s="106"/>
      <c r="E25" s="77"/>
    </row>
    <row r="26" spans="2:5" x14ac:dyDescent="0.25">
      <c r="B26" s="20" t="s">
        <v>26</v>
      </c>
      <c r="C26" s="99" t="e">
        <f>COUNTIF(#REF!,"CC")/COUNTA(#REF!)</f>
        <v>#REF!</v>
      </c>
      <c r="D26" s="106"/>
      <c r="E26" s="77"/>
    </row>
    <row r="27" spans="2:5" ht="15.75" thickBot="1" x14ac:dyDescent="0.3">
      <c r="B27" s="21" t="s">
        <v>27</v>
      </c>
      <c r="C27" s="96" t="e">
        <f>COUNTIF(#REF!,"CH")/COUNTA(#REF!)</f>
        <v>#REF!</v>
      </c>
      <c r="D27" s="98"/>
      <c r="E27" s="73"/>
    </row>
    <row r="28" spans="2:5" ht="15.75" thickBot="1" x14ac:dyDescent="0.3">
      <c r="B28" s="6"/>
      <c r="C28" s="6"/>
      <c r="D28" s="5"/>
      <c r="E28" s="66"/>
    </row>
    <row r="29" spans="2:5" x14ac:dyDescent="0.25">
      <c r="B29" s="111" t="s">
        <v>78</v>
      </c>
      <c r="C29" s="107"/>
      <c r="D29" s="109"/>
      <c r="E29" s="44"/>
    </row>
    <row r="30" spans="2:5" ht="15.75" thickBot="1" x14ac:dyDescent="0.3">
      <c r="B30" s="112" t="s">
        <v>79</v>
      </c>
      <c r="C30" s="108"/>
      <c r="D30" s="110"/>
      <c r="E30" s="45"/>
    </row>
  </sheetData>
  <mergeCells count="1">
    <mergeCell ref="B2:D3"/>
  </mergeCells>
  <conditionalFormatting sqref="C9:C15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{1F4C4DD3-0BE3-4E32-B7A3-E6554CCEF335}</x14:id>
        </ext>
      </extLst>
    </cfRule>
  </conditionalFormatting>
  <conditionalFormatting sqref="C6:E7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{1167DDCF-2F22-41FB-8BEB-D61627BA9114}</x14:id>
        </ext>
      </extLst>
    </cfRule>
  </conditionalFormatting>
  <conditionalFormatting sqref="C22:E27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{68095339-5A98-4D5D-9BB9-C5F2E0831A21}</x14:id>
        </ext>
      </extLst>
    </cfRule>
  </conditionalFormatting>
  <conditionalFormatting sqref="C17:E20">
    <cfRule type="dataBar" priority="2">
      <dataBar>
        <cfvo type="min"/>
        <cfvo type="max"/>
        <color rgb="FFFF99CC"/>
      </dataBar>
      <extLst>
        <ext xmlns:x14="http://schemas.microsoft.com/office/spreadsheetml/2009/9/main" uri="{B025F937-C7B1-47D3-B67F-A62EFF666E3E}">
          <x14:id>{DA1AAA03-1263-40DE-9912-30C6FE957C5D}</x14:id>
        </ext>
      </extLst>
    </cfRule>
  </conditionalFormatting>
  <conditionalFormatting sqref="D9:E15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{73702439-B30F-4E14-ADC0-684B3D760AC8}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F4C4DD3-0BE3-4E32-B7A3-E6554CCEF335}">
            <x14:dataBar minLength="0" maxLength="100" border="1" direction="leftToRight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C9:C15</xm:sqref>
        </x14:conditionalFormatting>
        <x14:conditionalFormatting xmlns:xm="http://schemas.microsoft.com/office/excel/2006/main">
          <x14:cfRule type="dataBar" id="{1167DDCF-2F22-41FB-8BEB-D61627BA9114}">
            <x14:dataBar minLength="0" maxLength="100" border="1" direction="rightToLeft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C6:E7</xm:sqref>
        </x14:conditionalFormatting>
        <x14:conditionalFormatting xmlns:xm="http://schemas.microsoft.com/office/excel/2006/main">
          <x14:cfRule type="dataBar" id="{68095339-5A98-4D5D-9BB9-C5F2E0831A2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C22:E27</xm:sqref>
        </x14:conditionalFormatting>
        <x14:conditionalFormatting xmlns:xm="http://schemas.microsoft.com/office/excel/2006/main">
          <x14:cfRule type="dataBar" id="{DA1AAA03-1263-40DE-9912-30C6FE957C5D}">
            <x14:dataBar minLength="0" maxLength="100" border="1" negativeBarBorderColorSameAsPositive="0">
              <x14:cfvo type="autoMin"/>
              <x14:cfvo type="autoMax"/>
              <x14:borderColor rgb="FFFF99CC"/>
              <x14:negativeFillColor rgb="FFFF0000"/>
              <x14:negativeBorderColor rgb="FFFF0000"/>
              <x14:axisColor rgb="FF000000"/>
            </x14:dataBar>
          </x14:cfRule>
          <xm:sqref>C17:E20</xm:sqref>
        </x14:conditionalFormatting>
        <x14:conditionalFormatting xmlns:xm="http://schemas.microsoft.com/office/excel/2006/main">
          <x14:cfRule type="dataBar" id="{73702439-B30F-4E14-ADC0-684B3D760AC8}">
            <x14:dataBar minLength="0" maxLength="100" border="1" direction="leftToRight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D9:E15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B2:F29"/>
  <sheetViews>
    <sheetView workbookViewId="0">
      <selection activeCell="F11" sqref="F11"/>
    </sheetView>
  </sheetViews>
  <sheetFormatPr baseColWidth="10" defaultRowHeight="15" x14ac:dyDescent="0.25"/>
  <sheetData>
    <row r="2" spans="2:6" x14ac:dyDescent="0.25">
      <c r="B2" s="157" t="s">
        <v>56</v>
      </c>
      <c r="C2" s="157"/>
      <c r="D2" s="157"/>
    </row>
    <row r="3" spans="2:6" x14ac:dyDescent="0.25">
      <c r="B3" s="157"/>
      <c r="C3" s="157"/>
      <c r="D3" s="157"/>
    </row>
    <row r="4" spans="2:6" ht="15.75" thickBot="1" x14ac:dyDescent="0.3"/>
    <row r="5" spans="2:6" x14ac:dyDescent="0.25">
      <c r="B5" s="88" t="s">
        <v>28</v>
      </c>
      <c r="C5" s="89" t="e">
        <f>COUNTIF(#REF!,"9")</f>
        <v>#REF!</v>
      </c>
    </row>
    <row r="6" spans="2:6" x14ac:dyDescent="0.25">
      <c r="B6" s="90" t="s">
        <v>29</v>
      </c>
      <c r="C6" s="91" t="e">
        <f>COUNTIF(#REF!,"10")</f>
        <v>#REF!</v>
      </c>
    </row>
    <row r="7" spans="2:6" x14ac:dyDescent="0.25">
      <c r="B7" s="90" t="s">
        <v>30</v>
      </c>
      <c r="C7" s="91" t="e">
        <f>COUNTIF(#REF!,"11")</f>
        <v>#REF!</v>
      </c>
    </row>
    <row r="8" spans="2:6" x14ac:dyDescent="0.25">
      <c r="B8" s="90" t="s">
        <v>31</v>
      </c>
      <c r="C8" s="91" t="e">
        <f>COUNTIF(#REF!,"12")</f>
        <v>#REF!</v>
      </c>
    </row>
    <row r="9" spans="2:6" x14ac:dyDescent="0.25">
      <c r="B9" s="90" t="s">
        <v>32</v>
      </c>
      <c r="C9" s="91" t="e">
        <f>COUNTIF(#REF!,"13")</f>
        <v>#REF!</v>
      </c>
      <c r="F9" t="s">
        <v>81</v>
      </c>
    </row>
    <row r="10" spans="2:6" x14ac:dyDescent="0.25">
      <c r="B10" s="90" t="s">
        <v>33</v>
      </c>
      <c r="C10" s="91" t="e">
        <f>COUNTIF(#REF!,"14")</f>
        <v>#REF!</v>
      </c>
    </row>
    <row r="11" spans="2:6" x14ac:dyDescent="0.25">
      <c r="B11" s="90" t="s">
        <v>34</v>
      </c>
      <c r="C11" s="91" t="e">
        <f>COUNTIF(#REF!,"15")</f>
        <v>#REF!</v>
      </c>
    </row>
    <row r="12" spans="2:6" x14ac:dyDescent="0.25">
      <c r="B12" s="90" t="s">
        <v>35</v>
      </c>
      <c r="C12" s="91" t="e">
        <f>COUNTIF(#REF!,"16")</f>
        <v>#REF!</v>
      </c>
    </row>
    <row r="13" spans="2:6" x14ac:dyDescent="0.25">
      <c r="B13" s="90" t="s">
        <v>36</v>
      </c>
      <c r="C13" s="91" t="e">
        <f>COUNTIF(#REF!,"17")</f>
        <v>#REF!</v>
      </c>
    </row>
    <row r="14" spans="2:6" x14ac:dyDescent="0.25">
      <c r="B14" s="90" t="s">
        <v>37</v>
      </c>
      <c r="C14" s="91" t="e">
        <f>COUNTIF(#REF!,"18")</f>
        <v>#REF!</v>
      </c>
    </row>
    <row r="15" spans="2:6" x14ac:dyDescent="0.25">
      <c r="B15" s="90" t="s">
        <v>38</v>
      </c>
      <c r="C15" s="91" t="e">
        <f>COUNTIF(#REF!,"19")</f>
        <v>#REF!</v>
      </c>
    </row>
    <row r="16" spans="2:6" ht="15.75" thickBot="1" x14ac:dyDescent="0.3">
      <c r="B16" s="92" t="s">
        <v>39</v>
      </c>
      <c r="C16" s="93" t="e">
        <f>COUNTIF(#REF!,"20")</f>
        <v>#REF!</v>
      </c>
    </row>
    <row r="17" spans="2:3" ht="15.75" thickBot="1" x14ac:dyDescent="0.3">
      <c r="B17" s="6"/>
      <c r="C17" s="6"/>
    </row>
    <row r="18" spans="2:3" x14ac:dyDescent="0.25">
      <c r="B18" s="88" t="s">
        <v>28</v>
      </c>
      <c r="C18" s="89" t="e">
        <f>COUNTIF(#REF!,"9")</f>
        <v>#REF!</v>
      </c>
    </row>
    <row r="19" spans="2:3" x14ac:dyDescent="0.25">
      <c r="B19" s="90" t="s">
        <v>29</v>
      </c>
      <c r="C19" s="91" t="e">
        <f>COUNTIF(#REF!,"10")</f>
        <v>#REF!</v>
      </c>
    </row>
    <row r="20" spans="2:3" x14ac:dyDescent="0.25">
      <c r="B20" s="90" t="s">
        <v>30</v>
      </c>
      <c r="C20" s="91" t="e">
        <f>COUNTIF(#REF!,"11")</f>
        <v>#REF!</v>
      </c>
    </row>
    <row r="21" spans="2:3" x14ac:dyDescent="0.25">
      <c r="B21" s="90" t="s">
        <v>31</v>
      </c>
      <c r="C21" s="91" t="e">
        <f>COUNTIF(#REF!,"12")</f>
        <v>#REF!</v>
      </c>
    </row>
    <row r="22" spans="2:3" x14ac:dyDescent="0.25">
      <c r="B22" s="90" t="s">
        <v>32</v>
      </c>
      <c r="C22" s="91" t="e">
        <f>COUNTIF(#REF!,"13")</f>
        <v>#REF!</v>
      </c>
    </row>
    <row r="23" spans="2:3" x14ac:dyDescent="0.25">
      <c r="B23" s="90" t="s">
        <v>33</v>
      </c>
      <c r="C23" s="91" t="e">
        <f>COUNTIF(#REF!,"14")</f>
        <v>#REF!</v>
      </c>
    </row>
    <row r="24" spans="2:3" x14ac:dyDescent="0.25">
      <c r="B24" s="90" t="s">
        <v>34</v>
      </c>
      <c r="C24" s="91" t="e">
        <f>COUNTIF(#REF!,"15")</f>
        <v>#REF!</v>
      </c>
    </row>
    <row r="25" spans="2:3" x14ac:dyDescent="0.25">
      <c r="B25" s="90" t="s">
        <v>35</v>
      </c>
      <c r="C25" s="91" t="e">
        <f>COUNTIF(#REF!,"16")</f>
        <v>#REF!</v>
      </c>
    </row>
    <row r="26" spans="2:3" x14ac:dyDescent="0.25">
      <c r="B26" s="90" t="s">
        <v>36</v>
      </c>
      <c r="C26" s="91" t="e">
        <f>COUNTIF(#REF!,"17")</f>
        <v>#REF!</v>
      </c>
    </row>
    <row r="27" spans="2:3" x14ac:dyDescent="0.25">
      <c r="B27" s="90" t="s">
        <v>37</v>
      </c>
      <c r="C27" s="91" t="e">
        <f>COUNTIF(#REF!,"18")</f>
        <v>#REF!</v>
      </c>
    </row>
    <row r="28" spans="2:3" x14ac:dyDescent="0.25">
      <c r="B28" s="90" t="s">
        <v>38</v>
      </c>
      <c r="C28" s="91" t="e">
        <f>COUNTIF(#REF!,"19")</f>
        <v>#REF!</v>
      </c>
    </row>
    <row r="29" spans="2:3" ht="15.75" thickBot="1" x14ac:dyDescent="0.3">
      <c r="B29" s="92" t="s">
        <v>39</v>
      </c>
      <c r="C29" s="93" t="e">
        <f>COUNTIF(#REF!,"20")</f>
        <v>#REF!</v>
      </c>
    </row>
  </sheetData>
  <mergeCells count="1">
    <mergeCell ref="B2:D3"/>
  </mergeCells>
  <conditionalFormatting sqref="C5:C16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{E9A1002B-5BE7-46E2-8B35-BDA78B9A6202}</x14:id>
        </ext>
      </extLst>
    </cfRule>
  </conditionalFormatting>
  <conditionalFormatting sqref="C18:C29">
    <cfRule type="dataBar" priority="1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{478E9FF7-B364-4649-AAC8-C101AEC941DC}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9A1002B-5BE7-46E2-8B35-BDA78B9A620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C5:C16</xm:sqref>
        </x14:conditionalFormatting>
        <x14:conditionalFormatting xmlns:xm="http://schemas.microsoft.com/office/excel/2006/main">
          <x14:cfRule type="dataBar" id="{478E9FF7-B364-4649-AAC8-C101AEC941DC}">
            <x14:dataBar minLength="0" maxLength="100" border="1" negativeBarBorderColorSameAsPositive="0">
              <x14:cfvo type="autoMin"/>
              <x14:cfvo type="autoMax"/>
              <x14:borderColor theme="4" tint="0.39997558519241921"/>
              <x14:negativeFillColor rgb="FFFF0000"/>
              <x14:negativeBorderColor rgb="FFFF0000"/>
              <x14:axisColor rgb="FF000000"/>
            </x14:dataBar>
          </x14:cfRule>
          <xm:sqref>C18:C29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01</vt:lpstr>
      <vt:lpstr>02</vt:lpstr>
      <vt:lpstr>VENTES</vt:lpstr>
      <vt:lpstr>CHIFFRES</vt:lpstr>
      <vt:lpstr>STATS</vt:lpstr>
      <vt:lpstr>TRAFIC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Boutique Printemps</dc:creator>
  <cp:lastModifiedBy>Boutique Printemps</cp:lastModifiedBy>
  <dcterms:created xsi:type="dcterms:W3CDTF">2016-04-06T15:37:39Z</dcterms:created>
  <dcterms:modified xsi:type="dcterms:W3CDTF">2016-04-26T17:26:56Z</dcterms:modified>
</cp:coreProperties>
</file>