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Thomas\Desktop\"/>
    </mc:Choice>
  </mc:AlternateContent>
  <bookViews>
    <workbookView xWindow="0" yWindow="5820" windowWidth="13980" windowHeight="6840" tabRatio="771"/>
  </bookViews>
  <sheets>
    <sheet name="exemple" sheetId="81" r:id="rId1"/>
  </sheets>
  <definedNames>
    <definedName name="_xlnm._FilterDatabase" localSheetId="0" hidden="1">exemple!$B$5:$BN$10</definedName>
    <definedName name="Excel_BuiltIn__FilterDatabase_1_1">#REF!</definedName>
    <definedName name="Excel_BuiltIn__FilterDatabase_1_1_1">#REF!</definedName>
    <definedName name="Excel_BuiltIn__FilterDatabase_1_1_1_1">#REF!</definedName>
    <definedName name="Excel_BuiltIn__FilterDatabase_10_1">#REF!</definedName>
    <definedName name="Excel_BuiltIn__FilterDatabase_3_1">#REF!</definedName>
    <definedName name="Excel_BuiltIn__FilterDatabase_3_1_1">#REF!</definedName>
    <definedName name="Excel_BuiltIn__FilterDatabase_3_1_1_1">#REF!</definedName>
    <definedName name="Excel_BuiltIn__FilterDatabase_4_1">#REF!</definedName>
    <definedName name="Excel_BuiltIn__FilterDatabase_8_1">#REF!</definedName>
    <definedName name="Excel_BuiltIn__FilterDatabase_9_1">#REF!</definedName>
    <definedName name="Excel_BuiltIn__FilterDatabase_9_1_1">#REF!</definedName>
  </definedNames>
  <calcPr calcId="152511" concurrentCalc="0"/>
  <pivotCaches>
    <pivotCache cacheId="0" r:id="rId2"/>
  </pivotCaches>
</workbook>
</file>

<file path=xl/calcChain.xml><?xml version="1.0" encoding="utf-8"?>
<calcChain xmlns="http://schemas.openxmlformats.org/spreadsheetml/2006/main">
  <c r="J13" i="81" l="1"/>
  <c r="J14" i="81"/>
  <c r="J15" i="81"/>
  <c r="K15" i="81"/>
  <c r="J8" i="81"/>
  <c r="L15" i="81"/>
  <c r="H15" i="81"/>
  <c r="I15" i="81"/>
  <c r="K14" i="81"/>
  <c r="L14" i="81"/>
  <c r="H14" i="81"/>
  <c r="I14" i="81"/>
  <c r="K13" i="81"/>
  <c r="L13" i="81"/>
  <c r="H13" i="81"/>
  <c r="I13" i="81"/>
  <c r="J12" i="81"/>
  <c r="K12" i="81"/>
  <c r="L12" i="81"/>
  <c r="H12" i="81"/>
  <c r="I12" i="81"/>
  <c r="J11" i="81"/>
  <c r="K11" i="81"/>
  <c r="L11" i="81"/>
  <c r="H11" i="81"/>
  <c r="I11" i="81"/>
  <c r="J6" i="81"/>
  <c r="J7" i="81"/>
  <c r="J9" i="81"/>
  <c r="J10" i="81"/>
  <c r="AC10" i="81"/>
  <c r="H6" i="81"/>
  <c r="H7" i="81"/>
  <c r="I7" i="81"/>
  <c r="H8" i="81"/>
  <c r="I8" i="81"/>
  <c r="H9" i="81"/>
  <c r="I9" i="81"/>
  <c r="H10" i="81"/>
  <c r="I10" i="81"/>
  <c r="I6" i="81"/>
  <c r="BM10" i="81"/>
  <c r="BI10" i="81"/>
  <c r="BH10" i="81"/>
  <c r="BA10" i="81"/>
  <c r="AY10" i="81"/>
  <c r="BB10" i="81"/>
  <c r="AX10" i="81"/>
  <c r="AK10" i="81"/>
  <c r="AE10" i="81"/>
  <c r="AD10" i="81"/>
  <c r="AB10" i="81"/>
  <c r="BM9" i="81"/>
  <c r="BI9" i="81"/>
  <c r="BH9" i="81"/>
  <c r="BA9" i="81"/>
  <c r="AY9" i="81"/>
  <c r="AX9" i="81"/>
  <c r="AK9" i="81"/>
  <c r="AE9" i="81"/>
  <c r="AD9" i="81"/>
  <c r="AB9" i="81"/>
  <c r="BA8" i="81"/>
  <c r="AY8" i="81"/>
  <c r="BB8" i="81"/>
  <c r="AX8" i="81"/>
  <c r="AK8" i="81"/>
  <c r="AE8" i="81"/>
  <c r="AD8" i="81"/>
  <c r="AB8" i="81"/>
  <c r="BA7" i="81"/>
  <c r="AY7" i="81"/>
  <c r="BB7" i="81"/>
  <c r="AX7" i="81"/>
  <c r="AK7" i="81"/>
  <c r="AE7" i="81"/>
  <c r="AD7" i="81"/>
  <c r="AB7" i="81"/>
  <c r="BA6" i="81"/>
  <c r="AY6" i="81"/>
  <c r="BB6" i="81"/>
  <c r="AX6" i="81"/>
  <c r="AK6" i="81"/>
  <c r="AF6" i="81"/>
  <c r="AH6" i="81"/>
  <c r="AG6" i="81"/>
  <c r="AE6" i="81"/>
  <c r="AD6" i="81"/>
  <c r="AB6" i="81"/>
  <c r="AL10" i="81"/>
  <c r="AL7" i="81"/>
  <c r="AL9" i="81"/>
  <c r="AL8" i="81"/>
  <c r="AL6" i="81"/>
  <c r="K6" i="81"/>
  <c r="K8" i="81"/>
  <c r="BJ10" i="81"/>
  <c r="BK10" i="81"/>
  <c r="BL10" i="81"/>
  <c r="AZ8" i="81"/>
  <c r="BJ9" i="81"/>
  <c r="BK9" i="81"/>
  <c r="BL9" i="81"/>
  <c r="AZ10" i="81"/>
  <c r="AZ6" i="81"/>
  <c r="AZ7" i="81"/>
  <c r="K7" i="81"/>
  <c r="K9" i="81"/>
  <c r="K10" i="81"/>
  <c r="AZ9" i="81"/>
  <c r="BE8" i="81"/>
  <c r="BB9" i="81"/>
  <c r="BE9" i="81"/>
  <c r="BE10" i="81"/>
  <c r="BE6" i="81"/>
  <c r="AF7" i="81"/>
  <c r="BE7" i="81"/>
  <c r="BD10" i="81"/>
  <c r="BC10" i="81"/>
  <c r="L6" i="81"/>
  <c r="L8" i="81"/>
  <c r="L7" i="81"/>
  <c r="L9" i="81"/>
  <c r="L10" i="81"/>
  <c r="BD8" i="81"/>
  <c r="BC8" i="81"/>
  <c r="BD9" i="81"/>
  <c r="BC9" i="81"/>
  <c r="BD6" i="81"/>
  <c r="BC6" i="81"/>
  <c r="BD7" i="81"/>
  <c r="BC7" i="81"/>
  <c r="AH7" i="81"/>
  <c r="AF8" i="81"/>
  <c r="AF9" i="81"/>
  <c r="AH8" i="81"/>
  <c r="AG8" i="81"/>
  <c r="AG7" i="81"/>
  <c r="AH9" i="81"/>
  <c r="AF10" i="81"/>
  <c r="AH10" i="81"/>
  <c r="AG10" i="81"/>
  <c r="AG9" i="81"/>
</calcChain>
</file>

<file path=xl/sharedStrings.xml><?xml version="1.0" encoding="utf-8"?>
<sst xmlns="http://schemas.openxmlformats.org/spreadsheetml/2006/main" count="72" uniqueCount="58">
  <si>
    <t>PRIX</t>
  </si>
  <si>
    <t>TONNAGE</t>
  </si>
  <si>
    <t>CA</t>
  </si>
  <si>
    <t>PRIX MOYEN</t>
  </si>
  <si>
    <t>vente</t>
  </si>
  <si>
    <t>COURTIER</t>
  </si>
  <si>
    <t>QUAND</t>
  </si>
  <si>
    <t>Total général</t>
  </si>
  <si>
    <t>(vide)</t>
  </si>
  <si>
    <t>Somme de CA</t>
  </si>
  <si>
    <t>reliquat pondéré</t>
  </si>
  <si>
    <t>PM Pondéré</t>
  </si>
  <si>
    <t>ca reliquat pondéré)</t>
  </si>
  <si>
    <t>ca Moyen acheté</t>
  </si>
  <si>
    <t>tonnage acheté</t>
  </si>
  <si>
    <t>PM acheté</t>
  </si>
  <si>
    <t>reliquat/période</t>
  </si>
  <si>
    <t>moyenne trimestre commandé soya 50</t>
  </si>
  <si>
    <t>marge période</t>
  </si>
  <si>
    <t>marge T periode</t>
  </si>
  <si>
    <t>T reliquat</t>
  </si>
  <si>
    <t>PMV</t>
  </si>
  <si>
    <t>Valeurs</t>
  </si>
  <si>
    <t>oct-dec 15</t>
  </si>
  <si>
    <t>tonnage mash</t>
  </si>
  <si>
    <t>prix le plus bas</t>
  </si>
  <si>
    <t>Juillet</t>
  </si>
  <si>
    <t>Ca moyen acheté</t>
  </si>
  <si>
    <t xml:space="preserve">Juin </t>
  </si>
  <si>
    <t>Marge période</t>
  </si>
  <si>
    <t>Marge T</t>
  </si>
  <si>
    <t>RESULTAT ANNEE N-1</t>
  </si>
  <si>
    <t>MOIS</t>
  </si>
  <si>
    <t>T</t>
  </si>
  <si>
    <t>CUMUL</t>
  </si>
  <si>
    <t>TONNAGE 
MOYEN</t>
  </si>
  <si>
    <t>CUMUL CA</t>
  </si>
  <si>
    <t>CUMUL T</t>
  </si>
  <si>
    <t>PART</t>
  </si>
  <si>
    <t>PA M</t>
  </si>
  <si>
    <t>TONNAGES</t>
  </si>
  <si>
    <t>PREVISIONNEL vente 07/2015 AU 06/2016</t>
  </si>
  <si>
    <t>juillet-sept 15</t>
  </si>
  <si>
    <t>janv-mars 16</t>
  </si>
  <si>
    <t>avril-Juin 16</t>
  </si>
  <si>
    <t>juillet-sept 16</t>
  </si>
  <si>
    <t>Qté simple</t>
  </si>
  <si>
    <t>Qté T simple</t>
  </si>
  <si>
    <t>MASH EN T</t>
  </si>
  <si>
    <t>CA HT PR2+EVI</t>
  </si>
  <si>
    <t>Min de PRIX</t>
  </si>
  <si>
    <t>Max de PRIX2</t>
  </si>
  <si>
    <t>AFFECTE</t>
  </si>
  <si>
    <t>vendu</t>
  </si>
  <si>
    <t>libre</t>
  </si>
  <si>
    <t>solde libre T</t>
  </si>
  <si>
    <t>ca solde libre T</t>
  </si>
  <si>
    <t>Tonnage
libre
prix_mini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</si>
</sst>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164" formatCode="\ #,##0.00&quot;    &quot;;\-#,##0.00&quot;    &quot;;&quot; -&quot;#&quot;    &quot;;@\ "/>
    <numFmt numFmtId="165" formatCode="_-* #,##0.00\ [$€-40C]_-;\-* #,##0.00\ [$€-40C]_-;_-* &quot;-&quot;??\ [$€-40C]_-;_-@_-"/>
    <numFmt numFmtId="166" formatCode="#,##0.0&quot; T&quot;"/>
    <numFmt numFmtId="167" formatCode="#,##0\ &quot;€&quot;"/>
    <numFmt numFmtId="168" formatCode="#,##0.00\ &quot;€&quot;"/>
    <numFmt numFmtId="169" formatCode="#,##0&quot; T&quot;"/>
    <numFmt numFmtId="170" formatCode="[$-40C]mmm\-yy;@"/>
    <numFmt numFmtId="171" formatCode="#,##0.000&quot; T&quot;"/>
  </numFmts>
  <fonts count="3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ABABAB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5"/>
      </left>
      <right/>
      <top style="medium">
        <color auto="1"/>
      </top>
      <bottom/>
      <diagonal/>
    </border>
    <border>
      <left style="thin">
        <color indexed="65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rgb="FFABABAB"/>
      </top>
      <bottom/>
      <diagonal/>
    </border>
    <border>
      <left style="thin">
        <color rgb="FFABABAB"/>
      </left>
      <right/>
      <top style="medium">
        <color auto="1"/>
      </top>
      <bottom/>
      <diagonal/>
    </border>
    <border>
      <left style="medium">
        <color auto="1"/>
      </left>
      <right/>
      <top style="thin">
        <color rgb="FFABABAB"/>
      </top>
      <bottom/>
      <diagonal/>
    </border>
    <border>
      <left/>
      <right style="medium">
        <color auto="1"/>
      </right>
      <top style="thin">
        <color rgb="FFABABAB"/>
      </top>
      <bottom/>
      <diagonal/>
    </border>
    <border>
      <left style="medium">
        <color auto="1"/>
      </left>
      <right/>
      <top style="thin">
        <color rgb="FFABABAB"/>
      </top>
      <bottom style="medium">
        <color auto="1"/>
      </bottom>
      <diagonal/>
    </border>
    <border>
      <left/>
      <right/>
      <top style="thin">
        <color rgb="FFABABAB"/>
      </top>
      <bottom style="medium">
        <color auto="1"/>
      </bottom>
      <diagonal/>
    </border>
    <border>
      <left/>
      <right style="medium">
        <color auto="1"/>
      </right>
      <top style="thin">
        <color rgb="FFABABAB"/>
      </top>
      <bottom style="medium">
        <color auto="1"/>
      </bottom>
      <diagonal/>
    </border>
  </borders>
  <cellStyleXfs count="47">
    <xf numFmtId="0" fontId="0" fillId="0" borderId="0"/>
    <xf numFmtId="0" fontId="16" fillId="0" borderId="0"/>
    <xf numFmtId="164" fontId="16" fillId="0" borderId="0"/>
    <xf numFmtId="0" fontId="16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9" fontId="19" fillId="0" borderId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/>
    <xf numFmtId="0" fontId="23" fillId="0" borderId="0"/>
    <xf numFmtId="0" fontId="13" fillId="0" borderId="0"/>
    <xf numFmtId="44" fontId="13" fillId="0" borderId="0" applyFon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/>
    <xf numFmtId="0" fontId="19" fillId="0" borderId="0"/>
    <xf numFmtId="0" fontId="31" fillId="0" borderId="0"/>
  </cellStyleXfs>
  <cellXfs count="121">
    <xf numFmtId="0" fontId="0" fillId="0" borderId="0" xfId="0"/>
    <xf numFmtId="0" fontId="13" fillId="0" borderId="0" xfId="12"/>
    <xf numFmtId="168" fontId="13" fillId="0" borderId="0" xfId="12" applyNumberFormat="1"/>
    <xf numFmtId="0" fontId="17" fillId="0" borderId="3" xfId="12" applyFont="1" applyBorder="1" applyAlignment="1">
      <alignment wrapText="1"/>
    </xf>
    <xf numFmtId="0" fontId="17" fillId="0" borderId="3" xfId="12" applyFont="1" applyBorder="1"/>
    <xf numFmtId="0" fontId="13" fillId="0" borderId="0" xfId="12" applyFill="1" applyBorder="1" applyAlignment="1">
      <alignment wrapText="1"/>
    </xf>
    <xf numFmtId="168" fontId="0" fillId="0" borderId="0" xfId="0" applyNumberFormat="1" applyBorder="1"/>
    <xf numFmtId="0" fontId="0" fillId="0" borderId="0" xfId="0" applyFill="1" applyBorder="1" applyAlignment="1">
      <alignment horizontal="center" vertical="center" wrapText="1"/>
    </xf>
    <xf numFmtId="166" fontId="0" fillId="0" borderId="0" xfId="0" applyNumberFormat="1" applyBorder="1"/>
    <xf numFmtId="166" fontId="13" fillId="0" borderId="0" xfId="12" applyNumberFormat="1" applyBorder="1"/>
    <xf numFmtId="0" fontId="13" fillId="0" borderId="0" xfId="12" applyBorder="1"/>
    <xf numFmtId="170" fontId="13" fillId="0" borderId="1" xfId="12" applyNumberFormat="1" applyBorder="1"/>
    <xf numFmtId="166" fontId="13" fillId="0" borderId="2" xfId="12" applyNumberFormat="1" applyBorder="1"/>
    <xf numFmtId="168" fontId="13" fillId="0" borderId="0" xfId="12" applyNumberFormat="1" applyBorder="1"/>
    <xf numFmtId="171" fontId="13" fillId="0" borderId="0" xfId="12" applyNumberFormat="1"/>
    <xf numFmtId="169" fontId="13" fillId="0" borderId="0" xfId="12" applyNumberFormat="1" applyBorder="1"/>
    <xf numFmtId="14" fontId="13" fillId="3" borderId="0" xfId="12" applyNumberFormat="1" applyFill="1" applyBorder="1"/>
    <xf numFmtId="171" fontId="13" fillId="3" borderId="0" xfId="12" applyNumberFormat="1" applyFill="1" applyBorder="1"/>
    <xf numFmtId="168" fontId="13" fillId="3" borderId="0" xfId="12" applyNumberFormat="1" applyFill="1" applyBorder="1"/>
    <xf numFmtId="168" fontId="13" fillId="2" borderId="2" xfId="12" applyNumberFormat="1" applyFill="1" applyBorder="1"/>
    <xf numFmtId="168" fontId="13" fillId="2" borderId="7" xfId="12" applyNumberFormat="1" applyFill="1" applyBorder="1"/>
    <xf numFmtId="0" fontId="12" fillId="3" borderId="1" xfId="12" applyFont="1" applyFill="1" applyBorder="1"/>
    <xf numFmtId="0" fontId="9" fillId="3" borderId="1" xfId="12" applyFont="1" applyFill="1" applyBorder="1"/>
    <xf numFmtId="0" fontId="17" fillId="0" borderId="10" xfId="12" applyFont="1" applyBorder="1"/>
    <xf numFmtId="0" fontId="17" fillId="0" borderId="11" xfId="12" applyFont="1" applyBorder="1"/>
    <xf numFmtId="171" fontId="17" fillId="0" borderId="11" xfId="12" applyNumberFormat="1" applyFont="1" applyBorder="1"/>
    <xf numFmtId="168" fontId="17" fillId="0" borderId="11" xfId="12" applyNumberFormat="1" applyFont="1" applyBorder="1"/>
    <xf numFmtId="14" fontId="6" fillId="3" borderId="0" xfId="12" applyNumberFormat="1" applyFont="1" applyFill="1" applyBorder="1"/>
    <xf numFmtId="0" fontId="25" fillId="0" borderId="8" xfId="12" applyFont="1" applyBorder="1" applyAlignment="1"/>
    <xf numFmtId="0" fontId="26" fillId="3" borderId="1" xfId="12" applyFont="1" applyFill="1" applyBorder="1"/>
    <xf numFmtId="14" fontId="26" fillId="3" borderId="0" xfId="12" applyNumberFormat="1" applyFont="1" applyFill="1" applyBorder="1"/>
    <xf numFmtId="171" fontId="26" fillId="3" borderId="0" xfId="12" applyNumberFormat="1" applyFont="1" applyFill="1" applyBorder="1"/>
    <xf numFmtId="168" fontId="26" fillId="3" borderId="0" xfId="12" applyNumberFormat="1" applyFont="1" applyFill="1" applyBorder="1"/>
    <xf numFmtId="0" fontId="11" fillId="3" borderId="1" xfId="12" applyFont="1" applyFill="1" applyBorder="1"/>
    <xf numFmtId="171" fontId="10" fillId="3" borderId="0" xfId="12" applyNumberFormat="1" applyFont="1" applyFill="1" applyBorder="1"/>
    <xf numFmtId="171" fontId="17" fillId="0" borderId="11" xfId="12" applyNumberFormat="1" applyFont="1" applyBorder="1" applyAlignment="1">
      <alignment wrapText="1"/>
    </xf>
    <xf numFmtId="0" fontId="4" fillId="0" borderId="10" xfId="12" applyFont="1" applyFill="1" applyBorder="1" applyAlignment="1">
      <alignment horizontal="center" vertical="center" wrapText="1"/>
    </xf>
    <xf numFmtId="0" fontId="4" fillId="0" borderId="11" xfId="12" applyFont="1" applyBorder="1" applyAlignment="1">
      <alignment horizontal="center" vertical="center" wrapText="1"/>
    </xf>
    <xf numFmtId="0" fontId="4" fillId="0" borderId="12" xfId="12" applyFont="1" applyBorder="1" applyAlignment="1">
      <alignment horizontal="center" vertical="center" wrapText="1"/>
    </xf>
    <xf numFmtId="165" fontId="13" fillId="0" borderId="0" xfId="12" applyNumberFormat="1" applyBorder="1"/>
    <xf numFmtId="0" fontId="3" fillId="0" borderId="12" xfId="12" applyFont="1" applyBorder="1" applyAlignment="1">
      <alignment horizontal="center" vertical="center" wrapText="1"/>
    </xf>
    <xf numFmtId="167" fontId="13" fillId="0" borderId="2" xfId="12" applyNumberFormat="1" applyBorder="1"/>
    <xf numFmtId="0" fontId="3" fillId="0" borderId="9" xfId="12" applyFont="1" applyBorder="1" applyAlignment="1">
      <alignment horizontal="center" vertical="center" wrapText="1"/>
    </xf>
    <xf numFmtId="167" fontId="13" fillId="0" borderId="13" xfId="12" applyNumberFormat="1" applyBorder="1"/>
    <xf numFmtId="167" fontId="13" fillId="0" borderId="14" xfId="12" applyNumberFormat="1" applyBorder="1"/>
    <xf numFmtId="9" fontId="13" fillId="0" borderId="13" xfId="12" applyNumberFormat="1" applyBorder="1"/>
    <xf numFmtId="9" fontId="13" fillId="0" borderId="14" xfId="12" applyNumberFormat="1" applyBorder="1"/>
    <xf numFmtId="0" fontId="13" fillId="0" borderId="4" xfId="12" applyBorder="1"/>
    <xf numFmtId="0" fontId="13" fillId="0" borderId="5" xfId="12" applyBorder="1"/>
    <xf numFmtId="0" fontId="13" fillId="0" borderId="6" xfId="12" applyBorder="1"/>
    <xf numFmtId="0" fontId="13" fillId="0" borderId="2" xfId="12" applyBorder="1"/>
    <xf numFmtId="0" fontId="13" fillId="0" borderId="0" xfId="12" applyBorder="1" applyAlignment="1">
      <alignment wrapText="1"/>
    </xf>
    <xf numFmtId="44" fontId="13" fillId="0" borderId="0" xfId="13" applyBorder="1"/>
    <xf numFmtId="165" fontId="22" fillId="0" borderId="0" xfId="12" applyNumberFormat="1" applyFont="1" applyBorder="1"/>
    <xf numFmtId="0" fontId="22" fillId="0" borderId="0" xfId="12" applyFont="1" applyBorder="1"/>
    <xf numFmtId="165" fontId="13" fillId="0" borderId="0" xfId="13" applyNumberFormat="1" applyBorder="1"/>
    <xf numFmtId="165" fontId="19" fillId="0" borderId="0" xfId="12" applyNumberFormat="1" applyFont="1" applyBorder="1"/>
    <xf numFmtId="171" fontId="13" fillId="0" borderId="0" xfId="12" applyNumberFormat="1" applyBorder="1"/>
    <xf numFmtId="171" fontId="13" fillId="0" borderId="0" xfId="12" applyNumberFormat="1" applyFill="1" applyBorder="1"/>
    <xf numFmtId="168" fontId="13" fillId="0" borderId="0" xfId="12" applyNumberFormat="1" applyFill="1" applyBorder="1"/>
    <xf numFmtId="0" fontId="13" fillId="0" borderId="0" xfId="12" applyBorder="1"/>
    <xf numFmtId="0" fontId="13" fillId="0" borderId="1" xfId="12" applyBorder="1"/>
    <xf numFmtId="14" fontId="13" fillId="0" borderId="0" xfId="12" applyNumberFormat="1" applyBorder="1"/>
    <xf numFmtId="168" fontId="13" fillId="0" borderId="0" xfId="12" applyNumberFormat="1" applyFont="1" applyFill="1" applyBorder="1"/>
    <xf numFmtId="0" fontId="8" fillId="0" borderId="5" xfId="12" applyFont="1" applyFill="1" applyBorder="1"/>
    <xf numFmtId="14" fontId="13" fillId="0" borderId="5" xfId="12" applyNumberFormat="1" applyFill="1" applyBorder="1"/>
    <xf numFmtId="171" fontId="13" fillId="0" borderId="5" xfId="12" applyNumberFormat="1" applyFill="1" applyBorder="1"/>
    <xf numFmtId="168" fontId="13" fillId="0" borderId="5" xfId="12" applyNumberFormat="1" applyFill="1" applyBorder="1"/>
    <xf numFmtId="168" fontId="13" fillId="0" borderId="5" xfId="12" applyNumberFormat="1" applyFont="1" applyFill="1" applyBorder="1"/>
    <xf numFmtId="0" fontId="13" fillId="0" borderId="5" xfId="12" applyFill="1" applyBorder="1"/>
    <xf numFmtId="0" fontId="7" fillId="0" borderId="0" xfId="12" applyFont="1" applyBorder="1"/>
    <xf numFmtId="0" fontId="5" fillId="0" borderId="0" xfId="12" applyFont="1" applyBorder="1"/>
    <xf numFmtId="168" fontId="5" fillId="0" borderId="0" xfId="12" applyNumberFormat="1" applyFont="1" applyBorder="1"/>
    <xf numFmtId="168" fontId="0" fillId="0" borderId="5" xfId="0" applyNumberFormat="1" applyBorder="1"/>
    <xf numFmtId="0" fontId="0" fillId="0" borderId="1" xfId="0" applyNumberFormat="1" applyBorder="1"/>
    <xf numFmtId="0" fontId="0" fillId="0" borderId="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0" fillId="0" borderId="13" xfId="0" applyNumberForma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0" fontId="17" fillId="0" borderId="9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NumberFormat="1" applyBorder="1"/>
    <xf numFmtId="166" fontId="24" fillId="0" borderId="1" xfId="12" applyNumberFormat="1" applyFont="1" applyBorder="1"/>
    <xf numFmtId="0" fontId="2" fillId="0" borderId="0" xfId="12" applyFont="1" applyBorder="1"/>
    <xf numFmtId="170" fontId="13" fillId="0" borderId="14" xfId="12" applyNumberFormat="1" applyBorder="1"/>
    <xf numFmtId="0" fontId="1" fillId="0" borderId="0" xfId="12" applyFont="1" applyFill="1" applyBorder="1" applyAlignment="1">
      <alignment horizontal="center" vertical="center" wrapText="1"/>
    </xf>
    <xf numFmtId="0" fontId="4" fillId="0" borderId="9" xfId="12" applyFont="1" applyFill="1" applyBorder="1" applyAlignment="1">
      <alignment horizontal="center" vertical="center" wrapText="1"/>
    </xf>
    <xf numFmtId="0" fontId="1" fillId="0" borderId="9" xfId="12" applyFont="1" applyFill="1" applyBorder="1" applyAlignment="1">
      <alignment horizontal="center" vertical="center" wrapText="1"/>
    </xf>
    <xf numFmtId="0" fontId="1" fillId="0" borderId="9" xfId="12" applyFont="1" applyBorder="1" applyAlignment="1">
      <alignment horizontal="center" vertical="center" wrapText="1"/>
    </xf>
    <xf numFmtId="166" fontId="24" fillId="0" borderId="14" xfId="12" applyNumberFormat="1" applyFont="1" applyBorder="1"/>
    <xf numFmtId="166" fontId="13" fillId="0" borderId="14" xfId="12" applyNumberFormat="1" applyBorder="1"/>
    <xf numFmtId="167" fontId="24" fillId="0" borderId="14" xfId="12" applyNumberFormat="1" applyFont="1" applyBorder="1"/>
    <xf numFmtId="166" fontId="26" fillId="3" borderId="0" xfId="12" applyNumberFormat="1" applyFont="1" applyFill="1" applyBorder="1"/>
    <xf numFmtId="165" fontId="26" fillId="3" borderId="0" xfId="12" applyNumberFormat="1" applyFont="1" applyFill="1" applyBorder="1"/>
    <xf numFmtId="0" fontId="0" fillId="0" borderId="15" xfId="0" applyBorder="1" applyAlignment="1">
      <alignment horizontal="center" vertical="center" wrapText="1"/>
    </xf>
    <xf numFmtId="0" fontId="0" fillId="0" borderId="2" xfId="0" applyNumberFormat="1" applyBorder="1"/>
    <xf numFmtId="0" fontId="0" fillId="0" borderId="6" xfId="0" applyNumberFormat="1" applyBorder="1"/>
    <xf numFmtId="0" fontId="0" fillId="0" borderId="19" xfId="0" pivotButton="1" applyBorder="1" applyAlignment="1">
      <alignment horizontal="center"/>
    </xf>
    <xf numFmtId="0" fontId="0" fillId="0" borderId="20" xfId="0" pivotButton="1" applyBorder="1" applyAlignment="1">
      <alignment horizontal="center"/>
    </xf>
    <xf numFmtId="168" fontId="17" fillId="0" borderId="23" xfId="0" applyNumberFormat="1" applyFont="1" applyBorder="1"/>
    <xf numFmtId="0" fontId="0" fillId="0" borderId="18" xfId="0" applyBorder="1" applyAlignment="1">
      <alignment horizontal="center" vertical="center" wrapText="1"/>
    </xf>
    <xf numFmtId="0" fontId="17" fillId="0" borderId="24" xfId="0" applyNumberFormat="1" applyFont="1" applyBorder="1"/>
    <xf numFmtId="0" fontId="17" fillId="0" borderId="22" xfId="0" applyNumberFormat="1" applyFont="1" applyBorder="1"/>
    <xf numFmtId="165" fontId="0" fillId="0" borderId="21" xfId="0" applyNumberFormat="1" applyBorder="1" applyAlignment="1">
      <alignment horizontal="center" vertical="center" wrapText="1"/>
    </xf>
    <xf numFmtId="0" fontId="30" fillId="0" borderId="12" xfId="12" applyFont="1" applyBorder="1" applyAlignment="1">
      <alignment horizontal="center" vertical="center"/>
    </xf>
    <xf numFmtId="0" fontId="6" fillId="4" borderId="0" xfId="12" applyFont="1" applyFill="1" applyBorder="1"/>
    <xf numFmtId="0" fontId="13" fillId="4" borderId="0" xfId="12" applyFill="1" applyBorder="1"/>
    <xf numFmtId="168" fontId="17" fillId="0" borderId="12" xfId="12" applyNumberFormat="1" applyFont="1" applyBorder="1" applyAlignment="1">
      <alignment horizontal="center" wrapText="1"/>
    </xf>
    <xf numFmtId="168" fontId="26" fillId="2" borderId="2" xfId="12" applyNumberFormat="1" applyFont="1" applyFill="1" applyBorder="1"/>
    <xf numFmtId="0" fontId="24" fillId="0" borderId="10" xfId="12" applyFont="1" applyBorder="1" applyAlignment="1">
      <alignment horizontal="center" vertical="center" wrapText="1"/>
    </xf>
    <xf numFmtId="0" fontId="24" fillId="0" borderId="11" xfId="12" applyFont="1" applyBorder="1" applyAlignment="1">
      <alignment horizontal="center" vertical="center" wrapText="1"/>
    </xf>
    <xf numFmtId="0" fontId="24" fillId="0" borderId="12" xfId="12" applyFont="1" applyBorder="1" applyAlignment="1">
      <alignment horizontal="center" vertical="center" wrapText="1"/>
    </xf>
    <xf numFmtId="0" fontId="18" fillId="0" borderId="1" xfId="12" applyFont="1" applyBorder="1" applyAlignment="1">
      <alignment horizontal="center" vertical="center" wrapText="1"/>
    </xf>
    <xf numFmtId="0" fontId="18" fillId="0" borderId="0" xfId="12" applyFont="1" applyBorder="1" applyAlignment="1">
      <alignment horizontal="center" vertical="center" wrapText="1"/>
    </xf>
    <xf numFmtId="0" fontId="30" fillId="0" borderId="10" xfId="12" applyFont="1" applyBorder="1" applyAlignment="1">
      <alignment horizontal="center" vertical="center"/>
    </xf>
    <xf numFmtId="0" fontId="30" fillId="0" borderId="11" xfId="12" applyFont="1" applyBorder="1" applyAlignment="1">
      <alignment horizontal="center" vertical="center"/>
    </xf>
    <xf numFmtId="0" fontId="21" fillId="0" borderId="0" xfId="12" applyFont="1" applyBorder="1" applyAlignment="1">
      <alignment horizontal="center"/>
    </xf>
    <xf numFmtId="0" fontId="24" fillId="0" borderId="0" xfId="12" applyFont="1" applyBorder="1" applyAlignment="1">
      <alignment horizontal="center" vertical="center" wrapText="1"/>
    </xf>
  </cellXfs>
  <cellStyles count="47">
    <cellStyle name="Excel Built-in Normal" xfId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Milliers 2" xfId="2"/>
    <cellStyle name="Monétaire 2" xfId="3"/>
    <cellStyle name="Monétaire 3" xfId="13"/>
    <cellStyle name="Normal" xfId="0" builtinId="0"/>
    <cellStyle name="Normal 10" xfId="46"/>
    <cellStyle name="Normal 2" xfId="4"/>
    <cellStyle name="Normal 2 2" xfId="11"/>
    <cellStyle name="Normal 3" xfId="5"/>
    <cellStyle name="Normal 4" xfId="6"/>
    <cellStyle name="Normal 5" xfId="7"/>
    <cellStyle name="Normal 6" xfId="10"/>
    <cellStyle name="Normal 7" xfId="12"/>
    <cellStyle name="Normal 8" xfId="44"/>
    <cellStyle name="Normal 9" xfId="45"/>
    <cellStyle name="Pourcentage 2" xfId="8"/>
    <cellStyle name="Résultat 1" xfId="9"/>
  </cellStyles>
  <dxfs count="9">
    <dxf>
      <numFmt numFmtId="165" formatCode="_-* #,##0.00\ [$€-40C]_-;\-* #,##0.00\ [$€-40C]_-;_-* &quot;-&quot;??\ [$€-40C]_-;_-@_-"/>
    </dxf>
    <dxf>
      <numFmt numFmtId="168" formatCode="#,##0.00\ &quot;€&quot;"/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/>
      </font>
    </dxf>
    <dxf>
      <font>
        <b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7030A0"/>
      <rgbColor rgb="00FFFFCC"/>
      <rgbColor rgb="00CCFFFF"/>
      <rgbColor rgb="00660066"/>
      <rgbColor rgb="00FF8080"/>
      <rgbColor rgb="000066CC"/>
      <rgbColor rgb="00C6D9F1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8EB4E3"/>
      <rgbColor rgb="00FF99CC"/>
      <rgbColor rgb="00CC99FF"/>
      <rgbColor rgb="00FFCC99"/>
      <rgbColor rgb="003366FF"/>
      <rgbColor rgb="0033CCCC"/>
      <rgbColor rgb="0092D050"/>
      <rgbColor rgb="00FFCC00"/>
      <rgbColor rgb="00FF9900"/>
      <rgbColor rgb="00E46C0A"/>
      <rgbColor rgb="00558ED5"/>
      <rgbColor rgb="00969696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omas" refreshedDate="42445.495321643517" createdVersion="4" refreshedVersion="5" minRefreshableVersion="3" recordCount="82">
  <cacheSource type="worksheet">
    <worksheetSource ref="C5:L10" sheet="exemple"/>
  </cacheSource>
  <cacheFields count="13">
    <cacheField name="COURTIER" numFmtId="0">
      <sharedItems containsBlank="1"/>
    </cacheField>
    <cacheField name="QUAND" numFmtId="14">
      <sharedItems containsNonDate="0" containsDate="1" containsString="0" containsBlank="1" minDate="2015-07-31T00:00:00" maxDate="2017-05-01T00:00:00" count="23">
        <d v="2015-07-31T00:00:00"/>
        <d v="2015-08-31T00:00:00"/>
        <d v="2015-09-30T00:00:00"/>
        <m/>
        <d v="2016-05-31T00:00:00" u="1"/>
        <d v="2017-02-28T00:00:00" u="1"/>
        <d v="2016-09-30T00:00:00" u="1"/>
        <d v="2016-03-31T00:00:00" u="1"/>
        <d v="2017-03-31T00:00:00" u="1"/>
        <d v="2015-12-31T00:00:00" u="1"/>
        <d v="2016-12-31T00:00:00" u="1"/>
        <d v="2016-01-31T00:00:00" u="1"/>
        <d v="2017-01-31T00:00:00" u="1"/>
        <d v="2016-02-29T00:00:00" u="1"/>
        <d v="2016-06-30T00:00:00" u="1"/>
        <d v="2015-10-31T00:00:00" u="1"/>
        <d v="2016-10-31T00:00:00" u="1"/>
        <d v="2016-04-30T00:00:00" u="1"/>
        <d v="2017-04-30T00:00:00" u="1"/>
        <d v="2016-08-31T00:00:00" u="1"/>
        <d v="2016-07-31T00:00:00" u="1"/>
        <d v="2015-11-30T00:00:00" u="1"/>
        <d v="2016-11-30T00:00:00" u="1"/>
      </sharedItems>
    </cacheField>
    <cacheField name="TONNAGE" numFmtId="171">
      <sharedItems containsString="0" containsBlank="1" containsNumber="1" minValue="27" maxValue="80.999999999999986"/>
    </cacheField>
    <cacheField name="PRIX" numFmtId="168">
      <sharedItems containsString="0" containsBlank="1" containsNumber="1" containsInteger="1" minValue="12" maxValue="35"/>
    </cacheField>
    <cacheField name="AFFECTE" numFmtId="168">
      <sharedItems containsBlank="1"/>
    </cacheField>
    <cacheField name="solde libre T" numFmtId="166">
      <sharedItems containsString="0" containsBlank="1" containsNumber="1" containsInteger="1" minValue="0" maxValue="0"/>
    </cacheField>
    <cacheField name="ca solde libre T" numFmtId="165">
      <sharedItems containsString="0" containsBlank="1" containsNumber="1" containsInteger="1" minValue="0" maxValue="0"/>
    </cacheField>
    <cacheField name="CA" numFmtId="168">
      <sharedItems containsString="0" containsBlank="1" containsNumber="1" minValue="486" maxValue="2582.4"/>
    </cacheField>
    <cacheField name="TONNAGE _x000a_MOYEN" numFmtId="171">
      <sharedItems containsString="0" containsBlank="1" containsNumber="1" minValue="80.999999999999986" maxValue="617.14"/>
    </cacheField>
    <cacheField name="PRIX MOYEN" numFmtId="168">
      <sharedItems containsString="0" containsBlank="1" containsNumber="1" minValue="20" maxValue="27.104221635883906"/>
    </cacheField>
    <cacheField name="PA moy" numFmtId="0" formula="(CA/TONNAGE)" databaseField="0"/>
    <cacheField name="PMA libre" numFmtId="0" formula="#NAME?/#NAME?" databaseField="0"/>
    <cacheField name="vol min" numFmtId="0" formula="VLOOKUP(MIN(PRIX),SUM(#NAME?)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s v="i212866"/>
    <x v="0"/>
    <n v="80.999999999999986"/>
    <n v="20"/>
    <s v="vendu"/>
    <n v="0"/>
    <n v="0"/>
    <n v="1619.9999999999998"/>
    <n v="80.999999999999986"/>
    <n v="20"/>
  </r>
  <r>
    <s v="i213110"/>
    <x v="0"/>
    <n v="27"/>
    <n v="25"/>
    <s v="vendu"/>
    <n v="0"/>
    <n v="0"/>
    <n v="675"/>
    <n v="107.99999999999999"/>
    <n v="21.250000000000004"/>
  </r>
  <r>
    <s v="i213853"/>
    <x v="0"/>
    <n v="27"/>
    <n v="18"/>
    <s v="vendu"/>
    <n v="0"/>
    <n v="0"/>
    <n v="486"/>
    <n v="135"/>
    <n v="20.6"/>
  </r>
  <r>
    <s v="i214337"/>
    <x v="0"/>
    <n v="54"/>
    <n v="28"/>
    <s v="vendu"/>
    <n v="0"/>
    <n v="0"/>
    <n v="1512"/>
    <n v="189"/>
    <n v="22.714285714285715"/>
  </r>
  <r>
    <s v="i212866"/>
    <x v="1"/>
    <n v="80.7"/>
    <n v="32"/>
    <s v="vendu"/>
    <n v="0"/>
    <n v="0"/>
    <n v="2582.4"/>
    <n v="269.7"/>
    <n v="25.492769744160178"/>
  </r>
  <r>
    <s v="i213110"/>
    <x v="1"/>
    <n v="51.980000000000004"/>
    <n v="35"/>
    <s v="vendu"/>
    <n v="0"/>
    <n v="0"/>
    <n v="1819.3000000000002"/>
    <n v="321.68"/>
    <n v="27.029035065904004"/>
  </r>
  <r>
    <s v="i213853"/>
    <x v="1"/>
    <n v="27"/>
    <n v="28"/>
    <s v="vendu"/>
    <n v="0"/>
    <n v="0"/>
    <n v="756"/>
    <n v="348.68"/>
    <n v="27.104221635883906"/>
  </r>
  <r>
    <s v="i214337"/>
    <x v="1"/>
    <n v="54"/>
    <n v="24"/>
    <s v="vendu"/>
    <n v="0"/>
    <n v="0"/>
    <n v="1296"/>
    <n v="402.68"/>
    <n v="26.687940796662364"/>
  </r>
  <r>
    <s v="i212866"/>
    <x v="2"/>
    <n v="80"/>
    <n v="14"/>
    <s v="vendu"/>
    <n v="0"/>
    <n v="0"/>
    <n v="1120"/>
    <n v="482.68"/>
    <n v="24.585025275544876"/>
  </r>
  <r>
    <s v="i213110"/>
    <x v="2"/>
    <n v="53.32"/>
    <n v="12"/>
    <s v="vendu"/>
    <n v="0"/>
    <n v="0"/>
    <n v="639.84"/>
    <n v="536"/>
    <n v="23.333097014925375"/>
  </r>
  <r>
    <s v="i213853"/>
    <x v="2"/>
    <n v="27.04"/>
    <n v="19"/>
    <s v="vendu"/>
    <n v="0"/>
    <n v="0"/>
    <n v="513.76"/>
    <n v="563.04"/>
    <n v="23.125000000000004"/>
  </r>
  <r>
    <s v="i214337"/>
    <x v="2"/>
    <n v="54.1"/>
    <n v="27"/>
    <s v="vendu"/>
    <n v="0"/>
    <n v="0"/>
    <n v="1460.7"/>
    <n v="617.14"/>
    <n v="23.464691966166512"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  <r>
    <m/>
    <x v="3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errorCaption="0" showError="1" updatedVersion="5" minRefreshableVersion="3" useAutoFormatting="1" itemPrintTitles="1" mergeItem="1" createdVersion="4" indent="0" compact="0" compactData="0" gridDropZones="1" multipleFieldFilters="0">
  <location ref="O4:T10" firstHeaderRow="1" firstDataRow="2" firstDataCol="1"/>
  <pivotFields count="13">
    <pivotField compact="0" outline="0" showAll="0"/>
    <pivotField axis="axisRow" compact="0" outline="0" showAll="0" sortType="ascending">
      <items count="24">
        <item x="0"/>
        <item x="1"/>
        <item x="2"/>
        <item m="1" x="15"/>
        <item m="1" x="21"/>
        <item m="1" x="9"/>
        <item m="1" x="11"/>
        <item m="1" x="13"/>
        <item m="1" x="7"/>
        <item m="1" x="17"/>
        <item m="1" x="4"/>
        <item m="1" x="14"/>
        <item m="1" x="20"/>
        <item m="1" x="19"/>
        <item m="1" x="6"/>
        <item m="1" x="16"/>
        <item m="1" x="22"/>
        <item m="1" x="10"/>
        <item m="1" x="12"/>
        <item m="1" x="5"/>
        <item m="1" x="8"/>
        <item m="1" x="18"/>
        <item x="3"/>
        <item t="default"/>
      </items>
    </pivotField>
    <pivotField dataField="1"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/>
    <pivotField compact="0" outline="0" showAll="0" defaultSubtotal="0"/>
    <pivotField compact="0" outline="0" showAll="0"/>
    <pivotField dataField="1"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</pivotFields>
  <rowFields count="1">
    <field x="1"/>
  </rowFields>
  <rowItems count="5">
    <i>
      <x/>
    </i>
    <i>
      <x v="1"/>
    </i>
    <i>
      <x v="2"/>
    </i>
    <i>
      <x v="22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TONNAGES" fld="2" baseField="1" baseItem="13"/>
    <dataField name="Somme de CA" fld="7" baseField="1" baseItem="0" numFmtId="168"/>
    <dataField name="PA M" fld="10" baseField="1" baseItem="13" numFmtId="168"/>
    <dataField name="Min de PRIX" fld="3" subtotal="min" baseField="1" baseItem="0" numFmtId="168"/>
    <dataField name="Max de PRIX2" fld="3" subtotal="max" baseField="1" baseItem="0"/>
  </dataFields>
  <formats count="9">
    <format dxfId="8">
      <pivotArea grandRow="1" outline="0" collapsedLevelsAreSubtotals="1" fieldPosition="0"/>
    </format>
    <format dxfId="7">
      <pivotArea dataOnly="0" labelOnly="1" grandRow="1" outline="0" fieldPosition="0"/>
    </format>
    <format dxfId="6">
      <pivotArea type="all" dataOnly="0" outline="0" fieldPosition="0"/>
    </format>
    <format dxfId="5">
      <pivotArea outline="0" collapsedLevelsAreSubtotals="1" fieldPosition="0"/>
    </format>
    <format dxfId="4">
      <pivotArea dataOnly="0" labelOnly="1" outline="0" fieldPosition="0">
        <references count="1">
          <reference field="1" count="0"/>
        </references>
      </pivotArea>
    </format>
    <format dxfId="3">
      <pivotArea dataOnly="0" labelOnly="1" grandRow="1" outline="0" fieldPosition="0"/>
    </format>
    <format dxfId="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">
      <pivotArea outline="0" fieldPosition="0">
        <references count="1">
          <reference field="4294967294" count="1">
            <x v="3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4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499984740745262"/>
    <pageSetUpPr fitToPage="1"/>
  </sheetPr>
  <dimension ref="B1:BN15"/>
  <sheetViews>
    <sheetView tabSelected="1" workbookViewId="0">
      <selection activeCell="Q23" sqref="Q23"/>
    </sheetView>
  </sheetViews>
  <sheetFormatPr baseColWidth="10" defaultColWidth="11.42578125" defaultRowHeight="15" x14ac:dyDescent="0.25"/>
  <cols>
    <col min="1" max="2" width="1.85546875" style="1" customWidth="1"/>
    <col min="3" max="3" width="12.42578125" style="1" customWidth="1"/>
    <col min="4" max="4" width="12.28515625" style="1" bestFit="1" customWidth="1"/>
    <col min="5" max="5" width="11.42578125" style="14"/>
    <col min="6" max="6" width="11.42578125" style="2"/>
    <col min="7" max="7" width="17.85546875" style="2" customWidth="1"/>
    <col min="8" max="8" width="13.85546875" style="2" bestFit="1" customWidth="1"/>
    <col min="9" max="9" width="11.7109375" style="2" bestFit="1" customWidth="1"/>
    <col min="10" max="10" width="10.28515625" style="2" bestFit="1" customWidth="1"/>
    <col min="11" max="11" width="17.28515625" style="14" bestFit="1" customWidth="1"/>
    <col min="12" max="13" width="11.28515625" style="2" customWidth="1"/>
    <col min="14" max="14" width="11.42578125" style="1"/>
    <col min="15" max="15" width="13.140625" style="1" customWidth="1"/>
    <col min="16" max="16" width="15.85546875" style="1" customWidth="1"/>
    <col min="17" max="17" width="17.7109375" style="1" customWidth="1"/>
    <col min="18" max="18" width="10.28515625" style="1" customWidth="1"/>
    <col min="19" max="19" width="15.7109375" style="1" customWidth="1"/>
    <col min="20" max="20" width="18.42578125" style="1" customWidth="1"/>
    <col min="21" max="21" width="21.28515625" style="1" customWidth="1"/>
    <col min="22" max="22" width="21.140625" style="1" customWidth="1"/>
    <col min="23" max="23" width="12.7109375" style="1" customWidth="1"/>
    <col min="24" max="24" width="10.42578125" style="1" customWidth="1"/>
    <col min="25" max="25" width="14.85546875" style="1" customWidth="1"/>
    <col min="26" max="26" width="17.140625" style="1" customWidth="1"/>
    <col min="27" max="27" width="14.85546875" style="1" customWidth="1"/>
    <col min="28" max="28" width="17.140625" style="1" customWidth="1"/>
    <col min="29" max="29" width="14.85546875" style="1" customWidth="1"/>
    <col min="30" max="31" width="11.28515625" style="1" hidden="1" customWidth="1"/>
    <col min="32" max="32" width="9.85546875" style="1" hidden="1" customWidth="1"/>
    <col min="33" max="33" width="8.42578125" style="1" hidden="1" customWidth="1"/>
    <col min="34" max="35" width="13.28515625" style="1" hidden="1" customWidth="1"/>
    <col min="36" max="36" width="12.7109375" style="1" hidden="1" customWidth="1"/>
    <col min="37" max="38" width="13.85546875" style="1" hidden="1" customWidth="1"/>
    <col min="39" max="39" width="16.42578125" style="1" customWidth="1"/>
    <col min="40" max="40" width="11.5703125" style="1" customWidth="1"/>
    <col min="41" max="41" width="9.140625" style="1" bestFit="1" customWidth="1"/>
    <col min="42" max="48" width="4.7109375" style="1" customWidth="1"/>
    <col min="49" max="49" width="13.28515625" style="1" bestFit="1" customWidth="1"/>
    <col min="50" max="50" width="16.42578125" style="1" bestFit="1" customWidth="1"/>
    <col min="51" max="53" width="11.42578125" style="1"/>
    <col min="54" max="54" width="14.7109375" style="1" bestFit="1" customWidth="1"/>
    <col min="55" max="55" width="11.7109375" style="1" bestFit="1" customWidth="1"/>
    <col min="56" max="56" width="11.42578125" style="1"/>
    <col min="57" max="57" width="11.7109375" style="1" bestFit="1" customWidth="1"/>
    <col min="58" max="16384" width="11.42578125" style="1"/>
  </cols>
  <sheetData>
    <row r="1" spans="2:66" x14ac:dyDescent="0.25">
      <c r="B1" s="47"/>
      <c r="C1" s="64"/>
      <c r="D1" s="65"/>
      <c r="E1" s="66"/>
      <c r="F1" s="67"/>
      <c r="G1" s="67"/>
      <c r="H1" s="67"/>
      <c r="I1" s="67"/>
      <c r="J1" s="67"/>
      <c r="K1" s="66"/>
      <c r="L1" s="68"/>
      <c r="M1" s="68"/>
      <c r="N1" s="69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  <c r="AW1" s="48"/>
      <c r="AX1" s="48"/>
      <c r="AY1" s="48"/>
      <c r="AZ1" s="48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9"/>
    </row>
    <row r="2" spans="2:66" x14ac:dyDescent="0.25">
      <c r="B2" s="61"/>
      <c r="C2" s="70"/>
      <c r="D2" s="62"/>
      <c r="E2" s="57"/>
      <c r="F2" s="13"/>
      <c r="G2" s="13"/>
      <c r="H2" s="13"/>
      <c r="I2" s="13"/>
      <c r="J2" s="59"/>
      <c r="K2" s="58"/>
      <c r="L2" s="63"/>
      <c r="M2" s="63"/>
      <c r="N2" s="10"/>
      <c r="O2" s="10"/>
      <c r="P2" s="10"/>
      <c r="Q2" s="10"/>
      <c r="R2" s="10"/>
      <c r="S2" s="60"/>
      <c r="T2" s="60"/>
      <c r="U2" s="60"/>
      <c r="V2" s="60"/>
      <c r="W2" s="10"/>
      <c r="X2" s="10"/>
      <c r="Y2" s="10"/>
      <c r="Z2" s="6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60"/>
      <c r="AO2" s="60"/>
      <c r="AP2" s="60"/>
      <c r="AQ2" s="60"/>
      <c r="AR2" s="60"/>
      <c r="AS2" s="60"/>
      <c r="AT2" s="60"/>
      <c r="AU2" s="60"/>
      <c r="AV2" s="6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50"/>
    </row>
    <row r="3" spans="2:66" ht="15.75" thickBot="1" x14ac:dyDescent="0.3">
      <c r="B3" s="61"/>
      <c r="C3" s="10"/>
      <c r="D3" s="10"/>
      <c r="E3" s="57"/>
      <c r="F3" s="13"/>
      <c r="G3" s="13"/>
      <c r="H3" s="13"/>
      <c r="I3" s="13"/>
      <c r="J3" s="13"/>
      <c r="K3" s="57"/>
      <c r="L3" s="13"/>
      <c r="M3" s="13"/>
      <c r="N3" s="10"/>
      <c r="O3" s="10"/>
      <c r="P3" s="10"/>
      <c r="Q3" s="10"/>
      <c r="R3" s="10"/>
      <c r="S3" s="60"/>
      <c r="T3" s="60"/>
      <c r="U3" s="60"/>
      <c r="V3" s="60"/>
      <c r="W3" s="10"/>
      <c r="X3" s="10"/>
      <c r="Y3" s="10"/>
      <c r="Z3" s="6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60"/>
      <c r="AO3" s="60"/>
      <c r="AP3" s="60"/>
      <c r="AQ3" s="60"/>
      <c r="AR3" s="60"/>
      <c r="AS3" s="60"/>
      <c r="AT3" s="60"/>
      <c r="AU3" s="60"/>
      <c r="AV3" s="6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50"/>
    </row>
    <row r="4" spans="2:66" ht="36.75" customHeight="1" thickBot="1" x14ac:dyDescent="0.35">
      <c r="B4" s="61"/>
      <c r="C4" s="117"/>
      <c r="D4" s="118"/>
      <c r="E4" s="118"/>
      <c r="F4" s="118"/>
      <c r="G4" s="118"/>
      <c r="H4" s="118"/>
      <c r="I4" s="118"/>
      <c r="J4" s="118"/>
      <c r="K4" s="118"/>
      <c r="L4" s="118"/>
      <c r="M4" s="107"/>
      <c r="N4" s="28"/>
      <c r="O4" s="75"/>
      <c r="P4" s="100" t="s">
        <v>22</v>
      </c>
      <c r="Q4" s="76"/>
      <c r="R4" s="76"/>
      <c r="S4" s="76"/>
      <c r="T4" s="77"/>
      <c r="U4"/>
      <c r="V4"/>
      <c r="W4" s="115" t="s">
        <v>4</v>
      </c>
      <c r="X4" s="116"/>
      <c r="Y4" s="112" t="s">
        <v>41</v>
      </c>
      <c r="Z4" s="113"/>
      <c r="AA4" s="113"/>
      <c r="AB4" s="113"/>
      <c r="AC4" s="113"/>
      <c r="AD4" s="113"/>
      <c r="AE4" s="114"/>
      <c r="AF4" s="120" t="s">
        <v>10</v>
      </c>
      <c r="AG4" s="120"/>
      <c r="AH4" s="120"/>
      <c r="AI4" s="112" t="s">
        <v>31</v>
      </c>
      <c r="AJ4" s="113"/>
      <c r="AK4" s="113"/>
      <c r="AL4" s="114"/>
      <c r="AM4" s="51"/>
      <c r="AN4" s="51"/>
      <c r="AO4" s="51"/>
      <c r="AP4" s="51"/>
      <c r="AQ4" s="51"/>
      <c r="AR4" s="51"/>
      <c r="AS4" s="51"/>
      <c r="AT4" s="51"/>
      <c r="AU4" s="51"/>
      <c r="AV4" s="51"/>
      <c r="AW4" s="10"/>
      <c r="AX4" s="119" t="s">
        <v>17</v>
      </c>
      <c r="AY4" s="119"/>
      <c r="AZ4" s="119"/>
      <c r="BA4" s="119"/>
      <c r="BB4" s="119"/>
      <c r="BC4" s="119"/>
      <c r="BD4" s="119"/>
      <c r="BE4" s="119"/>
      <c r="BF4" s="10"/>
      <c r="BG4" s="10"/>
      <c r="BH4" s="10"/>
      <c r="BI4" s="10"/>
      <c r="BJ4" s="10"/>
      <c r="BK4" s="10"/>
      <c r="BL4" s="10"/>
      <c r="BM4" s="10"/>
      <c r="BN4" s="50"/>
    </row>
    <row r="5" spans="2:66" ht="45.75" thickBot="1" x14ac:dyDescent="0.3">
      <c r="B5" s="61"/>
      <c r="C5" s="23" t="s">
        <v>5</v>
      </c>
      <c r="D5" s="24" t="s">
        <v>6</v>
      </c>
      <c r="E5" s="25" t="s">
        <v>1</v>
      </c>
      <c r="F5" s="26" t="s">
        <v>0</v>
      </c>
      <c r="G5" s="26" t="s">
        <v>52</v>
      </c>
      <c r="H5" s="26" t="s">
        <v>55</v>
      </c>
      <c r="I5" s="26" t="s">
        <v>56</v>
      </c>
      <c r="J5" s="26" t="s">
        <v>2</v>
      </c>
      <c r="K5" s="35" t="s">
        <v>35</v>
      </c>
      <c r="L5" s="26" t="s">
        <v>3</v>
      </c>
      <c r="M5" s="110" t="s">
        <v>57</v>
      </c>
      <c r="N5" s="10"/>
      <c r="O5" s="101" t="s">
        <v>6</v>
      </c>
      <c r="P5" s="81" t="s">
        <v>40</v>
      </c>
      <c r="Q5" s="82" t="s">
        <v>9</v>
      </c>
      <c r="R5" s="83" t="s">
        <v>39</v>
      </c>
      <c r="S5" s="103" t="s">
        <v>50</v>
      </c>
      <c r="T5" s="106" t="s">
        <v>51</v>
      </c>
      <c r="U5"/>
      <c r="V5"/>
      <c r="W5" s="7" t="s">
        <v>24</v>
      </c>
      <c r="X5" s="88" t="s">
        <v>47</v>
      </c>
      <c r="Y5" s="89" t="s">
        <v>32</v>
      </c>
      <c r="Z5" s="90" t="s">
        <v>48</v>
      </c>
      <c r="AA5" s="91" t="s">
        <v>46</v>
      </c>
      <c r="AB5" s="42" t="s">
        <v>37</v>
      </c>
      <c r="AC5" s="91" t="s">
        <v>49</v>
      </c>
      <c r="AD5" s="40" t="s">
        <v>36</v>
      </c>
      <c r="AE5" s="42" t="s">
        <v>21</v>
      </c>
      <c r="AF5" s="5" t="s">
        <v>20</v>
      </c>
      <c r="AG5" s="5" t="s">
        <v>11</v>
      </c>
      <c r="AH5" s="5" t="s">
        <v>12</v>
      </c>
      <c r="AI5" s="36" t="s">
        <v>32</v>
      </c>
      <c r="AJ5" s="37" t="s">
        <v>33</v>
      </c>
      <c r="AK5" s="38" t="s">
        <v>34</v>
      </c>
      <c r="AL5" s="42" t="s">
        <v>38</v>
      </c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10"/>
      <c r="AX5" s="4" t="s">
        <v>13</v>
      </c>
      <c r="AY5" s="4" t="s">
        <v>14</v>
      </c>
      <c r="AZ5" s="4" t="s">
        <v>15</v>
      </c>
      <c r="BA5" s="4" t="s">
        <v>25</v>
      </c>
      <c r="BB5" s="4" t="s">
        <v>16</v>
      </c>
      <c r="BC5" s="3" t="s">
        <v>18</v>
      </c>
      <c r="BD5" s="3" t="s">
        <v>19</v>
      </c>
      <c r="BE5" s="3" t="s">
        <v>21</v>
      </c>
      <c r="BF5" s="71"/>
      <c r="BG5" s="10"/>
      <c r="BH5" s="10"/>
      <c r="BI5" s="10"/>
      <c r="BJ5" s="10"/>
      <c r="BK5" s="10"/>
      <c r="BL5" s="10"/>
      <c r="BM5" s="10"/>
      <c r="BN5" s="50"/>
    </row>
    <row r="6" spans="2:66" x14ac:dyDescent="0.25">
      <c r="B6" s="61"/>
      <c r="C6" s="29">
        <v>123</v>
      </c>
      <c r="D6" s="30">
        <v>42216</v>
      </c>
      <c r="E6" s="31">
        <v>35</v>
      </c>
      <c r="F6" s="32">
        <v>20</v>
      </c>
      <c r="G6" s="32" t="s">
        <v>54</v>
      </c>
      <c r="H6" s="95">
        <f>IF(G6="libre",E6,0)</f>
        <v>35</v>
      </c>
      <c r="I6" s="96">
        <f>H6*F6</f>
        <v>700</v>
      </c>
      <c r="J6" s="18">
        <f t="shared" ref="J6:J10" si="0">E6*F6</f>
        <v>700</v>
      </c>
      <c r="K6" s="17">
        <f>SUM($E$6:E6)</f>
        <v>35</v>
      </c>
      <c r="L6" s="18">
        <f>SUM($J$6:J6)/K6</f>
        <v>20</v>
      </c>
      <c r="M6" s="19"/>
      <c r="N6" s="108"/>
      <c r="O6" s="78">
        <v>42216</v>
      </c>
      <c r="P6" s="84">
        <v>189</v>
      </c>
      <c r="Q6" s="73">
        <v>4293</v>
      </c>
      <c r="R6" s="73">
        <v>22.714285714285715</v>
      </c>
      <c r="S6" s="73">
        <v>18</v>
      </c>
      <c r="T6" s="99">
        <v>28</v>
      </c>
      <c r="U6"/>
      <c r="V6"/>
      <c r="W6" s="8">
        <v>70.989999999999995</v>
      </c>
      <c r="X6" s="85">
        <v>113.74</v>
      </c>
      <c r="Y6" s="87">
        <v>42186</v>
      </c>
      <c r="Z6" s="87"/>
      <c r="AA6" s="92">
        <v>0</v>
      </c>
      <c r="AB6" s="93">
        <f>SUM(Z$6:$AA6)</f>
        <v>0</v>
      </c>
      <c r="AC6" s="94">
        <v>0</v>
      </c>
      <c r="AD6" s="41">
        <f>SUM(AC$1:$AC6)</f>
        <v>0</v>
      </c>
      <c r="AE6" s="43">
        <f>IF(AC6=0,0,AC6/AA6)</f>
        <v>0</v>
      </c>
      <c r="AF6" s="9">
        <f>P6-SUM(W6:X6)</f>
        <v>4.2700000000000102</v>
      </c>
      <c r="AG6" s="13">
        <f>SUM($AH6:AH$6)/SUM($AF6:AF$6)</f>
        <v>22.714285714285715</v>
      </c>
      <c r="AH6" s="13">
        <f t="shared" ref="AH6:AH10" si="1">AF6*R6</f>
        <v>96.990000000000236</v>
      </c>
      <c r="AI6" s="11">
        <v>41821</v>
      </c>
      <c r="AJ6" s="15">
        <v>190.54</v>
      </c>
      <c r="AK6" s="12">
        <f>SUM($AJ$6:AJ6)</f>
        <v>190.54</v>
      </c>
      <c r="AL6" s="45" t="e">
        <f>SUM(AJ6/#REF!)</f>
        <v>#REF!</v>
      </c>
      <c r="AM6" s="10"/>
      <c r="AN6" s="60"/>
      <c r="AO6" s="60"/>
      <c r="AP6" s="60"/>
      <c r="AQ6" s="60"/>
      <c r="AR6" s="60"/>
      <c r="AS6" s="60"/>
      <c r="AT6" s="60"/>
      <c r="AU6" s="60"/>
      <c r="AV6" s="60"/>
      <c r="AW6" s="86" t="s">
        <v>42</v>
      </c>
      <c r="AX6" s="39">
        <f>SUM(Q6:Q8)</f>
        <v>14481</v>
      </c>
      <c r="AY6" s="9">
        <f>SUM(P6:P8)</f>
        <v>617.14</v>
      </c>
      <c r="AZ6" s="53">
        <f t="shared" ref="AZ6:AZ10" si="2">AX6/AY6</f>
        <v>23.464691966166512</v>
      </c>
      <c r="BA6" s="56">
        <f>MIN(F6:F10)</f>
        <v>18</v>
      </c>
      <c r="BB6" s="54">
        <f>AY6-SUM(AA6:AA8)-SUM(X6:X8)</f>
        <v>358.46</v>
      </c>
      <c r="BC6" s="52" t="e">
        <f t="shared" ref="BC6:BC10" si="3">BD6*(AY6-BB6)</f>
        <v>#REF!</v>
      </c>
      <c r="BD6" s="52" t="e">
        <f t="shared" ref="BD6:BD10" si="4">BE6-AZ6</f>
        <v>#REF!</v>
      </c>
      <c r="BE6" s="55" t="e">
        <f>(SUM(#REF!)+SUM(AC6:AC8))/(AY6-BB6)</f>
        <v>#REF!</v>
      </c>
      <c r="BF6" s="10"/>
      <c r="BG6" s="10"/>
      <c r="BH6" s="10"/>
      <c r="BI6" s="10"/>
      <c r="BJ6" s="10"/>
      <c r="BK6" s="10"/>
      <c r="BL6" s="10"/>
      <c r="BM6" s="10"/>
      <c r="BN6" s="50"/>
    </row>
    <row r="7" spans="2:66" x14ac:dyDescent="0.25">
      <c r="B7" s="61"/>
      <c r="C7" s="21">
        <v>124</v>
      </c>
      <c r="D7" s="16">
        <v>42216</v>
      </c>
      <c r="E7" s="17">
        <v>37</v>
      </c>
      <c r="F7" s="18">
        <v>25</v>
      </c>
      <c r="G7" s="32" t="s">
        <v>53</v>
      </c>
      <c r="H7" s="95">
        <f t="shared" ref="H7:H10" si="5">IF(G7="libre",E7,0)</f>
        <v>0</v>
      </c>
      <c r="I7" s="96">
        <f t="shared" ref="I7:I10" si="6">H7*F7</f>
        <v>0</v>
      </c>
      <c r="J7" s="18">
        <f t="shared" si="0"/>
        <v>925</v>
      </c>
      <c r="K7" s="17">
        <f>SUM($E$6:E7)</f>
        <v>72</v>
      </c>
      <c r="L7" s="18">
        <f>SUM($J$6:J7)/K7</f>
        <v>22.569444444444443</v>
      </c>
      <c r="M7" s="19"/>
      <c r="N7" s="109"/>
      <c r="O7" s="79">
        <v>42247</v>
      </c>
      <c r="P7" s="74">
        <v>213.68</v>
      </c>
      <c r="Q7" s="6">
        <v>6453.7000000000007</v>
      </c>
      <c r="R7" s="6">
        <v>30.202639460876078</v>
      </c>
      <c r="S7" s="6">
        <v>24</v>
      </c>
      <c r="T7" s="98">
        <v>35</v>
      </c>
      <c r="U7"/>
      <c r="V7"/>
      <c r="W7" s="8">
        <v>39.5</v>
      </c>
      <c r="X7" s="85">
        <v>74.38</v>
      </c>
      <c r="Y7" s="87">
        <v>42217</v>
      </c>
      <c r="Z7" s="87"/>
      <c r="AA7" s="92">
        <v>0</v>
      </c>
      <c r="AB7" s="93">
        <f>SUM(Z$6:$AA7)</f>
        <v>0</v>
      </c>
      <c r="AC7" s="94">
        <v>0</v>
      </c>
      <c r="AD7" s="41">
        <f>SUM(AC$1:$AC7)</f>
        <v>0</v>
      </c>
      <c r="AE7" s="44">
        <f t="shared" ref="AE7:AE10" si="7">IF(AC7=0,0,AC7/AA7)</f>
        <v>0</v>
      </c>
      <c r="AF7" s="9">
        <f t="shared" ref="AF7:AF10" si="8">AF6-SUM(W7:X7)+P7</f>
        <v>104.07000000000002</v>
      </c>
      <c r="AG7" s="13">
        <f>SUM($AH$7:AH7)/SUM($AF$7:AF7)</f>
        <v>30.202639460876078</v>
      </c>
      <c r="AH7" s="13">
        <f t="shared" si="1"/>
        <v>3143.1886886933739</v>
      </c>
      <c r="AI7" s="11">
        <v>41852</v>
      </c>
      <c r="AJ7" s="15">
        <v>132.58000000000001</v>
      </c>
      <c r="AK7" s="12">
        <f>SUM($AJ$6:AJ7)</f>
        <v>323.12</v>
      </c>
      <c r="AL7" s="46" t="e">
        <f>SUM(AJ7/#REF!)</f>
        <v>#REF!</v>
      </c>
      <c r="AM7" s="10"/>
      <c r="AN7" s="60"/>
      <c r="AO7" s="60"/>
      <c r="AP7" s="60"/>
      <c r="AQ7" s="60"/>
      <c r="AR7" s="60"/>
      <c r="AS7" s="60"/>
      <c r="AT7" s="60"/>
      <c r="AU7" s="60"/>
      <c r="AV7" s="60"/>
      <c r="AW7" s="86" t="s">
        <v>23</v>
      </c>
      <c r="AX7" s="39">
        <f>SUM(Q9:Q10)</f>
        <v>14481.000000000002</v>
      </c>
      <c r="AY7" s="9">
        <f>SUM(P9:P10)</f>
        <v>617.14</v>
      </c>
      <c r="AZ7" s="53">
        <f t="shared" si="2"/>
        <v>23.464691966166512</v>
      </c>
      <c r="BA7" s="56" t="e">
        <f>MIN(#REF!)</f>
        <v>#REF!</v>
      </c>
      <c r="BB7" s="54">
        <f>AY7-(SUM(AA9:AA10)+SUM(X9:X10))</f>
        <v>369.14</v>
      </c>
      <c r="BC7" s="52" t="e">
        <f t="shared" si="3"/>
        <v>#REF!</v>
      </c>
      <c r="BD7" s="52" t="e">
        <f t="shared" si="4"/>
        <v>#REF!</v>
      </c>
      <c r="BE7" s="55" t="e">
        <f>(SUM(AC9:AC10)+SUM(#REF!))/(AY7-BB7)</f>
        <v>#REF!</v>
      </c>
      <c r="BF7" s="10"/>
      <c r="BG7" s="10"/>
      <c r="BH7" s="10"/>
      <c r="BI7" s="10"/>
      <c r="BJ7" s="10"/>
      <c r="BK7" s="10"/>
      <c r="BL7" s="10"/>
      <c r="BM7" s="10"/>
      <c r="BN7" s="50"/>
    </row>
    <row r="8" spans="2:66" x14ac:dyDescent="0.25">
      <c r="B8" s="61"/>
      <c r="C8" s="33">
        <v>125</v>
      </c>
      <c r="D8" s="27">
        <v>42216</v>
      </c>
      <c r="E8" s="17">
        <v>42</v>
      </c>
      <c r="F8" s="18">
        <v>18</v>
      </c>
      <c r="G8" s="32" t="s">
        <v>54</v>
      </c>
      <c r="H8" s="95">
        <f t="shared" si="5"/>
        <v>42</v>
      </c>
      <c r="I8" s="96">
        <f t="shared" si="6"/>
        <v>756</v>
      </c>
      <c r="J8" s="18">
        <f t="shared" si="0"/>
        <v>756</v>
      </c>
      <c r="K8" s="17">
        <f>SUM($E$6:E8)</f>
        <v>114</v>
      </c>
      <c r="L8" s="18">
        <f>SUM($J$6:J8)/K8</f>
        <v>20.885964912280702</v>
      </c>
      <c r="M8" s="19"/>
      <c r="N8" s="109"/>
      <c r="O8" s="79">
        <v>42277</v>
      </c>
      <c r="P8" s="74">
        <v>214.45999999999998</v>
      </c>
      <c r="Q8" s="6">
        <v>3734.3</v>
      </c>
      <c r="R8" s="6">
        <v>17.412571108831486</v>
      </c>
      <c r="S8" s="6">
        <v>12</v>
      </c>
      <c r="T8" s="98">
        <v>27</v>
      </c>
      <c r="U8"/>
      <c r="V8"/>
      <c r="W8" s="8">
        <v>47</v>
      </c>
      <c r="X8" s="85">
        <v>65.56</v>
      </c>
      <c r="Y8" s="87">
        <v>42248</v>
      </c>
      <c r="Z8" s="87"/>
      <c r="AA8" s="92">
        <v>5</v>
      </c>
      <c r="AB8" s="93">
        <f>SUM(Z$6:$AA8)</f>
        <v>5</v>
      </c>
      <c r="AC8" s="94">
        <v>1945</v>
      </c>
      <c r="AD8" s="41">
        <f>SUM(AC$1:$AC8)</f>
        <v>1945</v>
      </c>
      <c r="AE8" s="44">
        <f t="shared" si="7"/>
        <v>389</v>
      </c>
      <c r="AF8" s="9">
        <f t="shared" si="8"/>
        <v>205.97</v>
      </c>
      <c r="AG8" s="13">
        <f>SUM($AH$7:AH8)/SUM($AF$7:AF8)</f>
        <v>21.705766868724663</v>
      </c>
      <c r="AH8" s="13">
        <f t="shared" si="1"/>
        <v>3586.4672712860211</v>
      </c>
      <c r="AI8" s="11">
        <v>41883</v>
      </c>
      <c r="AJ8" s="15">
        <v>207.02</v>
      </c>
      <c r="AK8" s="12">
        <f>SUM($AJ$6:AJ8)</f>
        <v>530.14</v>
      </c>
      <c r="AL8" s="46" t="e">
        <f>SUM(AJ8/#REF!)</f>
        <v>#REF!</v>
      </c>
      <c r="AM8" s="10"/>
      <c r="AN8" s="60"/>
      <c r="AO8" s="60"/>
      <c r="AP8" s="60"/>
      <c r="AQ8" s="60"/>
      <c r="AR8" s="60"/>
      <c r="AS8" s="60"/>
      <c r="AT8" s="60"/>
      <c r="AU8" s="60"/>
      <c r="AV8" s="60"/>
      <c r="AW8" s="86" t="s">
        <v>43</v>
      </c>
      <c r="AX8" s="39" t="e">
        <f>SUM(#REF!)</f>
        <v>#REF!</v>
      </c>
      <c r="AY8" s="9" t="e">
        <f>SUM(#REF!)</f>
        <v>#REF!</v>
      </c>
      <c r="AZ8" s="53" t="e">
        <f t="shared" si="2"/>
        <v>#REF!</v>
      </c>
      <c r="BA8" s="56" t="e">
        <f>MIN(#REF!)</f>
        <v>#REF!</v>
      </c>
      <c r="BB8" s="54" t="e">
        <f>AY8-(SUM(#REF!)+SUM(#REF!))</f>
        <v>#REF!</v>
      </c>
      <c r="BC8" s="52" t="e">
        <f t="shared" si="3"/>
        <v>#REF!</v>
      </c>
      <c r="BD8" s="52" t="e">
        <f t="shared" si="4"/>
        <v>#REF!</v>
      </c>
      <c r="BE8" s="55" t="e">
        <f>(SUM(#REF!)+SUM(#REF!))/(AY8-BB8)</f>
        <v>#REF!</v>
      </c>
      <c r="BF8" s="10"/>
      <c r="BG8" s="10"/>
      <c r="BH8" s="71" t="s">
        <v>27</v>
      </c>
      <c r="BI8" s="71" t="s">
        <v>14</v>
      </c>
      <c r="BJ8" s="71" t="s">
        <v>15</v>
      </c>
      <c r="BK8" s="71" t="s">
        <v>29</v>
      </c>
      <c r="BL8" s="71" t="s">
        <v>30</v>
      </c>
      <c r="BM8" s="71" t="s">
        <v>21</v>
      </c>
      <c r="BN8" s="50"/>
    </row>
    <row r="9" spans="2:66" ht="15.75" thickBot="1" x14ac:dyDescent="0.3">
      <c r="B9" s="61"/>
      <c r="C9" s="22">
        <v>126</v>
      </c>
      <c r="D9" s="16">
        <v>42216</v>
      </c>
      <c r="E9" s="34">
        <v>32</v>
      </c>
      <c r="F9" s="18">
        <v>28</v>
      </c>
      <c r="G9" s="32" t="s">
        <v>53</v>
      </c>
      <c r="H9" s="95">
        <f t="shared" si="5"/>
        <v>0</v>
      </c>
      <c r="I9" s="96">
        <f t="shared" si="6"/>
        <v>0</v>
      </c>
      <c r="J9" s="18">
        <f t="shared" si="0"/>
        <v>896</v>
      </c>
      <c r="K9" s="17">
        <f>SUM($E$6:E9)</f>
        <v>146</v>
      </c>
      <c r="L9" s="32">
        <f>SUM($J$6:J9)/K9</f>
        <v>22.445205479452056</v>
      </c>
      <c r="M9" s="111"/>
      <c r="N9" s="109"/>
      <c r="O9" s="97" t="s">
        <v>8</v>
      </c>
      <c r="P9" s="74"/>
      <c r="Q9" s="6"/>
      <c r="R9" s="6">
        <v>0</v>
      </c>
      <c r="S9" s="6"/>
      <c r="T9" s="98"/>
      <c r="U9"/>
      <c r="V9"/>
      <c r="W9" s="8">
        <v>61.57</v>
      </c>
      <c r="X9" s="85">
        <v>87.64</v>
      </c>
      <c r="Y9" s="87">
        <v>42278</v>
      </c>
      <c r="Z9" s="87"/>
      <c r="AA9" s="92">
        <v>5.2</v>
      </c>
      <c r="AB9" s="93">
        <f>SUM(Z$6:$AA9)</f>
        <v>10.199999999999999</v>
      </c>
      <c r="AC9" s="94">
        <v>1991.76</v>
      </c>
      <c r="AD9" s="41">
        <f>SUM(AC$1:$AC9)</f>
        <v>3936.76</v>
      </c>
      <c r="AE9" s="44">
        <f t="shared" si="7"/>
        <v>383.03076923076924</v>
      </c>
      <c r="AF9" s="9">
        <f t="shared" si="8"/>
        <v>56.759999999999991</v>
      </c>
      <c r="AG9" s="13">
        <f>SUM($AH$7:AH9)/SUM($AF$7:AF9)</f>
        <v>18.346935550652656</v>
      </c>
      <c r="AH9" s="13">
        <f t="shared" si="1"/>
        <v>0</v>
      </c>
      <c r="AI9" s="11">
        <v>41913</v>
      </c>
      <c r="AJ9" s="15">
        <v>220.46</v>
      </c>
      <c r="AK9" s="12">
        <f>SUM($AJ$6:AJ9)</f>
        <v>750.6</v>
      </c>
      <c r="AL9" s="46" t="e">
        <f>SUM(AJ9/#REF!)</f>
        <v>#REF!</v>
      </c>
      <c r="AM9" s="10"/>
      <c r="AN9" s="60"/>
      <c r="AO9" s="60"/>
      <c r="AP9" s="60"/>
      <c r="AQ9" s="60"/>
      <c r="AR9" s="60"/>
      <c r="AS9" s="60"/>
      <c r="AT9" s="60"/>
      <c r="AU9" s="60"/>
      <c r="AV9" s="60"/>
      <c r="AW9" s="86" t="s">
        <v>44</v>
      </c>
      <c r="AX9" s="39" t="e">
        <f>SUM(#REF!)</f>
        <v>#REF!</v>
      </c>
      <c r="AY9" s="9" t="e">
        <f>SUM(#REF!)</f>
        <v>#REF!</v>
      </c>
      <c r="AZ9" s="53" t="e">
        <f t="shared" si="2"/>
        <v>#REF!</v>
      </c>
      <c r="BA9" s="56" t="e">
        <f>MIN(#REF!)</f>
        <v>#REF!</v>
      </c>
      <c r="BB9" s="54" t="e">
        <f>AY9-(SUM(#REF!)+SUM(#REF!))</f>
        <v>#REF!</v>
      </c>
      <c r="BC9" s="52" t="e">
        <f t="shared" si="3"/>
        <v>#REF!</v>
      </c>
      <c r="BD9" s="52" t="e">
        <f t="shared" si="4"/>
        <v>#REF!</v>
      </c>
      <c r="BE9" s="55" t="e">
        <f>(SUM(#REF!)+SUM(#REF!))/(AY9-BB9)</f>
        <v>#REF!</v>
      </c>
      <c r="BF9" s="10"/>
      <c r="BG9" s="71" t="s">
        <v>28</v>
      </c>
      <c r="BH9" s="72" t="e">
        <f>#REF!</f>
        <v>#REF!</v>
      </c>
      <c r="BI9" s="71" t="e">
        <f>#REF!</f>
        <v>#REF!</v>
      </c>
      <c r="BJ9" s="13" t="e">
        <f>BH9/BI9</f>
        <v>#REF!</v>
      </c>
      <c r="BK9" s="10" t="e">
        <f>(#REF!-BJ9)*SUM(#REF!)</f>
        <v>#REF!</v>
      </c>
      <c r="BL9" s="10" t="e">
        <f>BK9/SUM(#REF!)</f>
        <v>#REF!</v>
      </c>
      <c r="BM9" s="10" t="e">
        <f>SUMPRODUCT(#REF!,#REF!)/SUM(#REF!)</f>
        <v>#REF!</v>
      </c>
      <c r="BN9" s="50"/>
    </row>
    <row r="10" spans="2:66" ht="15.75" thickBot="1" x14ac:dyDescent="0.3">
      <c r="B10" s="61"/>
      <c r="C10" s="29">
        <v>127</v>
      </c>
      <c r="D10" s="30">
        <v>42247</v>
      </c>
      <c r="E10" s="31">
        <v>27</v>
      </c>
      <c r="F10" s="32">
        <v>32</v>
      </c>
      <c r="G10" s="32" t="s">
        <v>54</v>
      </c>
      <c r="H10" s="95">
        <f t="shared" si="5"/>
        <v>27</v>
      </c>
      <c r="I10" s="96">
        <f t="shared" si="6"/>
        <v>864</v>
      </c>
      <c r="J10" s="18">
        <f t="shared" si="0"/>
        <v>864</v>
      </c>
      <c r="K10" s="17">
        <f>SUM($E$6:E10)</f>
        <v>173</v>
      </c>
      <c r="L10" s="18">
        <f>SUM($J$6:J10)/K10</f>
        <v>23.936416184971097</v>
      </c>
      <c r="M10" s="19"/>
      <c r="N10" s="109"/>
      <c r="O10" s="80" t="s">
        <v>7</v>
      </c>
      <c r="P10" s="105">
        <v>617.14</v>
      </c>
      <c r="Q10" s="102">
        <v>14481.000000000002</v>
      </c>
      <c r="R10" s="102">
        <v>23.464691966166512</v>
      </c>
      <c r="S10" s="102">
        <v>12</v>
      </c>
      <c r="T10" s="104">
        <v>35</v>
      </c>
      <c r="U10"/>
      <c r="V10"/>
      <c r="W10" s="8">
        <v>79.23</v>
      </c>
      <c r="X10" s="85">
        <v>118.76</v>
      </c>
      <c r="Y10" s="87">
        <v>42309</v>
      </c>
      <c r="Z10" s="87"/>
      <c r="AA10" s="92">
        <v>36.4</v>
      </c>
      <c r="AB10" s="93">
        <f>SUM(Z$6:$AA10)</f>
        <v>46.599999999999994</v>
      </c>
      <c r="AC10" s="94">
        <f>14705.8-788</f>
        <v>13917.8</v>
      </c>
      <c r="AD10" s="41">
        <f>SUM(AC$1:$AC10)</f>
        <v>17854.559999999998</v>
      </c>
      <c r="AE10" s="44">
        <f t="shared" si="7"/>
        <v>382.35714285714283</v>
      </c>
      <c r="AF10" s="9">
        <f t="shared" si="8"/>
        <v>475.90999999999997</v>
      </c>
      <c r="AG10" s="13">
        <f>SUM($AH$7:AH10)/SUM($AF$7:AF10)</f>
        <v>21.237124887087727</v>
      </c>
      <c r="AH10" s="13">
        <f t="shared" si="1"/>
        <v>11167.081553618304</v>
      </c>
      <c r="AI10" s="11">
        <v>41944</v>
      </c>
      <c r="AJ10" s="15">
        <v>165.33</v>
      </c>
      <c r="AK10" s="12">
        <f>SUM($AJ$6:AJ10)</f>
        <v>915.93000000000006</v>
      </c>
      <c r="AL10" s="46" t="e">
        <f>SUM(AJ10/#REF!)</f>
        <v>#REF!</v>
      </c>
      <c r="AM10" s="10"/>
      <c r="AN10" s="60"/>
      <c r="AO10" s="60"/>
      <c r="AP10" s="60"/>
      <c r="AQ10" s="60"/>
      <c r="AR10" s="60"/>
      <c r="AS10" s="60"/>
      <c r="AT10" s="60"/>
      <c r="AU10" s="60"/>
      <c r="AV10" s="60"/>
      <c r="AW10" s="86" t="s">
        <v>45</v>
      </c>
      <c r="AX10" s="39" t="e">
        <f>SUM(#REF!)</f>
        <v>#REF!</v>
      </c>
      <c r="AY10" s="9" t="e">
        <f>SUM(#REF!)</f>
        <v>#REF!</v>
      </c>
      <c r="AZ10" s="53" t="e">
        <f t="shared" si="2"/>
        <v>#REF!</v>
      </c>
      <c r="BA10" s="56" t="e">
        <f>MIN(#REF!)</f>
        <v>#REF!</v>
      </c>
      <c r="BB10" s="54" t="e">
        <f>AY10-(SUM(#REF!)+SUM(#REF!))</f>
        <v>#REF!</v>
      </c>
      <c r="BC10" s="52" t="e">
        <f t="shared" si="3"/>
        <v>#REF!</v>
      </c>
      <c r="BD10" s="52" t="e">
        <f t="shared" si="4"/>
        <v>#REF!</v>
      </c>
      <c r="BE10" s="55" t="e">
        <f>(SUM(#REF!)+SUM(#REF!))/(AY10-BB10)</f>
        <v>#REF!</v>
      </c>
      <c r="BF10" s="10"/>
      <c r="BG10" s="71" t="s">
        <v>26</v>
      </c>
      <c r="BH10" s="72" t="e">
        <f>#REF!</f>
        <v>#REF!</v>
      </c>
      <c r="BI10" s="71" t="e">
        <f>#REF!</f>
        <v>#REF!</v>
      </c>
      <c r="BJ10" s="13" t="e">
        <f>BH10/BI10</f>
        <v>#REF!</v>
      </c>
      <c r="BK10" s="10" t="e">
        <f>(#REF!-BJ10)*SUM(#REF!)</f>
        <v>#REF!</v>
      </c>
      <c r="BL10" s="10" t="e">
        <f>BK10/SUM(#REF!)</f>
        <v>#REF!</v>
      </c>
      <c r="BM10" s="10" t="e">
        <f>SUMPRODUCT(#REF!,#REF!)/SUM(#REF!)</f>
        <v>#REF!</v>
      </c>
      <c r="BN10" s="50"/>
    </row>
    <row r="11" spans="2:66" x14ac:dyDescent="0.25">
      <c r="C11" s="29">
        <v>127</v>
      </c>
      <c r="D11" s="30">
        <v>42247</v>
      </c>
      <c r="E11" s="31">
        <v>27</v>
      </c>
      <c r="F11" s="32">
        <v>32</v>
      </c>
      <c r="G11" s="32" t="s">
        <v>53</v>
      </c>
      <c r="H11" s="95">
        <f t="shared" ref="H11:H13" si="9">IF(G11="libre",E11,0)</f>
        <v>0</v>
      </c>
      <c r="I11" s="96">
        <f t="shared" ref="I11:I13" si="10">H11*F11</f>
        <v>0</v>
      </c>
      <c r="J11" s="18">
        <f t="shared" ref="J11:J13" si="11">E11*F11</f>
        <v>864</v>
      </c>
      <c r="K11" s="17">
        <f>SUM($E$6:E11)</f>
        <v>200</v>
      </c>
      <c r="L11" s="18">
        <f>SUM($J$6:J11)/K11</f>
        <v>25.024999999999999</v>
      </c>
      <c r="M11" s="19"/>
    </row>
    <row r="12" spans="2:66" x14ac:dyDescent="0.25">
      <c r="C12" s="29">
        <v>127</v>
      </c>
      <c r="D12" s="30">
        <v>42247</v>
      </c>
      <c r="E12" s="31">
        <v>27</v>
      </c>
      <c r="F12" s="32">
        <v>32</v>
      </c>
      <c r="G12" s="32" t="s">
        <v>54</v>
      </c>
      <c r="H12" s="95">
        <f t="shared" si="9"/>
        <v>27</v>
      </c>
      <c r="I12" s="96">
        <f t="shared" si="10"/>
        <v>864</v>
      </c>
      <c r="J12" s="18">
        <f t="shared" si="11"/>
        <v>864</v>
      </c>
      <c r="K12" s="17">
        <f>SUM($E$6:E12)</f>
        <v>227</v>
      </c>
      <c r="L12" s="18">
        <f>SUM($J$6:J12)/K12</f>
        <v>25.854625550660792</v>
      </c>
      <c r="M12" s="19"/>
    </row>
    <row r="13" spans="2:66" x14ac:dyDescent="0.25">
      <c r="C13" s="29">
        <v>127</v>
      </c>
      <c r="D13" s="30">
        <v>42247</v>
      </c>
      <c r="E13" s="31">
        <v>27</v>
      </c>
      <c r="F13" s="32">
        <v>32</v>
      </c>
      <c r="G13" s="32" t="s">
        <v>53</v>
      </c>
      <c r="H13" s="95">
        <f t="shared" si="9"/>
        <v>0</v>
      </c>
      <c r="I13" s="96">
        <f t="shared" si="10"/>
        <v>0</v>
      </c>
      <c r="J13" s="18">
        <f t="shared" si="11"/>
        <v>864</v>
      </c>
      <c r="K13" s="17">
        <f>SUM($E$6:E13)</f>
        <v>254</v>
      </c>
      <c r="L13" s="18">
        <f>SUM($J$6:J13)/K13</f>
        <v>26.507874015748033</v>
      </c>
      <c r="M13" s="19"/>
    </row>
    <row r="14" spans="2:66" x14ac:dyDescent="0.25">
      <c r="C14" s="29">
        <v>127</v>
      </c>
      <c r="D14" s="30">
        <v>42247</v>
      </c>
      <c r="E14" s="31">
        <v>27</v>
      </c>
      <c r="F14" s="32">
        <v>32</v>
      </c>
      <c r="G14" s="32" t="s">
        <v>54</v>
      </c>
      <c r="H14" s="95">
        <f t="shared" ref="H14:H15" si="12">IF(G14="libre",E14,0)</f>
        <v>27</v>
      </c>
      <c r="I14" s="96">
        <f t="shared" ref="I14:I15" si="13">H14*F14</f>
        <v>864</v>
      </c>
      <c r="J14" s="18">
        <f t="shared" ref="J14:J15" si="14">E14*F14</f>
        <v>864</v>
      </c>
      <c r="K14" s="17">
        <f>SUM($E$6:E14)</f>
        <v>281</v>
      </c>
      <c r="L14" s="18">
        <f>SUM($J$6:J14)/K14</f>
        <v>27.035587188612098</v>
      </c>
      <c r="M14" s="19"/>
    </row>
    <row r="15" spans="2:66" ht="15.75" thickBot="1" x14ac:dyDescent="0.3">
      <c r="C15" s="29">
        <v>127</v>
      </c>
      <c r="D15" s="30">
        <v>42247</v>
      </c>
      <c r="E15" s="31">
        <v>27</v>
      </c>
      <c r="F15" s="32">
        <v>32</v>
      </c>
      <c r="G15" s="32" t="s">
        <v>53</v>
      </c>
      <c r="H15" s="95">
        <f t="shared" si="12"/>
        <v>0</v>
      </c>
      <c r="I15" s="96">
        <f t="shared" si="13"/>
        <v>0</v>
      </c>
      <c r="J15" s="18">
        <f t="shared" si="14"/>
        <v>864</v>
      </c>
      <c r="K15" s="17">
        <f>SUM($E$6:E15)</f>
        <v>308</v>
      </c>
      <c r="L15" s="18">
        <f>SUM($J$6:J15)/K15</f>
        <v>27.470779220779221</v>
      </c>
      <c r="M15" s="20"/>
    </row>
  </sheetData>
  <autoFilter ref="B5:BN10"/>
  <sortState ref="C6:I24">
    <sortCondition ref="D6:D24"/>
  </sortState>
  <mergeCells count="6">
    <mergeCell ref="Y4:AE4"/>
    <mergeCell ref="W4:X4"/>
    <mergeCell ref="C4:L4"/>
    <mergeCell ref="AX4:BE4"/>
    <mergeCell ref="AF4:AH4"/>
    <mergeCell ref="AI4:AL4"/>
  </mergeCells>
  <pageMargins left="0.25" right="0.25" top="0.75" bottom="0.75" header="0.3" footer="0.3"/>
  <pageSetup paperSize="9" scale="32" fitToHeight="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Thomas</cp:lastModifiedBy>
  <cp:lastPrinted>2016-03-01T17:04:00Z</cp:lastPrinted>
  <dcterms:created xsi:type="dcterms:W3CDTF">2012-05-15T18:46:52Z</dcterms:created>
  <dcterms:modified xsi:type="dcterms:W3CDTF">2016-03-16T10:56:48Z</dcterms:modified>
</cp:coreProperties>
</file>