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AFFAIRES\Aff 2827 BROVEDANI\AVANCEMENT\"/>
    </mc:Choice>
  </mc:AlternateContent>
  <bookViews>
    <workbookView xWindow="0" yWindow="0" windowWidth="19200" windowHeight="11595" firstSheet="4" activeTab="11"/>
  </bookViews>
  <sheets>
    <sheet name="GENERAL Z2-3" sheetId="3" r:id="rId1"/>
    <sheet name="GENERAL Z1-13" sheetId="5" r:id="rId2"/>
    <sheet name="RECAP" sheetId="29" r:id="rId3"/>
    <sheet name="ZONE 1" sheetId="2" r:id="rId4"/>
    <sheet name="ZONE 2" sheetId="7" r:id="rId5"/>
    <sheet name="ZONE 3" sheetId="14" r:id="rId6"/>
    <sheet name="ZONE 5" sheetId="16" r:id="rId7"/>
    <sheet name="ZONE 6" sheetId="17" r:id="rId8"/>
    <sheet name="ZONE 7" sheetId="18" r:id="rId9"/>
    <sheet name="ZONE 9" sheetId="20" r:id="rId10"/>
    <sheet name="ZONE 10" sheetId="21" r:id="rId11"/>
    <sheet name="ZONE 11" sheetId="22" r:id="rId12"/>
    <sheet name="ZONE " sheetId="23" r:id="rId13"/>
  </sheets>
  <definedNames>
    <definedName name="_xlnm._FilterDatabase" localSheetId="12" hidden="1">'ZONE '!$A$3:$U$237</definedName>
    <definedName name="_xlnm._FilterDatabase" localSheetId="3" hidden="1">'ZONE 1'!$A$3:$S$4</definedName>
    <definedName name="_xlnm._FilterDatabase" localSheetId="10" hidden="1">'ZONE 10'!$A$3:$S$23</definedName>
    <definedName name="_xlnm._FilterDatabase" localSheetId="11" hidden="1">'ZONE 11'!$A$3:$S$27</definedName>
    <definedName name="_xlnm._FilterDatabase" localSheetId="4" hidden="1">'ZONE 2'!$A$3:$S$57</definedName>
    <definedName name="_xlnm._FilterDatabase" localSheetId="5" hidden="1">'ZONE 3'!$A$3:$S$32</definedName>
    <definedName name="_xlnm._FilterDatabase" localSheetId="6" hidden="1">'ZONE 5'!$A$3:$S$7</definedName>
    <definedName name="_xlnm._FilterDatabase" localSheetId="7" hidden="1">'ZONE 6'!$A$3:$S$18</definedName>
    <definedName name="_xlnm._FilterDatabase" localSheetId="8" hidden="1">'ZONE 7'!$A$3:$S$11</definedName>
    <definedName name="_xlnm._FilterDatabase" localSheetId="9" hidden="1">'ZONE 9'!$A$3:$S$11</definedName>
    <definedName name="_xlnm.Print_Titles" localSheetId="12">'ZONE '!$2:$3</definedName>
    <definedName name="_xlnm.Print_Titles" localSheetId="3">'ZONE 1'!$2:$3</definedName>
    <definedName name="_xlnm.Print_Titles" localSheetId="10">'ZONE 10'!$2:$3</definedName>
    <definedName name="_xlnm.Print_Titles" localSheetId="11">'ZONE 11'!$2:$3</definedName>
    <definedName name="_xlnm.Print_Titles" localSheetId="4">'ZONE 2'!$2:$3</definedName>
    <definedName name="_xlnm.Print_Titles" localSheetId="5">'ZONE 3'!$2:$3</definedName>
    <definedName name="_xlnm.Print_Titles" localSheetId="6">'ZONE 5'!$2:$3</definedName>
    <definedName name="_xlnm.Print_Titles" localSheetId="7">'ZONE 6'!$2:$3</definedName>
    <definedName name="_xlnm.Print_Titles" localSheetId="8">'ZONE 7'!$2:$3</definedName>
    <definedName name="_xlnm.Print_Titles" localSheetId="9">'ZONE 9'!$2:$3</definedName>
    <definedName name="Z_52C14C47_D2EA_48A2_AB6F_8BE4C34BCA8D_.wvu.PrintArea" localSheetId="1" hidden="1">'GENERAL Z1-13'!$A$1:$G$44</definedName>
    <definedName name="Z_52C14C47_D2EA_48A2_AB6F_8BE4C34BCA8D_.wvu.PrintArea" localSheetId="0" hidden="1">'GENERAL Z2-3'!$A$1:$G$35</definedName>
    <definedName name="_xlnm.Print_Area" localSheetId="1">'GENERAL Z1-13'!$A$1:$G$44</definedName>
    <definedName name="_xlnm.Print_Area" localSheetId="0">'GENERAL Z2-3'!$A$1:$G$35</definedName>
    <definedName name="_xlnm.Print_Area" localSheetId="12">'ZONE '!$A$2:$Q$109</definedName>
    <definedName name="_xlnm.Print_Area" localSheetId="3">'ZONE 1'!$A$2:$O$3</definedName>
    <definedName name="_xlnm.Print_Area" localSheetId="10">'ZONE 10'!$A$2:$O$3</definedName>
    <definedName name="_xlnm.Print_Area" localSheetId="11">'ZONE 11'!$A$2:$O$3</definedName>
    <definedName name="_xlnm.Print_Area" localSheetId="4">'ZONE 2'!$A$2:$O$57</definedName>
    <definedName name="_xlnm.Print_Area" localSheetId="5">'ZONE 3'!$A$2:$O$32</definedName>
    <definedName name="_xlnm.Print_Area" localSheetId="6">'ZONE 5'!$A$2:$O$3</definedName>
    <definedName name="_xlnm.Print_Area" localSheetId="7">'ZONE 6'!$A$2:$O$16</definedName>
    <definedName name="_xlnm.Print_Area" localSheetId="8">'ZONE 7'!$A$2:$O$9</definedName>
    <definedName name="_xlnm.Print_Area" localSheetId="9">'ZONE 9'!$A$2:$O$4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9" i="23" l="1"/>
  <c r="P168" i="23"/>
  <c r="P167" i="23"/>
  <c r="P166" i="23"/>
  <c r="P165" i="23"/>
  <c r="P164" i="23"/>
  <c r="P163" i="23"/>
  <c r="P162" i="23"/>
  <c r="P161" i="23"/>
  <c r="P160" i="23"/>
  <c r="P159" i="23"/>
  <c r="P158" i="23"/>
  <c r="P157" i="23"/>
  <c r="P156" i="23"/>
  <c r="P155" i="23"/>
  <c r="P154" i="23"/>
  <c r="P153" i="23"/>
  <c r="P152" i="23"/>
  <c r="P151" i="23"/>
  <c r="P150" i="23"/>
  <c r="P149" i="23"/>
  <c r="P148" i="23"/>
  <c r="P147" i="23"/>
  <c r="P146" i="23"/>
  <c r="P145" i="23"/>
  <c r="P144" i="23"/>
  <c r="Q143" i="23"/>
  <c r="P143" i="23"/>
  <c r="Q142" i="23"/>
  <c r="P142" i="23"/>
  <c r="P141" i="23"/>
  <c r="P140" i="23"/>
  <c r="P139" i="23"/>
  <c r="P138" i="23"/>
  <c r="Q137" i="23"/>
  <c r="P137" i="23"/>
  <c r="P136" i="23"/>
  <c r="P135" i="23"/>
  <c r="P134" i="23"/>
  <c r="P133" i="23"/>
  <c r="Q132" i="23"/>
  <c r="P132" i="23"/>
  <c r="P131" i="23"/>
  <c r="P130" i="23"/>
  <c r="Q129" i="23"/>
  <c r="P129" i="23"/>
  <c r="P128" i="23"/>
  <c r="Q127" i="23"/>
  <c r="P127" i="23"/>
  <c r="P126" i="23"/>
  <c r="Q125" i="23"/>
  <c r="P125" i="23"/>
  <c r="Q124" i="23"/>
  <c r="P124" i="23"/>
  <c r="P123" i="23"/>
  <c r="P122" i="23"/>
  <c r="Q121" i="23"/>
  <c r="P121" i="23"/>
  <c r="P120" i="23"/>
  <c r="Q119" i="23"/>
  <c r="P119" i="23"/>
  <c r="P118" i="23"/>
  <c r="P117" i="23"/>
  <c r="P116" i="23"/>
  <c r="P115" i="23"/>
  <c r="P114" i="23"/>
  <c r="P113" i="23"/>
  <c r="P112" i="23"/>
  <c r="P111" i="23"/>
  <c r="P110" i="23"/>
  <c r="P109" i="23"/>
  <c r="P108" i="23"/>
  <c r="P107" i="23"/>
  <c r="P106" i="23"/>
  <c r="P105" i="23"/>
  <c r="P104" i="23"/>
  <c r="Q101" i="23"/>
  <c r="P101" i="23"/>
  <c r="O101" i="23"/>
  <c r="Q100" i="23"/>
  <c r="P100" i="23"/>
  <c r="O100" i="23"/>
  <c r="Q99" i="23"/>
  <c r="P99" i="23"/>
  <c r="O99" i="23"/>
  <c r="Q98" i="23"/>
  <c r="P98" i="23"/>
  <c r="O98" i="23"/>
  <c r="Q97" i="23"/>
  <c r="P97" i="23"/>
  <c r="O97" i="23"/>
  <c r="Q96" i="23"/>
  <c r="P96" i="23"/>
  <c r="O96" i="23"/>
  <c r="P95" i="23"/>
  <c r="O95" i="23"/>
  <c r="P94" i="23"/>
  <c r="P93" i="23"/>
  <c r="O93" i="23"/>
  <c r="P92" i="23"/>
  <c r="Q91" i="23"/>
  <c r="P91" i="23"/>
  <c r="P90" i="23"/>
  <c r="P89" i="23"/>
  <c r="P88" i="23"/>
  <c r="O88" i="23"/>
  <c r="Q87" i="23"/>
  <c r="P87" i="23"/>
  <c r="O87" i="23"/>
  <c r="Q86" i="23"/>
  <c r="P86" i="23"/>
  <c r="O86" i="23"/>
  <c r="P85" i="23"/>
  <c r="P84" i="23"/>
  <c r="P83" i="23"/>
  <c r="P82" i="23"/>
  <c r="P81" i="23"/>
  <c r="P80" i="23"/>
  <c r="Q79" i="23"/>
  <c r="P79" i="23"/>
  <c r="Q78" i="23"/>
  <c r="P78" i="23"/>
  <c r="P77" i="23"/>
  <c r="Q76" i="23"/>
  <c r="P76" i="23"/>
  <c r="P75" i="23"/>
  <c r="Q74" i="23"/>
  <c r="P74" i="23"/>
  <c r="P73" i="23"/>
  <c r="Q72" i="23"/>
  <c r="P72" i="23"/>
  <c r="P71" i="23"/>
  <c r="Q70" i="23"/>
  <c r="P70" i="23"/>
  <c r="P69" i="23"/>
  <c r="O69" i="23"/>
  <c r="P68" i="23"/>
  <c r="O68" i="23"/>
  <c r="Q67" i="23"/>
  <c r="P67" i="23"/>
  <c r="O67" i="23"/>
  <c r="Q66" i="23"/>
  <c r="P66" i="23"/>
  <c r="O66" i="23"/>
  <c r="P65" i="23"/>
  <c r="O65" i="23"/>
  <c r="P64" i="23"/>
  <c r="O64" i="23"/>
  <c r="Q63" i="23"/>
  <c r="P63" i="23"/>
  <c r="O63" i="23"/>
  <c r="Q62" i="23"/>
  <c r="P62" i="23"/>
  <c r="O62" i="23"/>
  <c r="Q61" i="23"/>
  <c r="P61" i="23"/>
  <c r="O61" i="23"/>
  <c r="Q60" i="23"/>
  <c r="P60" i="23"/>
  <c r="O60" i="23"/>
  <c r="Q59" i="23"/>
  <c r="P59" i="23"/>
  <c r="O59" i="23"/>
  <c r="P58" i="23"/>
  <c r="Q57" i="23"/>
  <c r="P57" i="23"/>
  <c r="O57" i="23"/>
  <c r="Q56" i="23"/>
  <c r="P56" i="23"/>
  <c r="O56" i="23"/>
  <c r="Q55" i="23"/>
  <c r="P55" i="23"/>
  <c r="Q54" i="23"/>
  <c r="P54" i="23"/>
  <c r="O54" i="23"/>
  <c r="Q53" i="23"/>
  <c r="P53" i="23"/>
  <c r="O53" i="23"/>
  <c r="P52" i="23"/>
  <c r="O52" i="23"/>
  <c r="P51" i="23"/>
  <c r="O51" i="23"/>
  <c r="P50" i="23"/>
  <c r="O50" i="23"/>
  <c r="P49" i="23"/>
  <c r="O49" i="23"/>
  <c r="P48" i="23"/>
  <c r="O48" i="23"/>
  <c r="P47" i="23"/>
  <c r="O47" i="23"/>
  <c r="P45" i="23"/>
  <c r="O45" i="23"/>
  <c r="Q44" i="23"/>
  <c r="P44" i="23"/>
  <c r="O44" i="23"/>
  <c r="P43" i="23"/>
  <c r="O43" i="23"/>
  <c r="P42" i="23"/>
  <c r="P41" i="23"/>
  <c r="Q40" i="23"/>
  <c r="P40" i="23"/>
  <c r="O40" i="23"/>
  <c r="Q39" i="23"/>
  <c r="P39" i="23"/>
  <c r="O39" i="23"/>
  <c r="Q38" i="23"/>
  <c r="P38" i="23"/>
  <c r="O38" i="23"/>
  <c r="Q37" i="23"/>
  <c r="P37" i="23"/>
  <c r="O37" i="23"/>
  <c r="Q36" i="23"/>
  <c r="P36" i="23"/>
  <c r="O36" i="23"/>
  <c r="P35" i="23"/>
  <c r="O35" i="23"/>
  <c r="P34" i="23"/>
  <c r="O34" i="23"/>
  <c r="P33" i="23"/>
  <c r="O33" i="23"/>
  <c r="P32" i="23"/>
  <c r="O32" i="23"/>
  <c r="Q31" i="23"/>
  <c r="P31" i="23"/>
  <c r="O31" i="23"/>
  <c r="P30" i="23"/>
  <c r="O30" i="23"/>
  <c r="P29" i="23"/>
  <c r="O29" i="23"/>
  <c r="P28" i="23"/>
  <c r="O28" i="23"/>
  <c r="P27" i="23"/>
  <c r="O27" i="23"/>
  <c r="P26" i="23"/>
  <c r="O26" i="23"/>
  <c r="P25" i="23"/>
  <c r="P24" i="23"/>
  <c r="O24" i="23"/>
  <c r="P23" i="23"/>
  <c r="O23" i="23"/>
  <c r="P22" i="23"/>
  <c r="O22" i="23"/>
  <c r="P21" i="23"/>
  <c r="O21" i="23"/>
  <c r="P20" i="23"/>
  <c r="O20" i="23"/>
  <c r="P19" i="23"/>
  <c r="O19" i="23"/>
  <c r="P18" i="23"/>
  <c r="O18" i="23"/>
  <c r="P17" i="23"/>
  <c r="O17" i="23"/>
  <c r="P16" i="23"/>
  <c r="O16" i="23"/>
  <c r="P15" i="23"/>
  <c r="O15" i="23"/>
  <c r="P14" i="23"/>
  <c r="O14" i="23"/>
  <c r="P13" i="23"/>
  <c r="O13" i="23"/>
  <c r="P12" i="23"/>
  <c r="O12" i="23"/>
  <c r="P11" i="23"/>
  <c r="O11" i="23"/>
  <c r="P10" i="23"/>
  <c r="O10" i="23"/>
  <c r="Q9" i="23"/>
  <c r="P9" i="23"/>
  <c r="P8" i="23"/>
  <c r="P7" i="23"/>
  <c r="P6" i="23"/>
  <c r="P5" i="23"/>
  <c r="P4" i="23"/>
  <c r="U3" i="23"/>
  <c r="T3" i="23"/>
  <c r="S3" i="23"/>
  <c r="Q3" i="23"/>
  <c r="P3" i="23"/>
  <c r="O3" i="23"/>
  <c r="U2" i="23"/>
  <c r="Q1" i="23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N6" i="22"/>
  <c r="N5" i="22"/>
  <c r="N4" i="22"/>
  <c r="S3" i="22"/>
  <c r="R3" i="22"/>
  <c r="Q3" i="22"/>
  <c r="O3" i="22"/>
  <c r="N3" i="22"/>
  <c r="M3" i="22"/>
  <c r="S2" i="22"/>
  <c r="O1" i="22"/>
  <c r="N23" i="21"/>
  <c r="N22" i="21"/>
  <c r="O21" i="21"/>
  <c r="N21" i="21"/>
  <c r="O20" i="21"/>
  <c r="N20" i="21"/>
  <c r="N19" i="21"/>
  <c r="N18" i="21"/>
  <c r="N17" i="21"/>
  <c r="N16" i="21"/>
  <c r="O15" i="21"/>
  <c r="N15" i="21"/>
  <c r="N14" i="21"/>
  <c r="N13" i="21"/>
  <c r="N12" i="21"/>
  <c r="N11" i="21"/>
  <c r="O10" i="21"/>
  <c r="N10" i="21"/>
  <c r="N9" i="21"/>
  <c r="N8" i="21"/>
  <c r="O7" i="21"/>
  <c r="N7" i="21"/>
  <c r="N6" i="21"/>
  <c r="O5" i="21"/>
  <c r="N5" i="21"/>
  <c r="O4" i="21"/>
  <c r="N4" i="21"/>
  <c r="S3" i="21"/>
  <c r="R3" i="21"/>
  <c r="Q3" i="21"/>
  <c r="O3" i="21"/>
  <c r="N3" i="21"/>
  <c r="M3" i="21"/>
  <c r="S2" i="21"/>
  <c r="O1" i="21"/>
  <c r="O11" i="20"/>
  <c r="N11" i="20"/>
  <c r="N10" i="20"/>
  <c r="N9" i="20"/>
  <c r="N8" i="20"/>
  <c r="O7" i="20"/>
  <c r="N7" i="20"/>
  <c r="N6" i="20"/>
  <c r="O5" i="20"/>
  <c r="N5" i="20"/>
  <c r="N4" i="20"/>
  <c r="S3" i="20"/>
  <c r="R3" i="20"/>
  <c r="Q3" i="20"/>
  <c r="O3" i="20"/>
  <c r="N3" i="20"/>
  <c r="M3" i="20"/>
  <c r="S2" i="20"/>
  <c r="O1" i="20"/>
  <c r="N11" i="18"/>
  <c r="N10" i="18"/>
  <c r="O9" i="18"/>
  <c r="N9" i="18"/>
  <c r="M9" i="18"/>
  <c r="O8" i="18"/>
  <c r="N8" i="18"/>
  <c r="M8" i="18"/>
  <c r="O7" i="18"/>
  <c r="N7" i="18"/>
  <c r="M7" i="18"/>
  <c r="O6" i="18"/>
  <c r="N6" i="18"/>
  <c r="M6" i="18"/>
  <c r="O5" i="18"/>
  <c r="N5" i="18"/>
  <c r="M5" i="18"/>
  <c r="O4" i="18"/>
  <c r="N4" i="18"/>
  <c r="M4" i="18"/>
  <c r="S3" i="18"/>
  <c r="R3" i="18"/>
  <c r="Q3" i="18"/>
  <c r="O3" i="18"/>
  <c r="N3" i="18"/>
  <c r="M3" i="18"/>
  <c r="S2" i="18"/>
  <c r="O1" i="18"/>
  <c r="N18" i="17"/>
  <c r="N17" i="17"/>
  <c r="N16" i="17"/>
  <c r="N15" i="17"/>
  <c r="N14" i="17"/>
  <c r="N13" i="17"/>
  <c r="N12" i="17"/>
  <c r="N11" i="17"/>
  <c r="N10" i="17"/>
  <c r="M10" i="17"/>
  <c r="N9" i="17"/>
  <c r="N8" i="17"/>
  <c r="M8" i="17"/>
  <c r="N7" i="17"/>
  <c r="O6" i="17"/>
  <c r="N6" i="17"/>
  <c r="N5" i="17"/>
  <c r="N4" i="17"/>
  <c r="S3" i="17"/>
  <c r="R3" i="17"/>
  <c r="Q3" i="17"/>
  <c r="O3" i="17"/>
  <c r="N3" i="17"/>
  <c r="M3" i="17"/>
  <c r="S2" i="17"/>
  <c r="O1" i="17"/>
  <c r="N7" i="16"/>
  <c r="N6" i="16"/>
  <c r="N5" i="16"/>
  <c r="N4" i="16"/>
  <c r="S3" i="16"/>
  <c r="R3" i="16"/>
  <c r="Q3" i="16"/>
  <c r="O3" i="16"/>
  <c r="N3" i="16"/>
  <c r="M3" i="16"/>
  <c r="S2" i="16"/>
  <c r="O1" i="16"/>
  <c r="O32" i="14"/>
  <c r="N32" i="14"/>
  <c r="M32" i="14"/>
  <c r="O31" i="14"/>
  <c r="N31" i="14"/>
  <c r="M31" i="14"/>
  <c r="N30" i="14"/>
  <c r="N29" i="14"/>
  <c r="N28" i="14"/>
  <c r="N27" i="14"/>
  <c r="N26" i="14"/>
  <c r="N25" i="14"/>
  <c r="M25" i="14"/>
  <c r="N24" i="14"/>
  <c r="M24" i="14"/>
  <c r="O23" i="14"/>
  <c r="N23" i="14"/>
  <c r="M23" i="14"/>
  <c r="O22" i="14"/>
  <c r="N22" i="14"/>
  <c r="M22" i="14"/>
  <c r="N21" i="14"/>
  <c r="M21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N14" i="14"/>
  <c r="O13" i="14"/>
  <c r="N13" i="14"/>
  <c r="M13" i="14"/>
  <c r="O12" i="14"/>
  <c r="N12" i="14"/>
  <c r="M12" i="14"/>
  <c r="O11" i="14"/>
  <c r="N11" i="14"/>
  <c r="O10" i="14"/>
  <c r="N10" i="14"/>
  <c r="M10" i="14"/>
  <c r="O9" i="14"/>
  <c r="N9" i="14"/>
  <c r="M9" i="14"/>
  <c r="N8" i="14"/>
  <c r="M8" i="14"/>
  <c r="N7" i="14"/>
  <c r="M7" i="14"/>
  <c r="N6" i="14"/>
  <c r="M6" i="14"/>
  <c r="N5" i="14"/>
  <c r="M5" i="14"/>
  <c r="N4" i="14"/>
  <c r="M4" i="14"/>
  <c r="S3" i="14"/>
  <c r="R3" i="14"/>
  <c r="Q3" i="14"/>
  <c r="O3" i="14"/>
  <c r="N3" i="14"/>
  <c r="M3" i="14"/>
  <c r="S2" i="14"/>
  <c r="O1" i="14"/>
  <c r="N55" i="7"/>
  <c r="M55" i="7"/>
  <c r="O54" i="7"/>
  <c r="N54" i="7"/>
  <c r="O53" i="7"/>
  <c r="N53" i="7"/>
  <c r="N52" i="7"/>
  <c r="O51" i="7"/>
  <c r="N51" i="7"/>
  <c r="O50" i="7"/>
  <c r="N50" i="7"/>
  <c r="N49" i="7"/>
  <c r="O48" i="7"/>
  <c r="N48" i="7"/>
  <c r="N47" i="7"/>
  <c r="M47" i="7"/>
  <c r="N46" i="7"/>
  <c r="M46" i="7"/>
  <c r="N45" i="7"/>
  <c r="M45" i="7"/>
  <c r="N44" i="7"/>
  <c r="M44" i="7"/>
  <c r="N43" i="7"/>
  <c r="M43" i="7"/>
  <c r="N41" i="7"/>
  <c r="M41" i="7"/>
  <c r="O40" i="7"/>
  <c r="N40" i="7"/>
  <c r="M40" i="7"/>
  <c r="N39" i="7"/>
  <c r="M39" i="7"/>
  <c r="N38" i="7"/>
  <c r="N37" i="7"/>
  <c r="O36" i="7"/>
  <c r="N36" i="7"/>
  <c r="M36" i="7"/>
  <c r="O35" i="7"/>
  <c r="N35" i="7"/>
  <c r="M35" i="7"/>
  <c r="O34" i="7"/>
  <c r="N34" i="7"/>
  <c r="M34" i="7"/>
  <c r="O33" i="7"/>
  <c r="N33" i="7"/>
  <c r="M33" i="7"/>
  <c r="O32" i="7"/>
  <c r="N32" i="7"/>
  <c r="M32" i="7"/>
  <c r="N31" i="7"/>
  <c r="M31" i="7"/>
  <c r="N30" i="7"/>
  <c r="M30" i="7"/>
  <c r="N29" i="7"/>
  <c r="M29" i="7"/>
  <c r="O28" i="7"/>
  <c r="N28" i="7"/>
  <c r="M28" i="7"/>
  <c r="N27" i="7"/>
  <c r="M27" i="7"/>
  <c r="N26" i="7"/>
  <c r="M26" i="7"/>
  <c r="N25" i="7"/>
  <c r="M25" i="7"/>
  <c r="N24" i="7"/>
  <c r="N23" i="7"/>
  <c r="M23" i="7"/>
  <c r="N22" i="7"/>
  <c r="M22" i="7"/>
  <c r="N21" i="7"/>
  <c r="M21" i="7"/>
  <c r="N20" i="7"/>
  <c r="M20" i="7"/>
  <c r="N19" i="7"/>
  <c r="M19" i="7"/>
  <c r="N18" i="7"/>
  <c r="M18" i="7"/>
  <c r="N17" i="7"/>
  <c r="M17" i="7"/>
  <c r="N16" i="7"/>
  <c r="M16" i="7"/>
  <c r="N15" i="7"/>
  <c r="M15" i="7"/>
  <c r="N14" i="7"/>
  <c r="M14" i="7"/>
  <c r="N13" i="7"/>
  <c r="M13" i="7"/>
  <c r="N12" i="7"/>
  <c r="M12" i="7"/>
  <c r="N11" i="7"/>
  <c r="M11" i="7"/>
  <c r="N10" i="7"/>
  <c r="M10" i="7"/>
  <c r="O9" i="7"/>
  <c r="N9" i="7"/>
  <c r="N8" i="7"/>
  <c r="N7" i="7"/>
  <c r="N6" i="7"/>
  <c r="N5" i="7"/>
  <c r="N4" i="7"/>
  <c r="S3" i="7"/>
  <c r="R3" i="7"/>
  <c r="Q3" i="7"/>
  <c r="O3" i="7"/>
  <c r="N3" i="7"/>
  <c r="M3" i="7"/>
  <c r="S2" i="7"/>
  <c r="O1" i="7"/>
  <c r="N4" i="2"/>
  <c r="S2" i="2" s="1"/>
  <c r="R3" i="2" s="1"/>
  <c r="S3" i="2"/>
  <c r="O3" i="2" s="1"/>
  <c r="Q3" i="2"/>
  <c r="N3" i="2"/>
  <c r="O1" i="2" s="1"/>
  <c r="M3" i="2"/>
  <c r="G35" i="5"/>
  <c r="G31" i="5"/>
  <c r="F31" i="5"/>
  <c r="D31" i="5"/>
  <c r="G30" i="5"/>
  <c r="G29" i="5"/>
  <c r="G28" i="5"/>
  <c r="G27" i="5"/>
  <c r="G26" i="5"/>
  <c r="G25" i="5"/>
  <c r="G24" i="5"/>
  <c r="G23" i="5"/>
  <c r="G22" i="5"/>
  <c r="G21" i="5"/>
  <c r="G20" i="5"/>
  <c r="D12" i="5"/>
  <c r="G26" i="3"/>
  <c r="G22" i="3"/>
  <c r="D22" i="3"/>
  <c r="G21" i="3"/>
  <c r="G20" i="3"/>
  <c r="D12" i="3"/>
</calcChain>
</file>

<file path=xl/sharedStrings.xml><?xml version="1.0" encoding="utf-8"?>
<sst xmlns="http://schemas.openxmlformats.org/spreadsheetml/2006/main" count="2252" uniqueCount="634">
  <si>
    <t>Num. fiche</t>
  </si>
  <si>
    <t>Num. fosse</t>
  </si>
  <si>
    <t>Zone</t>
  </si>
  <si>
    <t>DN</t>
  </si>
  <si>
    <t>Num. plan</t>
  </si>
  <si>
    <t>Venant de</t>
  </si>
  <si>
    <t>Vers</t>
  </si>
  <si>
    <t>Frettes</t>
  </si>
  <si>
    <t>Brides</t>
  </si>
  <si>
    <t>ISO 2595-35 - Tuyauterie DN250 de fosse U-PD-04,4 vers fosse U-REH-04,4</t>
  </si>
  <si>
    <t>ISO 2595-33 - Tuyauterie DN250 de fosse U-REH-02,1A vers fosse U-REH-02.1B</t>
  </si>
  <si>
    <t>ISO 2595-32 - Tuyauterie DN250 de fosse U-REH-02,1C vers fosse U-PD-02.1</t>
  </si>
  <si>
    <t xml:space="preserve">ISO 2595-29 - Tuyauterie DN250 de fosse U-REH-02,1 vers fosse U-REH-02.2 </t>
  </si>
  <si>
    <t xml:space="preserve">ISO 2595-23 - Tuyauterie DN300 de fosse U-REH-01,11 vers fosse U-REH-01.8 </t>
  </si>
  <si>
    <t xml:space="preserve">ISO 2595-22 - Tuyauterie DN250 de fosse U-REH-01,3 vers fosse U-REH-01.2 </t>
  </si>
  <si>
    <t xml:space="preserve">ISO 2595-21 - Tuyauterie DN250 de fosse U-REH-04.4 vers fosse U-REH-01.3 </t>
  </si>
  <si>
    <t>ISO 2595-19 -  Tuyauterie évent DN100 venant de fosse U-REH-04.1</t>
  </si>
  <si>
    <t>ISO 2595-18 -  Tuyauterie évent DN100 venant de fosse U-REH-04.1</t>
  </si>
  <si>
    <t>Num. PV diéléctrique</t>
  </si>
  <si>
    <t>Num. PV ressuage</t>
  </si>
  <si>
    <t>Nbr pouces
 total</t>
  </si>
  <si>
    <t>PT2827-01</t>
  </si>
  <si>
    <t>CR2827-01</t>
  </si>
  <si>
    <t>2827-01</t>
  </si>
  <si>
    <t>PT2827-02</t>
  </si>
  <si>
    <t>CR2827-02</t>
  </si>
  <si>
    <t>2827-02</t>
  </si>
  <si>
    <t>2827-03</t>
  </si>
  <si>
    <t>CR2827-03</t>
  </si>
  <si>
    <t>2827-04</t>
  </si>
  <si>
    <t>CR2827-04</t>
  </si>
  <si>
    <t>2827-05</t>
  </si>
  <si>
    <t>CR2827-05</t>
  </si>
  <si>
    <t>2827-06</t>
  </si>
  <si>
    <t>CR2827-06</t>
  </si>
  <si>
    <t>2827-07</t>
  </si>
  <si>
    <t>PT2827-07</t>
  </si>
  <si>
    <t>CR2827-07</t>
  </si>
  <si>
    <t>2827-08</t>
  </si>
  <si>
    <t>PT2827-08</t>
  </si>
  <si>
    <t>CR2827-08</t>
  </si>
  <si>
    <t>2827-09</t>
  </si>
  <si>
    <t>PT2827-09</t>
  </si>
  <si>
    <t>CR2827-09</t>
  </si>
  <si>
    <t>2827-10</t>
  </si>
  <si>
    <t>PT2827-10</t>
  </si>
  <si>
    <t>CR2827-10</t>
  </si>
  <si>
    <t>2827-11</t>
  </si>
  <si>
    <t>PT2827-11</t>
  </si>
  <si>
    <t>CR2827-11</t>
  </si>
  <si>
    <t>2827-12</t>
  </si>
  <si>
    <t>PT2827-12</t>
  </si>
  <si>
    <t>CR2827-12</t>
  </si>
  <si>
    <t>2827-13</t>
  </si>
  <si>
    <t>PT2827-13</t>
  </si>
  <si>
    <t>CR2827-13</t>
  </si>
  <si>
    <t>2827-14</t>
  </si>
  <si>
    <t>PT2827-14</t>
  </si>
  <si>
    <t>CR2827-14</t>
  </si>
  <si>
    <t>2827-15</t>
  </si>
  <si>
    <t>PT2827-15</t>
  </si>
  <si>
    <t>CR2827-15</t>
  </si>
  <si>
    <t>2827-16</t>
  </si>
  <si>
    <t>PT2827-16</t>
  </si>
  <si>
    <t>CR2827-16</t>
  </si>
  <si>
    <t>2827-17</t>
  </si>
  <si>
    <t>PT2827-17</t>
  </si>
  <si>
    <t>CR2827-17</t>
  </si>
  <si>
    <t>2827-18</t>
  </si>
  <si>
    <t>CR2827-18</t>
  </si>
  <si>
    <t>2827-19</t>
  </si>
  <si>
    <t>PT2827-19</t>
  </si>
  <si>
    <t>CR2827-19</t>
  </si>
  <si>
    <t>2827-20</t>
  </si>
  <si>
    <t>PT2827-20</t>
  </si>
  <si>
    <t>CR2827-20</t>
  </si>
  <si>
    <t>2827-21</t>
  </si>
  <si>
    <t>PT2827-21</t>
  </si>
  <si>
    <t>CR2827-21</t>
  </si>
  <si>
    <t>2827-22</t>
  </si>
  <si>
    <t>CR2827-22</t>
  </si>
  <si>
    <t>2827-23</t>
  </si>
  <si>
    <t>PT2827-23</t>
  </si>
  <si>
    <t>CR2827-23</t>
  </si>
  <si>
    <t>2827-24</t>
  </si>
  <si>
    <t>PT2827-24</t>
  </si>
  <si>
    <t>CR2827-24</t>
  </si>
  <si>
    <t>2827-25</t>
  </si>
  <si>
    <t>PT2827-25</t>
  </si>
  <si>
    <t>CR2827-25</t>
  </si>
  <si>
    <t>2827-26</t>
  </si>
  <si>
    <t>PT2827-26</t>
  </si>
  <si>
    <t>CR2827-26</t>
  </si>
  <si>
    <t>2827-27</t>
  </si>
  <si>
    <t>PT2827-27</t>
  </si>
  <si>
    <t>CR2827-27</t>
  </si>
  <si>
    <t>2827-28</t>
  </si>
  <si>
    <t>PT2827-28</t>
  </si>
  <si>
    <t>CR2827-28</t>
  </si>
  <si>
    <t>2827-29</t>
  </si>
  <si>
    <t>PT2827-29</t>
  </si>
  <si>
    <t>CR2827-29</t>
  </si>
  <si>
    <t>2827-30</t>
  </si>
  <si>
    <t>PT2827-30</t>
  </si>
  <si>
    <t>CR2827-30</t>
  </si>
  <si>
    <t>2827-31</t>
  </si>
  <si>
    <t>PT2827-31</t>
  </si>
  <si>
    <t>CR2827-31</t>
  </si>
  <si>
    <t>2827-32</t>
  </si>
  <si>
    <t>PT2827-32</t>
  </si>
  <si>
    <t>CR2827-32</t>
  </si>
  <si>
    <t>2827-33</t>
  </si>
  <si>
    <t>PT2827-33</t>
  </si>
  <si>
    <t>CR2827-33</t>
  </si>
  <si>
    <t>2827-34</t>
  </si>
  <si>
    <t>PT2827-34</t>
  </si>
  <si>
    <t>CR2827-34</t>
  </si>
  <si>
    <t>2827-35</t>
  </si>
  <si>
    <t>PT2827-35</t>
  </si>
  <si>
    <t>CR2827-35</t>
  </si>
  <si>
    <t>2827-36</t>
  </si>
  <si>
    <t>PT2827-36</t>
  </si>
  <si>
    <t>CR2827-36</t>
  </si>
  <si>
    <t>2827-37</t>
  </si>
  <si>
    <t>PT2827-37</t>
  </si>
  <si>
    <t>CR2827-37</t>
  </si>
  <si>
    <t>2827-38</t>
  </si>
  <si>
    <t>CR2827-38</t>
  </si>
  <si>
    <t>2827-39</t>
  </si>
  <si>
    <t>CR2827-39</t>
  </si>
  <si>
    <t>2827-40</t>
  </si>
  <si>
    <t>PT2827-40</t>
  </si>
  <si>
    <t>CR2827-40</t>
  </si>
  <si>
    <t>2827-41</t>
  </si>
  <si>
    <t>PT2827-41</t>
  </si>
  <si>
    <t>CR2827-41</t>
  </si>
  <si>
    <t>2827-42</t>
  </si>
  <si>
    <t>PT2827-42</t>
  </si>
  <si>
    <t>CR2827-42</t>
  </si>
  <si>
    <t>2827-43</t>
  </si>
  <si>
    <t>PT2827-43</t>
  </si>
  <si>
    <t>CR2827-43</t>
  </si>
  <si>
    <t>2827-44</t>
  </si>
  <si>
    <t>PT2827-44</t>
  </si>
  <si>
    <t>CR2827-44</t>
  </si>
  <si>
    <t>2827-45</t>
  </si>
  <si>
    <t>PT2827-45</t>
  </si>
  <si>
    <t>CR2827-45</t>
  </si>
  <si>
    <t>2827-46</t>
  </si>
  <si>
    <t>PT2827-46</t>
  </si>
  <si>
    <t>CR2827-46</t>
  </si>
  <si>
    <t>2827-47</t>
  </si>
  <si>
    <t>PT2827-47</t>
  </si>
  <si>
    <t>CR2827-47</t>
  </si>
  <si>
    <t>2827-48</t>
  </si>
  <si>
    <t>PT2827-48</t>
  </si>
  <si>
    <t>CR2827-48</t>
  </si>
  <si>
    <t>2827-49</t>
  </si>
  <si>
    <t>PT2827-49</t>
  </si>
  <si>
    <t>CR2827-49</t>
  </si>
  <si>
    <t>2827-50</t>
  </si>
  <si>
    <t>PT2827-50</t>
  </si>
  <si>
    <t>CR2827-50</t>
  </si>
  <si>
    <t>2827-51</t>
  </si>
  <si>
    <t>PT2827-51</t>
  </si>
  <si>
    <t>CR2827-51</t>
  </si>
  <si>
    <t>2827-52</t>
  </si>
  <si>
    <t>PT2827-52</t>
  </si>
  <si>
    <t>CR2827-52</t>
  </si>
  <si>
    <t>2827-53</t>
  </si>
  <si>
    <t>PT2827-53</t>
  </si>
  <si>
    <t>CR2827-53</t>
  </si>
  <si>
    <t>PT2827-54</t>
  </si>
  <si>
    <t>CR2827-54</t>
  </si>
  <si>
    <t>2827-55</t>
  </si>
  <si>
    <t>PT2827-55</t>
  </si>
  <si>
    <t>CR2827-55</t>
  </si>
  <si>
    <t>2827-56</t>
  </si>
  <si>
    <t>PT2827-56</t>
  </si>
  <si>
    <t>CR2827-56</t>
  </si>
  <si>
    <t>2827-57</t>
  </si>
  <si>
    <t>PT2827-57</t>
  </si>
  <si>
    <t>CR2827-57</t>
  </si>
  <si>
    <t>2827-58</t>
  </si>
  <si>
    <t>PT2827-58</t>
  </si>
  <si>
    <t>CR2827-58</t>
  </si>
  <si>
    <t>2827-59</t>
  </si>
  <si>
    <t>PT2827-59</t>
  </si>
  <si>
    <t>CR2827-59</t>
  </si>
  <si>
    <t>2827-60</t>
  </si>
  <si>
    <t>PT2827-60</t>
  </si>
  <si>
    <t>CR2827-60</t>
  </si>
  <si>
    <t>2827-61</t>
  </si>
  <si>
    <t>PT2827-61</t>
  </si>
  <si>
    <t>CR2827-61</t>
  </si>
  <si>
    <t>2827-62</t>
  </si>
  <si>
    <t>PT2827-62</t>
  </si>
  <si>
    <t>CR2827-62</t>
  </si>
  <si>
    <t>2827-63</t>
  </si>
  <si>
    <t>PT2827-63</t>
  </si>
  <si>
    <t>CR2827-63</t>
  </si>
  <si>
    <t>2827-64</t>
  </si>
  <si>
    <t>PT2827-64</t>
  </si>
  <si>
    <t>CR2827-64</t>
  </si>
  <si>
    <t>2827-65</t>
  </si>
  <si>
    <t>PT2827-65</t>
  </si>
  <si>
    <t>CR2827-65</t>
  </si>
  <si>
    <t>2827-66</t>
  </si>
  <si>
    <t>PT2827-66</t>
  </si>
  <si>
    <t>CR2827-66</t>
  </si>
  <si>
    <t>2827-67</t>
  </si>
  <si>
    <t>CR2827-67</t>
  </si>
  <si>
    <t>2827-68</t>
  </si>
  <si>
    <t>CR2827-68</t>
  </si>
  <si>
    <t>2827-69</t>
  </si>
  <si>
    <t>CR2827-69</t>
  </si>
  <si>
    <t>2827-70</t>
  </si>
  <si>
    <t>PT2827-70</t>
  </si>
  <si>
    <t>CR2827-70</t>
  </si>
  <si>
    <t>2827-71</t>
  </si>
  <si>
    <t>PT2827-71</t>
  </si>
  <si>
    <t>CR2827-71</t>
  </si>
  <si>
    <t>2827-72</t>
  </si>
  <si>
    <t>PT2827-72</t>
  </si>
  <si>
    <t>CR2827-72</t>
  </si>
  <si>
    <t>2827-73</t>
  </si>
  <si>
    <t>PT2827-73</t>
  </si>
  <si>
    <t>CR2827-73</t>
  </si>
  <si>
    <t>2827-74</t>
  </si>
  <si>
    <t>PT2827-74</t>
  </si>
  <si>
    <t>CR2827-74</t>
  </si>
  <si>
    <t>2827-75</t>
  </si>
  <si>
    <t>PT2827-75</t>
  </si>
  <si>
    <t>CR2827-75</t>
  </si>
  <si>
    <t>2827-76</t>
  </si>
  <si>
    <t>PT2827-76</t>
  </si>
  <si>
    <t>CR2827-76</t>
  </si>
  <si>
    <t>2827-77</t>
  </si>
  <si>
    <t>PT2827-77</t>
  </si>
  <si>
    <t>CR2827-77</t>
  </si>
  <si>
    <t>2827-78</t>
  </si>
  <si>
    <t>PT2827-78</t>
  </si>
  <si>
    <t>CR2827-78</t>
  </si>
  <si>
    <t>2827-79</t>
  </si>
  <si>
    <t>PT2827-79</t>
  </si>
  <si>
    <t>CR2827-79</t>
  </si>
  <si>
    <t>2827-80</t>
  </si>
  <si>
    <t>PT2827-80</t>
  </si>
  <si>
    <t>CR2827-80</t>
  </si>
  <si>
    <t>2827-81</t>
  </si>
  <si>
    <t>PT2827-81</t>
  </si>
  <si>
    <t>CR2827-81</t>
  </si>
  <si>
    <t>2827-82</t>
  </si>
  <si>
    <t>PT2827-82</t>
  </si>
  <si>
    <t>CR2827-82</t>
  </si>
  <si>
    <t>2827-83</t>
  </si>
  <si>
    <t>PT2827-83</t>
  </si>
  <si>
    <t>CR2827-83</t>
  </si>
  <si>
    <t>2827-84</t>
  </si>
  <si>
    <t>PT2827-84</t>
  </si>
  <si>
    <t>CR2827-84</t>
  </si>
  <si>
    <t>2827-85</t>
  </si>
  <si>
    <t>PT2827-85</t>
  </si>
  <si>
    <t>CR2827-85</t>
  </si>
  <si>
    <t>2827-86</t>
  </si>
  <si>
    <t>PT2827-86</t>
  </si>
  <si>
    <t>CR2827-86</t>
  </si>
  <si>
    <t>2827-87</t>
  </si>
  <si>
    <t>PT2827-87</t>
  </si>
  <si>
    <t>CR2827-87</t>
  </si>
  <si>
    <t>2827-88</t>
  </si>
  <si>
    <t>PT2827-88</t>
  </si>
  <si>
    <t>CR2827-88</t>
  </si>
  <si>
    <t>2827-89</t>
  </si>
  <si>
    <t>PT2827-89</t>
  </si>
  <si>
    <t>CR2827-89</t>
  </si>
  <si>
    <t>2827-90</t>
  </si>
  <si>
    <t>PT2827-90</t>
  </si>
  <si>
    <t>CR2827-90</t>
  </si>
  <si>
    <t>2827-91</t>
  </si>
  <si>
    <t>PT2827-91</t>
  </si>
  <si>
    <t>CR2827-91</t>
  </si>
  <si>
    <t>2827-92</t>
  </si>
  <si>
    <t>PT2827-92</t>
  </si>
  <si>
    <t>CR2827-92</t>
  </si>
  <si>
    <t>2827-93</t>
  </si>
  <si>
    <t>PT2827-93</t>
  </si>
  <si>
    <t>CR2827-93</t>
  </si>
  <si>
    <t>2827-94</t>
  </si>
  <si>
    <t>PT2827-94</t>
  </si>
  <si>
    <t>CR2827-94</t>
  </si>
  <si>
    <t>2827-95</t>
  </si>
  <si>
    <t>PT2827-95</t>
  </si>
  <si>
    <t>CR2827-95</t>
  </si>
  <si>
    <t>2827-96</t>
  </si>
  <si>
    <t>PT2827-96</t>
  </si>
  <si>
    <t>CR2827-96</t>
  </si>
  <si>
    <t>2827-97</t>
  </si>
  <si>
    <t>PT2827-97</t>
  </si>
  <si>
    <t>CR2827-97</t>
  </si>
  <si>
    <t>2827-98</t>
  </si>
  <si>
    <t>PT2827-98</t>
  </si>
  <si>
    <t>CR2827-98</t>
  </si>
  <si>
    <t>2827-99</t>
  </si>
  <si>
    <t>PT2827-99</t>
  </si>
  <si>
    <t>CR2827-99</t>
  </si>
  <si>
    <t>P-D-07.1</t>
  </si>
  <si>
    <t>U-REH-07.1</t>
  </si>
  <si>
    <t>P-RE-07.1D</t>
  </si>
  <si>
    <t>UG/AG-3</t>
  </si>
  <si>
    <t>Priorité</t>
  </si>
  <si>
    <t>P-D-07.2</t>
  </si>
  <si>
    <t>P-RE-07.1F</t>
  </si>
  <si>
    <t>P-PD-07.1</t>
  </si>
  <si>
    <t>P-REH-06.1</t>
  </si>
  <si>
    <t xml:space="preserve"> /</t>
  </si>
  <si>
    <t>UG/AG-4</t>
  </si>
  <si>
    <t>U-REH-06.2</t>
  </si>
  <si>
    <t>P-D-08.1</t>
  </si>
  <si>
    <t>P-REH-06.3</t>
  </si>
  <si>
    <t>P-PD-08.1</t>
  </si>
  <si>
    <t>U-REH-08.2</t>
  </si>
  <si>
    <t>P-REH-06.6</t>
  </si>
  <si>
    <t>sem 46</t>
  </si>
  <si>
    <t>sem 47</t>
  </si>
  <si>
    <t>sem 48</t>
  </si>
  <si>
    <t>P-REP-02.2</t>
  </si>
  <si>
    <t>P-REP-02.1</t>
  </si>
  <si>
    <t>P-PEP-02.1</t>
  </si>
  <si>
    <t>P-PEP-02.2</t>
  </si>
  <si>
    <t>P-D-08.2</t>
  </si>
  <si>
    <t>P-REH-06.4</t>
  </si>
  <si>
    <t>2 - 3</t>
  </si>
  <si>
    <t>P-PD-08.2</t>
  </si>
  <si>
    <t>P-D-08.3</t>
  </si>
  <si>
    <t>P-REH-08.2</t>
  </si>
  <si>
    <t>P-REP-02.3</t>
  </si>
  <si>
    <t>P-PD-07.2</t>
  </si>
  <si>
    <t>P-RE-08.3</t>
  </si>
  <si>
    <t>P-RE-08.4</t>
  </si>
  <si>
    <t>UG/AG-5P</t>
  </si>
  <si>
    <t>Event</t>
  </si>
  <si>
    <t>P-RV-09.2</t>
  </si>
  <si>
    <t>P-REH-09.4</t>
  </si>
  <si>
    <t>PIT-8304</t>
  </si>
  <si>
    <t>P-RCF-06.1</t>
  </si>
  <si>
    <t>P-REH-06.7</t>
  </si>
  <si>
    <t>Nbr ML</t>
  </si>
  <si>
    <t>Date de Livraison</t>
  </si>
  <si>
    <t>Date de réalisation</t>
  </si>
  <si>
    <t>UG/AG/4P</t>
  </si>
  <si>
    <t>P-D-09.1</t>
  </si>
  <si>
    <t>PIT-8106</t>
  </si>
  <si>
    <t>UG/AG-2</t>
  </si>
  <si>
    <t>UG/AG-1</t>
  </si>
  <si>
    <t>P-PD-07.3</t>
  </si>
  <si>
    <t>UG/AG-6</t>
  </si>
  <si>
    <t>UG/AG-5</t>
  </si>
  <si>
    <t>P-REH-06.5</t>
  </si>
  <si>
    <t>P-PD-09.4</t>
  </si>
  <si>
    <t>P-PD-09.3</t>
  </si>
  <si>
    <t>P-REH-09.3</t>
  </si>
  <si>
    <t>P-PD-09.2</t>
  </si>
  <si>
    <t>P-RE-07.3A</t>
  </si>
  <si>
    <t>P-RE-07.4</t>
  </si>
  <si>
    <t>P-REH-08.1</t>
  </si>
  <si>
    <t>P-REH-09.2</t>
  </si>
  <si>
    <t>P-PD-08.4</t>
  </si>
  <si>
    <t>P-PD-08.5B</t>
  </si>
  <si>
    <t>P-PD-08.3</t>
  </si>
  <si>
    <t>U-REP-01.6</t>
  </si>
  <si>
    <t>U-REP-01.4</t>
  </si>
  <si>
    <t xml:space="preserve"> 2 - 3 </t>
  </si>
  <si>
    <t>U-REH-01.8</t>
  </si>
  <si>
    <t xml:space="preserve"> 2 - 1</t>
  </si>
  <si>
    <t>HOLD</t>
  </si>
  <si>
    <t>U-REP-01.7</t>
  </si>
  <si>
    <t>2/2 - 7/1</t>
  </si>
  <si>
    <t>U-REP-01.11</t>
  </si>
  <si>
    <t xml:space="preserve"> 7/1</t>
  </si>
  <si>
    <t>U-PD-05.2</t>
  </si>
  <si>
    <t>U-RCF-01.1</t>
  </si>
  <si>
    <t>U-PD-05.3</t>
  </si>
  <si>
    <t>U-REH-01.4</t>
  </si>
  <si>
    <t>U-REP-01.13</t>
  </si>
  <si>
    <t>U-REP-01.12</t>
  </si>
  <si>
    <t>U-REP-01.14</t>
  </si>
  <si>
    <t>2/2 - 6/2</t>
  </si>
  <si>
    <t>P-PEP-02.3</t>
  </si>
  <si>
    <t>P-REP-02.4</t>
  </si>
  <si>
    <t>P-REP-02.6</t>
  </si>
  <si>
    <t xml:space="preserve"> 3 - 7</t>
  </si>
  <si>
    <t>P-REP-02.5</t>
  </si>
  <si>
    <t>P-PEP-02.4</t>
  </si>
  <si>
    <t>P-PEP-02.11</t>
  </si>
  <si>
    <t xml:space="preserve"> 3 - 4</t>
  </si>
  <si>
    <t>P-REP-02.9</t>
  </si>
  <si>
    <t>U-PEP-01.3</t>
  </si>
  <si>
    <t>9/1 - 3/2</t>
  </si>
  <si>
    <t>UG/AG</t>
  </si>
  <si>
    <t>PIT-8107</t>
  </si>
  <si>
    <t>Poids</t>
  </si>
  <si>
    <t>Ratio</t>
  </si>
  <si>
    <t>AVANCEMENT GENERAL</t>
  </si>
  <si>
    <t>N° Affaire</t>
  </si>
  <si>
    <t>:</t>
  </si>
  <si>
    <t>Intitulé de l'affaire</t>
  </si>
  <si>
    <t>N° Commande client</t>
  </si>
  <si>
    <t>Client</t>
  </si>
  <si>
    <t>Date</t>
  </si>
  <si>
    <t>TOTAL</t>
  </si>
  <si>
    <t>Appouvé par le client le</t>
  </si>
  <si>
    <t>UG/AG 1P</t>
  </si>
  <si>
    <t>P-RE-09.3A</t>
  </si>
  <si>
    <t>Situation</t>
  </si>
  <si>
    <t>IFC</t>
  </si>
  <si>
    <t>ZONE 02</t>
  </si>
  <si>
    <t>ZONE 03</t>
  </si>
  <si>
    <t>Tuyauteries enterrées R3P - C4
Réseaux ENH / NH / ES Phase 2</t>
  </si>
  <si>
    <t>BROVEDANI</t>
  </si>
  <si>
    <t>Poste</t>
  </si>
  <si>
    <t>Prix unitaire</t>
  </si>
  <si>
    <t>Terme de facturation</t>
  </si>
  <si>
    <t>Montant du mois</t>
  </si>
  <si>
    <t xml:space="preserve">Avancement </t>
  </si>
  <si>
    <t>P-PD-08.5</t>
  </si>
  <si>
    <t>sem 50</t>
  </si>
  <si>
    <t>U-FV-00.8</t>
  </si>
  <si>
    <t>UG/AG 3P</t>
  </si>
  <si>
    <t>P-REP-02,4</t>
  </si>
  <si>
    <t>S-REH-10,2</t>
  </si>
  <si>
    <t>S-RCF-10,1</t>
  </si>
  <si>
    <t>S-RCF-12.1</t>
  </si>
  <si>
    <t>U-REH-01.10</t>
  </si>
  <si>
    <t xml:space="preserve"> 6 - 5 </t>
  </si>
  <si>
    <t>sem 51</t>
  </si>
  <si>
    <t>sem 52</t>
  </si>
  <si>
    <t>S-REH-10.1</t>
  </si>
  <si>
    <t>S-REH-10.2</t>
  </si>
  <si>
    <t xml:space="preserve"> 6 - 7 </t>
  </si>
  <si>
    <t>S-RV-10,1</t>
  </si>
  <si>
    <t>P-REP-02,5</t>
  </si>
  <si>
    <t>UG/AG-7P</t>
  </si>
  <si>
    <t>S-D-10,2</t>
  </si>
  <si>
    <t>S-REH-10,1</t>
  </si>
  <si>
    <t>Montant à deduire</t>
  </si>
  <si>
    <t xml:space="preserve">MONTANT DE LA FACTURE A EMETTRE  POUR LE MOIS en € HT </t>
  </si>
  <si>
    <t>S-RE-10,10</t>
  </si>
  <si>
    <t>S-D-10,1</t>
  </si>
  <si>
    <t>UG/AG 2P</t>
  </si>
  <si>
    <t>U-PEP-01.4</t>
  </si>
  <si>
    <t>1"-EHP-81801-BA342-UG</t>
  </si>
  <si>
    <t>1 1/2"-EHP-81557-BA342-UG</t>
  </si>
  <si>
    <t>S-RV-12.1</t>
  </si>
  <si>
    <t>S-REH-12.1</t>
  </si>
  <si>
    <t>2827-100</t>
  </si>
  <si>
    <t>PT2827-100</t>
  </si>
  <si>
    <t>CR2827-100</t>
  </si>
  <si>
    <t>2827-101</t>
  </si>
  <si>
    <t>PT2827-101</t>
  </si>
  <si>
    <t>CR2827-101</t>
  </si>
  <si>
    <t>S-PD-12.2</t>
  </si>
  <si>
    <t>S-D-12.1</t>
  </si>
  <si>
    <t>S-RCF-12,1</t>
  </si>
  <si>
    <t>P-PEP-02.5</t>
  </si>
  <si>
    <t>ZONE 01</t>
  </si>
  <si>
    <t>ZONE 04</t>
  </si>
  <si>
    <t>ZONE 05</t>
  </si>
  <si>
    <t>ZONE 06</t>
  </si>
  <si>
    <t>ZONE 07</t>
  </si>
  <si>
    <t>ZONE 08</t>
  </si>
  <si>
    <t>ZONE 09</t>
  </si>
  <si>
    <t>ZONE 10</t>
  </si>
  <si>
    <t>ZONE 11</t>
  </si>
  <si>
    <t>ZONE 12</t>
  </si>
  <si>
    <t>ZONE 13</t>
  </si>
  <si>
    <t>M1502/1601244</t>
  </si>
  <si>
    <t>M1502/1510072</t>
  </si>
  <si>
    <t>Modif 4h</t>
  </si>
  <si>
    <t>helloo</t>
  </si>
  <si>
    <t>U-PEH-01.9</t>
  </si>
  <si>
    <t>S-REH-12.3</t>
  </si>
  <si>
    <t>2827-102</t>
  </si>
  <si>
    <t>2827-103</t>
  </si>
  <si>
    <t>2827-104</t>
  </si>
  <si>
    <t>2827-105</t>
  </si>
  <si>
    <t>2827-106</t>
  </si>
  <si>
    <t>2827-107</t>
  </si>
  <si>
    <t>PT2827-102</t>
  </si>
  <si>
    <t>PT2827-103</t>
  </si>
  <si>
    <t>PT2827-104</t>
  </si>
  <si>
    <t>CR2827-102</t>
  </si>
  <si>
    <t>CR2827-103</t>
  </si>
  <si>
    <t>CR2827-104</t>
  </si>
  <si>
    <t>CR2827-105</t>
  </si>
  <si>
    <t>CR2827-106</t>
  </si>
  <si>
    <t>CR2827-107</t>
  </si>
  <si>
    <t>6 - 7</t>
  </si>
  <si>
    <t>PT2827-106</t>
  </si>
  <si>
    <t>S-RE-12.2A</t>
  </si>
  <si>
    <t>P-PEP-02.8</t>
  </si>
  <si>
    <t>P-PEP-02.7</t>
  </si>
  <si>
    <t xml:space="preserve"> 7 - 6 </t>
  </si>
  <si>
    <t>U-REH-01.11</t>
  </si>
  <si>
    <t>U-REH-01.12</t>
  </si>
  <si>
    <t>U-REH-01.13</t>
  </si>
  <si>
    <t>U-REH-01.14</t>
  </si>
  <si>
    <t>S-PD-13.4</t>
  </si>
  <si>
    <t xml:space="preserve"> 9 - 10 </t>
  </si>
  <si>
    <t>S-PEP-13.14</t>
  </si>
  <si>
    <t>U-REP-1.15</t>
  </si>
  <si>
    <t>U-REH-01.15</t>
  </si>
  <si>
    <t xml:space="preserve"> 10 - 06 </t>
  </si>
  <si>
    <t>U-REH-01.16</t>
  </si>
  <si>
    <t xml:space="preserve"> 10 - 12 </t>
  </si>
  <si>
    <t>S-PD-13.6</t>
  </si>
  <si>
    <t>S-PD-13.5</t>
  </si>
  <si>
    <t>S-PEP-03.15</t>
  </si>
  <si>
    <t xml:space="preserve"> 10 - 11 </t>
  </si>
  <si>
    <t>S-PEP-03.1</t>
  </si>
  <si>
    <t>S-RCF-11.1</t>
  </si>
  <si>
    <t>S-REH-13.1</t>
  </si>
  <si>
    <t>S-REH-13.2</t>
  </si>
  <si>
    <t>S-REH-14,3</t>
  </si>
  <si>
    <t>S-REP-03.7</t>
  </si>
  <si>
    <t>S-REP-03.8</t>
  </si>
  <si>
    <t>S-PEP-03.11</t>
  </si>
  <si>
    <t>S-PEP-03.12</t>
  </si>
  <si>
    <t>S-REP-03.9</t>
  </si>
  <si>
    <t>2827-108</t>
  </si>
  <si>
    <t>2827-109</t>
  </si>
  <si>
    <t>2827-110</t>
  </si>
  <si>
    <t>2827-111</t>
  </si>
  <si>
    <t>2827-112</t>
  </si>
  <si>
    <t>2827-113</t>
  </si>
  <si>
    <t>2827-114</t>
  </si>
  <si>
    <t>2827-115</t>
  </si>
  <si>
    <t>2827-116</t>
  </si>
  <si>
    <t>2827-117</t>
  </si>
  <si>
    <t>2827-118</t>
  </si>
  <si>
    <t>2827-119</t>
  </si>
  <si>
    <t>2827-120</t>
  </si>
  <si>
    <t>2827-121</t>
  </si>
  <si>
    <t>2827-122</t>
  </si>
  <si>
    <t>2827-123</t>
  </si>
  <si>
    <t>2827-124</t>
  </si>
  <si>
    <t>2827-125</t>
  </si>
  <si>
    <t>2827-126</t>
  </si>
  <si>
    <t>2827-127</t>
  </si>
  <si>
    <t>2827-128</t>
  </si>
  <si>
    <t>2827-129</t>
  </si>
  <si>
    <t>2827-130</t>
  </si>
  <si>
    <t>2827-131</t>
  </si>
  <si>
    <t>2827-132</t>
  </si>
  <si>
    <t>2827-133</t>
  </si>
  <si>
    <t>2827-134</t>
  </si>
  <si>
    <t>2827-135</t>
  </si>
  <si>
    <t>2827-136</t>
  </si>
  <si>
    <t>S-RCF-10.1</t>
  </si>
  <si>
    <t>2827-137</t>
  </si>
  <si>
    <t>2827-138</t>
  </si>
  <si>
    <t>2827-139</t>
  </si>
  <si>
    <t>2827-140</t>
  </si>
  <si>
    <t>2827-141</t>
  </si>
  <si>
    <t>U-REH-01.9</t>
  </si>
  <si>
    <t>CR2827-108</t>
  </si>
  <si>
    <t>CR2827-109</t>
  </si>
  <si>
    <t>CR2827-110</t>
  </si>
  <si>
    <t>CR2827-111</t>
  </si>
  <si>
    <t>CR2827-112</t>
  </si>
  <si>
    <t>U-REH-01.7</t>
  </si>
  <si>
    <t>U-REH-01.6</t>
  </si>
  <si>
    <t>/</t>
  </si>
  <si>
    <t>S-REP-03,2</t>
  </si>
  <si>
    <t>S-RCF-11,1</t>
  </si>
  <si>
    <t>S-REH-11,2</t>
  </si>
  <si>
    <t>S-REP-03,03</t>
  </si>
  <si>
    <t>S-REP-03,02</t>
  </si>
  <si>
    <t>S-REP-03,04</t>
  </si>
  <si>
    <t>S-REH-11-03</t>
  </si>
  <si>
    <t>S-PD-11,04</t>
  </si>
  <si>
    <t>S-PD-11,01</t>
  </si>
  <si>
    <t>S-REH-11-0,3</t>
  </si>
  <si>
    <t>S--REP-03,04</t>
  </si>
  <si>
    <t>S--REP-03,05</t>
  </si>
  <si>
    <t>S-REP-03,05</t>
  </si>
  <si>
    <t>S-REH-11,01</t>
  </si>
  <si>
    <t>S-PD-11,03</t>
  </si>
  <si>
    <t>S-REP-03,01</t>
  </si>
  <si>
    <t>S-PEP-03,04</t>
  </si>
  <si>
    <t>S-PEP-03,01</t>
  </si>
  <si>
    <t>S-PEP-03,02</t>
  </si>
  <si>
    <t>S-PD-11,02</t>
  </si>
  <si>
    <t>S-PEP-03,03</t>
  </si>
  <si>
    <t>S-REH-11,05</t>
  </si>
  <si>
    <t>2827-142</t>
  </si>
  <si>
    <t>2827-143</t>
  </si>
  <si>
    <t>2827-144</t>
  </si>
  <si>
    <t>2827-145</t>
  </si>
  <si>
    <t>2827-146</t>
  </si>
  <si>
    <t>2827-147</t>
  </si>
  <si>
    <t>2827-148</t>
  </si>
  <si>
    <t>2827-149</t>
  </si>
  <si>
    <t>2827-150</t>
  </si>
  <si>
    <t>2827-151</t>
  </si>
  <si>
    <t>2827-152</t>
  </si>
  <si>
    <t>2827-153</t>
  </si>
  <si>
    <t>2827-154</t>
  </si>
  <si>
    <t>2827-155</t>
  </si>
  <si>
    <t>2827-156</t>
  </si>
  <si>
    <t>2827-157</t>
  </si>
  <si>
    <t>2827-158</t>
  </si>
  <si>
    <t>2827-159</t>
  </si>
  <si>
    <t>2827-160</t>
  </si>
  <si>
    <t>2827-161</t>
  </si>
  <si>
    <t>2827-162</t>
  </si>
  <si>
    <t>2827-163</t>
  </si>
  <si>
    <t>2827-164</t>
  </si>
  <si>
    <t>2827-165</t>
  </si>
  <si>
    <t>PIT-8307</t>
  </si>
  <si>
    <t>Nbr pouces
Fabrication</t>
  </si>
  <si>
    <t>CR2827-118</t>
  </si>
  <si>
    <t>CR2827-122</t>
  </si>
  <si>
    <t>10' PE NOIR</t>
  </si>
  <si>
    <t>16' PE NOIR</t>
  </si>
  <si>
    <t>20' PE NOIR</t>
  </si>
  <si>
    <t>24' PE NOIR</t>
  </si>
  <si>
    <t>120' PE NOIR</t>
  </si>
  <si>
    <t>22' PE NOIR</t>
  </si>
  <si>
    <t>105' Béton</t>
  </si>
  <si>
    <t xml:space="preserve">DN </t>
  </si>
  <si>
    <t>36' PE NOIR</t>
  </si>
  <si>
    <t>40' PE NOIR</t>
  </si>
  <si>
    <t>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</si>
</sst>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00"/>
    <numFmt numFmtId="165" formatCode="_-* #,##0\ [$€-40C]_-;\-* #,##0\ [$€-40C]_-;_-* &quot;-&quot;\ [$€-40C]_-;_-@_-"/>
    <numFmt numFmtId="166" formatCode="0.00&quot; Kg&quot;"/>
    <numFmt numFmtId="167" formatCode="0&quot; &quot;&quot;&quot;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0"/>
      <color theme="8" tint="-0.249977111117893"/>
      <name val="Arial"/>
      <family val="2"/>
    </font>
    <font>
      <b/>
      <sz val="10"/>
      <color rgb="FF00B05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44" fontId="8" fillId="0" borderId="0" applyFont="0" applyFill="0" applyBorder="0" applyAlignment="0" applyProtection="0"/>
    <xf numFmtId="0" fontId="9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1"/>
    <xf numFmtId="0" fontId="2" fillId="0" borderId="0" xfId="1" applyAlignment="1">
      <alignment wrapText="1"/>
    </xf>
    <xf numFmtId="0" fontId="2" fillId="0" borderId="0" xfId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6" xfId="1" applyBorder="1" applyAlignment="1">
      <alignment horizontal="center" vertical="center"/>
    </xf>
    <xf numFmtId="0" fontId="2" fillId="0" borderId="6" xfId="1" applyNumberFormat="1" applyFill="1" applyBorder="1" applyAlignment="1">
      <alignment horizontal="center" vertical="center"/>
    </xf>
    <xf numFmtId="14" fontId="2" fillId="0" borderId="6" xfId="1" applyNumberFormat="1" applyFill="1" applyBorder="1" applyAlignment="1">
      <alignment horizontal="center" vertical="center"/>
    </xf>
    <xf numFmtId="0" fontId="2" fillId="0" borderId="6" xfId="1" applyBorder="1" applyAlignment="1">
      <alignment horizontal="center" vertical="center" wrapText="1"/>
    </xf>
    <xf numFmtId="164" fontId="2" fillId="0" borderId="10" xfId="1" applyNumberForma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14" fontId="2" fillId="0" borderId="6" xfId="1" applyNumberFormat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164" fontId="2" fillId="0" borderId="11" xfId="1" applyNumberFormat="1" applyBorder="1" applyAlignment="1">
      <alignment horizontal="center" vertical="center" wrapText="1"/>
    </xf>
    <xf numFmtId="1" fontId="5" fillId="0" borderId="6" xfId="1" applyNumberFormat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2" fillId="3" borderId="6" xfId="1" applyFill="1" applyBorder="1" applyAlignment="1">
      <alignment horizontal="center" vertical="center"/>
    </xf>
    <xf numFmtId="0" fontId="2" fillId="3" borderId="0" xfId="1" applyFill="1"/>
    <xf numFmtId="1" fontId="6" fillId="0" borderId="6" xfId="1" applyNumberFormat="1" applyFont="1" applyFill="1" applyBorder="1" applyAlignment="1">
      <alignment horizontal="center" vertical="center"/>
    </xf>
    <xf numFmtId="1" fontId="7" fillId="0" borderId="6" xfId="1" applyNumberFormat="1" applyFont="1" applyFill="1" applyBorder="1" applyAlignment="1">
      <alignment horizontal="center" vertical="center" wrapText="1"/>
    </xf>
    <xf numFmtId="164" fontId="2" fillId="0" borderId="10" xfId="1" applyNumberFormat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16" fontId="2" fillId="0" borderId="6" xfId="1" quotePrefix="1" applyNumberForma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/>
    </xf>
    <xf numFmtId="0" fontId="2" fillId="0" borderId="6" xfId="1" applyNumberFormat="1" applyFill="1" applyBorder="1" applyAlignment="1">
      <alignment vertical="center"/>
    </xf>
    <xf numFmtId="164" fontId="2" fillId="0" borderId="13" xfId="1" applyNumberFormat="1" applyBorder="1" applyAlignment="1">
      <alignment horizontal="center" vertical="center" wrapText="1"/>
    </xf>
    <xf numFmtId="14" fontId="2" fillId="0" borderId="13" xfId="1" applyNumberFormat="1" applyBorder="1" applyAlignment="1">
      <alignment horizontal="center" vertical="center" wrapText="1"/>
    </xf>
    <xf numFmtId="14" fontId="2" fillId="0" borderId="6" xfId="1" applyNumberFormat="1" applyBorder="1" applyAlignment="1">
      <alignment horizontal="center" vertical="center"/>
    </xf>
    <xf numFmtId="14" fontId="2" fillId="0" borderId="6" xfId="1" applyNumberFormat="1" applyFont="1" applyBorder="1" applyAlignment="1">
      <alignment horizontal="center" vertical="center"/>
    </xf>
    <xf numFmtId="2" fontId="2" fillId="0" borderId="6" xfId="1" applyNumberFormat="1" applyFill="1" applyBorder="1" applyAlignment="1">
      <alignment horizontal="center" vertical="center"/>
    </xf>
    <xf numFmtId="2" fontId="2" fillId="0" borderId="0" xfId="1" applyNumberFormat="1" applyAlignment="1">
      <alignment horizontal="center"/>
    </xf>
    <xf numFmtId="0" fontId="2" fillId="4" borderId="6" xfId="1" applyFill="1" applyBorder="1" applyAlignment="1">
      <alignment horizontal="center" vertical="center" wrapText="1"/>
    </xf>
    <xf numFmtId="0" fontId="2" fillId="4" borderId="8" xfId="1" applyFill="1" applyBorder="1" applyAlignment="1">
      <alignment horizontal="center" vertical="center" wrapText="1"/>
    </xf>
    <xf numFmtId="2" fontId="4" fillId="0" borderId="6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 wrapText="1"/>
    </xf>
    <xf numFmtId="0" fontId="1" fillId="5" borderId="17" xfId="3" applyFont="1" applyFill="1" applyBorder="1" applyAlignment="1"/>
    <xf numFmtId="0" fontId="9" fillId="0" borderId="0" xfId="3"/>
    <xf numFmtId="0" fontId="1" fillId="5" borderId="20" xfId="3" applyFont="1" applyFill="1" applyBorder="1" applyAlignment="1"/>
    <xf numFmtId="0" fontId="1" fillId="5" borderId="22" xfId="3" applyFont="1" applyFill="1" applyBorder="1" applyAlignment="1"/>
    <xf numFmtId="0" fontId="1" fillId="5" borderId="0" xfId="3" applyFont="1" applyFill="1" applyBorder="1" applyAlignment="1"/>
    <xf numFmtId="0" fontId="10" fillId="5" borderId="0" xfId="3" applyFont="1" applyFill="1" applyBorder="1" applyAlignment="1">
      <alignment horizontal="center" vertical="center"/>
    </xf>
    <xf numFmtId="0" fontId="2" fillId="5" borderId="0" xfId="3" applyFont="1" applyFill="1" applyBorder="1" applyAlignment="1">
      <alignment horizontal="center"/>
    </xf>
    <xf numFmtId="0" fontId="11" fillId="5" borderId="0" xfId="3" applyFont="1" applyFill="1" applyBorder="1" applyAlignment="1">
      <alignment horizontal="left"/>
    </xf>
    <xf numFmtId="0" fontId="2" fillId="5" borderId="0" xfId="3" applyFont="1" applyFill="1" applyBorder="1" applyAlignment="1"/>
    <xf numFmtId="0" fontId="2" fillId="5" borderId="0" xfId="3" applyFont="1" applyFill="1" applyBorder="1" applyAlignment="1">
      <alignment horizontal="left" vertical="center"/>
    </xf>
    <xf numFmtId="0" fontId="2" fillId="5" borderId="0" xfId="3" applyFont="1" applyFill="1" applyBorder="1" applyAlignment="1">
      <alignment horizontal="left"/>
    </xf>
    <xf numFmtId="0" fontId="2" fillId="0" borderId="0" xfId="3" applyFont="1" applyBorder="1" applyAlignment="1">
      <alignment vertical="center"/>
    </xf>
    <xf numFmtId="0" fontId="2" fillId="5" borderId="0" xfId="3" applyFont="1" applyFill="1" applyBorder="1" applyAlignment="1">
      <alignment vertical="center"/>
    </xf>
    <xf numFmtId="14" fontId="2" fillId="5" borderId="0" xfId="3" applyNumberFormat="1" applyFont="1" applyFill="1" applyBorder="1" applyAlignment="1">
      <alignment vertical="center"/>
    </xf>
    <xf numFmtId="14" fontId="2" fillId="5" borderId="0" xfId="3" applyNumberFormat="1" applyFont="1" applyFill="1" applyBorder="1" applyAlignment="1"/>
    <xf numFmtId="14" fontId="2" fillId="5" borderId="0" xfId="3" applyNumberFormat="1" applyFont="1" applyFill="1" applyBorder="1" applyAlignment="1">
      <alignment horizontal="center"/>
    </xf>
    <xf numFmtId="0" fontId="9" fillId="0" borderId="0" xfId="3" applyBorder="1"/>
    <xf numFmtId="0" fontId="9" fillId="0" borderId="0" xfId="3" applyBorder="1" applyAlignment="1">
      <alignment horizontal="center"/>
    </xf>
    <xf numFmtId="0" fontId="9" fillId="0" borderId="0" xfId="3" applyBorder="1" applyAlignment="1">
      <alignment horizontal="center"/>
    </xf>
    <xf numFmtId="0" fontId="1" fillId="0" borderId="13" xfId="3" applyFont="1" applyBorder="1" applyAlignment="1">
      <alignment horizontal="left"/>
    </xf>
    <xf numFmtId="0" fontId="10" fillId="5" borderId="0" xfId="3" applyFont="1" applyFill="1" applyBorder="1" applyAlignment="1">
      <alignment horizontal="center" vertical="center"/>
    </xf>
    <xf numFmtId="0" fontId="1" fillId="0" borderId="0" xfId="3" applyFont="1" applyBorder="1"/>
    <xf numFmtId="0" fontId="2" fillId="0" borderId="0" xfId="3" applyFont="1" applyBorder="1"/>
    <xf numFmtId="9" fontId="2" fillId="5" borderId="6" xfId="4" applyFont="1" applyFill="1" applyBorder="1" applyAlignment="1">
      <alignment horizontal="center"/>
    </xf>
    <xf numFmtId="10" fontId="2" fillId="5" borderId="6" xfId="3" applyNumberFormat="1" applyFont="1" applyFill="1" applyBorder="1" applyAlignment="1">
      <alignment horizontal="center"/>
    </xf>
    <xf numFmtId="9" fontId="2" fillId="0" borderId="6" xfId="4" applyFont="1" applyBorder="1" applyAlignment="1">
      <alignment horizontal="center"/>
    </xf>
    <xf numFmtId="0" fontId="2" fillId="5" borderId="0" xfId="3" applyFont="1" applyFill="1" applyBorder="1" applyAlignment="1">
      <alignment horizontal="center" vertical="center"/>
    </xf>
    <xf numFmtId="165" fontId="2" fillId="5" borderId="13" xfId="2" applyNumberFormat="1" applyFont="1" applyFill="1" applyBorder="1" applyAlignment="1">
      <alignment horizontal="center" vertical="center"/>
    </xf>
    <xf numFmtId="44" fontId="2" fillId="0" borderId="6" xfId="2" applyFont="1" applyBorder="1" applyAlignment="1">
      <alignment horizontal="center"/>
    </xf>
    <xf numFmtId="44" fontId="1" fillId="0" borderId="6" xfId="2" applyFont="1" applyBorder="1" applyAlignment="1">
      <alignment horizontal="center"/>
    </xf>
    <xf numFmtId="14" fontId="2" fillId="5" borderId="0" xfId="3" applyNumberFormat="1" applyFont="1" applyFill="1" applyBorder="1" applyAlignment="1">
      <alignment horizontal="left"/>
    </xf>
    <xf numFmtId="165" fontId="1" fillId="0" borderId="13" xfId="3" applyNumberFormat="1" applyFont="1" applyBorder="1" applyAlignment="1">
      <alignment horizontal="left"/>
    </xf>
    <xf numFmtId="44" fontId="2" fillId="0" borderId="0" xfId="2" applyFont="1" applyBorder="1"/>
    <xf numFmtId="44" fontId="1" fillId="0" borderId="12" xfId="3" applyNumberFormat="1" applyFont="1" applyBorder="1"/>
    <xf numFmtId="0" fontId="9" fillId="7" borderId="0" xfId="3" applyFill="1"/>
    <xf numFmtId="0" fontId="10" fillId="5" borderId="0" xfId="3" applyFont="1" applyFill="1" applyBorder="1" applyAlignment="1">
      <alignment horizontal="center" vertical="center"/>
    </xf>
    <xf numFmtId="0" fontId="2" fillId="5" borderId="0" xfId="3" applyFont="1" applyFill="1" applyBorder="1" applyAlignment="1">
      <alignment horizontal="left" vertical="center"/>
    </xf>
    <xf numFmtId="0" fontId="9" fillId="0" borderId="0" xfId="3" applyBorder="1" applyAlignment="1">
      <alignment horizontal="center"/>
    </xf>
    <xf numFmtId="0" fontId="2" fillId="5" borderId="9" xfId="3" applyFont="1" applyFill="1" applyBorder="1" applyAlignment="1">
      <alignment horizontal="left"/>
    </xf>
    <xf numFmtId="0" fontId="2" fillId="5" borderId="30" xfId="3" applyFont="1" applyFill="1" applyBorder="1" applyAlignment="1">
      <alignment horizontal="left"/>
    </xf>
    <xf numFmtId="0" fontId="2" fillId="5" borderId="13" xfId="3" applyFont="1" applyFill="1" applyBorder="1" applyAlignment="1">
      <alignment horizontal="left"/>
    </xf>
    <xf numFmtId="0" fontId="13" fillId="8" borderId="4" xfId="1" applyFont="1" applyFill="1" applyBorder="1" applyAlignment="1">
      <alignment horizontal="center" vertical="center" wrapText="1"/>
    </xf>
    <xf numFmtId="0" fontId="13" fillId="8" borderId="2" xfId="1" applyFont="1" applyFill="1" applyBorder="1" applyAlignment="1">
      <alignment horizontal="center" vertical="center" wrapText="1"/>
    </xf>
    <xf numFmtId="14" fontId="2" fillId="0" borderId="13" xfId="1" applyNumberFormat="1" applyBorder="1" applyAlignment="1">
      <alignment horizontal="center" vertical="center"/>
    </xf>
    <xf numFmtId="0" fontId="2" fillId="0" borderId="6" xfId="1" quotePrefix="1" applyBorder="1" applyAlignment="1">
      <alignment horizontal="center" vertical="center" wrapText="1"/>
    </xf>
    <xf numFmtId="0" fontId="4" fillId="9" borderId="2" xfId="1" applyFont="1" applyFill="1" applyBorder="1" applyAlignment="1">
      <alignment horizontal="center" vertical="center" wrapText="1"/>
    </xf>
    <xf numFmtId="0" fontId="2" fillId="0" borderId="13" xfId="1" applyFont="1" applyBorder="1" applyAlignment="1">
      <alignment vertical="center" wrapText="1"/>
    </xf>
    <xf numFmtId="0" fontId="2" fillId="0" borderId="9" xfId="1" applyFont="1" applyBorder="1" applyAlignment="1">
      <alignment vertical="center"/>
    </xf>
    <xf numFmtId="2" fontId="2" fillId="0" borderId="0" xfId="1" applyNumberFormat="1" applyBorder="1" applyAlignment="1">
      <alignment horizontal="center" vertical="center"/>
    </xf>
    <xf numFmtId="0" fontId="2" fillId="0" borderId="13" xfId="1" applyNumberFormat="1" applyBorder="1" applyAlignment="1">
      <alignment horizontal="center" vertical="center" wrapText="1"/>
    </xf>
    <xf numFmtId="0" fontId="2" fillId="0" borderId="0" xfId="1" applyNumberFormat="1" applyAlignment="1">
      <alignment wrapText="1"/>
    </xf>
    <xf numFmtId="0" fontId="3" fillId="0" borderId="13" xfId="1" applyNumberFormat="1" applyFont="1" applyBorder="1" applyAlignment="1">
      <alignment horizontal="center" vertical="center" wrapText="1"/>
    </xf>
    <xf numFmtId="0" fontId="2" fillId="0" borderId="13" xfId="1" applyNumberFormat="1" applyFill="1" applyBorder="1" applyAlignment="1">
      <alignment horizontal="center" vertical="center" wrapText="1"/>
    </xf>
    <xf numFmtId="0" fontId="4" fillId="0" borderId="0" xfId="1" applyFont="1"/>
    <xf numFmtId="0" fontId="4" fillId="0" borderId="6" xfId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3" fillId="8" borderId="32" xfId="1" applyNumberFormat="1" applyFont="1" applyFill="1" applyBorder="1" applyAlignment="1">
      <alignment horizontal="center" vertical="center" wrapText="1"/>
    </xf>
    <xf numFmtId="0" fontId="13" fillId="8" borderId="33" xfId="1" applyNumberFormat="1" applyFont="1" applyFill="1" applyBorder="1" applyAlignment="1">
      <alignment horizontal="center" vertical="center" wrapText="1"/>
    </xf>
    <xf numFmtId="0" fontId="13" fillId="8" borderId="2" xfId="1" applyFont="1" applyFill="1" applyBorder="1" applyAlignment="1">
      <alignment horizontal="center" vertical="center" wrapText="1"/>
    </xf>
    <xf numFmtId="0" fontId="13" fillId="8" borderId="4" xfId="1" applyFont="1" applyFill="1" applyBorder="1" applyAlignment="1">
      <alignment horizontal="center" vertical="center" wrapText="1"/>
    </xf>
    <xf numFmtId="9" fontId="2" fillId="3" borderId="6" xfId="5" applyFont="1" applyFill="1" applyBorder="1" applyAlignment="1">
      <alignment horizontal="center" vertical="center"/>
    </xf>
    <xf numFmtId="9" fontId="2" fillId="0" borderId="0" xfId="5" applyFont="1" applyAlignment="1">
      <alignment horizontal="center" vertical="center"/>
    </xf>
    <xf numFmtId="166" fontId="6" fillId="0" borderId="6" xfId="1" applyNumberFormat="1" applyFont="1" applyFill="1" applyBorder="1" applyAlignment="1">
      <alignment horizontal="center" vertical="center"/>
    </xf>
    <xf numFmtId="166" fontId="2" fillId="0" borderId="6" xfId="1" applyNumberFormat="1" applyFill="1" applyBorder="1" applyAlignment="1">
      <alignment horizontal="center" vertical="center"/>
    </xf>
    <xf numFmtId="167" fontId="6" fillId="0" borderId="6" xfId="1" applyNumberFormat="1" applyFont="1" applyFill="1" applyBorder="1" applyAlignment="1">
      <alignment horizontal="center" vertical="center"/>
    </xf>
    <xf numFmtId="167" fontId="2" fillId="0" borderId="6" xfId="1" applyNumberFormat="1" applyFill="1" applyBorder="1" applyAlignment="1">
      <alignment horizontal="center" vertical="center"/>
    </xf>
    <xf numFmtId="10" fontId="3" fillId="3" borderId="6" xfId="5" applyNumberFormat="1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vertical="center"/>
    </xf>
    <xf numFmtId="0" fontId="12" fillId="8" borderId="31" xfId="0" applyFont="1" applyFill="1" applyBorder="1" applyAlignment="1">
      <alignment vertical="center"/>
    </xf>
    <xf numFmtId="0" fontId="2" fillId="6" borderId="7" xfId="3" applyFont="1" applyFill="1" applyBorder="1" applyAlignment="1">
      <alignment horizontal="center" vertical="center"/>
    </xf>
    <xf numFmtId="0" fontId="2" fillId="6" borderId="8" xfId="3" applyFont="1" applyFill="1" applyBorder="1" applyAlignment="1">
      <alignment horizontal="center" vertical="center"/>
    </xf>
    <xf numFmtId="0" fontId="2" fillId="6" borderId="7" xfId="3" applyFont="1" applyFill="1" applyBorder="1" applyAlignment="1">
      <alignment horizontal="center" vertical="center" wrapText="1"/>
    </xf>
    <xf numFmtId="0" fontId="2" fillId="6" borderId="8" xfId="3" applyFont="1" applyFill="1" applyBorder="1" applyAlignment="1">
      <alignment horizontal="center" vertical="center" wrapText="1"/>
    </xf>
    <xf numFmtId="0" fontId="2" fillId="5" borderId="0" xfId="3" applyFont="1" applyFill="1" applyBorder="1" applyAlignment="1">
      <alignment horizontal="left" vertical="top" wrapText="1"/>
    </xf>
    <xf numFmtId="0" fontId="9" fillId="0" borderId="0" xfId="3" applyBorder="1" applyAlignment="1">
      <alignment horizontal="center"/>
    </xf>
    <xf numFmtId="0" fontId="2" fillId="5" borderId="9" xfId="3" applyFont="1" applyFill="1" applyBorder="1" applyAlignment="1">
      <alignment horizontal="left"/>
    </xf>
    <xf numFmtId="0" fontId="2" fillId="5" borderId="30" xfId="3" applyFont="1" applyFill="1" applyBorder="1" applyAlignment="1">
      <alignment horizontal="left"/>
    </xf>
    <xf numFmtId="0" fontId="2" fillId="5" borderId="13" xfId="3" applyFont="1" applyFill="1" applyBorder="1" applyAlignment="1">
      <alignment horizontal="left"/>
    </xf>
    <xf numFmtId="0" fontId="1" fillId="0" borderId="9" xfId="3" applyFont="1" applyBorder="1" applyAlignment="1">
      <alignment horizontal="left"/>
    </xf>
    <xf numFmtId="0" fontId="1" fillId="0" borderId="30" xfId="3" applyFont="1" applyBorder="1" applyAlignment="1">
      <alignment horizontal="left"/>
    </xf>
    <xf numFmtId="0" fontId="1" fillId="0" borderId="13" xfId="3" applyFont="1" applyBorder="1" applyAlignment="1">
      <alignment horizontal="left"/>
    </xf>
    <xf numFmtId="0" fontId="2" fillId="6" borderId="16" xfId="3" applyFont="1" applyFill="1" applyBorder="1" applyAlignment="1">
      <alignment horizontal="center" vertical="center"/>
    </xf>
    <xf numFmtId="0" fontId="2" fillId="6" borderId="25" xfId="3" applyFont="1" applyFill="1" applyBorder="1" applyAlignment="1">
      <alignment horizontal="center" vertical="center"/>
    </xf>
    <xf numFmtId="0" fontId="2" fillId="6" borderId="26" xfId="3" applyFont="1" applyFill="1" applyBorder="1" applyAlignment="1">
      <alignment horizontal="center" vertical="center"/>
    </xf>
    <xf numFmtId="0" fontId="2" fillId="6" borderId="27" xfId="3" applyFont="1" applyFill="1" applyBorder="1" applyAlignment="1">
      <alignment horizontal="center" vertical="center"/>
    </xf>
    <xf numFmtId="0" fontId="2" fillId="6" borderId="28" xfId="3" applyFont="1" applyFill="1" applyBorder="1" applyAlignment="1">
      <alignment horizontal="center" vertical="center"/>
    </xf>
    <xf numFmtId="0" fontId="2" fillId="6" borderId="29" xfId="3" applyFont="1" applyFill="1" applyBorder="1" applyAlignment="1">
      <alignment horizontal="center" vertical="center"/>
    </xf>
    <xf numFmtId="0" fontId="10" fillId="5" borderId="17" xfId="3" applyFont="1" applyFill="1" applyBorder="1" applyAlignment="1">
      <alignment horizontal="center" vertical="center"/>
    </xf>
    <xf numFmtId="0" fontId="10" fillId="5" borderId="18" xfId="3" applyFont="1" applyFill="1" applyBorder="1" applyAlignment="1">
      <alignment horizontal="center" vertical="center"/>
    </xf>
    <xf numFmtId="0" fontId="10" fillId="5" borderId="19" xfId="3" applyFont="1" applyFill="1" applyBorder="1" applyAlignment="1">
      <alignment horizontal="center" vertical="center"/>
    </xf>
    <xf numFmtId="0" fontId="10" fillId="5" borderId="20" xfId="3" applyFont="1" applyFill="1" applyBorder="1" applyAlignment="1">
      <alignment horizontal="center" vertical="center"/>
    </xf>
    <xf numFmtId="0" fontId="10" fillId="5" borderId="0" xfId="3" applyFont="1" applyFill="1" applyBorder="1" applyAlignment="1">
      <alignment horizontal="center" vertical="center"/>
    </xf>
    <xf numFmtId="0" fontId="10" fillId="5" borderId="21" xfId="3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" vertical="center"/>
    </xf>
    <xf numFmtId="0" fontId="10" fillId="5" borderId="23" xfId="3" applyFont="1" applyFill="1" applyBorder="1" applyAlignment="1">
      <alignment horizontal="center" vertical="center"/>
    </xf>
    <xf numFmtId="0" fontId="10" fillId="5" borderId="24" xfId="3" applyFont="1" applyFill="1" applyBorder="1" applyAlignment="1">
      <alignment horizontal="center" vertical="center"/>
    </xf>
    <xf numFmtId="0" fontId="2" fillId="5" borderId="19" xfId="3" applyFont="1" applyFill="1" applyBorder="1" applyAlignment="1">
      <alignment horizontal="center"/>
    </xf>
    <xf numFmtId="0" fontId="2" fillId="5" borderId="21" xfId="3" applyFont="1" applyFill="1" applyBorder="1" applyAlignment="1">
      <alignment horizontal="center"/>
    </xf>
    <xf numFmtId="0" fontId="2" fillId="5" borderId="24" xfId="3" applyFont="1" applyFill="1" applyBorder="1" applyAlignment="1">
      <alignment horizontal="center"/>
    </xf>
    <xf numFmtId="0" fontId="2" fillId="5" borderId="0" xfId="3" applyFont="1" applyFill="1" applyBorder="1" applyAlignment="1">
      <alignment horizontal="left" vertical="center"/>
    </xf>
    <xf numFmtId="0" fontId="2" fillId="0" borderId="0" xfId="3" applyFont="1" applyBorder="1" applyAlignment="1">
      <alignment horizontal="left" vertical="center"/>
    </xf>
    <xf numFmtId="0" fontId="13" fillId="8" borderId="2" xfId="1" applyFont="1" applyFill="1" applyBorder="1" applyAlignment="1">
      <alignment horizontal="center" vertical="center" wrapText="1"/>
    </xf>
    <xf numFmtId="0" fontId="13" fillId="8" borderId="4" xfId="1" applyFont="1" applyFill="1" applyBorder="1" applyAlignment="1">
      <alignment horizontal="center" vertical="center" wrapText="1"/>
    </xf>
    <xf numFmtId="0" fontId="13" fillId="8" borderId="14" xfId="1" applyFont="1" applyFill="1" applyBorder="1" applyAlignment="1">
      <alignment horizontal="center" vertical="center" wrapText="1"/>
    </xf>
    <xf numFmtId="0" fontId="13" fillId="8" borderId="15" xfId="1" applyFont="1" applyFill="1" applyBorder="1" applyAlignment="1">
      <alignment horizontal="center" vertical="center" wrapText="1"/>
    </xf>
    <xf numFmtId="0" fontId="13" fillId="8" borderId="1" xfId="1" applyFont="1" applyFill="1" applyBorder="1" applyAlignment="1">
      <alignment horizontal="center" vertical="center" wrapText="1"/>
    </xf>
    <xf numFmtId="0" fontId="13" fillId="8" borderId="3" xfId="1" applyFont="1" applyFill="1" applyBorder="1" applyAlignment="1">
      <alignment horizontal="center" vertical="center" wrapText="1"/>
    </xf>
    <xf numFmtId="0" fontId="13" fillId="8" borderId="14" xfId="1" applyNumberFormat="1" applyFont="1" applyFill="1" applyBorder="1" applyAlignment="1">
      <alignment horizontal="center" vertical="center" wrapText="1"/>
    </xf>
    <xf numFmtId="0" fontId="13" fillId="8" borderId="15" xfId="1" applyNumberFormat="1" applyFont="1" applyFill="1" applyBorder="1" applyAlignment="1">
      <alignment horizontal="center" vertical="center" wrapText="1"/>
    </xf>
    <xf numFmtId="0" fontId="13" fillId="8" borderId="5" xfId="1" applyFont="1" applyFill="1" applyBorder="1" applyAlignment="1">
      <alignment horizontal="center" vertical="center" wrapText="1"/>
    </xf>
    <xf numFmtId="0" fontId="13" fillId="8" borderId="16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textRotation="90" wrapText="1"/>
    </xf>
    <xf numFmtId="0" fontId="1" fillId="2" borderId="7" xfId="1" applyFont="1" applyFill="1" applyBorder="1" applyAlignment="1">
      <alignment horizontal="center" vertical="center" textRotation="90" wrapText="1"/>
    </xf>
    <xf numFmtId="0" fontId="12" fillId="8" borderId="5" xfId="0" applyFont="1" applyFill="1" applyBorder="1" applyAlignment="1">
      <alignment horizontal="center" vertical="center"/>
    </xf>
    <xf numFmtId="0" fontId="12" fillId="8" borderId="31" xfId="0" applyFont="1" applyFill="1" applyBorder="1" applyAlignment="1">
      <alignment horizontal="center" vertical="center"/>
    </xf>
  </cellXfs>
  <cellStyles count="6">
    <cellStyle name="Monétaire" xfId="2" builtinId="4"/>
    <cellStyle name="Normal" xfId="0" builtinId="0"/>
    <cellStyle name="Normal 2" xfId="1"/>
    <cellStyle name="Normal 3" xfId="3"/>
    <cellStyle name="Pourcentage" xfId="5" builtinId="5"/>
    <cellStyle name="Pourcentage 2" xfId="4"/>
  </cellStyles>
  <dxfs count="0"/>
  <tableStyles count="0" defaultTableStyle="TableStyleMedium2" defaultPivotStyle="PivotStyleLight16"/>
  <colors>
    <mruColors>
      <color rgb="FFFF99FF"/>
      <color rgb="FFCCFF99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17</xdr:row>
      <xdr:rowOff>133350</xdr:rowOff>
    </xdr:from>
    <xdr:to>
      <xdr:col>12</xdr:col>
      <xdr:colOff>741136</xdr:colOff>
      <xdr:row>24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29200" y="2990850"/>
          <a:ext cx="4532086" cy="3143250"/>
        </a:xfrm>
        <a:prstGeom prst="rect">
          <a:avLst/>
        </a:prstGeom>
        <a:solidFill>
          <a:srgbClr val="000000"/>
        </a:solidFill>
        <a:ln w="9525">
          <a:solidFill>
            <a:srgbClr val="C0C0FF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Renseigner la feuille "GENERAL"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Puis saisir les renseignements relatifs aux isos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sur la feuille "ETUDES"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Ces renseignements se collent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sur les autres feuilles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Remplir les données initiales au besoin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sur la feuille "Avancement"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Puis remplir les avancements en %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au fur et à mesure de l'affaire sur les feuilles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"PREFAB" et "MONTAGE"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et les états sur la feuille "Avancement"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66675</xdr:rowOff>
    </xdr:from>
    <xdr:to>
      <xdr:col>0</xdr:col>
      <xdr:colOff>1295400</xdr:colOff>
      <xdr:row>3</xdr:row>
      <xdr:rowOff>66675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12573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79130</xdr:colOff>
      <xdr:row>0</xdr:row>
      <xdr:rowOff>35902</xdr:rowOff>
    </xdr:from>
    <xdr:to>
      <xdr:col>6</xdr:col>
      <xdr:colOff>831605</xdr:colOff>
      <xdr:row>3</xdr:row>
      <xdr:rowOff>112102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1226" y="35902"/>
          <a:ext cx="752475" cy="5597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597119</xdr:colOff>
      <xdr:row>17</xdr:row>
      <xdr:rowOff>126781</xdr:rowOff>
    </xdr:from>
    <xdr:to>
      <xdr:col>13</xdr:col>
      <xdr:colOff>557205</xdr:colOff>
      <xdr:row>33</xdr:row>
      <xdr:rowOff>22006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490998" y="3181350"/>
          <a:ext cx="4532086" cy="2529380"/>
        </a:xfrm>
        <a:prstGeom prst="rect">
          <a:avLst/>
        </a:prstGeom>
        <a:solidFill>
          <a:srgbClr val="000000"/>
        </a:solidFill>
        <a:ln w="9525">
          <a:solidFill>
            <a:srgbClr val="C0C0FF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Renseigner la feuille "GENERAL"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Puis saisir les renseignements relatifs aux isos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sur la feuille "ETUDES"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Ces renseignements se collent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sur les autres feuilles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Remplir les données initiales au besoin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sur la feuille "Avancement"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Puis remplir les avancements en %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au fur et à mesure de l'affaire sur les feuilles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"PREFAB" et "MONTAGE"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 et les états sur la feuille "Avancement"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66675</xdr:rowOff>
    </xdr:from>
    <xdr:to>
      <xdr:col>0</xdr:col>
      <xdr:colOff>1295400</xdr:colOff>
      <xdr:row>3</xdr:row>
      <xdr:rowOff>66675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12573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79130</xdr:colOff>
      <xdr:row>0</xdr:row>
      <xdr:rowOff>35902</xdr:rowOff>
    </xdr:from>
    <xdr:to>
      <xdr:col>6</xdr:col>
      <xdr:colOff>831605</xdr:colOff>
      <xdr:row>3</xdr:row>
      <xdr:rowOff>112102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0580" y="35902"/>
          <a:ext cx="7524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5</xdr:row>
          <xdr:rowOff>76200</xdr:rowOff>
        </xdr:from>
        <xdr:to>
          <xdr:col>10</xdr:col>
          <xdr:colOff>342900</xdr:colOff>
          <xdr:row>8</xdr:row>
          <xdr:rowOff>171450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35"/>
  <sheetViews>
    <sheetView view="pageBreakPreview" zoomScale="130" zoomScaleNormal="100" zoomScaleSheetLayoutView="130" workbookViewId="0">
      <selection activeCell="F10" sqref="F10:G11"/>
    </sheetView>
  </sheetViews>
  <sheetFormatPr baseColWidth="10" defaultRowHeight="12.75" x14ac:dyDescent="0.2"/>
  <cols>
    <col min="1" max="1" width="19.7109375" style="40" customWidth="1"/>
    <col min="2" max="3" width="1.5703125" style="40" customWidth="1"/>
    <col min="4" max="4" width="14.7109375" style="40" bestFit="1" customWidth="1"/>
    <col min="5" max="5" width="11.140625" style="40" customWidth="1"/>
    <col min="6" max="6" width="11" style="40" customWidth="1"/>
    <col min="7" max="7" width="13.7109375" style="40" customWidth="1"/>
    <col min="8" max="257" width="11.42578125" style="40"/>
    <col min="258" max="258" width="19.7109375" style="40" customWidth="1"/>
    <col min="259" max="260" width="1.5703125" style="40" customWidth="1"/>
    <col min="261" max="263" width="17.42578125" style="40" customWidth="1"/>
    <col min="264" max="513" width="11.42578125" style="40"/>
    <col min="514" max="514" width="19.7109375" style="40" customWidth="1"/>
    <col min="515" max="516" width="1.5703125" style="40" customWidth="1"/>
    <col min="517" max="519" width="17.42578125" style="40" customWidth="1"/>
    <col min="520" max="769" width="11.42578125" style="40"/>
    <col min="770" max="770" width="19.7109375" style="40" customWidth="1"/>
    <col min="771" max="772" width="1.5703125" style="40" customWidth="1"/>
    <col min="773" max="775" width="17.42578125" style="40" customWidth="1"/>
    <col min="776" max="1025" width="11.42578125" style="40"/>
    <col min="1026" max="1026" width="19.7109375" style="40" customWidth="1"/>
    <col min="1027" max="1028" width="1.5703125" style="40" customWidth="1"/>
    <col min="1029" max="1031" width="17.42578125" style="40" customWidth="1"/>
    <col min="1032" max="1281" width="11.42578125" style="40"/>
    <col min="1282" max="1282" width="19.7109375" style="40" customWidth="1"/>
    <col min="1283" max="1284" width="1.5703125" style="40" customWidth="1"/>
    <col min="1285" max="1287" width="17.42578125" style="40" customWidth="1"/>
    <col min="1288" max="1537" width="11.42578125" style="40"/>
    <col min="1538" max="1538" width="19.7109375" style="40" customWidth="1"/>
    <col min="1539" max="1540" width="1.5703125" style="40" customWidth="1"/>
    <col min="1541" max="1543" width="17.42578125" style="40" customWidth="1"/>
    <col min="1544" max="1793" width="11.42578125" style="40"/>
    <col min="1794" max="1794" width="19.7109375" style="40" customWidth="1"/>
    <col min="1795" max="1796" width="1.5703125" style="40" customWidth="1"/>
    <col min="1797" max="1799" width="17.42578125" style="40" customWidth="1"/>
    <col min="1800" max="2049" width="11.42578125" style="40"/>
    <col min="2050" max="2050" width="19.7109375" style="40" customWidth="1"/>
    <col min="2051" max="2052" width="1.5703125" style="40" customWidth="1"/>
    <col min="2053" max="2055" width="17.42578125" style="40" customWidth="1"/>
    <col min="2056" max="2305" width="11.42578125" style="40"/>
    <col min="2306" max="2306" width="19.7109375" style="40" customWidth="1"/>
    <col min="2307" max="2308" width="1.5703125" style="40" customWidth="1"/>
    <col min="2309" max="2311" width="17.42578125" style="40" customWidth="1"/>
    <col min="2312" max="2561" width="11.42578125" style="40"/>
    <col min="2562" max="2562" width="19.7109375" style="40" customWidth="1"/>
    <col min="2563" max="2564" width="1.5703125" style="40" customWidth="1"/>
    <col min="2565" max="2567" width="17.42578125" style="40" customWidth="1"/>
    <col min="2568" max="2817" width="11.42578125" style="40"/>
    <col min="2818" max="2818" width="19.7109375" style="40" customWidth="1"/>
    <col min="2819" max="2820" width="1.5703125" style="40" customWidth="1"/>
    <col min="2821" max="2823" width="17.42578125" style="40" customWidth="1"/>
    <col min="2824" max="3073" width="11.42578125" style="40"/>
    <col min="3074" max="3074" width="19.7109375" style="40" customWidth="1"/>
    <col min="3075" max="3076" width="1.5703125" style="40" customWidth="1"/>
    <col min="3077" max="3079" width="17.42578125" style="40" customWidth="1"/>
    <col min="3080" max="3329" width="11.42578125" style="40"/>
    <col min="3330" max="3330" width="19.7109375" style="40" customWidth="1"/>
    <col min="3331" max="3332" width="1.5703125" style="40" customWidth="1"/>
    <col min="3333" max="3335" width="17.42578125" style="40" customWidth="1"/>
    <col min="3336" max="3585" width="11.42578125" style="40"/>
    <col min="3586" max="3586" width="19.7109375" style="40" customWidth="1"/>
    <col min="3587" max="3588" width="1.5703125" style="40" customWidth="1"/>
    <col min="3589" max="3591" width="17.42578125" style="40" customWidth="1"/>
    <col min="3592" max="3841" width="11.42578125" style="40"/>
    <col min="3842" max="3842" width="19.7109375" style="40" customWidth="1"/>
    <col min="3843" max="3844" width="1.5703125" style="40" customWidth="1"/>
    <col min="3845" max="3847" width="17.42578125" style="40" customWidth="1"/>
    <col min="3848" max="4097" width="11.42578125" style="40"/>
    <col min="4098" max="4098" width="19.7109375" style="40" customWidth="1"/>
    <col min="4099" max="4100" width="1.5703125" style="40" customWidth="1"/>
    <col min="4101" max="4103" width="17.42578125" style="40" customWidth="1"/>
    <col min="4104" max="4353" width="11.42578125" style="40"/>
    <col min="4354" max="4354" width="19.7109375" style="40" customWidth="1"/>
    <col min="4355" max="4356" width="1.5703125" style="40" customWidth="1"/>
    <col min="4357" max="4359" width="17.42578125" style="40" customWidth="1"/>
    <col min="4360" max="4609" width="11.42578125" style="40"/>
    <col min="4610" max="4610" width="19.7109375" style="40" customWidth="1"/>
    <col min="4611" max="4612" width="1.5703125" style="40" customWidth="1"/>
    <col min="4613" max="4615" width="17.42578125" style="40" customWidth="1"/>
    <col min="4616" max="4865" width="11.42578125" style="40"/>
    <col min="4866" max="4866" width="19.7109375" style="40" customWidth="1"/>
    <col min="4867" max="4868" width="1.5703125" style="40" customWidth="1"/>
    <col min="4869" max="4871" width="17.42578125" style="40" customWidth="1"/>
    <col min="4872" max="5121" width="11.42578125" style="40"/>
    <col min="5122" max="5122" width="19.7109375" style="40" customWidth="1"/>
    <col min="5123" max="5124" width="1.5703125" style="40" customWidth="1"/>
    <col min="5125" max="5127" width="17.42578125" style="40" customWidth="1"/>
    <col min="5128" max="5377" width="11.42578125" style="40"/>
    <col min="5378" max="5378" width="19.7109375" style="40" customWidth="1"/>
    <col min="5379" max="5380" width="1.5703125" style="40" customWidth="1"/>
    <col min="5381" max="5383" width="17.42578125" style="40" customWidth="1"/>
    <col min="5384" max="5633" width="11.42578125" style="40"/>
    <col min="5634" max="5634" width="19.7109375" style="40" customWidth="1"/>
    <col min="5635" max="5636" width="1.5703125" style="40" customWidth="1"/>
    <col min="5637" max="5639" width="17.42578125" style="40" customWidth="1"/>
    <col min="5640" max="5889" width="11.42578125" style="40"/>
    <col min="5890" max="5890" width="19.7109375" style="40" customWidth="1"/>
    <col min="5891" max="5892" width="1.5703125" style="40" customWidth="1"/>
    <col min="5893" max="5895" width="17.42578125" style="40" customWidth="1"/>
    <col min="5896" max="6145" width="11.42578125" style="40"/>
    <col min="6146" max="6146" width="19.7109375" style="40" customWidth="1"/>
    <col min="6147" max="6148" width="1.5703125" style="40" customWidth="1"/>
    <col min="6149" max="6151" width="17.42578125" style="40" customWidth="1"/>
    <col min="6152" max="6401" width="11.42578125" style="40"/>
    <col min="6402" max="6402" width="19.7109375" style="40" customWidth="1"/>
    <col min="6403" max="6404" width="1.5703125" style="40" customWidth="1"/>
    <col min="6405" max="6407" width="17.42578125" style="40" customWidth="1"/>
    <col min="6408" max="6657" width="11.42578125" style="40"/>
    <col min="6658" max="6658" width="19.7109375" style="40" customWidth="1"/>
    <col min="6659" max="6660" width="1.5703125" style="40" customWidth="1"/>
    <col min="6661" max="6663" width="17.42578125" style="40" customWidth="1"/>
    <col min="6664" max="6913" width="11.42578125" style="40"/>
    <col min="6914" max="6914" width="19.7109375" style="40" customWidth="1"/>
    <col min="6915" max="6916" width="1.5703125" style="40" customWidth="1"/>
    <col min="6917" max="6919" width="17.42578125" style="40" customWidth="1"/>
    <col min="6920" max="7169" width="11.42578125" style="40"/>
    <col min="7170" max="7170" width="19.7109375" style="40" customWidth="1"/>
    <col min="7171" max="7172" width="1.5703125" style="40" customWidth="1"/>
    <col min="7173" max="7175" width="17.42578125" style="40" customWidth="1"/>
    <col min="7176" max="7425" width="11.42578125" style="40"/>
    <col min="7426" max="7426" width="19.7109375" style="40" customWidth="1"/>
    <col min="7427" max="7428" width="1.5703125" style="40" customWidth="1"/>
    <col min="7429" max="7431" width="17.42578125" style="40" customWidth="1"/>
    <col min="7432" max="7681" width="11.42578125" style="40"/>
    <col min="7682" max="7682" width="19.7109375" style="40" customWidth="1"/>
    <col min="7683" max="7684" width="1.5703125" style="40" customWidth="1"/>
    <col min="7685" max="7687" width="17.42578125" style="40" customWidth="1"/>
    <col min="7688" max="7937" width="11.42578125" style="40"/>
    <col min="7938" max="7938" width="19.7109375" style="40" customWidth="1"/>
    <col min="7939" max="7940" width="1.5703125" style="40" customWidth="1"/>
    <col min="7941" max="7943" width="17.42578125" style="40" customWidth="1"/>
    <col min="7944" max="8193" width="11.42578125" style="40"/>
    <col min="8194" max="8194" width="19.7109375" style="40" customWidth="1"/>
    <col min="8195" max="8196" width="1.5703125" style="40" customWidth="1"/>
    <col min="8197" max="8199" width="17.42578125" style="40" customWidth="1"/>
    <col min="8200" max="8449" width="11.42578125" style="40"/>
    <col min="8450" max="8450" width="19.7109375" style="40" customWidth="1"/>
    <col min="8451" max="8452" width="1.5703125" style="40" customWidth="1"/>
    <col min="8453" max="8455" width="17.42578125" style="40" customWidth="1"/>
    <col min="8456" max="8705" width="11.42578125" style="40"/>
    <col min="8706" max="8706" width="19.7109375" style="40" customWidth="1"/>
    <col min="8707" max="8708" width="1.5703125" style="40" customWidth="1"/>
    <col min="8709" max="8711" width="17.42578125" style="40" customWidth="1"/>
    <col min="8712" max="8961" width="11.42578125" style="40"/>
    <col min="8962" max="8962" width="19.7109375" style="40" customWidth="1"/>
    <col min="8963" max="8964" width="1.5703125" style="40" customWidth="1"/>
    <col min="8965" max="8967" width="17.42578125" style="40" customWidth="1"/>
    <col min="8968" max="9217" width="11.42578125" style="40"/>
    <col min="9218" max="9218" width="19.7109375" style="40" customWidth="1"/>
    <col min="9219" max="9220" width="1.5703125" style="40" customWidth="1"/>
    <col min="9221" max="9223" width="17.42578125" style="40" customWidth="1"/>
    <col min="9224" max="9473" width="11.42578125" style="40"/>
    <col min="9474" max="9474" width="19.7109375" style="40" customWidth="1"/>
    <col min="9475" max="9476" width="1.5703125" style="40" customWidth="1"/>
    <col min="9477" max="9479" width="17.42578125" style="40" customWidth="1"/>
    <col min="9480" max="9729" width="11.42578125" style="40"/>
    <col min="9730" max="9730" width="19.7109375" style="40" customWidth="1"/>
    <col min="9731" max="9732" width="1.5703125" style="40" customWidth="1"/>
    <col min="9733" max="9735" width="17.42578125" style="40" customWidth="1"/>
    <col min="9736" max="9985" width="11.42578125" style="40"/>
    <col min="9986" max="9986" width="19.7109375" style="40" customWidth="1"/>
    <col min="9987" max="9988" width="1.5703125" style="40" customWidth="1"/>
    <col min="9989" max="9991" width="17.42578125" style="40" customWidth="1"/>
    <col min="9992" max="10241" width="11.42578125" style="40"/>
    <col min="10242" max="10242" width="19.7109375" style="40" customWidth="1"/>
    <col min="10243" max="10244" width="1.5703125" style="40" customWidth="1"/>
    <col min="10245" max="10247" width="17.42578125" style="40" customWidth="1"/>
    <col min="10248" max="10497" width="11.42578125" style="40"/>
    <col min="10498" max="10498" width="19.7109375" style="40" customWidth="1"/>
    <col min="10499" max="10500" width="1.5703125" style="40" customWidth="1"/>
    <col min="10501" max="10503" width="17.42578125" style="40" customWidth="1"/>
    <col min="10504" max="10753" width="11.42578125" style="40"/>
    <col min="10754" max="10754" width="19.7109375" style="40" customWidth="1"/>
    <col min="10755" max="10756" width="1.5703125" style="40" customWidth="1"/>
    <col min="10757" max="10759" width="17.42578125" style="40" customWidth="1"/>
    <col min="10760" max="11009" width="11.42578125" style="40"/>
    <col min="11010" max="11010" width="19.7109375" style="40" customWidth="1"/>
    <col min="11011" max="11012" width="1.5703125" style="40" customWidth="1"/>
    <col min="11013" max="11015" width="17.42578125" style="40" customWidth="1"/>
    <col min="11016" max="11265" width="11.42578125" style="40"/>
    <col min="11266" max="11266" width="19.7109375" style="40" customWidth="1"/>
    <col min="11267" max="11268" width="1.5703125" style="40" customWidth="1"/>
    <col min="11269" max="11271" width="17.42578125" style="40" customWidth="1"/>
    <col min="11272" max="11521" width="11.42578125" style="40"/>
    <col min="11522" max="11522" width="19.7109375" style="40" customWidth="1"/>
    <col min="11523" max="11524" width="1.5703125" style="40" customWidth="1"/>
    <col min="11525" max="11527" width="17.42578125" style="40" customWidth="1"/>
    <col min="11528" max="11777" width="11.42578125" style="40"/>
    <col min="11778" max="11778" width="19.7109375" style="40" customWidth="1"/>
    <col min="11779" max="11780" width="1.5703125" style="40" customWidth="1"/>
    <col min="11781" max="11783" width="17.42578125" style="40" customWidth="1"/>
    <col min="11784" max="12033" width="11.42578125" style="40"/>
    <col min="12034" max="12034" width="19.7109375" style="40" customWidth="1"/>
    <col min="12035" max="12036" width="1.5703125" style="40" customWidth="1"/>
    <col min="12037" max="12039" width="17.42578125" style="40" customWidth="1"/>
    <col min="12040" max="12289" width="11.42578125" style="40"/>
    <col min="12290" max="12290" width="19.7109375" style="40" customWidth="1"/>
    <col min="12291" max="12292" width="1.5703125" style="40" customWidth="1"/>
    <col min="12293" max="12295" width="17.42578125" style="40" customWidth="1"/>
    <col min="12296" max="12545" width="11.42578125" style="40"/>
    <col min="12546" max="12546" width="19.7109375" style="40" customWidth="1"/>
    <col min="12547" max="12548" width="1.5703125" style="40" customWidth="1"/>
    <col min="12549" max="12551" width="17.42578125" style="40" customWidth="1"/>
    <col min="12552" max="12801" width="11.42578125" style="40"/>
    <col min="12802" max="12802" width="19.7109375" style="40" customWidth="1"/>
    <col min="12803" max="12804" width="1.5703125" style="40" customWidth="1"/>
    <col min="12805" max="12807" width="17.42578125" style="40" customWidth="1"/>
    <col min="12808" max="13057" width="11.42578125" style="40"/>
    <col min="13058" max="13058" width="19.7109375" style="40" customWidth="1"/>
    <col min="13059" max="13060" width="1.5703125" style="40" customWidth="1"/>
    <col min="13061" max="13063" width="17.42578125" style="40" customWidth="1"/>
    <col min="13064" max="13313" width="11.42578125" style="40"/>
    <col min="13314" max="13314" width="19.7109375" style="40" customWidth="1"/>
    <col min="13315" max="13316" width="1.5703125" style="40" customWidth="1"/>
    <col min="13317" max="13319" width="17.42578125" style="40" customWidth="1"/>
    <col min="13320" max="13569" width="11.42578125" style="40"/>
    <col min="13570" max="13570" width="19.7109375" style="40" customWidth="1"/>
    <col min="13571" max="13572" width="1.5703125" style="40" customWidth="1"/>
    <col min="13573" max="13575" width="17.42578125" style="40" customWidth="1"/>
    <col min="13576" max="13825" width="11.42578125" style="40"/>
    <col min="13826" max="13826" width="19.7109375" style="40" customWidth="1"/>
    <col min="13827" max="13828" width="1.5703125" style="40" customWidth="1"/>
    <col min="13829" max="13831" width="17.42578125" style="40" customWidth="1"/>
    <col min="13832" max="14081" width="11.42578125" style="40"/>
    <col min="14082" max="14082" width="19.7109375" style="40" customWidth="1"/>
    <col min="14083" max="14084" width="1.5703125" style="40" customWidth="1"/>
    <col min="14085" max="14087" width="17.42578125" style="40" customWidth="1"/>
    <col min="14088" max="14337" width="11.42578125" style="40"/>
    <col min="14338" max="14338" width="19.7109375" style="40" customWidth="1"/>
    <col min="14339" max="14340" width="1.5703125" style="40" customWidth="1"/>
    <col min="14341" max="14343" width="17.42578125" style="40" customWidth="1"/>
    <col min="14344" max="14593" width="11.42578125" style="40"/>
    <col min="14594" max="14594" width="19.7109375" style="40" customWidth="1"/>
    <col min="14595" max="14596" width="1.5703125" style="40" customWidth="1"/>
    <col min="14597" max="14599" width="17.42578125" style="40" customWidth="1"/>
    <col min="14600" max="14849" width="11.42578125" style="40"/>
    <col min="14850" max="14850" width="19.7109375" style="40" customWidth="1"/>
    <col min="14851" max="14852" width="1.5703125" style="40" customWidth="1"/>
    <col min="14853" max="14855" width="17.42578125" style="40" customWidth="1"/>
    <col min="14856" max="15105" width="11.42578125" style="40"/>
    <col min="15106" max="15106" width="19.7109375" style="40" customWidth="1"/>
    <col min="15107" max="15108" width="1.5703125" style="40" customWidth="1"/>
    <col min="15109" max="15111" width="17.42578125" style="40" customWidth="1"/>
    <col min="15112" max="15361" width="11.42578125" style="40"/>
    <col min="15362" max="15362" width="19.7109375" style="40" customWidth="1"/>
    <col min="15363" max="15364" width="1.5703125" style="40" customWidth="1"/>
    <col min="15365" max="15367" width="17.42578125" style="40" customWidth="1"/>
    <col min="15368" max="15617" width="11.42578125" style="40"/>
    <col min="15618" max="15618" width="19.7109375" style="40" customWidth="1"/>
    <col min="15619" max="15620" width="1.5703125" style="40" customWidth="1"/>
    <col min="15621" max="15623" width="17.42578125" style="40" customWidth="1"/>
    <col min="15624" max="15873" width="11.42578125" style="40"/>
    <col min="15874" max="15874" width="19.7109375" style="40" customWidth="1"/>
    <col min="15875" max="15876" width="1.5703125" style="40" customWidth="1"/>
    <col min="15877" max="15879" width="17.42578125" style="40" customWidth="1"/>
    <col min="15880" max="16129" width="11.42578125" style="40"/>
    <col min="16130" max="16130" width="19.7109375" style="40" customWidth="1"/>
    <col min="16131" max="16132" width="1.5703125" style="40" customWidth="1"/>
    <col min="16133" max="16135" width="17.42578125" style="40" customWidth="1"/>
    <col min="16136" max="16384" width="11.42578125" style="40"/>
  </cols>
  <sheetData>
    <row r="1" spans="1:7" ht="12.75" customHeight="1" x14ac:dyDescent="0.2">
      <c r="A1" s="39"/>
      <c r="B1" s="126" t="s">
        <v>403</v>
      </c>
      <c r="C1" s="127"/>
      <c r="D1" s="127"/>
      <c r="E1" s="127"/>
      <c r="F1" s="128"/>
      <c r="G1" s="135"/>
    </row>
    <row r="2" spans="1:7" ht="12.75" customHeight="1" x14ac:dyDescent="0.2">
      <c r="A2" s="41"/>
      <c r="B2" s="129"/>
      <c r="C2" s="130"/>
      <c r="D2" s="130"/>
      <c r="E2" s="130"/>
      <c r="F2" s="131"/>
      <c r="G2" s="136"/>
    </row>
    <row r="3" spans="1:7" ht="12.75" customHeight="1" x14ac:dyDescent="0.2">
      <c r="A3" s="41"/>
      <c r="B3" s="129"/>
      <c r="C3" s="130"/>
      <c r="D3" s="130"/>
      <c r="E3" s="130"/>
      <c r="F3" s="131"/>
      <c r="G3" s="136"/>
    </row>
    <row r="4" spans="1:7" ht="10.5" customHeight="1" thickBot="1" x14ac:dyDescent="0.25">
      <c r="A4" s="42"/>
      <c r="B4" s="132"/>
      <c r="C4" s="133"/>
      <c r="D4" s="133"/>
      <c r="E4" s="133"/>
      <c r="F4" s="134"/>
      <c r="G4" s="137"/>
    </row>
    <row r="5" spans="1:7" ht="15.75" customHeight="1" x14ac:dyDescent="0.2">
      <c r="A5" s="43"/>
      <c r="B5" s="43"/>
      <c r="C5" s="44"/>
      <c r="D5" s="59"/>
      <c r="E5" s="59"/>
      <c r="F5" s="44"/>
      <c r="G5" s="45"/>
    </row>
    <row r="6" spans="1:7" ht="15.75" customHeight="1" x14ac:dyDescent="0.2">
      <c r="A6" s="43"/>
      <c r="B6" s="43"/>
      <c r="C6" s="44"/>
      <c r="D6" s="59"/>
      <c r="E6" s="59"/>
      <c r="F6" s="44"/>
      <c r="G6" s="45"/>
    </row>
    <row r="7" spans="1:7" ht="15.75" x14ac:dyDescent="0.25">
      <c r="A7" s="46"/>
      <c r="B7" s="46"/>
      <c r="C7" s="46"/>
      <c r="D7" s="46"/>
      <c r="E7" s="46"/>
      <c r="F7" s="47"/>
      <c r="G7" s="45"/>
    </row>
    <row r="8" spans="1:7" x14ac:dyDescent="0.2">
      <c r="A8" s="48" t="s">
        <v>404</v>
      </c>
      <c r="B8" s="48"/>
      <c r="C8" s="49" t="s">
        <v>405</v>
      </c>
      <c r="D8" s="49">
        <v>2827</v>
      </c>
      <c r="E8" s="49"/>
      <c r="F8" s="138"/>
      <c r="G8" s="138"/>
    </row>
    <row r="9" spans="1:7" ht="27" customHeight="1" x14ac:dyDescent="0.2">
      <c r="A9" s="48" t="s">
        <v>406</v>
      </c>
      <c r="B9" s="48"/>
      <c r="C9" s="65" t="s">
        <v>405</v>
      </c>
      <c r="D9" s="112" t="s">
        <v>418</v>
      </c>
      <c r="E9" s="112"/>
      <c r="F9" s="112"/>
      <c r="G9" s="48"/>
    </row>
    <row r="10" spans="1:7" x14ac:dyDescent="0.2">
      <c r="A10" s="50" t="s">
        <v>407</v>
      </c>
      <c r="B10" s="50"/>
      <c r="C10" s="49" t="s">
        <v>405</v>
      </c>
      <c r="D10" s="49" t="s">
        <v>477</v>
      </c>
      <c r="E10" s="49"/>
      <c r="F10" s="139"/>
      <c r="G10" s="139"/>
    </row>
    <row r="11" spans="1:7" ht="14.25" customHeight="1" x14ac:dyDescent="0.2">
      <c r="A11" s="51" t="s">
        <v>408</v>
      </c>
      <c r="B11" s="51"/>
      <c r="C11" s="47" t="s">
        <v>405</v>
      </c>
      <c r="D11" s="47" t="s">
        <v>419</v>
      </c>
      <c r="E11" s="47"/>
      <c r="F11" s="138"/>
      <c r="G11" s="138"/>
    </row>
    <row r="12" spans="1:7" x14ac:dyDescent="0.2">
      <c r="A12" s="52" t="s">
        <v>409</v>
      </c>
      <c r="B12" s="52"/>
      <c r="C12" s="53" t="s">
        <v>405</v>
      </c>
      <c r="D12" s="69">
        <f ca="1">TODAY()</f>
        <v>42443</v>
      </c>
      <c r="E12" s="53"/>
      <c r="F12" s="52"/>
      <c r="G12" s="52"/>
    </row>
    <row r="13" spans="1:7" x14ac:dyDescent="0.2">
      <c r="A13" s="52"/>
      <c r="B13" s="52"/>
      <c r="C13" s="53"/>
      <c r="D13" s="53"/>
      <c r="E13" s="53"/>
      <c r="F13" s="52"/>
      <c r="G13" s="52"/>
    </row>
    <row r="14" spans="1:7" x14ac:dyDescent="0.2">
      <c r="A14" s="52"/>
      <c r="B14" s="52"/>
      <c r="C14" s="53"/>
      <c r="D14" s="53"/>
      <c r="E14" s="53"/>
      <c r="F14" s="52"/>
      <c r="G14" s="52"/>
    </row>
    <row r="15" spans="1:7" x14ac:dyDescent="0.2">
      <c r="A15" s="52"/>
      <c r="B15" s="52"/>
      <c r="C15" s="53"/>
      <c r="D15" s="53"/>
      <c r="E15" s="53"/>
      <c r="F15" s="52"/>
      <c r="G15" s="52"/>
    </row>
    <row r="16" spans="1:7" x14ac:dyDescent="0.2">
      <c r="A16" s="52"/>
      <c r="B16" s="52"/>
      <c r="C16" s="53"/>
      <c r="D16" s="53"/>
      <c r="E16" s="53"/>
      <c r="F16" s="52"/>
      <c r="G16" s="52"/>
    </row>
    <row r="17" spans="1:7" x14ac:dyDescent="0.2">
      <c r="A17" s="54"/>
      <c r="B17" s="54"/>
      <c r="C17" s="54"/>
      <c r="D17" s="54"/>
      <c r="E17" s="54"/>
      <c r="F17" s="54"/>
      <c r="G17" s="54"/>
    </row>
    <row r="18" spans="1:7" ht="12.75" customHeight="1" x14ac:dyDescent="0.2">
      <c r="A18" s="120" t="s">
        <v>420</v>
      </c>
      <c r="B18" s="121"/>
      <c r="C18" s="122"/>
      <c r="D18" s="108" t="s">
        <v>421</v>
      </c>
      <c r="E18" s="110" t="s">
        <v>422</v>
      </c>
      <c r="F18" s="110" t="s">
        <v>424</v>
      </c>
      <c r="G18" s="108" t="s">
        <v>423</v>
      </c>
    </row>
    <row r="19" spans="1:7" ht="13.5" customHeight="1" x14ac:dyDescent="0.2">
      <c r="A19" s="123"/>
      <c r="B19" s="124"/>
      <c r="C19" s="125"/>
      <c r="D19" s="109"/>
      <c r="E19" s="111"/>
      <c r="F19" s="111"/>
      <c r="G19" s="109"/>
    </row>
    <row r="20" spans="1:7" x14ac:dyDescent="0.2">
      <c r="A20" s="114" t="s">
        <v>416</v>
      </c>
      <c r="B20" s="115"/>
      <c r="C20" s="116"/>
      <c r="D20" s="66">
        <v>52674</v>
      </c>
      <c r="E20" s="62">
        <v>1</v>
      </c>
      <c r="F20" s="63">
        <v>1</v>
      </c>
      <c r="G20" s="67">
        <f>F20*E20*D20</f>
        <v>52674</v>
      </c>
    </row>
    <row r="21" spans="1:7" x14ac:dyDescent="0.2">
      <c r="A21" s="114" t="s">
        <v>417</v>
      </c>
      <c r="B21" s="115"/>
      <c r="C21" s="116"/>
      <c r="D21" s="66">
        <v>42488</v>
      </c>
      <c r="E21" s="62">
        <v>1</v>
      </c>
      <c r="F21" s="63">
        <v>1</v>
      </c>
      <c r="G21" s="67">
        <f>F21*E21*D21</f>
        <v>42488</v>
      </c>
    </row>
    <row r="22" spans="1:7" x14ac:dyDescent="0.2">
      <c r="A22" s="117" t="s">
        <v>410</v>
      </c>
      <c r="B22" s="118"/>
      <c r="C22" s="119"/>
      <c r="D22" s="70">
        <f>SUM(D20:D21)</f>
        <v>95162</v>
      </c>
      <c r="E22" s="58"/>
      <c r="F22" s="64"/>
      <c r="G22" s="68">
        <f>SUM(G20:G21)</f>
        <v>95162</v>
      </c>
    </row>
    <row r="23" spans="1:7" x14ac:dyDescent="0.2">
      <c r="A23" s="60"/>
      <c r="B23" s="60"/>
      <c r="C23" s="60"/>
      <c r="D23" s="60"/>
      <c r="E23" s="60"/>
      <c r="F23" s="55"/>
      <c r="G23" s="55"/>
    </row>
    <row r="24" spans="1:7" x14ac:dyDescent="0.2">
      <c r="A24" s="61" t="s">
        <v>445</v>
      </c>
      <c r="B24" s="61"/>
      <c r="C24" s="61"/>
      <c r="D24" s="71">
        <v>72799.47</v>
      </c>
      <c r="E24" s="61"/>
      <c r="F24" s="55"/>
      <c r="G24" s="55"/>
    </row>
    <row r="25" spans="1:7" ht="13.5" thickBot="1" x14ac:dyDescent="0.25">
      <c r="A25" s="61"/>
      <c r="B25" s="61"/>
      <c r="C25" s="61"/>
      <c r="D25" s="61"/>
      <c r="E25" s="61"/>
      <c r="F25" s="55"/>
      <c r="G25" s="55"/>
    </row>
    <row r="26" spans="1:7" ht="13.5" thickBot="1" x14ac:dyDescent="0.25">
      <c r="A26" s="73" t="s">
        <v>446</v>
      </c>
      <c r="B26" s="73"/>
      <c r="C26" s="73"/>
      <c r="D26" s="73"/>
      <c r="E26" s="73"/>
      <c r="F26" s="73"/>
      <c r="G26" s="72">
        <f>G22-D24</f>
        <v>22362.53</v>
      </c>
    </row>
    <row r="27" spans="1:7" x14ac:dyDescent="0.2">
      <c r="A27" s="55"/>
      <c r="B27" s="55"/>
      <c r="C27" s="55"/>
      <c r="D27" s="55"/>
      <c r="E27" s="55"/>
      <c r="F27" s="55"/>
      <c r="G27" s="55"/>
    </row>
    <row r="28" spans="1:7" x14ac:dyDescent="0.2">
      <c r="A28" s="55"/>
      <c r="B28" s="55"/>
      <c r="C28" s="55"/>
      <c r="D28" s="55"/>
      <c r="E28" s="55"/>
      <c r="F28" s="55"/>
      <c r="G28" s="55"/>
    </row>
    <row r="29" spans="1:7" x14ac:dyDescent="0.2">
      <c r="A29" s="55"/>
      <c r="B29" s="55"/>
      <c r="C29" s="55"/>
      <c r="D29" s="55"/>
      <c r="E29" s="55"/>
      <c r="F29" s="55"/>
      <c r="G29" s="55"/>
    </row>
    <row r="30" spans="1:7" x14ac:dyDescent="0.2">
      <c r="A30" s="55"/>
      <c r="B30" s="55"/>
      <c r="C30" s="55"/>
      <c r="D30" s="55"/>
      <c r="E30" s="55"/>
      <c r="F30" s="113" t="s">
        <v>411</v>
      </c>
      <c r="G30" s="113"/>
    </row>
    <row r="31" spans="1:7" x14ac:dyDescent="0.2">
      <c r="A31" s="55"/>
      <c r="B31" s="55"/>
      <c r="C31" s="55"/>
      <c r="D31" s="55"/>
      <c r="E31" s="55"/>
    </row>
    <row r="32" spans="1:7" x14ac:dyDescent="0.2">
      <c r="A32" s="55"/>
      <c r="B32" s="55"/>
      <c r="C32" s="55"/>
      <c r="D32" s="55"/>
      <c r="E32" s="55"/>
      <c r="F32" s="55"/>
      <c r="G32" s="55"/>
    </row>
    <row r="33" spans="1:7" x14ac:dyDescent="0.2">
      <c r="A33" s="55"/>
      <c r="B33" s="55"/>
      <c r="C33" s="55"/>
      <c r="D33" s="55"/>
      <c r="E33" s="55"/>
      <c r="F33" s="55"/>
      <c r="G33" s="55"/>
    </row>
    <row r="34" spans="1:7" x14ac:dyDescent="0.2">
      <c r="C34" s="56"/>
      <c r="D34" s="57"/>
      <c r="E34" s="57"/>
    </row>
    <row r="35" spans="1:7" x14ac:dyDescent="0.2">
      <c r="A35" s="56"/>
      <c r="B35" s="56"/>
      <c r="C35" s="56"/>
      <c r="D35" s="57"/>
      <c r="E35" s="57"/>
      <c r="F35" s="55"/>
      <c r="G35" s="55"/>
    </row>
  </sheetData>
  <mergeCells count="15">
    <mergeCell ref="B1:F4"/>
    <mergeCell ref="G1:G4"/>
    <mergeCell ref="F8:G8"/>
    <mergeCell ref="F10:G10"/>
    <mergeCell ref="F11:G11"/>
    <mergeCell ref="D18:D19"/>
    <mergeCell ref="E18:E19"/>
    <mergeCell ref="D9:F9"/>
    <mergeCell ref="F30:G30"/>
    <mergeCell ref="A20:C20"/>
    <mergeCell ref="A22:C22"/>
    <mergeCell ref="A21:C21"/>
    <mergeCell ref="A18:C19"/>
    <mergeCell ref="F18:F19"/>
    <mergeCell ref="G18:G19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horizontalDpi="4294967292" r:id="rId1"/>
  <headerFooter alignWithMargins="0">
    <oddHeader>&amp;A</oddHeader>
    <oddFooter>&amp;CPage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44"/>
  <sheetViews>
    <sheetView view="pageBreakPreview" topLeftCell="A16" zoomScale="115" zoomScaleNormal="100" zoomScaleSheetLayoutView="115" workbookViewId="0">
      <selection activeCell="A25" activeCellId="1" sqref="A21 A25"/>
    </sheetView>
  </sheetViews>
  <sheetFormatPr baseColWidth="10" defaultRowHeight="12.75" x14ac:dyDescent="0.2"/>
  <cols>
    <col min="1" max="1" width="19.7109375" style="40" customWidth="1"/>
    <col min="2" max="3" width="1.5703125" style="40" customWidth="1"/>
    <col min="4" max="4" width="14.7109375" style="40" bestFit="1" customWidth="1"/>
    <col min="5" max="5" width="11.140625" style="40" customWidth="1"/>
    <col min="6" max="6" width="11" style="40" customWidth="1"/>
    <col min="7" max="7" width="13.7109375" style="40" customWidth="1"/>
    <col min="8" max="257" width="11.42578125" style="40"/>
    <col min="258" max="258" width="19.7109375" style="40" customWidth="1"/>
    <col min="259" max="260" width="1.5703125" style="40" customWidth="1"/>
    <col min="261" max="263" width="17.42578125" style="40" customWidth="1"/>
    <col min="264" max="513" width="11.42578125" style="40"/>
    <col min="514" max="514" width="19.7109375" style="40" customWidth="1"/>
    <col min="515" max="516" width="1.5703125" style="40" customWidth="1"/>
    <col min="517" max="519" width="17.42578125" style="40" customWidth="1"/>
    <col min="520" max="769" width="11.42578125" style="40"/>
    <col min="770" max="770" width="19.7109375" style="40" customWidth="1"/>
    <col min="771" max="772" width="1.5703125" style="40" customWidth="1"/>
    <col min="773" max="775" width="17.42578125" style="40" customWidth="1"/>
    <col min="776" max="1025" width="11.42578125" style="40"/>
    <col min="1026" max="1026" width="19.7109375" style="40" customWidth="1"/>
    <col min="1027" max="1028" width="1.5703125" style="40" customWidth="1"/>
    <col min="1029" max="1031" width="17.42578125" style="40" customWidth="1"/>
    <col min="1032" max="1281" width="11.42578125" style="40"/>
    <col min="1282" max="1282" width="19.7109375" style="40" customWidth="1"/>
    <col min="1283" max="1284" width="1.5703125" style="40" customWidth="1"/>
    <col min="1285" max="1287" width="17.42578125" style="40" customWidth="1"/>
    <col min="1288" max="1537" width="11.42578125" style="40"/>
    <col min="1538" max="1538" width="19.7109375" style="40" customWidth="1"/>
    <col min="1539" max="1540" width="1.5703125" style="40" customWidth="1"/>
    <col min="1541" max="1543" width="17.42578125" style="40" customWidth="1"/>
    <col min="1544" max="1793" width="11.42578125" style="40"/>
    <col min="1794" max="1794" width="19.7109375" style="40" customWidth="1"/>
    <col min="1795" max="1796" width="1.5703125" style="40" customWidth="1"/>
    <col min="1797" max="1799" width="17.42578125" style="40" customWidth="1"/>
    <col min="1800" max="2049" width="11.42578125" style="40"/>
    <col min="2050" max="2050" width="19.7109375" style="40" customWidth="1"/>
    <col min="2051" max="2052" width="1.5703125" style="40" customWidth="1"/>
    <col min="2053" max="2055" width="17.42578125" style="40" customWidth="1"/>
    <col min="2056" max="2305" width="11.42578125" style="40"/>
    <col min="2306" max="2306" width="19.7109375" style="40" customWidth="1"/>
    <col min="2307" max="2308" width="1.5703125" style="40" customWidth="1"/>
    <col min="2309" max="2311" width="17.42578125" style="40" customWidth="1"/>
    <col min="2312" max="2561" width="11.42578125" style="40"/>
    <col min="2562" max="2562" width="19.7109375" style="40" customWidth="1"/>
    <col min="2563" max="2564" width="1.5703125" style="40" customWidth="1"/>
    <col min="2565" max="2567" width="17.42578125" style="40" customWidth="1"/>
    <col min="2568" max="2817" width="11.42578125" style="40"/>
    <col min="2818" max="2818" width="19.7109375" style="40" customWidth="1"/>
    <col min="2819" max="2820" width="1.5703125" style="40" customWidth="1"/>
    <col min="2821" max="2823" width="17.42578125" style="40" customWidth="1"/>
    <col min="2824" max="3073" width="11.42578125" style="40"/>
    <col min="3074" max="3074" width="19.7109375" style="40" customWidth="1"/>
    <col min="3075" max="3076" width="1.5703125" style="40" customWidth="1"/>
    <col min="3077" max="3079" width="17.42578125" style="40" customWidth="1"/>
    <col min="3080" max="3329" width="11.42578125" style="40"/>
    <col min="3330" max="3330" width="19.7109375" style="40" customWidth="1"/>
    <col min="3331" max="3332" width="1.5703125" style="40" customWidth="1"/>
    <col min="3333" max="3335" width="17.42578125" style="40" customWidth="1"/>
    <col min="3336" max="3585" width="11.42578125" style="40"/>
    <col min="3586" max="3586" width="19.7109375" style="40" customWidth="1"/>
    <col min="3587" max="3588" width="1.5703125" style="40" customWidth="1"/>
    <col min="3589" max="3591" width="17.42578125" style="40" customWidth="1"/>
    <col min="3592" max="3841" width="11.42578125" style="40"/>
    <col min="3842" max="3842" width="19.7109375" style="40" customWidth="1"/>
    <col min="3843" max="3844" width="1.5703125" style="40" customWidth="1"/>
    <col min="3845" max="3847" width="17.42578125" style="40" customWidth="1"/>
    <col min="3848" max="4097" width="11.42578125" style="40"/>
    <col min="4098" max="4098" width="19.7109375" style="40" customWidth="1"/>
    <col min="4099" max="4100" width="1.5703125" style="40" customWidth="1"/>
    <col min="4101" max="4103" width="17.42578125" style="40" customWidth="1"/>
    <col min="4104" max="4353" width="11.42578125" style="40"/>
    <col min="4354" max="4354" width="19.7109375" style="40" customWidth="1"/>
    <col min="4355" max="4356" width="1.5703125" style="40" customWidth="1"/>
    <col min="4357" max="4359" width="17.42578125" style="40" customWidth="1"/>
    <col min="4360" max="4609" width="11.42578125" style="40"/>
    <col min="4610" max="4610" width="19.7109375" style="40" customWidth="1"/>
    <col min="4611" max="4612" width="1.5703125" style="40" customWidth="1"/>
    <col min="4613" max="4615" width="17.42578125" style="40" customWidth="1"/>
    <col min="4616" max="4865" width="11.42578125" style="40"/>
    <col min="4866" max="4866" width="19.7109375" style="40" customWidth="1"/>
    <col min="4867" max="4868" width="1.5703125" style="40" customWidth="1"/>
    <col min="4869" max="4871" width="17.42578125" style="40" customWidth="1"/>
    <col min="4872" max="5121" width="11.42578125" style="40"/>
    <col min="5122" max="5122" width="19.7109375" style="40" customWidth="1"/>
    <col min="5123" max="5124" width="1.5703125" style="40" customWidth="1"/>
    <col min="5125" max="5127" width="17.42578125" style="40" customWidth="1"/>
    <col min="5128" max="5377" width="11.42578125" style="40"/>
    <col min="5378" max="5378" width="19.7109375" style="40" customWidth="1"/>
    <col min="5379" max="5380" width="1.5703125" style="40" customWidth="1"/>
    <col min="5381" max="5383" width="17.42578125" style="40" customWidth="1"/>
    <col min="5384" max="5633" width="11.42578125" style="40"/>
    <col min="5634" max="5634" width="19.7109375" style="40" customWidth="1"/>
    <col min="5635" max="5636" width="1.5703125" style="40" customWidth="1"/>
    <col min="5637" max="5639" width="17.42578125" style="40" customWidth="1"/>
    <col min="5640" max="5889" width="11.42578125" style="40"/>
    <col min="5890" max="5890" width="19.7109375" style="40" customWidth="1"/>
    <col min="5891" max="5892" width="1.5703125" style="40" customWidth="1"/>
    <col min="5893" max="5895" width="17.42578125" style="40" customWidth="1"/>
    <col min="5896" max="6145" width="11.42578125" style="40"/>
    <col min="6146" max="6146" width="19.7109375" style="40" customWidth="1"/>
    <col min="6147" max="6148" width="1.5703125" style="40" customWidth="1"/>
    <col min="6149" max="6151" width="17.42578125" style="40" customWidth="1"/>
    <col min="6152" max="6401" width="11.42578125" style="40"/>
    <col min="6402" max="6402" width="19.7109375" style="40" customWidth="1"/>
    <col min="6403" max="6404" width="1.5703125" style="40" customWidth="1"/>
    <col min="6405" max="6407" width="17.42578125" style="40" customWidth="1"/>
    <col min="6408" max="6657" width="11.42578125" style="40"/>
    <col min="6658" max="6658" width="19.7109375" style="40" customWidth="1"/>
    <col min="6659" max="6660" width="1.5703125" style="40" customWidth="1"/>
    <col min="6661" max="6663" width="17.42578125" style="40" customWidth="1"/>
    <col min="6664" max="6913" width="11.42578125" style="40"/>
    <col min="6914" max="6914" width="19.7109375" style="40" customWidth="1"/>
    <col min="6915" max="6916" width="1.5703125" style="40" customWidth="1"/>
    <col min="6917" max="6919" width="17.42578125" style="40" customWidth="1"/>
    <col min="6920" max="7169" width="11.42578125" style="40"/>
    <col min="7170" max="7170" width="19.7109375" style="40" customWidth="1"/>
    <col min="7171" max="7172" width="1.5703125" style="40" customWidth="1"/>
    <col min="7173" max="7175" width="17.42578125" style="40" customWidth="1"/>
    <col min="7176" max="7425" width="11.42578125" style="40"/>
    <col min="7426" max="7426" width="19.7109375" style="40" customWidth="1"/>
    <col min="7427" max="7428" width="1.5703125" style="40" customWidth="1"/>
    <col min="7429" max="7431" width="17.42578125" style="40" customWidth="1"/>
    <col min="7432" max="7681" width="11.42578125" style="40"/>
    <col min="7682" max="7682" width="19.7109375" style="40" customWidth="1"/>
    <col min="7683" max="7684" width="1.5703125" style="40" customWidth="1"/>
    <col min="7685" max="7687" width="17.42578125" style="40" customWidth="1"/>
    <col min="7688" max="7937" width="11.42578125" style="40"/>
    <col min="7938" max="7938" width="19.7109375" style="40" customWidth="1"/>
    <col min="7939" max="7940" width="1.5703125" style="40" customWidth="1"/>
    <col min="7941" max="7943" width="17.42578125" style="40" customWidth="1"/>
    <col min="7944" max="8193" width="11.42578125" style="40"/>
    <col min="8194" max="8194" width="19.7109375" style="40" customWidth="1"/>
    <col min="8195" max="8196" width="1.5703125" style="40" customWidth="1"/>
    <col min="8197" max="8199" width="17.42578125" style="40" customWidth="1"/>
    <col min="8200" max="8449" width="11.42578125" style="40"/>
    <col min="8450" max="8450" width="19.7109375" style="40" customWidth="1"/>
    <col min="8451" max="8452" width="1.5703125" style="40" customWidth="1"/>
    <col min="8453" max="8455" width="17.42578125" style="40" customWidth="1"/>
    <col min="8456" max="8705" width="11.42578125" style="40"/>
    <col min="8706" max="8706" width="19.7109375" style="40" customWidth="1"/>
    <col min="8707" max="8708" width="1.5703125" style="40" customWidth="1"/>
    <col min="8709" max="8711" width="17.42578125" style="40" customWidth="1"/>
    <col min="8712" max="8961" width="11.42578125" style="40"/>
    <col min="8962" max="8962" width="19.7109375" style="40" customWidth="1"/>
    <col min="8963" max="8964" width="1.5703125" style="40" customWidth="1"/>
    <col min="8965" max="8967" width="17.42578125" style="40" customWidth="1"/>
    <col min="8968" max="9217" width="11.42578125" style="40"/>
    <col min="9218" max="9218" width="19.7109375" style="40" customWidth="1"/>
    <col min="9219" max="9220" width="1.5703125" style="40" customWidth="1"/>
    <col min="9221" max="9223" width="17.42578125" style="40" customWidth="1"/>
    <col min="9224" max="9473" width="11.42578125" style="40"/>
    <col min="9474" max="9474" width="19.7109375" style="40" customWidth="1"/>
    <col min="9475" max="9476" width="1.5703125" style="40" customWidth="1"/>
    <col min="9477" max="9479" width="17.42578125" style="40" customWidth="1"/>
    <col min="9480" max="9729" width="11.42578125" style="40"/>
    <col min="9730" max="9730" width="19.7109375" style="40" customWidth="1"/>
    <col min="9731" max="9732" width="1.5703125" style="40" customWidth="1"/>
    <col min="9733" max="9735" width="17.42578125" style="40" customWidth="1"/>
    <col min="9736" max="9985" width="11.42578125" style="40"/>
    <col min="9986" max="9986" width="19.7109375" style="40" customWidth="1"/>
    <col min="9987" max="9988" width="1.5703125" style="40" customWidth="1"/>
    <col min="9989" max="9991" width="17.42578125" style="40" customWidth="1"/>
    <col min="9992" max="10241" width="11.42578125" style="40"/>
    <col min="10242" max="10242" width="19.7109375" style="40" customWidth="1"/>
    <col min="10243" max="10244" width="1.5703125" style="40" customWidth="1"/>
    <col min="10245" max="10247" width="17.42578125" style="40" customWidth="1"/>
    <col min="10248" max="10497" width="11.42578125" style="40"/>
    <col min="10498" max="10498" width="19.7109375" style="40" customWidth="1"/>
    <col min="10499" max="10500" width="1.5703125" style="40" customWidth="1"/>
    <col min="10501" max="10503" width="17.42578125" style="40" customWidth="1"/>
    <col min="10504" max="10753" width="11.42578125" style="40"/>
    <col min="10754" max="10754" width="19.7109375" style="40" customWidth="1"/>
    <col min="10755" max="10756" width="1.5703125" style="40" customWidth="1"/>
    <col min="10757" max="10759" width="17.42578125" style="40" customWidth="1"/>
    <col min="10760" max="11009" width="11.42578125" style="40"/>
    <col min="11010" max="11010" width="19.7109375" style="40" customWidth="1"/>
    <col min="11011" max="11012" width="1.5703125" style="40" customWidth="1"/>
    <col min="11013" max="11015" width="17.42578125" style="40" customWidth="1"/>
    <col min="11016" max="11265" width="11.42578125" style="40"/>
    <col min="11266" max="11266" width="19.7109375" style="40" customWidth="1"/>
    <col min="11267" max="11268" width="1.5703125" style="40" customWidth="1"/>
    <col min="11269" max="11271" width="17.42578125" style="40" customWidth="1"/>
    <col min="11272" max="11521" width="11.42578125" style="40"/>
    <col min="11522" max="11522" width="19.7109375" style="40" customWidth="1"/>
    <col min="11523" max="11524" width="1.5703125" style="40" customWidth="1"/>
    <col min="11525" max="11527" width="17.42578125" style="40" customWidth="1"/>
    <col min="11528" max="11777" width="11.42578125" style="40"/>
    <col min="11778" max="11778" width="19.7109375" style="40" customWidth="1"/>
    <col min="11779" max="11780" width="1.5703125" style="40" customWidth="1"/>
    <col min="11781" max="11783" width="17.42578125" style="40" customWidth="1"/>
    <col min="11784" max="12033" width="11.42578125" style="40"/>
    <col min="12034" max="12034" width="19.7109375" style="40" customWidth="1"/>
    <col min="12035" max="12036" width="1.5703125" style="40" customWidth="1"/>
    <col min="12037" max="12039" width="17.42578125" style="40" customWidth="1"/>
    <col min="12040" max="12289" width="11.42578125" style="40"/>
    <col min="12290" max="12290" width="19.7109375" style="40" customWidth="1"/>
    <col min="12291" max="12292" width="1.5703125" style="40" customWidth="1"/>
    <col min="12293" max="12295" width="17.42578125" style="40" customWidth="1"/>
    <col min="12296" max="12545" width="11.42578125" style="40"/>
    <col min="12546" max="12546" width="19.7109375" style="40" customWidth="1"/>
    <col min="12547" max="12548" width="1.5703125" style="40" customWidth="1"/>
    <col min="12549" max="12551" width="17.42578125" style="40" customWidth="1"/>
    <col min="12552" max="12801" width="11.42578125" style="40"/>
    <col min="12802" max="12802" width="19.7109375" style="40" customWidth="1"/>
    <col min="12803" max="12804" width="1.5703125" style="40" customWidth="1"/>
    <col min="12805" max="12807" width="17.42578125" style="40" customWidth="1"/>
    <col min="12808" max="13057" width="11.42578125" style="40"/>
    <col min="13058" max="13058" width="19.7109375" style="40" customWidth="1"/>
    <col min="13059" max="13060" width="1.5703125" style="40" customWidth="1"/>
    <col min="13061" max="13063" width="17.42578125" style="40" customWidth="1"/>
    <col min="13064" max="13313" width="11.42578125" style="40"/>
    <col min="13314" max="13314" width="19.7109375" style="40" customWidth="1"/>
    <col min="13315" max="13316" width="1.5703125" style="40" customWidth="1"/>
    <col min="13317" max="13319" width="17.42578125" style="40" customWidth="1"/>
    <col min="13320" max="13569" width="11.42578125" style="40"/>
    <col min="13570" max="13570" width="19.7109375" style="40" customWidth="1"/>
    <col min="13571" max="13572" width="1.5703125" style="40" customWidth="1"/>
    <col min="13573" max="13575" width="17.42578125" style="40" customWidth="1"/>
    <col min="13576" max="13825" width="11.42578125" style="40"/>
    <col min="13826" max="13826" width="19.7109375" style="40" customWidth="1"/>
    <col min="13827" max="13828" width="1.5703125" style="40" customWidth="1"/>
    <col min="13829" max="13831" width="17.42578125" style="40" customWidth="1"/>
    <col min="13832" max="14081" width="11.42578125" style="40"/>
    <col min="14082" max="14082" width="19.7109375" style="40" customWidth="1"/>
    <col min="14083" max="14084" width="1.5703125" style="40" customWidth="1"/>
    <col min="14085" max="14087" width="17.42578125" style="40" customWidth="1"/>
    <col min="14088" max="14337" width="11.42578125" style="40"/>
    <col min="14338" max="14338" width="19.7109375" style="40" customWidth="1"/>
    <col min="14339" max="14340" width="1.5703125" style="40" customWidth="1"/>
    <col min="14341" max="14343" width="17.42578125" style="40" customWidth="1"/>
    <col min="14344" max="14593" width="11.42578125" style="40"/>
    <col min="14594" max="14594" width="19.7109375" style="40" customWidth="1"/>
    <col min="14595" max="14596" width="1.5703125" style="40" customWidth="1"/>
    <col min="14597" max="14599" width="17.42578125" style="40" customWidth="1"/>
    <col min="14600" max="14849" width="11.42578125" style="40"/>
    <col min="14850" max="14850" width="19.7109375" style="40" customWidth="1"/>
    <col min="14851" max="14852" width="1.5703125" style="40" customWidth="1"/>
    <col min="14853" max="14855" width="17.42578125" style="40" customWidth="1"/>
    <col min="14856" max="15105" width="11.42578125" style="40"/>
    <col min="15106" max="15106" width="19.7109375" style="40" customWidth="1"/>
    <col min="15107" max="15108" width="1.5703125" style="40" customWidth="1"/>
    <col min="15109" max="15111" width="17.42578125" style="40" customWidth="1"/>
    <col min="15112" max="15361" width="11.42578125" style="40"/>
    <col min="15362" max="15362" width="19.7109375" style="40" customWidth="1"/>
    <col min="15363" max="15364" width="1.5703125" style="40" customWidth="1"/>
    <col min="15365" max="15367" width="17.42578125" style="40" customWidth="1"/>
    <col min="15368" max="15617" width="11.42578125" style="40"/>
    <col min="15618" max="15618" width="19.7109375" style="40" customWidth="1"/>
    <col min="15619" max="15620" width="1.5703125" style="40" customWidth="1"/>
    <col min="15621" max="15623" width="17.42578125" style="40" customWidth="1"/>
    <col min="15624" max="15873" width="11.42578125" style="40"/>
    <col min="15874" max="15874" width="19.7109375" style="40" customWidth="1"/>
    <col min="15875" max="15876" width="1.5703125" style="40" customWidth="1"/>
    <col min="15877" max="15879" width="17.42578125" style="40" customWidth="1"/>
    <col min="15880" max="16129" width="11.42578125" style="40"/>
    <col min="16130" max="16130" width="19.7109375" style="40" customWidth="1"/>
    <col min="16131" max="16132" width="1.5703125" style="40" customWidth="1"/>
    <col min="16133" max="16135" width="17.42578125" style="40" customWidth="1"/>
    <col min="16136" max="16384" width="11.42578125" style="40"/>
  </cols>
  <sheetData>
    <row r="1" spans="1:7" ht="12.75" customHeight="1" x14ac:dyDescent="0.2">
      <c r="A1" s="39"/>
      <c r="B1" s="126" t="s">
        <v>403</v>
      </c>
      <c r="C1" s="127"/>
      <c r="D1" s="127"/>
      <c r="E1" s="127"/>
      <c r="F1" s="128"/>
      <c r="G1" s="135"/>
    </row>
    <row r="2" spans="1:7" ht="12.75" customHeight="1" x14ac:dyDescent="0.2">
      <c r="A2" s="41"/>
      <c r="B2" s="129"/>
      <c r="C2" s="130"/>
      <c r="D2" s="130"/>
      <c r="E2" s="130"/>
      <c r="F2" s="131"/>
      <c r="G2" s="136"/>
    </row>
    <row r="3" spans="1:7" ht="12.75" customHeight="1" x14ac:dyDescent="0.2">
      <c r="A3" s="41"/>
      <c r="B3" s="129"/>
      <c r="C3" s="130"/>
      <c r="D3" s="130"/>
      <c r="E3" s="130"/>
      <c r="F3" s="131"/>
      <c r="G3" s="136"/>
    </row>
    <row r="4" spans="1:7" ht="10.5" customHeight="1" thickBot="1" x14ac:dyDescent="0.25">
      <c r="A4" s="42"/>
      <c r="B4" s="132"/>
      <c r="C4" s="133"/>
      <c r="D4" s="133"/>
      <c r="E4" s="133"/>
      <c r="F4" s="134"/>
      <c r="G4" s="137"/>
    </row>
    <row r="5" spans="1:7" ht="15.75" customHeight="1" x14ac:dyDescent="0.2">
      <c r="A5" s="43"/>
      <c r="B5" s="43"/>
      <c r="C5" s="74"/>
      <c r="D5" s="74"/>
      <c r="E5" s="74"/>
      <c r="F5" s="74"/>
      <c r="G5" s="45"/>
    </row>
    <row r="6" spans="1:7" ht="15.75" customHeight="1" x14ac:dyDescent="0.2">
      <c r="A6" s="43"/>
      <c r="B6" s="43"/>
      <c r="C6" s="74"/>
      <c r="D6" s="74"/>
      <c r="E6" s="74"/>
      <c r="F6" s="74"/>
      <c r="G6" s="45"/>
    </row>
    <row r="7" spans="1:7" ht="15.75" x14ac:dyDescent="0.25">
      <c r="A7" s="46"/>
      <c r="B7" s="46"/>
      <c r="C7" s="46"/>
      <c r="D7" s="46"/>
      <c r="E7" s="46"/>
      <c r="F7" s="47"/>
      <c r="G7" s="45"/>
    </row>
    <row r="8" spans="1:7" x14ac:dyDescent="0.2">
      <c r="A8" s="75" t="s">
        <v>404</v>
      </c>
      <c r="B8" s="75"/>
      <c r="C8" s="49" t="s">
        <v>405</v>
      </c>
      <c r="D8" s="49">
        <v>2827</v>
      </c>
      <c r="E8" s="49"/>
      <c r="F8" s="138"/>
      <c r="G8" s="138"/>
    </row>
    <row r="9" spans="1:7" ht="27" customHeight="1" x14ac:dyDescent="0.2">
      <c r="A9" s="75" t="s">
        <v>406</v>
      </c>
      <c r="B9" s="75"/>
      <c r="C9" s="65" t="s">
        <v>405</v>
      </c>
      <c r="D9" s="112" t="s">
        <v>418</v>
      </c>
      <c r="E9" s="112"/>
      <c r="F9" s="112"/>
      <c r="G9" s="75"/>
    </row>
    <row r="10" spans="1:7" x14ac:dyDescent="0.2">
      <c r="A10" s="50" t="s">
        <v>407</v>
      </c>
      <c r="B10" s="50"/>
      <c r="C10" s="49" t="s">
        <v>405</v>
      </c>
      <c r="D10" s="49" t="s">
        <v>476</v>
      </c>
      <c r="E10" s="49"/>
      <c r="F10" s="139"/>
      <c r="G10" s="139"/>
    </row>
    <row r="11" spans="1:7" ht="14.25" customHeight="1" x14ac:dyDescent="0.2">
      <c r="A11" s="51" t="s">
        <v>408</v>
      </c>
      <c r="B11" s="51"/>
      <c r="C11" s="47" t="s">
        <v>405</v>
      </c>
      <c r="D11" s="47" t="s">
        <v>419</v>
      </c>
      <c r="E11" s="47"/>
      <c r="F11" s="138"/>
      <c r="G11" s="138"/>
    </row>
    <row r="12" spans="1:7" x14ac:dyDescent="0.2">
      <c r="A12" s="52" t="s">
        <v>409</v>
      </c>
      <c r="B12" s="52"/>
      <c r="C12" s="53" t="s">
        <v>405</v>
      </c>
      <c r="D12" s="69">
        <f ca="1">TODAY()</f>
        <v>42443</v>
      </c>
      <c r="E12" s="53"/>
      <c r="F12" s="52"/>
      <c r="G12" s="52"/>
    </row>
    <row r="13" spans="1:7" x14ac:dyDescent="0.2">
      <c r="A13" s="52"/>
      <c r="B13" s="52"/>
      <c r="C13" s="53"/>
      <c r="D13" s="53"/>
      <c r="E13" s="53"/>
      <c r="F13" s="52"/>
      <c r="G13" s="52"/>
    </row>
    <row r="14" spans="1:7" x14ac:dyDescent="0.2">
      <c r="A14" s="52"/>
      <c r="B14" s="52"/>
      <c r="C14" s="53"/>
      <c r="D14" s="53"/>
      <c r="E14" s="53"/>
      <c r="F14" s="52"/>
      <c r="G14" s="52"/>
    </row>
    <row r="15" spans="1:7" x14ac:dyDescent="0.2">
      <c r="A15" s="52"/>
      <c r="B15" s="52"/>
      <c r="C15" s="53"/>
      <c r="D15" s="53"/>
      <c r="E15" s="53"/>
      <c r="F15" s="52"/>
      <c r="G15" s="52"/>
    </row>
    <row r="16" spans="1:7" x14ac:dyDescent="0.2">
      <c r="A16" s="52"/>
      <c r="B16" s="52"/>
      <c r="C16" s="53"/>
      <c r="D16" s="53"/>
      <c r="E16" s="53"/>
      <c r="F16" s="52"/>
      <c r="G16" s="52"/>
    </row>
    <row r="17" spans="1:7" x14ac:dyDescent="0.2">
      <c r="A17" s="54"/>
      <c r="B17" s="54"/>
      <c r="C17" s="54"/>
      <c r="D17" s="54"/>
      <c r="E17" s="54"/>
      <c r="F17" s="54"/>
      <c r="G17" s="54"/>
    </row>
    <row r="18" spans="1:7" ht="12.75" customHeight="1" x14ac:dyDescent="0.2">
      <c r="A18" s="120" t="s">
        <v>420</v>
      </c>
      <c r="B18" s="121"/>
      <c r="C18" s="122"/>
      <c r="D18" s="108" t="s">
        <v>421</v>
      </c>
      <c r="E18" s="110" t="s">
        <v>422</v>
      </c>
      <c r="F18" s="110" t="s">
        <v>424</v>
      </c>
      <c r="G18" s="108" t="s">
        <v>423</v>
      </c>
    </row>
    <row r="19" spans="1:7" ht="13.5" customHeight="1" x14ac:dyDescent="0.2">
      <c r="A19" s="123"/>
      <c r="B19" s="124"/>
      <c r="C19" s="125"/>
      <c r="D19" s="109"/>
      <c r="E19" s="111"/>
      <c r="F19" s="111"/>
      <c r="G19" s="109"/>
    </row>
    <row r="20" spans="1:7" x14ac:dyDescent="0.2">
      <c r="A20" s="114" t="s">
        <v>465</v>
      </c>
      <c r="B20" s="115"/>
      <c r="C20" s="116"/>
      <c r="D20" s="66">
        <v>9622</v>
      </c>
      <c r="E20" s="62">
        <v>1</v>
      </c>
      <c r="F20" s="63">
        <v>0</v>
      </c>
      <c r="G20" s="67">
        <f t="shared" ref="G20:G30" si="0">F20*E20*D20</f>
        <v>0</v>
      </c>
    </row>
    <row r="21" spans="1:7" x14ac:dyDescent="0.2">
      <c r="A21" s="77" t="s">
        <v>466</v>
      </c>
      <c r="B21" s="78"/>
      <c r="C21" s="79"/>
      <c r="D21" s="66">
        <v>9370</v>
      </c>
      <c r="E21" s="62">
        <v>1</v>
      </c>
      <c r="F21" s="63">
        <v>0</v>
      </c>
      <c r="G21" s="67">
        <f t="shared" si="0"/>
        <v>0</v>
      </c>
    </row>
    <row r="22" spans="1:7" x14ac:dyDescent="0.2">
      <c r="A22" s="77" t="s">
        <v>467</v>
      </c>
      <c r="B22" s="78"/>
      <c r="C22" s="79"/>
      <c r="D22" s="66">
        <v>10643</v>
      </c>
      <c r="E22" s="62">
        <v>1</v>
      </c>
      <c r="F22" s="63">
        <v>0</v>
      </c>
      <c r="G22" s="67">
        <f t="shared" si="0"/>
        <v>0</v>
      </c>
    </row>
    <row r="23" spans="1:7" x14ac:dyDescent="0.2">
      <c r="A23" s="77" t="s">
        <v>468</v>
      </c>
      <c r="B23" s="78"/>
      <c r="C23" s="79"/>
      <c r="D23" s="66">
        <v>54688</v>
      </c>
      <c r="E23" s="62">
        <v>1</v>
      </c>
      <c r="F23" s="63">
        <v>0.95</v>
      </c>
      <c r="G23" s="67">
        <f t="shared" si="0"/>
        <v>51953.599999999999</v>
      </c>
    </row>
    <row r="24" spans="1:7" x14ac:dyDescent="0.2">
      <c r="A24" s="77" t="s">
        <v>469</v>
      </c>
      <c r="B24" s="78"/>
      <c r="C24" s="79"/>
      <c r="D24" s="66">
        <v>6169</v>
      </c>
      <c r="E24" s="62">
        <v>1</v>
      </c>
      <c r="F24" s="63">
        <v>0.4</v>
      </c>
      <c r="G24" s="67">
        <f t="shared" si="0"/>
        <v>2467.6000000000004</v>
      </c>
    </row>
    <row r="25" spans="1:7" x14ac:dyDescent="0.2">
      <c r="A25" s="77" t="s">
        <v>470</v>
      </c>
      <c r="B25" s="78"/>
      <c r="C25" s="79"/>
      <c r="D25" s="66">
        <v>428</v>
      </c>
      <c r="E25" s="62">
        <v>1</v>
      </c>
      <c r="F25" s="63">
        <v>0</v>
      </c>
      <c r="G25" s="67">
        <f t="shared" si="0"/>
        <v>0</v>
      </c>
    </row>
    <row r="26" spans="1:7" x14ac:dyDescent="0.2">
      <c r="A26" s="114" t="s">
        <v>471</v>
      </c>
      <c r="B26" s="115"/>
      <c r="C26" s="116"/>
      <c r="D26" s="66">
        <v>19650</v>
      </c>
      <c r="E26" s="62">
        <v>1</v>
      </c>
      <c r="F26" s="63">
        <v>1</v>
      </c>
      <c r="G26" s="67">
        <f t="shared" si="0"/>
        <v>19650</v>
      </c>
    </row>
    <row r="27" spans="1:7" x14ac:dyDescent="0.2">
      <c r="A27" s="77" t="s">
        <v>472</v>
      </c>
      <c r="B27" s="78"/>
      <c r="C27" s="79"/>
      <c r="D27" s="66">
        <v>39736</v>
      </c>
      <c r="E27" s="62">
        <v>1</v>
      </c>
      <c r="F27" s="63">
        <v>0</v>
      </c>
      <c r="G27" s="67">
        <f t="shared" si="0"/>
        <v>0</v>
      </c>
    </row>
    <row r="28" spans="1:7" x14ac:dyDescent="0.2">
      <c r="A28" s="77" t="s">
        <v>473</v>
      </c>
      <c r="B28" s="78"/>
      <c r="C28" s="79"/>
      <c r="D28" s="66">
        <v>18283</v>
      </c>
      <c r="E28" s="62">
        <v>1</v>
      </c>
      <c r="F28" s="63">
        <v>0</v>
      </c>
      <c r="G28" s="67">
        <f t="shared" si="0"/>
        <v>0</v>
      </c>
    </row>
    <row r="29" spans="1:7" x14ac:dyDescent="0.2">
      <c r="A29" s="77" t="s">
        <v>474</v>
      </c>
      <c r="B29" s="78"/>
      <c r="C29" s="79"/>
      <c r="D29" s="66">
        <v>18653</v>
      </c>
      <c r="E29" s="62">
        <v>1</v>
      </c>
      <c r="F29" s="63">
        <v>0</v>
      </c>
      <c r="G29" s="67">
        <f t="shared" si="0"/>
        <v>0</v>
      </c>
    </row>
    <row r="30" spans="1:7" x14ac:dyDescent="0.2">
      <c r="A30" s="77" t="s">
        <v>475</v>
      </c>
      <c r="B30" s="78"/>
      <c r="C30" s="79"/>
      <c r="D30" s="66">
        <v>5100</v>
      </c>
      <c r="E30" s="62">
        <v>1</v>
      </c>
      <c r="F30" s="63">
        <v>0</v>
      </c>
      <c r="G30" s="67">
        <f t="shared" si="0"/>
        <v>0</v>
      </c>
    </row>
    <row r="31" spans="1:7" x14ac:dyDescent="0.2">
      <c r="A31" s="117" t="s">
        <v>410</v>
      </c>
      <c r="B31" s="118"/>
      <c r="C31" s="119"/>
      <c r="D31" s="70">
        <f>SUM(D20:D30)</f>
        <v>192342</v>
      </c>
      <c r="E31" s="62">
        <v>1</v>
      </c>
      <c r="F31" s="64">
        <f>SUMPRODUCT((F20:F30)*(D20:D30))/SUM(D20:D30)</f>
        <v>0.38510153788564117</v>
      </c>
      <c r="G31" s="68">
        <f>SUM(G20:G26)</f>
        <v>74071.199999999997</v>
      </c>
    </row>
    <row r="32" spans="1:7" x14ac:dyDescent="0.2">
      <c r="A32" s="60"/>
      <c r="B32" s="60"/>
      <c r="C32" s="60"/>
      <c r="D32" s="60"/>
      <c r="E32" s="60"/>
      <c r="F32" s="55"/>
      <c r="G32" s="55"/>
    </row>
    <row r="33" spans="1:7" x14ac:dyDescent="0.2">
      <c r="A33" s="61" t="s">
        <v>445</v>
      </c>
      <c r="B33" s="61"/>
      <c r="C33" s="61"/>
      <c r="D33" s="71">
        <v>41805.279999999999</v>
      </c>
      <c r="E33" s="61"/>
      <c r="F33" s="55"/>
      <c r="G33" s="55"/>
    </row>
    <row r="34" spans="1:7" ht="13.5" thickBot="1" x14ac:dyDescent="0.25">
      <c r="A34" s="61"/>
      <c r="B34" s="61"/>
      <c r="C34" s="61"/>
      <c r="D34" s="61"/>
      <c r="E34" s="61"/>
      <c r="F34" s="55"/>
      <c r="G34" s="55"/>
    </row>
    <row r="35" spans="1:7" ht="13.5" thickBot="1" x14ac:dyDescent="0.25">
      <c r="A35" s="73" t="s">
        <v>446</v>
      </c>
      <c r="B35" s="73"/>
      <c r="C35" s="73"/>
      <c r="D35" s="73"/>
      <c r="E35" s="73"/>
      <c r="F35" s="73"/>
      <c r="G35" s="72">
        <f>G31-D33</f>
        <v>32265.919999999998</v>
      </c>
    </row>
    <row r="36" spans="1:7" x14ac:dyDescent="0.2">
      <c r="A36" s="55"/>
      <c r="B36" s="55"/>
      <c r="C36" s="55"/>
      <c r="D36" s="55"/>
      <c r="E36" s="55"/>
      <c r="F36" s="55"/>
      <c r="G36" s="55"/>
    </row>
    <row r="37" spans="1:7" x14ac:dyDescent="0.2">
      <c r="A37" s="55"/>
      <c r="B37" s="55"/>
      <c r="C37" s="55"/>
      <c r="D37" s="55"/>
      <c r="E37" s="55"/>
      <c r="F37" s="55"/>
      <c r="G37" s="55"/>
    </row>
    <row r="38" spans="1:7" x14ac:dyDescent="0.2">
      <c r="A38" s="55"/>
      <c r="B38" s="55"/>
      <c r="C38" s="55"/>
      <c r="D38" s="55"/>
      <c r="E38" s="55"/>
      <c r="F38" s="55"/>
      <c r="G38" s="55"/>
    </row>
    <row r="39" spans="1:7" x14ac:dyDescent="0.2">
      <c r="A39" s="55"/>
      <c r="B39" s="55"/>
      <c r="C39" s="55"/>
      <c r="D39" s="55"/>
      <c r="E39" s="55"/>
      <c r="F39" s="113" t="s">
        <v>411</v>
      </c>
      <c r="G39" s="113"/>
    </row>
    <row r="40" spans="1:7" x14ac:dyDescent="0.2">
      <c r="A40" s="55"/>
      <c r="B40" s="55"/>
      <c r="C40" s="55"/>
      <c r="D40" s="55"/>
      <c r="E40" s="55"/>
    </row>
    <row r="41" spans="1:7" x14ac:dyDescent="0.2">
      <c r="A41" s="55"/>
      <c r="B41" s="55"/>
      <c r="C41" s="55"/>
      <c r="D41" s="55"/>
      <c r="E41" s="55"/>
      <c r="F41" s="55"/>
      <c r="G41" s="55"/>
    </row>
    <row r="42" spans="1:7" x14ac:dyDescent="0.2">
      <c r="A42" s="55"/>
      <c r="B42" s="55"/>
      <c r="C42" s="55"/>
      <c r="D42" s="55"/>
      <c r="E42" s="55"/>
      <c r="F42" s="55"/>
      <c r="G42" s="55"/>
    </row>
    <row r="43" spans="1:7" x14ac:dyDescent="0.2">
      <c r="C43" s="76"/>
      <c r="D43" s="76"/>
      <c r="E43" s="76"/>
    </row>
    <row r="44" spans="1:7" x14ac:dyDescent="0.2">
      <c r="A44" s="76"/>
      <c r="B44" s="76"/>
      <c r="C44" s="76"/>
      <c r="D44" s="76"/>
      <c r="E44" s="76"/>
      <c r="F44" s="55"/>
      <c r="G44" s="55"/>
    </row>
  </sheetData>
  <mergeCells count="15">
    <mergeCell ref="A26:C26"/>
    <mergeCell ref="A31:C31"/>
    <mergeCell ref="F39:G39"/>
    <mergeCell ref="A18:C19"/>
    <mergeCell ref="D18:D19"/>
    <mergeCell ref="E18:E19"/>
    <mergeCell ref="F18:F19"/>
    <mergeCell ref="G18:G19"/>
    <mergeCell ref="A20:C20"/>
    <mergeCell ref="F11:G11"/>
    <mergeCell ref="B1:F4"/>
    <mergeCell ref="G1:G4"/>
    <mergeCell ref="F8:G8"/>
    <mergeCell ref="D9:F9"/>
    <mergeCell ref="F10:G10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horizontalDpi="4294967292" r:id="rId1"/>
  <headerFooter alignWithMargins="0">
    <oddHeader>&amp;A</oddHeader>
    <oddFooter>&amp;CPage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S357"/>
  <sheetViews>
    <sheetView workbookViewId="0">
      <selection activeCell="H22" sqref="H22"/>
    </sheetView>
  </sheetViews>
  <sheetFormatPr baseColWidth="10" defaultRowHeight="15" x14ac:dyDescent="0.25"/>
  <sheetData>
    <row r="1" spans="1:19" x14ac:dyDescent="0.25">
      <c r="A1" s="2"/>
      <c r="B1" s="89"/>
      <c r="C1" s="89"/>
      <c r="D1" s="2"/>
      <c r="E1" s="2"/>
      <c r="F1" s="2"/>
      <c r="G1" s="2"/>
      <c r="H1" s="2"/>
      <c r="I1" s="2"/>
      <c r="J1" s="2"/>
      <c r="K1" s="2"/>
      <c r="L1" s="2"/>
      <c r="M1" s="33"/>
      <c r="N1" s="33"/>
      <c r="O1" s="1"/>
      <c r="P1" s="92"/>
      <c r="Q1" s="18"/>
      <c r="R1" s="18"/>
      <c r="S1" s="18"/>
    </row>
    <row r="2" spans="1:19" x14ac:dyDescent="0.25">
      <c r="A2" s="9"/>
      <c r="B2" s="88"/>
      <c r="C2" s="88"/>
      <c r="D2" s="30"/>
      <c r="E2" s="29"/>
      <c r="F2" s="8"/>
      <c r="G2" s="8"/>
      <c r="H2" s="8"/>
      <c r="I2" s="8"/>
      <c r="J2" s="10"/>
      <c r="K2" s="13"/>
      <c r="L2" s="13"/>
      <c r="M2" s="32"/>
      <c r="N2" s="102"/>
      <c r="O2" s="104"/>
      <c r="P2" s="93"/>
      <c r="Q2" s="32"/>
      <c r="R2" s="99"/>
      <c r="S2" s="17"/>
    </row>
    <row r="3" spans="1:19" x14ac:dyDescent="0.25">
      <c r="A3" s="14"/>
      <c r="B3" s="88"/>
      <c r="C3" s="88"/>
      <c r="D3" s="30"/>
      <c r="E3" s="29"/>
      <c r="F3" s="8"/>
      <c r="G3" s="8"/>
      <c r="H3" s="25"/>
      <c r="I3" s="11"/>
      <c r="J3" s="13"/>
      <c r="K3" s="13"/>
      <c r="L3" s="13"/>
      <c r="M3" s="32"/>
      <c r="N3" s="32"/>
      <c r="O3" s="102"/>
      <c r="P3" s="26"/>
      <c r="Q3" s="17"/>
      <c r="R3" s="105"/>
      <c r="S3" s="17"/>
    </row>
    <row r="4" spans="1:19" x14ac:dyDescent="0.25">
      <c r="A4" s="9"/>
      <c r="B4" s="88"/>
      <c r="C4" s="88"/>
      <c r="D4" s="31"/>
      <c r="E4" s="29"/>
      <c r="F4" s="8"/>
      <c r="G4" s="8"/>
      <c r="H4" s="22"/>
      <c r="I4" s="8"/>
      <c r="J4" s="10"/>
      <c r="K4" s="13"/>
      <c r="L4" s="13"/>
      <c r="M4" s="32"/>
      <c r="N4" s="32"/>
      <c r="O4" s="102"/>
      <c r="P4" s="26"/>
      <c r="Q4" s="17"/>
      <c r="R4" s="105"/>
      <c r="S4" s="17"/>
    </row>
    <row r="5" spans="1:19" x14ac:dyDescent="0.25">
      <c r="A5" s="9"/>
      <c r="B5" s="88"/>
      <c r="C5" s="88"/>
      <c r="D5" s="30"/>
      <c r="E5" s="29"/>
      <c r="F5" s="8"/>
      <c r="G5" s="8"/>
      <c r="H5" s="22"/>
      <c r="I5" s="8"/>
      <c r="J5" s="13"/>
      <c r="K5" s="13"/>
      <c r="L5" s="13"/>
      <c r="M5" s="32"/>
      <c r="N5" s="32"/>
      <c r="O5" s="102"/>
      <c r="P5" s="26"/>
      <c r="Q5" s="17"/>
      <c r="R5" s="105"/>
      <c r="S5" s="17"/>
    </row>
    <row r="6" spans="1:19" x14ac:dyDescent="0.25">
      <c r="A6" s="9"/>
      <c r="B6" s="88"/>
      <c r="C6" s="88"/>
      <c r="D6" s="30"/>
      <c r="E6" s="29"/>
      <c r="F6" s="11"/>
      <c r="G6" s="8"/>
      <c r="H6" s="22"/>
      <c r="I6" s="8"/>
      <c r="J6" s="13"/>
      <c r="K6" s="13"/>
      <c r="L6" s="13"/>
      <c r="M6" s="32"/>
      <c r="N6" s="32"/>
      <c r="O6" s="102"/>
      <c r="P6" s="26"/>
      <c r="Q6" s="17"/>
      <c r="R6" s="105"/>
      <c r="S6" s="17"/>
    </row>
    <row r="7" spans="1:19" x14ac:dyDescent="0.25">
      <c r="A7" s="9"/>
      <c r="B7" s="88"/>
      <c r="C7" s="88"/>
      <c r="D7" s="30"/>
      <c r="E7" s="29"/>
      <c r="F7" s="8"/>
      <c r="G7" s="8"/>
      <c r="H7" s="22"/>
      <c r="I7" s="8"/>
      <c r="J7" s="10"/>
      <c r="K7" s="13"/>
      <c r="L7" s="13"/>
      <c r="M7" s="32"/>
      <c r="N7" s="32"/>
      <c r="O7" s="102"/>
      <c r="P7" s="26"/>
      <c r="Q7" s="17"/>
      <c r="R7" s="105"/>
      <c r="S7" s="17"/>
    </row>
    <row r="8" spans="1:19" x14ac:dyDescent="0.25">
      <c r="A8" s="9"/>
      <c r="B8" s="88"/>
      <c r="C8" s="88"/>
      <c r="D8" s="30"/>
      <c r="E8" s="29"/>
      <c r="F8" s="8"/>
      <c r="G8" s="8"/>
      <c r="H8" s="22"/>
      <c r="I8" s="8"/>
      <c r="J8" s="13"/>
      <c r="K8" s="13"/>
      <c r="L8" s="13"/>
      <c r="M8" s="32"/>
      <c r="N8" s="32"/>
      <c r="O8" s="102"/>
      <c r="P8" s="26"/>
      <c r="Q8" s="17"/>
      <c r="R8" s="105"/>
      <c r="S8" s="17"/>
    </row>
    <row r="9" spans="1:19" x14ac:dyDescent="0.25">
      <c r="A9" s="9"/>
      <c r="B9" s="88"/>
      <c r="C9" s="88"/>
      <c r="D9" s="30"/>
      <c r="E9" s="29"/>
      <c r="F9" s="8"/>
      <c r="G9" s="8"/>
      <c r="H9" s="22"/>
      <c r="I9" s="8"/>
      <c r="J9" s="13"/>
      <c r="K9" s="13"/>
      <c r="L9" s="13"/>
      <c r="M9" s="32"/>
      <c r="N9" s="32"/>
      <c r="O9" s="102"/>
      <c r="P9" s="26"/>
      <c r="Q9" s="17"/>
      <c r="R9" s="105"/>
      <c r="S9" s="17"/>
    </row>
    <row r="10" spans="1:19" x14ac:dyDescent="0.25">
      <c r="A10" s="9"/>
      <c r="B10" s="88"/>
      <c r="C10" s="88"/>
      <c r="D10" s="30"/>
      <c r="E10" s="29"/>
      <c r="F10" s="8"/>
      <c r="G10" s="8"/>
      <c r="H10" s="22"/>
      <c r="I10" s="8"/>
      <c r="J10" s="10"/>
      <c r="K10" s="13"/>
      <c r="L10" s="13"/>
      <c r="M10" s="32"/>
      <c r="N10" s="32"/>
      <c r="O10" s="102"/>
      <c r="P10" s="26"/>
      <c r="Q10" s="17"/>
      <c r="R10" s="105"/>
      <c r="S10" s="17"/>
    </row>
    <row r="11" spans="1:19" x14ac:dyDescent="0.25">
      <c r="A11" s="9"/>
      <c r="B11" s="88"/>
      <c r="C11" s="88"/>
      <c r="D11" s="30"/>
      <c r="E11" s="29"/>
      <c r="F11" s="8"/>
      <c r="G11" s="8"/>
      <c r="H11" s="22"/>
      <c r="I11" s="8"/>
      <c r="J11" s="13"/>
      <c r="K11" s="13"/>
      <c r="L11" s="13"/>
      <c r="M11" s="32"/>
      <c r="N11" s="32"/>
      <c r="O11" s="102"/>
      <c r="P11" s="26"/>
      <c r="Q11" s="17"/>
      <c r="R11" s="105"/>
      <c r="S11" s="17"/>
    </row>
    <row r="12" spans="1:19" x14ac:dyDescent="0.25">
      <c r="A12" s="9"/>
      <c r="B12" s="88"/>
      <c r="C12" s="88"/>
      <c r="D12" s="30"/>
      <c r="E12" s="29"/>
      <c r="F12" s="8"/>
      <c r="G12" s="8"/>
      <c r="H12" s="22"/>
      <c r="I12" s="8"/>
      <c r="J12" s="13"/>
      <c r="K12" s="13"/>
      <c r="L12" s="13"/>
      <c r="M12" s="32"/>
      <c r="N12" s="32"/>
      <c r="O12" s="102"/>
      <c r="P12" s="26"/>
      <c r="Q12" s="17"/>
      <c r="R12" s="105"/>
      <c r="S12" s="17"/>
    </row>
    <row r="13" spans="1:19" x14ac:dyDescent="0.25">
      <c r="A13" s="9"/>
      <c r="B13" s="88"/>
      <c r="C13" s="88"/>
      <c r="D13" s="30"/>
      <c r="E13" s="29"/>
      <c r="F13" s="8"/>
      <c r="G13" s="8"/>
      <c r="H13" s="22"/>
      <c r="I13" s="8"/>
      <c r="J13" s="10"/>
      <c r="K13" s="13"/>
      <c r="L13" s="13"/>
      <c r="M13" s="32"/>
      <c r="N13" s="32"/>
      <c r="O13" s="102"/>
      <c r="P13" s="26"/>
      <c r="Q13" s="17"/>
      <c r="R13" s="105"/>
      <c r="S13" s="16"/>
    </row>
    <row r="14" spans="1:19" x14ac:dyDescent="0.25">
      <c r="A14" s="9"/>
      <c r="B14" s="88"/>
      <c r="C14" s="88"/>
      <c r="D14" s="30"/>
      <c r="E14" s="29"/>
      <c r="F14" s="8"/>
      <c r="G14" s="8"/>
      <c r="H14" s="22"/>
      <c r="I14" s="8"/>
      <c r="J14" s="13"/>
      <c r="K14" s="13"/>
      <c r="L14" s="13"/>
      <c r="M14" s="32"/>
      <c r="N14" s="32"/>
      <c r="O14" s="102"/>
      <c r="P14" s="26"/>
      <c r="Q14" s="17"/>
      <c r="R14" s="105"/>
      <c r="S14" s="17"/>
    </row>
    <row r="15" spans="1:19" x14ac:dyDescent="0.25">
      <c r="A15" s="9"/>
      <c r="B15" s="88"/>
      <c r="C15" s="88"/>
      <c r="D15" s="30"/>
      <c r="E15" s="29"/>
      <c r="F15" s="8"/>
      <c r="G15" s="8"/>
      <c r="H15" s="22"/>
      <c r="I15" s="8"/>
      <c r="J15" s="13"/>
      <c r="K15" s="13"/>
      <c r="L15" s="13"/>
      <c r="M15" s="32"/>
      <c r="N15" s="32"/>
      <c r="O15" s="102"/>
      <c r="P15" s="26"/>
      <c r="Q15" s="17"/>
      <c r="R15" s="105"/>
      <c r="S15" s="16"/>
    </row>
    <row r="16" spans="1:19" x14ac:dyDescent="0.25">
      <c r="A16" s="9"/>
      <c r="B16" s="88"/>
      <c r="C16" s="88"/>
      <c r="D16" s="30"/>
      <c r="E16" s="29"/>
      <c r="F16" s="8"/>
      <c r="G16" s="8"/>
      <c r="H16" s="22"/>
      <c r="I16" s="8"/>
      <c r="J16" s="10"/>
      <c r="K16" s="13"/>
      <c r="L16" s="13"/>
      <c r="M16" s="32"/>
      <c r="N16" s="32"/>
      <c r="O16" s="102"/>
      <c r="P16" s="26"/>
      <c r="Q16" s="17"/>
      <c r="R16" s="105"/>
      <c r="S16" s="17"/>
    </row>
    <row r="17" spans="1:19" x14ac:dyDescent="0.25">
      <c r="A17" s="9"/>
      <c r="B17" s="88"/>
      <c r="C17" s="88"/>
      <c r="D17" s="30"/>
      <c r="E17" s="29"/>
      <c r="F17" s="8"/>
      <c r="G17" s="8"/>
      <c r="H17" s="22"/>
      <c r="I17" s="8"/>
      <c r="J17" s="13"/>
      <c r="K17" s="13"/>
      <c r="L17" s="13"/>
      <c r="M17" s="32"/>
      <c r="N17" s="32"/>
      <c r="O17" s="102"/>
      <c r="P17" s="26"/>
      <c r="Q17" s="17"/>
      <c r="R17" s="105"/>
      <c r="S17" s="16"/>
    </row>
    <row r="18" spans="1:19" x14ac:dyDescent="0.25">
      <c r="A18" s="9"/>
      <c r="B18" s="88"/>
      <c r="C18" s="88"/>
      <c r="D18" s="30"/>
      <c r="E18" s="29"/>
      <c r="F18" s="8"/>
      <c r="G18" s="8"/>
      <c r="H18" s="22"/>
      <c r="I18" s="8"/>
      <c r="J18" s="13"/>
      <c r="K18" s="13"/>
      <c r="L18" s="13"/>
      <c r="M18" s="32"/>
      <c r="N18" s="32"/>
      <c r="O18" s="102"/>
      <c r="P18" s="26"/>
      <c r="Q18" s="17"/>
      <c r="R18" s="105"/>
      <c r="S18" s="17"/>
    </row>
    <row r="19" spans="1:19" x14ac:dyDescent="0.25">
      <c r="A19" s="9"/>
      <c r="B19" s="88"/>
      <c r="C19" s="88"/>
      <c r="D19" s="30"/>
      <c r="E19" s="29"/>
      <c r="F19" s="8"/>
      <c r="G19" s="8"/>
      <c r="H19" s="22"/>
      <c r="I19" s="8"/>
      <c r="J19" s="10"/>
      <c r="K19" s="13"/>
      <c r="L19" s="13"/>
      <c r="M19" s="32"/>
      <c r="N19" s="32"/>
      <c r="O19" s="102"/>
      <c r="P19" s="26"/>
      <c r="Q19" s="17"/>
      <c r="R19" s="105"/>
      <c r="S19" s="17"/>
    </row>
    <row r="20" spans="1:19" x14ac:dyDescent="0.25">
      <c r="A20" s="9"/>
      <c r="B20" s="88"/>
      <c r="C20" s="88"/>
      <c r="D20" s="30"/>
      <c r="E20" s="29"/>
      <c r="F20" s="8"/>
      <c r="G20" s="8"/>
      <c r="H20" s="22"/>
      <c r="I20" s="8"/>
      <c r="J20" s="13"/>
      <c r="K20" s="13"/>
      <c r="L20" s="13"/>
      <c r="M20" s="32"/>
      <c r="N20" s="32"/>
      <c r="O20" s="102"/>
      <c r="P20" s="26"/>
      <c r="Q20" s="17"/>
      <c r="R20" s="105"/>
      <c r="S20" s="17"/>
    </row>
    <row r="21" spans="1:19" x14ac:dyDescent="0.25">
      <c r="A21" s="9"/>
      <c r="B21" s="88"/>
      <c r="C21" s="88"/>
      <c r="D21" s="30"/>
      <c r="E21" s="29"/>
      <c r="F21" s="8"/>
      <c r="G21" s="8"/>
      <c r="H21" s="22"/>
      <c r="I21" s="8"/>
      <c r="J21" s="13"/>
      <c r="K21" s="13"/>
      <c r="L21" s="13"/>
      <c r="M21" s="32"/>
      <c r="N21" s="32"/>
      <c r="O21" s="102"/>
      <c r="P21" s="26"/>
      <c r="Q21" s="17"/>
      <c r="R21" s="105"/>
      <c r="S21" s="17"/>
    </row>
    <row r="22" spans="1:19" x14ac:dyDescent="0.25">
      <c r="A22" s="9"/>
      <c r="B22" s="88"/>
      <c r="C22" s="88"/>
      <c r="D22" s="30"/>
      <c r="E22" s="29"/>
      <c r="F22" s="8"/>
      <c r="G22" s="10"/>
      <c r="H22" s="22"/>
      <c r="I22" s="8"/>
      <c r="J22" s="10"/>
      <c r="K22" s="13"/>
      <c r="L22" s="13"/>
      <c r="M22" s="32"/>
      <c r="N22" s="32"/>
      <c r="O22" s="102"/>
      <c r="P22" s="26"/>
      <c r="Q22" s="17"/>
      <c r="R22" s="105"/>
      <c r="S22" s="17"/>
    </row>
    <row r="23" spans="1:19" x14ac:dyDescent="0.25">
      <c r="A23" s="9"/>
      <c r="B23" s="88"/>
      <c r="C23" s="88"/>
      <c r="D23" s="30"/>
      <c r="E23" s="29"/>
      <c r="F23" s="8"/>
      <c r="G23" s="8"/>
      <c r="H23" s="23"/>
      <c r="I23" s="8"/>
      <c r="J23" s="13"/>
      <c r="K23" s="13"/>
      <c r="L23" s="13"/>
      <c r="M23" s="32"/>
      <c r="N23" s="32"/>
      <c r="O23" s="102"/>
      <c r="P23" s="26"/>
      <c r="Q23" s="17"/>
      <c r="R23" s="105"/>
      <c r="S23" s="16"/>
    </row>
    <row r="24" spans="1:19" x14ac:dyDescent="0.25">
      <c r="A24" s="9"/>
      <c r="B24" s="88"/>
      <c r="C24" s="88"/>
      <c r="D24" s="30"/>
      <c r="E24" s="29"/>
      <c r="F24" s="8"/>
      <c r="G24" s="8"/>
      <c r="H24" s="22"/>
      <c r="I24" s="8"/>
      <c r="J24" s="10"/>
      <c r="K24" s="13"/>
      <c r="L24" s="13"/>
      <c r="M24" s="32"/>
      <c r="N24" s="32"/>
      <c r="O24" s="102"/>
      <c r="P24" s="26"/>
      <c r="Q24" s="17"/>
      <c r="R24" s="105"/>
      <c r="S24" s="17"/>
    </row>
    <row r="25" spans="1:19" x14ac:dyDescent="0.25">
      <c r="A25" s="9"/>
      <c r="B25" s="88"/>
      <c r="C25" s="88"/>
      <c r="D25" s="30"/>
      <c r="E25" s="29"/>
      <c r="F25" s="8"/>
      <c r="G25" s="8"/>
      <c r="H25" s="23"/>
      <c r="I25" s="8"/>
      <c r="J25" s="10"/>
      <c r="K25" s="13"/>
      <c r="L25" s="13"/>
      <c r="M25" s="32"/>
      <c r="N25" s="32"/>
      <c r="O25" s="102"/>
      <c r="P25" s="26"/>
      <c r="Q25" s="17"/>
      <c r="R25" s="105"/>
      <c r="S25" s="17"/>
    </row>
    <row r="26" spans="1:19" x14ac:dyDescent="0.25">
      <c r="A26" s="9"/>
      <c r="B26" s="88"/>
      <c r="C26" s="88"/>
      <c r="D26" s="30"/>
      <c r="E26" s="29"/>
      <c r="F26" s="8"/>
      <c r="G26" s="8"/>
      <c r="H26" s="22"/>
      <c r="I26" s="8"/>
      <c r="J26" s="13"/>
      <c r="K26" s="13"/>
      <c r="L26" s="13"/>
      <c r="M26" s="32"/>
      <c r="N26" s="32"/>
      <c r="O26" s="102"/>
      <c r="P26" s="26"/>
      <c r="Q26" s="17"/>
      <c r="R26" s="105"/>
      <c r="S26" s="17"/>
    </row>
    <row r="27" spans="1:19" x14ac:dyDescent="0.25">
      <c r="A27" s="9"/>
      <c r="B27" s="88"/>
      <c r="C27" s="88"/>
      <c r="D27" s="30"/>
      <c r="E27" s="29"/>
      <c r="F27" s="8"/>
      <c r="G27" s="10"/>
      <c r="H27" s="22"/>
      <c r="I27" s="8"/>
      <c r="J27" s="13"/>
      <c r="K27" s="13"/>
      <c r="L27" s="13"/>
      <c r="M27" s="32"/>
      <c r="N27" s="32"/>
      <c r="O27" s="102"/>
      <c r="P27" s="26"/>
      <c r="Q27" s="17"/>
      <c r="R27" s="105"/>
      <c r="S27" s="16"/>
    </row>
    <row r="28" spans="1:19" x14ac:dyDescent="0.25">
      <c r="A28" s="9"/>
      <c r="B28" s="88"/>
      <c r="C28" s="88"/>
      <c r="D28" s="30"/>
      <c r="E28" s="29"/>
      <c r="F28" s="8"/>
      <c r="G28" s="10"/>
      <c r="H28" s="22"/>
      <c r="I28" s="8"/>
      <c r="J28" s="10"/>
      <c r="K28" s="13"/>
      <c r="L28" s="13"/>
      <c r="M28" s="32"/>
      <c r="N28" s="32"/>
      <c r="O28" s="102"/>
      <c r="P28" s="26"/>
      <c r="Q28" s="17"/>
      <c r="R28" s="105"/>
      <c r="S28" s="16"/>
    </row>
    <row r="29" spans="1:19" x14ac:dyDescent="0.25">
      <c r="A29" s="9"/>
      <c r="B29" s="88"/>
      <c r="C29" s="88"/>
      <c r="D29" s="30"/>
      <c r="E29" s="29"/>
      <c r="F29" s="8"/>
      <c r="G29" s="10"/>
      <c r="H29" s="22"/>
      <c r="I29" s="8"/>
      <c r="J29" s="13"/>
      <c r="K29" s="13"/>
      <c r="L29" s="13"/>
      <c r="M29" s="32"/>
      <c r="N29" s="32"/>
      <c r="O29" s="102"/>
      <c r="P29" s="26"/>
      <c r="Q29" s="17"/>
      <c r="R29" s="105"/>
      <c r="S29" s="17"/>
    </row>
    <row r="30" spans="1:19" x14ac:dyDescent="0.25">
      <c r="A30" s="9"/>
      <c r="B30" s="88"/>
      <c r="C30" s="88"/>
      <c r="D30" s="30"/>
      <c r="E30" s="29"/>
      <c r="F30" s="8"/>
      <c r="G30" s="10"/>
      <c r="H30" s="22"/>
      <c r="I30" s="8"/>
      <c r="J30" s="13"/>
      <c r="K30" s="13"/>
      <c r="L30" s="13"/>
      <c r="M30" s="32"/>
      <c r="N30" s="32"/>
      <c r="O30" s="102"/>
      <c r="P30" s="26"/>
      <c r="Q30" s="17"/>
      <c r="R30" s="105"/>
      <c r="S30" s="16"/>
    </row>
    <row r="31" spans="1:19" x14ac:dyDescent="0.25">
      <c r="A31" s="9"/>
      <c r="B31" s="88"/>
      <c r="C31" s="88"/>
      <c r="D31" s="30"/>
      <c r="E31" s="29"/>
      <c r="F31" s="8"/>
      <c r="G31" s="8"/>
      <c r="H31" s="22"/>
      <c r="I31" s="8"/>
      <c r="J31" s="13"/>
      <c r="K31" s="13"/>
      <c r="L31" s="13"/>
      <c r="M31" s="32"/>
      <c r="N31" s="32"/>
      <c r="O31" s="102"/>
      <c r="P31" s="26"/>
      <c r="Q31" s="17"/>
      <c r="R31" s="105"/>
      <c r="S31" s="16"/>
    </row>
    <row r="32" spans="1:19" x14ac:dyDescent="0.25">
      <c r="A32" s="9"/>
      <c r="B32" s="88"/>
      <c r="C32" s="88"/>
      <c r="D32" s="30"/>
      <c r="E32" s="29"/>
      <c r="F32" s="8"/>
      <c r="G32" s="8"/>
      <c r="H32" s="22"/>
      <c r="I32" s="8"/>
      <c r="J32" s="13"/>
      <c r="K32" s="13"/>
      <c r="L32" s="13"/>
      <c r="M32" s="32"/>
      <c r="N32" s="32"/>
      <c r="O32" s="102"/>
      <c r="P32" s="26"/>
      <c r="Q32" s="17"/>
      <c r="R32" s="105"/>
      <c r="S32" s="16"/>
    </row>
    <row r="33" spans="1:19" x14ac:dyDescent="0.25">
      <c r="A33" s="9"/>
      <c r="B33" s="88"/>
      <c r="C33" s="88"/>
      <c r="D33" s="30"/>
      <c r="E33" s="29"/>
      <c r="F33" s="8"/>
      <c r="G33" s="8"/>
      <c r="H33" s="22"/>
      <c r="I33" s="8"/>
      <c r="J33" s="10"/>
      <c r="K33" s="13"/>
      <c r="L33" s="13"/>
      <c r="M33" s="32"/>
      <c r="N33" s="32"/>
      <c r="O33" s="102"/>
      <c r="P33" s="26"/>
      <c r="Q33" s="17"/>
      <c r="R33" s="105"/>
      <c r="S33" s="16"/>
    </row>
    <row r="34" spans="1:19" x14ac:dyDescent="0.25">
      <c r="A34" s="9"/>
      <c r="B34" s="88"/>
      <c r="C34" s="88"/>
      <c r="D34" s="31"/>
      <c r="E34" s="29"/>
      <c r="F34" s="8"/>
      <c r="G34" s="8"/>
      <c r="H34" s="23"/>
      <c r="I34" s="8"/>
      <c r="J34" s="13"/>
      <c r="K34" s="13"/>
      <c r="L34" s="13"/>
      <c r="M34" s="87"/>
      <c r="N34" s="32"/>
      <c r="O34" s="102"/>
      <c r="P34" s="26"/>
      <c r="Q34" s="17"/>
      <c r="R34" s="105"/>
      <c r="S34" s="16"/>
    </row>
    <row r="35" spans="1:19" x14ac:dyDescent="0.25">
      <c r="A35" s="9"/>
      <c r="B35" s="88"/>
      <c r="C35" s="88"/>
      <c r="D35" s="30"/>
      <c r="E35" s="29"/>
      <c r="F35" s="8"/>
      <c r="G35" s="8"/>
      <c r="H35" s="22"/>
      <c r="I35" s="8"/>
      <c r="J35" s="13"/>
      <c r="K35" s="13"/>
      <c r="L35" s="13"/>
      <c r="M35" s="32"/>
      <c r="N35" s="32"/>
      <c r="O35" s="102"/>
      <c r="P35" s="26"/>
      <c r="Q35" s="17"/>
      <c r="R35" s="105"/>
      <c r="S35" s="17"/>
    </row>
    <row r="36" spans="1:19" x14ac:dyDescent="0.25">
      <c r="A36" s="9"/>
      <c r="B36" s="88"/>
      <c r="C36" s="88"/>
      <c r="D36" s="30"/>
      <c r="E36" s="29"/>
      <c r="F36" s="8"/>
      <c r="G36" s="10"/>
      <c r="H36" s="23"/>
      <c r="I36" s="8"/>
      <c r="J36" s="10"/>
      <c r="K36" s="13"/>
      <c r="L36" s="13"/>
      <c r="M36" s="32"/>
      <c r="N36" s="32"/>
      <c r="O36" s="102"/>
      <c r="P36" s="26"/>
      <c r="Q36" s="17"/>
      <c r="R36" s="105"/>
      <c r="S36" s="17"/>
    </row>
    <row r="37" spans="1:19" x14ac:dyDescent="0.25">
      <c r="A37" s="9"/>
      <c r="B37" s="88"/>
      <c r="C37" s="88"/>
      <c r="D37" s="30"/>
      <c r="E37" s="29"/>
      <c r="F37" s="8"/>
      <c r="G37" s="10"/>
      <c r="H37" s="22"/>
      <c r="I37" s="8"/>
      <c r="J37" s="13"/>
      <c r="K37" s="13"/>
      <c r="L37" s="13"/>
      <c r="M37" s="32"/>
      <c r="N37" s="32"/>
      <c r="O37" s="102"/>
      <c r="P37" s="26"/>
      <c r="Q37" s="17"/>
      <c r="R37" s="105"/>
      <c r="S37" s="16"/>
    </row>
    <row r="38" spans="1:19" x14ac:dyDescent="0.25">
      <c r="A38" s="9"/>
      <c r="B38" s="88"/>
      <c r="C38" s="88"/>
      <c r="D38" s="30"/>
      <c r="E38" s="29"/>
      <c r="F38" s="8"/>
      <c r="G38" s="10"/>
      <c r="H38" s="22"/>
      <c r="I38" s="8"/>
      <c r="J38" s="13"/>
      <c r="K38" s="13"/>
      <c r="L38" s="13"/>
      <c r="M38" s="32"/>
      <c r="N38" s="32"/>
      <c r="O38" s="102"/>
      <c r="P38" s="26"/>
      <c r="Q38" s="17"/>
      <c r="R38" s="105"/>
      <c r="S38" s="16"/>
    </row>
    <row r="39" spans="1:19" x14ac:dyDescent="0.25">
      <c r="A39" s="9"/>
      <c r="B39" s="88"/>
      <c r="C39" s="88"/>
      <c r="D39" s="30"/>
      <c r="E39" s="29"/>
      <c r="F39" s="8"/>
      <c r="G39" s="10"/>
      <c r="H39" s="22"/>
      <c r="I39" s="8"/>
      <c r="J39" s="10"/>
      <c r="K39" s="13"/>
      <c r="L39" s="13"/>
      <c r="M39" s="32"/>
      <c r="N39" s="32"/>
      <c r="O39" s="102"/>
      <c r="P39" s="26"/>
      <c r="Q39" s="17"/>
      <c r="R39" s="105"/>
      <c r="S39" s="16"/>
    </row>
    <row r="40" spans="1:19" x14ac:dyDescent="0.25">
      <c r="A40" s="9"/>
      <c r="B40" s="88"/>
      <c r="C40" s="88"/>
      <c r="D40" s="30"/>
      <c r="E40" s="29"/>
      <c r="F40" s="8"/>
      <c r="G40" s="8"/>
      <c r="H40" s="22"/>
      <c r="I40" s="8"/>
      <c r="J40" s="13"/>
      <c r="K40" s="13"/>
      <c r="L40" s="13"/>
      <c r="M40" s="32"/>
      <c r="N40" s="32"/>
      <c r="O40" s="102"/>
      <c r="P40" s="26"/>
      <c r="Q40" s="17"/>
      <c r="R40" s="105"/>
      <c r="S40" s="17"/>
    </row>
    <row r="41" spans="1:19" x14ac:dyDescent="0.25">
      <c r="A41" s="9"/>
      <c r="B41" s="90"/>
      <c r="C41" s="90"/>
      <c r="D41" s="82"/>
      <c r="E41" s="29"/>
      <c r="F41" s="8"/>
      <c r="G41" s="8"/>
      <c r="H41" s="22"/>
      <c r="I41" s="8"/>
      <c r="J41" s="13"/>
      <c r="K41" s="13"/>
      <c r="L41" s="13"/>
      <c r="M41" s="32"/>
      <c r="N41" s="32"/>
      <c r="O41" s="102"/>
      <c r="P41" s="93"/>
      <c r="Q41" s="17"/>
      <c r="R41" s="105"/>
      <c r="S41" s="17"/>
    </row>
    <row r="42" spans="1:19" x14ac:dyDescent="0.25">
      <c r="A42" s="9"/>
      <c r="B42" s="88"/>
      <c r="C42" s="88"/>
      <c r="D42" s="29"/>
      <c r="E42" s="29"/>
      <c r="F42" s="8"/>
      <c r="G42" s="8"/>
      <c r="H42" s="22"/>
      <c r="I42" s="8"/>
      <c r="J42" s="13"/>
      <c r="K42" s="13"/>
      <c r="L42" s="13"/>
      <c r="M42" s="32"/>
      <c r="N42" s="32"/>
      <c r="O42" s="102"/>
      <c r="P42" s="26"/>
      <c r="Q42" s="17"/>
      <c r="R42" s="105"/>
      <c r="S42" s="16"/>
    </row>
    <row r="43" spans="1:19" x14ac:dyDescent="0.25">
      <c r="A43" s="9"/>
      <c r="B43" s="88"/>
      <c r="C43" s="88"/>
      <c r="D43" s="29"/>
      <c r="E43" s="29"/>
      <c r="F43" s="8"/>
      <c r="G43" s="8"/>
      <c r="H43" s="22"/>
      <c r="I43" s="8"/>
      <c r="J43" s="10"/>
      <c r="K43" s="13"/>
      <c r="L43" s="13"/>
      <c r="M43" s="32"/>
      <c r="N43" s="32"/>
      <c r="O43" s="102"/>
      <c r="P43" s="26"/>
      <c r="Q43" s="17"/>
      <c r="R43" s="105"/>
      <c r="S43" s="16"/>
    </row>
    <row r="44" spans="1:19" x14ac:dyDescent="0.25">
      <c r="A44" s="9"/>
      <c r="B44" s="88"/>
      <c r="C44" s="88"/>
      <c r="D44" s="31"/>
      <c r="E44" s="29"/>
      <c r="F44" s="8"/>
      <c r="G44" s="8"/>
      <c r="H44" s="22"/>
      <c r="I44" s="8"/>
      <c r="J44" s="13"/>
      <c r="K44" s="13"/>
      <c r="L44" s="13"/>
      <c r="M44" s="32"/>
      <c r="N44" s="32"/>
      <c r="O44" s="102"/>
      <c r="P44" s="26"/>
      <c r="Q44" s="17"/>
      <c r="R44" s="105"/>
      <c r="S44" s="16"/>
    </row>
    <row r="45" spans="1:19" x14ac:dyDescent="0.25">
      <c r="A45" s="9"/>
      <c r="B45" s="88"/>
      <c r="C45" s="88"/>
      <c r="D45" s="31"/>
      <c r="E45" s="29"/>
      <c r="F45" s="8"/>
      <c r="G45" s="8"/>
      <c r="H45" s="22"/>
      <c r="I45" s="8"/>
      <c r="J45" s="13"/>
      <c r="K45" s="13"/>
      <c r="L45" s="13"/>
      <c r="M45" s="32"/>
      <c r="N45" s="32"/>
      <c r="O45" s="102"/>
      <c r="P45" s="26"/>
      <c r="Q45" s="17"/>
      <c r="R45" s="105"/>
      <c r="S45" s="16"/>
    </row>
    <row r="46" spans="1:19" x14ac:dyDescent="0.25">
      <c r="A46" s="9"/>
      <c r="B46" s="88"/>
      <c r="C46" s="88"/>
      <c r="D46" s="31"/>
      <c r="E46" s="29"/>
      <c r="F46" s="8"/>
      <c r="G46" s="8"/>
      <c r="H46" s="22"/>
      <c r="I46" s="8"/>
      <c r="J46" s="10"/>
      <c r="K46" s="13"/>
      <c r="L46" s="13"/>
      <c r="M46" s="32"/>
      <c r="N46" s="32"/>
      <c r="O46" s="102"/>
      <c r="P46" s="26"/>
      <c r="Q46" s="17"/>
      <c r="R46" s="105"/>
      <c r="S46" s="17"/>
    </row>
    <row r="47" spans="1:19" x14ac:dyDescent="0.25">
      <c r="A47" s="9"/>
      <c r="B47" s="88"/>
      <c r="C47" s="88"/>
      <c r="D47" s="7"/>
      <c r="E47" s="29"/>
      <c r="F47" s="35"/>
      <c r="G47" s="34"/>
      <c r="H47" s="22"/>
      <c r="I47" s="8"/>
      <c r="J47" s="13"/>
      <c r="K47" s="13"/>
      <c r="L47" s="13"/>
      <c r="M47" s="32"/>
      <c r="N47" s="32"/>
      <c r="O47" s="102"/>
      <c r="P47" s="93"/>
      <c r="Q47" s="36"/>
      <c r="R47" s="105"/>
      <c r="S47" s="16"/>
    </row>
    <row r="48" spans="1:19" x14ac:dyDescent="0.25">
      <c r="A48" s="9"/>
      <c r="B48" s="88"/>
      <c r="C48" s="88"/>
      <c r="D48" s="7"/>
      <c r="E48" s="29"/>
      <c r="F48" s="8"/>
      <c r="G48" s="8"/>
      <c r="H48" s="22"/>
      <c r="I48" s="8"/>
      <c r="J48" s="13"/>
      <c r="K48" s="13"/>
      <c r="L48" s="13"/>
      <c r="M48" s="32"/>
      <c r="N48" s="32"/>
      <c r="O48" s="102"/>
      <c r="P48" s="93"/>
      <c r="Q48" s="17"/>
      <c r="R48" s="105"/>
      <c r="S48" s="16"/>
    </row>
    <row r="49" spans="1:19" x14ac:dyDescent="0.25">
      <c r="A49" s="9"/>
      <c r="B49" s="88"/>
      <c r="C49" s="88"/>
      <c r="D49" s="7"/>
      <c r="E49" s="29"/>
      <c r="F49" s="8"/>
      <c r="G49" s="8"/>
      <c r="H49" s="22"/>
      <c r="I49" s="8"/>
      <c r="J49" s="10"/>
      <c r="K49" s="13"/>
      <c r="L49" s="13"/>
      <c r="M49" s="32"/>
      <c r="N49" s="32"/>
      <c r="O49" s="102"/>
      <c r="P49" s="93"/>
      <c r="Q49" s="17"/>
      <c r="R49" s="105"/>
      <c r="S49" s="17"/>
    </row>
    <row r="50" spans="1:19" x14ac:dyDescent="0.25">
      <c r="A50" s="9"/>
      <c r="B50" s="88"/>
      <c r="C50" s="88"/>
      <c r="D50" s="7"/>
      <c r="E50" s="29"/>
      <c r="F50" s="8"/>
      <c r="G50" s="8"/>
      <c r="H50" s="22"/>
      <c r="I50" s="8"/>
      <c r="J50" s="13"/>
      <c r="K50" s="13"/>
      <c r="L50" s="13"/>
      <c r="M50" s="32"/>
      <c r="N50" s="32"/>
      <c r="O50" s="102"/>
      <c r="P50" s="93"/>
      <c r="Q50" s="17"/>
      <c r="R50" s="105"/>
      <c r="S50" s="17"/>
    </row>
    <row r="51" spans="1:19" x14ac:dyDescent="0.25">
      <c r="A51" s="9"/>
      <c r="B51" s="88"/>
      <c r="C51" s="88"/>
      <c r="D51" s="7"/>
      <c r="E51" s="29"/>
      <c r="F51" s="8"/>
      <c r="G51" s="8"/>
      <c r="H51" s="22"/>
      <c r="I51" s="8"/>
      <c r="J51" s="13"/>
      <c r="K51" s="13"/>
      <c r="L51" s="13"/>
      <c r="M51" s="32"/>
      <c r="N51" s="32"/>
      <c r="O51" s="102"/>
      <c r="P51" s="93"/>
      <c r="Q51" s="17"/>
      <c r="R51" s="105"/>
      <c r="S51" s="16"/>
    </row>
    <row r="52" spans="1:19" x14ac:dyDescent="0.25">
      <c r="A52" s="9"/>
      <c r="B52" s="88"/>
      <c r="C52" s="88"/>
      <c r="D52" s="7"/>
      <c r="E52" s="29"/>
      <c r="F52" s="34"/>
      <c r="G52" s="34"/>
      <c r="H52" s="22"/>
      <c r="I52" s="8"/>
      <c r="J52" s="10"/>
      <c r="K52" s="13"/>
      <c r="L52" s="13"/>
      <c r="M52" s="32"/>
      <c r="N52" s="32"/>
      <c r="O52" s="102"/>
      <c r="P52" s="93"/>
      <c r="Q52" s="36"/>
      <c r="R52" s="105"/>
      <c r="S52" s="17"/>
    </row>
    <row r="53" spans="1:19" x14ac:dyDescent="0.25">
      <c r="A53" s="9"/>
      <c r="B53" s="88"/>
      <c r="C53" s="88"/>
      <c r="D53" s="7"/>
      <c r="E53" s="29"/>
      <c r="F53" s="8"/>
      <c r="G53" s="8"/>
      <c r="H53" s="22"/>
      <c r="I53" s="8"/>
      <c r="J53" s="13"/>
      <c r="K53" s="13"/>
      <c r="L53" s="13"/>
      <c r="M53" s="32"/>
      <c r="N53" s="32"/>
      <c r="O53" s="102"/>
      <c r="P53" s="93"/>
      <c r="Q53" s="17"/>
      <c r="R53" s="105"/>
      <c r="S53" s="16"/>
    </row>
    <row r="54" spans="1:19" x14ac:dyDescent="0.25">
      <c r="A54" s="9"/>
      <c r="B54" s="88"/>
      <c r="C54" s="88"/>
      <c r="D54" s="7"/>
      <c r="E54" s="29"/>
      <c r="F54" s="10"/>
      <c r="G54" s="10"/>
      <c r="H54" s="22"/>
      <c r="I54" s="8"/>
      <c r="J54" s="13"/>
      <c r="K54" s="13"/>
      <c r="L54" s="13"/>
      <c r="M54" s="32"/>
      <c r="N54" s="32"/>
      <c r="O54" s="102"/>
      <c r="P54" s="26"/>
      <c r="Q54" s="32"/>
      <c r="R54" s="105"/>
      <c r="S54" s="16"/>
    </row>
    <row r="55" spans="1:19" x14ac:dyDescent="0.25">
      <c r="A55" s="9"/>
      <c r="B55" s="88"/>
      <c r="C55" s="88"/>
      <c r="D55" s="29"/>
      <c r="E55" s="29"/>
      <c r="F55" s="86"/>
      <c r="G55" s="85"/>
      <c r="H55" s="22"/>
      <c r="I55" s="8"/>
      <c r="J55" s="10"/>
      <c r="K55" s="13"/>
      <c r="L55" s="13"/>
      <c r="M55" s="32"/>
      <c r="N55" s="32"/>
      <c r="O55" s="102"/>
      <c r="P55" s="93"/>
      <c r="Q55" s="32"/>
      <c r="R55" s="105"/>
      <c r="S55" s="17"/>
    </row>
    <row r="56" spans="1:19" x14ac:dyDescent="0.25">
      <c r="A56" s="9"/>
      <c r="B56" s="88"/>
      <c r="C56" s="88"/>
      <c r="D56" s="29"/>
      <c r="E56" s="29"/>
      <c r="F56" s="86"/>
      <c r="G56" s="85"/>
      <c r="H56" s="22"/>
      <c r="I56" s="8"/>
      <c r="J56" s="13"/>
      <c r="K56" s="13"/>
      <c r="L56" s="13"/>
      <c r="M56" s="32"/>
      <c r="N56" s="32"/>
      <c r="O56" s="102"/>
      <c r="P56" s="93"/>
      <c r="Q56" s="32"/>
      <c r="R56" s="105"/>
      <c r="S56" s="17"/>
    </row>
    <row r="57" spans="1:19" x14ac:dyDescent="0.25">
      <c r="A57" s="9"/>
      <c r="B57" s="88"/>
      <c r="C57" s="88"/>
      <c r="D57" s="30"/>
      <c r="E57" s="29"/>
      <c r="F57" s="8"/>
      <c r="G57" s="8"/>
      <c r="H57" s="22"/>
      <c r="I57" s="8"/>
      <c r="J57" s="13"/>
      <c r="K57" s="13"/>
      <c r="L57" s="13"/>
      <c r="M57" s="32"/>
      <c r="N57" s="32"/>
      <c r="O57" s="102"/>
      <c r="P57" s="26"/>
      <c r="Q57" s="17"/>
      <c r="R57" s="105"/>
      <c r="S57" s="17"/>
    </row>
    <row r="58" spans="1:19" x14ac:dyDescent="0.25">
      <c r="A58" s="9"/>
      <c r="B58" s="88"/>
      <c r="C58" s="88"/>
      <c r="D58" s="30"/>
      <c r="E58" s="29"/>
      <c r="F58" s="8"/>
      <c r="G58" s="8"/>
      <c r="H58" s="22"/>
      <c r="I58" s="8"/>
      <c r="J58" s="13"/>
      <c r="K58" s="13"/>
      <c r="L58" s="13"/>
      <c r="M58" s="32"/>
      <c r="N58" s="32"/>
      <c r="O58" s="102"/>
      <c r="P58" s="26"/>
      <c r="Q58" s="17"/>
      <c r="R58" s="105"/>
      <c r="S58" s="17"/>
    </row>
    <row r="59" spans="1:19" x14ac:dyDescent="0.25">
      <c r="A59" s="9"/>
      <c r="B59" s="88"/>
      <c r="C59" s="88"/>
      <c r="D59" s="30"/>
      <c r="E59" s="29"/>
      <c r="F59" s="8"/>
      <c r="G59" s="8"/>
      <c r="H59" s="22"/>
      <c r="I59" s="8"/>
      <c r="J59" s="13"/>
      <c r="K59" s="13"/>
      <c r="L59" s="13"/>
      <c r="M59" s="32"/>
      <c r="N59" s="32"/>
      <c r="O59" s="102"/>
      <c r="P59" s="26"/>
      <c r="Q59" s="17"/>
      <c r="R59" s="105"/>
      <c r="S59" s="17"/>
    </row>
    <row r="60" spans="1:19" x14ac:dyDescent="0.25">
      <c r="A60" s="9"/>
      <c r="B60" s="88"/>
      <c r="C60" s="88"/>
      <c r="D60" s="30"/>
      <c r="E60" s="29"/>
      <c r="F60" s="10"/>
      <c r="G60" s="8"/>
      <c r="H60" s="22"/>
      <c r="I60" s="8"/>
      <c r="J60" s="10"/>
      <c r="K60" s="13"/>
      <c r="L60" s="13"/>
      <c r="M60" s="32"/>
      <c r="N60" s="32"/>
      <c r="O60" s="102"/>
      <c r="P60" s="26"/>
      <c r="Q60" s="17"/>
      <c r="R60" s="105"/>
      <c r="S60" s="17"/>
    </row>
    <row r="61" spans="1:19" x14ac:dyDescent="0.25">
      <c r="A61" s="9"/>
      <c r="B61" s="88"/>
      <c r="C61" s="88"/>
      <c r="D61" s="30"/>
      <c r="E61" s="29"/>
      <c r="F61" s="8"/>
      <c r="G61" s="8"/>
      <c r="H61" s="22"/>
      <c r="I61" s="8"/>
      <c r="J61" s="13"/>
      <c r="K61" s="13"/>
      <c r="L61" s="13"/>
      <c r="M61" s="32"/>
      <c r="N61" s="32"/>
      <c r="O61" s="102"/>
      <c r="P61" s="26"/>
      <c r="Q61" s="17"/>
      <c r="R61" s="105"/>
      <c r="S61" s="17"/>
    </row>
    <row r="62" spans="1:19" x14ac:dyDescent="0.25">
      <c r="A62" s="9"/>
      <c r="B62" s="88"/>
      <c r="C62" s="88"/>
      <c r="D62" s="30"/>
      <c r="E62" s="29"/>
      <c r="F62" s="8"/>
      <c r="G62" s="8"/>
      <c r="H62" s="22"/>
      <c r="I62" s="8"/>
      <c r="J62" s="13"/>
      <c r="K62" s="13"/>
      <c r="L62" s="13"/>
      <c r="M62" s="32"/>
      <c r="N62" s="32"/>
      <c r="O62" s="102"/>
      <c r="P62" s="26"/>
      <c r="Q62" s="17"/>
      <c r="R62" s="105"/>
      <c r="S62" s="17"/>
    </row>
    <row r="63" spans="1:19" x14ac:dyDescent="0.25">
      <c r="A63" s="9"/>
      <c r="B63" s="88"/>
      <c r="C63" s="88"/>
      <c r="D63" s="30"/>
      <c r="E63" s="29"/>
      <c r="F63" s="8"/>
      <c r="G63" s="8"/>
      <c r="H63" s="22"/>
      <c r="I63" s="8"/>
      <c r="J63" s="10"/>
      <c r="K63" s="13"/>
      <c r="L63" s="13"/>
      <c r="M63" s="32"/>
      <c r="N63" s="32"/>
      <c r="O63" s="102"/>
      <c r="P63" s="26"/>
      <c r="Q63" s="17"/>
      <c r="R63" s="105"/>
      <c r="S63" s="17"/>
    </row>
    <row r="64" spans="1:19" x14ac:dyDescent="0.25">
      <c r="A64" s="9"/>
      <c r="B64" s="88"/>
      <c r="C64" s="88"/>
      <c r="D64" s="30"/>
      <c r="E64" s="29"/>
      <c r="F64" s="8"/>
      <c r="G64" s="8"/>
      <c r="H64" s="22"/>
      <c r="I64" s="8"/>
      <c r="J64" s="13"/>
      <c r="K64" s="13"/>
      <c r="L64" s="13"/>
      <c r="M64" s="32"/>
      <c r="N64" s="32"/>
      <c r="O64" s="102"/>
      <c r="P64" s="26"/>
      <c r="Q64" s="17"/>
      <c r="R64" s="105"/>
      <c r="S64" s="17"/>
    </row>
    <row r="65" spans="1:19" x14ac:dyDescent="0.25">
      <c r="A65" s="9"/>
      <c r="B65" s="88"/>
      <c r="C65" s="88"/>
      <c r="D65" s="30"/>
      <c r="E65" s="29"/>
      <c r="F65" s="8"/>
      <c r="G65" s="8"/>
      <c r="H65" s="22"/>
      <c r="I65" s="8"/>
      <c r="J65" s="13"/>
      <c r="K65" s="13"/>
      <c r="L65" s="13"/>
      <c r="M65" s="32"/>
      <c r="N65" s="32"/>
      <c r="O65" s="102"/>
      <c r="P65" s="26"/>
      <c r="Q65" s="17"/>
      <c r="R65" s="105"/>
      <c r="S65" s="17"/>
    </row>
    <row r="66" spans="1:19" x14ac:dyDescent="0.25">
      <c r="A66" s="9"/>
      <c r="B66" s="88"/>
      <c r="C66" s="88"/>
      <c r="D66" s="30"/>
      <c r="E66" s="29"/>
      <c r="F66" s="8"/>
      <c r="G66" s="8"/>
      <c r="H66" s="22"/>
      <c r="I66" s="8"/>
      <c r="J66" s="10"/>
      <c r="K66" s="13"/>
      <c r="L66" s="13"/>
      <c r="M66" s="32"/>
      <c r="N66" s="32"/>
      <c r="O66" s="102"/>
      <c r="P66" s="26"/>
      <c r="Q66" s="17"/>
      <c r="R66" s="105"/>
      <c r="S66" s="17"/>
    </row>
    <row r="67" spans="1:19" x14ac:dyDescent="0.25">
      <c r="A67" s="9"/>
      <c r="B67" s="88"/>
      <c r="C67" s="88"/>
      <c r="D67" s="31"/>
      <c r="E67" s="29"/>
      <c r="F67" s="8"/>
      <c r="G67" s="8"/>
      <c r="H67" s="22"/>
      <c r="I67" s="8"/>
      <c r="J67" s="13"/>
      <c r="K67" s="13"/>
      <c r="L67" s="13"/>
      <c r="M67" s="32"/>
      <c r="N67" s="32"/>
      <c r="O67" s="102"/>
      <c r="P67" s="26"/>
      <c r="Q67" s="17"/>
      <c r="R67" s="105"/>
      <c r="S67" s="17"/>
    </row>
    <row r="68" spans="1:19" x14ac:dyDescent="0.25">
      <c r="A68" s="9"/>
      <c r="B68" s="88"/>
      <c r="C68" s="88"/>
      <c r="D68" s="31"/>
      <c r="E68" s="29"/>
      <c r="F68" s="8"/>
      <c r="G68" s="8"/>
      <c r="H68" s="22"/>
      <c r="I68" s="8"/>
      <c r="J68" s="13"/>
      <c r="K68" s="13"/>
      <c r="L68" s="13"/>
      <c r="M68" s="32"/>
      <c r="N68" s="32"/>
      <c r="O68" s="102"/>
      <c r="P68" s="26"/>
      <c r="Q68" s="17"/>
      <c r="R68" s="105"/>
      <c r="S68" s="16"/>
    </row>
    <row r="69" spans="1:19" x14ac:dyDescent="0.25">
      <c r="A69" s="9"/>
      <c r="B69" s="88"/>
      <c r="C69" s="88"/>
      <c r="D69" s="31"/>
      <c r="E69" s="29"/>
      <c r="F69" s="8"/>
      <c r="G69" s="8"/>
      <c r="H69" s="22"/>
      <c r="I69" s="8"/>
      <c r="J69" s="10"/>
      <c r="K69" s="13"/>
      <c r="L69" s="13"/>
      <c r="M69" s="32"/>
      <c r="N69" s="32"/>
      <c r="O69" s="102"/>
      <c r="P69" s="26"/>
      <c r="Q69" s="17"/>
      <c r="R69" s="105"/>
      <c r="S69" s="16"/>
    </row>
    <row r="70" spans="1:19" x14ac:dyDescent="0.25">
      <c r="A70" s="9"/>
      <c r="B70" s="88"/>
      <c r="C70" s="88"/>
      <c r="D70" s="31"/>
      <c r="E70" s="29"/>
      <c r="F70" s="8"/>
      <c r="G70" s="8"/>
      <c r="H70" s="22"/>
      <c r="I70" s="8"/>
      <c r="J70" s="13"/>
      <c r="K70" s="13"/>
      <c r="L70" s="13"/>
      <c r="M70" s="32"/>
      <c r="N70" s="32"/>
      <c r="O70" s="102"/>
      <c r="P70" s="26"/>
      <c r="Q70" s="17"/>
      <c r="R70" s="105"/>
      <c r="S70" s="17"/>
    </row>
    <row r="71" spans="1:19" x14ac:dyDescent="0.25">
      <c r="A71" s="9"/>
      <c r="B71" s="88"/>
      <c r="C71" s="88"/>
      <c r="D71" s="30"/>
      <c r="E71" s="29"/>
      <c r="F71" s="8"/>
      <c r="G71" s="8"/>
      <c r="H71" s="22"/>
      <c r="I71" s="8"/>
      <c r="J71" s="13"/>
      <c r="K71" s="13"/>
      <c r="L71" s="13"/>
      <c r="M71" s="32"/>
      <c r="N71" s="32"/>
      <c r="O71" s="102"/>
      <c r="P71" s="26"/>
      <c r="Q71" s="17"/>
      <c r="R71" s="105"/>
      <c r="S71" s="16"/>
    </row>
    <row r="72" spans="1:19" x14ac:dyDescent="0.25">
      <c r="A72" s="9"/>
      <c r="B72" s="88"/>
      <c r="C72" s="88"/>
      <c r="D72" s="31"/>
      <c r="E72" s="29"/>
      <c r="F72" s="8"/>
      <c r="G72" s="8"/>
      <c r="H72" s="22"/>
      <c r="I72" s="8"/>
      <c r="J72" s="10"/>
      <c r="K72" s="13"/>
      <c r="L72" s="13"/>
      <c r="M72" s="32"/>
      <c r="N72" s="32"/>
      <c r="O72" s="102"/>
      <c r="P72" s="26"/>
      <c r="Q72" s="17"/>
      <c r="R72" s="105"/>
      <c r="S72" s="16"/>
    </row>
    <row r="73" spans="1:19" x14ac:dyDescent="0.25">
      <c r="A73" s="9"/>
      <c r="B73" s="88"/>
      <c r="C73" s="88"/>
      <c r="D73" s="31"/>
      <c r="E73" s="29"/>
      <c r="F73" s="8"/>
      <c r="G73" s="8"/>
      <c r="H73" s="22"/>
      <c r="I73" s="8"/>
      <c r="J73" s="13"/>
      <c r="K73" s="13"/>
      <c r="L73" s="13"/>
      <c r="M73" s="32"/>
      <c r="N73" s="32"/>
      <c r="O73" s="102"/>
      <c r="P73" s="26"/>
      <c r="Q73" s="17"/>
      <c r="R73" s="105"/>
      <c r="S73" s="17"/>
    </row>
    <row r="74" spans="1:19" x14ac:dyDescent="0.25">
      <c r="A74" s="9"/>
      <c r="B74" s="88"/>
      <c r="C74" s="88"/>
      <c r="D74" s="7"/>
      <c r="E74" s="29"/>
      <c r="F74" s="8"/>
      <c r="G74" s="8"/>
      <c r="H74" s="22"/>
      <c r="I74" s="8"/>
      <c r="J74" s="13"/>
      <c r="K74" s="13"/>
      <c r="L74" s="13"/>
      <c r="M74" s="32"/>
      <c r="N74" s="32"/>
      <c r="O74" s="102"/>
      <c r="P74" s="26"/>
      <c r="Q74" s="17"/>
      <c r="R74" s="105"/>
      <c r="S74" s="16"/>
    </row>
    <row r="75" spans="1:19" x14ac:dyDescent="0.25">
      <c r="A75" s="9"/>
      <c r="B75" s="88"/>
      <c r="C75" s="88"/>
      <c r="D75" s="7"/>
      <c r="E75" s="29"/>
      <c r="F75" s="8"/>
      <c r="G75" s="8"/>
      <c r="H75" s="22"/>
      <c r="I75" s="8"/>
      <c r="J75" s="10"/>
      <c r="K75" s="13"/>
      <c r="L75" s="13"/>
      <c r="M75" s="32"/>
      <c r="N75" s="32"/>
      <c r="O75" s="102"/>
      <c r="P75" s="26"/>
      <c r="Q75" s="17"/>
      <c r="R75" s="105"/>
      <c r="S75" s="16"/>
    </row>
    <row r="76" spans="1:19" x14ac:dyDescent="0.25">
      <c r="A76" s="9"/>
      <c r="B76" s="88"/>
      <c r="C76" s="88"/>
      <c r="D76" s="30"/>
      <c r="E76" s="29"/>
      <c r="F76" s="8"/>
      <c r="G76" s="8"/>
      <c r="H76" s="22"/>
      <c r="I76" s="8"/>
      <c r="J76" s="13"/>
      <c r="K76" s="13"/>
      <c r="L76" s="13"/>
      <c r="M76" s="32"/>
      <c r="N76" s="32"/>
      <c r="O76" s="102"/>
      <c r="P76" s="26"/>
      <c r="Q76" s="17"/>
      <c r="R76" s="105"/>
      <c r="S76" s="16"/>
    </row>
    <row r="77" spans="1:19" x14ac:dyDescent="0.25">
      <c r="A77" s="9"/>
      <c r="B77" s="88"/>
      <c r="C77" s="88"/>
      <c r="D77" s="30"/>
      <c r="E77" s="29"/>
      <c r="F77" s="8"/>
      <c r="G77" s="8"/>
      <c r="H77" s="22"/>
      <c r="I77" s="8"/>
      <c r="J77" s="13"/>
      <c r="K77" s="13"/>
      <c r="L77" s="13"/>
      <c r="M77" s="32"/>
      <c r="N77" s="32"/>
      <c r="O77" s="102"/>
      <c r="P77" s="26"/>
      <c r="Q77" s="17"/>
      <c r="R77" s="105"/>
      <c r="S77" s="17"/>
    </row>
    <row r="78" spans="1:19" x14ac:dyDescent="0.25">
      <c r="A78" s="9"/>
      <c r="B78" s="88"/>
      <c r="C78" s="88"/>
      <c r="D78" s="30"/>
      <c r="E78" s="29"/>
      <c r="F78" s="8"/>
      <c r="G78" s="8"/>
      <c r="H78" s="22"/>
      <c r="I78" s="8"/>
      <c r="J78" s="10"/>
      <c r="K78" s="13"/>
      <c r="L78" s="13"/>
      <c r="M78" s="32"/>
      <c r="N78" s="32"/>
      <c r="O78" s="102"/>
      <c r="P78" s="26"/>
      <c r="Q78" s="17"/>
      <c r="R78" s="105"/>
      <c r="S78" s="17"/>
    </row>
    <row r="79" spans="1:19" x14ac:dyDescent="0.25">
      <c r="A79" s="9"/>
      <c r="B79" s="88"/>
      <c r="C79" s="88"/>
      <c r="D79" s="7"/>
      <c r="E79" s="29"/>
      <c r="F79" s="8"/>
      <c r="G79" s="8"/>
      <c r="H79" s="22"/>
      <c r="I79" s="8"/>
      <c r="J79" s="13"/>
      <c r="K79" s="13"/>
      <c r="L79" s="13"/>
      <c r="M79" s="32"/>
      <c r="N79" s="32"/>
      <c r="O79" s="102"/>
      <c r="P79" s="93"/>
      <c r="Q79" s="17"/>
      <c r="R79" s="105"/>
      <c r="S79" s="17"/>
    </row>
    <row r="80" spans="1:19" x14ac:dyDescent="0.25">
      <c r="A80" s="9"/>
      <c r="B80" s="88"/>
      <c r="C80" s="88"/>
      <c r="D80" s="7"/>
      <c r="E80" s="29"/>
      <c r="F80" s="34"/>
      <c r="G80" s="34"/>
      <c r="H80" s="22"/>
      <c r="I80" s="8"/>
      <c r="J80" s="10"/>
      <c r="K80" s="13"/>
      <c r="L80" s="13"/>
      <c r="M80" s="32"/>
      <c r="N80" s="32"/>
      <c r="O80" s="102"/>
      <c r="P80" s="93"/>
      <c r="Q80" s="36"/>
      <c r="R80" s="105"/>
      <c r="S80" s="17"/>
    </row>
    <row r="81" spans="1:19" x14ac:dyDescent="0.25">
      <c r="A81" s="9"/>
      <c r="B81" s="88"/>
      <c r="C81" s="88"/>
      <c r="D81" s="7"/>
      <c r="E81" s="29"/>
      <c r="F81" s="38"/>
      <c r="G81" s="38"/>
      <c r="H81" s="22"/>
      <c r="I81" s="8"/>
      <c r="J81" s="13"/>
      <c r="K81" s="13"/>
      <c r="L81" s="13"/>
      <c r="M81" s="32"/>
      <c r="N81" s="32"/>
      <c r="O81" s="102"/>
      <c r="P81" s="93"/>
      <c r="Q81" s="36"/>
      <c r="R81" s="105"/>
      <c r="S81" s="17"/>
    </row>
    <row r="82" spans="1:19" x14ac:dyDescent="0.25">
      <c r="A82" s="9"/>
      <c r="B82" s="88"/>
      <c r="C82" s="88"/>
      <c r="D82" s="7"/>
      <c r="E82" s="29"/>
      <c r="F82" s="8"/>
      <c r="G82" s="8"/>
      <c r="H82" s="22"/>
      <c r="I82" s="8"/>
      <c r="J82" s="10"/>
      <c r="K82" s="13"/>
      <c r="L82" s="13"/>
      <c r="M82" s="32"/>
      <c r="N82" s="32"/>
      <c r="O82" s="102"/>
      <c r="P82" s="37"/>
      <c r="Q82" s="36"/>
      <c r="R82" s="105"/>
      <c r="S82" s="17"/>
    </row>
    <row r="83" spans="1:19" x14ac:dyDescent="0.25">
      <c r="A83" s="9"/>
      <c r="B83" s="88"/>
      <c r="C83" s="88"/>
      <c r="D83" s="7"/>
      <c r="E83" s="29"/>
      <c r="F83" s="38"/>
      <c r="G83" s="38"/>
      <c r="H83" s="22"/>
      <c r="I83" s="8"/>
      <c r="J83" s="13"/>
      <c r="K83" s="13"/>
      <c r="L83" s="13"/>
      <c r="M83" s="32"/>
      <c r="N83" s="32"/>
      <c r="O83" s="102"/>
      <c r="P83" s="37"/>
      <c r="Q83" s="36"/>
      <c r="R83" s="105"/>
      <c r="S83" s="17"/>
    </row>
    <row r="84" spans="1:19" x14ac:dyDescent="0.25">
      <c r="A84" s="21"/>
      <c r="B84" s="88"/>
      <c r="C84" s="88"/>
      <c r="D84" s="7"/>
      <c r="E84" s="29"/>
      <c r="F84" s="10"/>
      <c r="G84" s="10"/>
      <c r="H84" s="22"/>
      <c r="I84" s="8"/>
      <c r="J84" s="13"/>
      <c r="K84" s="13"/>
      <c r="L84" s="13"/>
      <c r="M84" s="32"/>
      <c r="N84" s="32"/>
      <c r="O84" s="102"/>
      <c r="P84" s="26"/>
      <c r="Q84" s="32"/>
      <c r="R84" s="105"/>
      <c r="S84" s="17"/>
    </row>
    <row r="85" spans="1:19" x14ac:dyDescent="0.25">
      <c r="A85" s="9"/>
      <c r="B85" s="88"/>
      <c r="C85" s="88"/>
      <c r="D85" s="7"/>
      <c r="E85" s="29"/>
      <c r="F85" s="10"/>
      <c r="G85" s="10"/>
      <c r="H85" s="22"/>
      <c r="I85" s="8"/>
      <c r="J85" s="10"/>
      <c r="K85" s="13"/>
      <c r="L85" s="13"/>
      <c r="M85" s="32"/>
      <c r="N85" s="32"/>
      <c r="O85" s="102"/>
      <c r="P85" s="26"/>
      <c r="Q85" s="32"/>
      <c r="R85" s="105"/>
      <c r="S85" s="16"/>
    </row>
    <row r="86" spans="1:19" x14ac:dyDescent="0.25">
      <c r="A86" s="9"/>
      <c r="B86" s="88"/>
      <c r="C86" s="88"/>
      <c r="D86" s="30"/>
      <c r="E86" s="29"/>
      <c r="F86" s="8"/>
      <c r="G86" s="8"/>
      <c r="H86" s="8"/>
      <c r="I86" s="8"/>
      <c r="J86" s="10"/>
      <c r="K86" s="13"/>
      <c r="L86" s="13"/>
      <c r="M86" s="32"/>
      <c r="N86" s="32"/>
      <c r="O86" s="102"/>
      <c r="P86" s="93"/>
      <c r="Q86" s="32"/>
      <c r="R86" s="105"/>
      <c r="S86" s="17"/>
    </row>
    <row r="87" spans="1:19" x14ac:dyDescent="0.25">
      <c r="A87" s="9"/>
      <c r="B87" s="88"/>
      <c r="C87" s="88"/>
      <c r="D87" s="30"/>
      <c r="E87" s="29"/>
      <c r="F87" s="8"/>
      <c r="G87" s="8"/>
      <c r="H87" s="8"/>
      <c r="I87" s="8"/>
      <c r="J87" s="10"/>
      <c r="K87" s="13"/>
      <c r="L87" s="13"/>
      <c r="M87" s="32"/>
      <c r="N87" s="32"/>
      <c r="O87" s="102"/>
      <c r="P87" s="93"/>
      <c r="Q87" s="32"/>
      <c r="R87" s="105"/>
      <c r="S87" s="17"/>
    </row>
    <row r="88" spans="1:19" x14ac:dyDescent="0.25">
      <c r="A88" s="9"/>
      <c r="B88" s="88"/>
      <c r="C88" s="88"/>
      <c r="D88" s="30"/>
      <c r="E88" s="29"/>
      <c r="F88" s="8"/>
      <c r="G88" s="8"/>
      <c r="H88" s="8"/>
      <c r="I88" s="8"/>
      <c r="J88" s="10"/>
      <c r="K88" s="13"/>
      <c r="L88" s="13"/>
      <c r="M88" s="32"/>
      <c r="N88" s="32"/>
      <c r="O88" s="102"/>
      <c r="P88" s="93"/>
      <c r="Q88" s="32"/>
      <c r="R88" s="105"/>
      <c r="S88" s="17"/>
    </row>
    <row r="89" spans="1:19" x14ac:dyDescent="0.25">
      <c r="A89" s="9"/>
      <c r="B89" s="88"/>
      <c r="C89" s="88"/>
      <c r="D89" s="30"/>
      <c r="E89" s="29"/>
      <c r="F89" s="8"/>
      <c r="G89" s="8"/>
      <c r="H89" s="8"/>
      <c r="I89" s="8"/>
      <c r="J89" s="10"/>
      <c r="K89" s="13"/>
      <c r="L89" s="13"/>
      <c r="M89" s="32"/>
      <c r="N89" s="32"/>
      <c r="O89" s="102"/>
      <c r="P89" s="93"/>
      <c r="Q89" s="32"/>
      <c r="R89" s="105"/>
      <c r="S89" s="17"/>
    </row>
    <row r="90" spans="1:19" x14ac:dyDescent="0.25">
      <c r="A90" s="9"/>
      <c r="B90" s="88"/>
      <c r="C90" s="88"/>
      <c r="D90" s="30"/>
      <c r="E90" s="29"/>
      <c r="F90" s="10"/>
      <c r="G90" s="10"/>
      <c r="H90" s="22"/>
      <c r="I90" s="8"/>
      <c r="J90" s="13"/>
      <c r="K90" s="13"/>
      <c r="L90" s="13"/>
      <c r="M90" s="32"/>
      <c r="N90" s="32"/>
      <c r="O90" s="102"/>
      <c r="P90" s="93"/>
      <c r="Q90" s="32"/>
      <c r="R90" s="105"/>
      <c r="S90" s="16"/>
    </row>
    <row r="91" spans="1:19" x14ac:dyDescent="0.25">
      <c r="A91" s="9"/>
      <c r="B91" s="88"/>
      <c r="C91" s="88"/>
      <c r="D91" s="30"/>
      <c r="E91" s="29"/>
      <c r="F91" s="10"/>
      <c r="G91" s="10"/>
      <c r="H91" s="22"/>
      <c r="I91" s="8"/>
      <c r="J91" s="10"/>
      <c r="K91" s="13"/>
      <c r="L91" s="13"/>
      <c r="M91" s="32"/>
      <c r="N91" s="32"/>
      <c r="O91" s="102"/>
      <c r="P91" s="93"/>
      <c r="Q91" s="32"/>
      <c r="R91" s="105"/>
      <c r="S91" s="16"/>
    </row>
    <row r="92" spans="1:19" x14ac:dyDescent="0.25">
      <c r="A92" s="9"/>
      <c r="B92" s="88"/>
      <c r="C92" s="88"/>
      <c r="D92" s="30"/>
      <c r="E92" s="29"/>
      <c r="F92" s="10"/>
      <c r="G92" s="10"/>
      <c r="H92" s="22"/>
      <c r="I92" s="8"/>
      <c r="J92" s="13"/>
      <c r="K92" s="13"/>
      <c r="L92" s="13"/>
      <c r="M92" s="32"/>
      <c r="N92" s="32"/>
      <c r="O92" s="102"/>
      <c r="P92" s="26"/>
      <c r="Q92" s="32"/>
      <c r="R92" s="105"/>
      <c r="S92" s="16"/>
    </row>
    <row r="93" spans="1:19" x14ac:dyDescent="0.25">
      <c r="A93" s="9"/>
      <c r="B93" s="88"/>
      <c r="C93" s="88"/>
      <c r="D93" s="29"/>
      <c r="E93" s="29"/>
      <c r="F93" s="10"/>
      <c r="G93" s="10"/>
      <c r="H93" s="22"/>
      <c r="I93" s="8"/>
      <c r="J93" s="13"/>
      <c r="K93" s="13"/>
      <c r="L93" s="13"/>
      <c r="M93" s="32"/>
      <c r="N93" s="32"/>
      <c r="O93" s="102"/>
      <c r="P93" s="93"/>
      <c r="Q93" s="32"/>
      <c r="R93" s="105"/>
      <c r="S93" s="16"/>
    </row>
    <row r="94" spans="1:19" x14ac:dyDescent="0.25">
      <c r="A94" s="9"/>
      <c r="B94" s="88"/>
      <c r="C94" s="88"/>
      <c r="D94" s="7"/>
      <c r="E94" s="29"/>
      <c r="F94" s="10"/>
      <c r="G94" s="10"/>
      <c r="H94" s="22"/>
      <c r="I94" s="8"/>
      <c r="J94" s="10"/>
      <c r="K94" s="13"/>
      <c r="L94" s="13"/>
      <c r="M94" s="32"/>
      <c r="N94" s="32"/>
      <c r="O94" s="102"/>
      <c r="P94" s="93"/>
      <c r="Q94" s="32"/>
      <c r="R94" s="105"/>
      <c r="S94" s="16"/>
    </row>
    <row r="95" spans="1:19" x14ac:dyDescent="0.25">
      <c r="A95" s="9"/>
      <c r="B95" s="88"/>
      <c r="C95" s="88"/>
      <c r="D95" s="29"/>
      <c r="E95" s="29"/>
      <c r="F95" s="10"/>
      <c r="G95" s="10"/>
      <c r="H95" s="22"/>
      <c r="I95" s="8"/>
      <c r="J95" s="13"/>
      <c r="K95" s="13"/>
      <c r="L95" s="13"/>
      <c r="M95" s="32"/>
      <c r="N95" s="32"/>
      <c r="O95" s="102"/>
      <c r="P95" s="93"/>
      <c r="Q95" s="32"/>
      <c r="R95" s="105"/>
      <c r="S95" s="16"/>
    </row>
    <row r="96" spans="1:19" x14ac:dyDescent="0.25">
      <c r="A96" s="21"/>
      <c r="B96" s="91"/>
      <c r="C96" s="91"/>
      <c r="D96" s="29"/>
      <c r="E96" s="29"/>
      <c r="F96" s="10"/>
      <c r="G96" s="10"/>
      <c r="H96" s="22"/>
      <c r="I96" s="8"/>
      <c r="J96" s="13"/>
      <c r="K96" s="13"/>
      <c r="L96" s="13"/>
      <c r="M96" s="32"/>
      <c r="N96" s="32"/>
      <c r="O96" s="102"/>
      <c r="P96" s="93"/>
      <c r="Q96" s="32"/>
      <c r="R96" s="105"/>
      <c r="S96" s="16"/>
    </row>
    <row r="97" spans="1:19" x14ac:dyDescent="0.25">
      <c r="A97" s="9"/>
      <c r="B97" s="88"/>
      <c r="C97" s="88"/>
      <c r="D97" s="29"/>
      <c r="E97" s="29"/>
      <c r="F97" s="10"/>
      <c r="G97" s="10"/>
      <c r="H97" s="22"/>
      <c r="I97" s="8"/>
      <c r="J97" s="10"/>
      <c r="K97" s="13"/>
      <c r="L97" s="13"/>
      <c r="M97" s="32"/>
      <c r="N97" s="32"/>
      <c r="O97" s="102"/>
      <c r="P97" s="93"/>
      <c r="Q97" s="32"/>
      <c r="R97" s="105"/>
      <c r="S97" s="17"/>
    </row>
    <row r="98" spans="1:19" x14ac:dyDescent="0.25">
      <c r="A98" s="9"/>
      <c r="B98" s="88"/>
      <c r="C98" s="88"/>
      <c r="D98" s="29"/>
      <c r="E98" s="29"/>
      <c r="F98" s="10"/>
      <c r="G98" s="10"/>
      <c r="H98" s="22"/>
      <c r="I98" s="8"/>
      <c r="J98" s="10"/>
      <c r="K98" s="13"/>
      <c r="L98" s="13"/>
      <c r="M98" s="32"/>
      <c r="N98" s="32"/>
      <c r="O98" s="102"/>
      <c r="P98" s="93"/>
      <c r="Q98" s="32"/>
      <c r="R98" s="105"/>
      <c r="S98" s="17"/>
    </row>
    <row r="99" spans="1:19" x14ac:dyDescent="0.25">
      <c r="A99" s="9"/>
      <c r="B99" s="88"/>
      <c r="C99" s="88"/>
      <c r="D99" s="29"/>
      <c r="E99" s="29"/>
      <c r="F99" s="10"/>
      <c r="G99" s="10"/>
      <c r="H99" s="22"/>
      <c r="I99" s="8"/>
      <c r="J99" s="10"/>
      <c r="K99" s="13"/>
      <c r="L99" s="13"/>
      <c r="M99" s="32"/>
      <c r="N99" s="32"/>
      <c r="O99" s="102"/>
      <c r="P99" s="93"/>
      <c r="Q99" s="32"/>
      <c r="R99" s="105"/>
      <c r="S99" s="17"/>
    </row>
    <row r="100" spans="1:19" x14ac:dyDescent="0.25">
      <c r="A100" s="9"/>
      <c r="B100" s="88"/>
      <c r="C100" s="88"/>
      <c r="D100" s="29"/>
      <c r="E100" s="29"/>
      <c r="F100" s="10"/>
      <c r="G100" s="8"/>
      <c r="H100" s="22"/>
      <c r="I100" s="8"/>
      <c r="J100" s="10"/>
      <c r="K100" s="13"/>
      <c r="L100" s="13"/>
      <c r="M100" s="32"/>
      <c r="N100" s="32"/>
      <c r="O100" s="102"/>
      <c r="P100" s="93"/>
      <c r="Q100" s="32"/>
      <c r="R100" s="105"/>
      <c r="S100" s="17"/>
    </row>
    <row r="101" spans="1:19" x14ac:dyDescent="0.25">
      <c r="A101" s="9"/>
      <c r="B101" s="88"/>
      <c r="C101" s="88"/>
      <c r="D101" s="29"/>
      <c r="E101" s="29"/>
      <c r="F101" s="8"/>
      <c r="G101" s="8"/>
      <c r="H101" s="8"/>
      <c r="I101" s="8"/>
      <c r="J101" s="10"/>
      <c r="K101" s="13"/>
      <c r="L101" s="13"/>
      <c r="M101" s="32"/>
      <c r="N101" s="32"/>
      <c r="O101" s="102"/>
      <c r="P101" s="93"/>
      <c r="Q101" s="32"/>
      <c r="R101" s="105"/>
      <c r="S101" s="17"/>
    </row>
    <row r="102" spans="1:19" x14ac:dyDescent="0.25">
      <c r="A102" s="9"/>
      <c r="B102" s="88"/>
      <c r="C102" s="88"/>
      <c r="D102" s="29"/>
      <c r="E102" s="29"/>
      <c r="F102" s="8"/>
      <c r="G102" s="8"/>
      <c r="H102" s="8"/>
      <c r="I102" s="8"/>
      <c r="J102" s="10"/>
      <c r="K102" s="13"/>
      <c r="L102" s="13"/>
      <c r="M102" s="32"/>
      <c r="N102" s="32"/>
      <c r="O102" s="102"/>
      <c r="P102" s="93"/>
      <c r="Q102" s="32"/>
      <c r="R102" s="105"/>
      <c r="S102" s="17"/>
    </row>
    <row r="103" spans="1:19" x14ac:dyDescent="0.25">
      <c r="A103" s="9"/>
      <c r="B103" s="88"/>
      <c r="C103" s="88"/>
      <c r="D103" s="29"/>
      <c r="E103" s="29"/>
      <c r="F103" s="8"/>
      <c r="G103" s="8"/>
      <c r="H103" s="8"/>
      <c r="I103" s="8"/>
      <c r="J103" s="10"/>
      <c r="K103" s="13"/>
      <c r="L103" s="13"/>
      <c r="M103" s="32"/>
      <c r="N103" s="32"/>
      <c r="O103" s="102"/>
      <c r="P103" s="93"/>
      <c r="Q103" s="32"/>
      <c r="R103" s="105"/>
      <c r="S103" s="17"/>
    </row>
    <row r="104" spans="1:19" x14ac:dyDescent="0.25">
      <c r="A104" s="9"/>
      <c r="B104" s="88"/>
      <c r="C104" s="88"/>
      <c r="D104" s="29"/>
      <c r="E104" s="29"/>
      <c r="F104" s="8"/>
      <c r="G104" s="8"/>
      <c r="H104" s="83"/>
      <c r="I104" s="8"/>
      <c r="J104" s="10"/>
      <c r="K104" s="13"/>
      <c r="L104" s="13"/>
      <c r="M104" s="32"/>
      <c r="N104" s="32"/>
      <c r="O104" s="102"/>
      <c r="P104" s="93"/>
      <c r="Q104" s="32"/>
      <c r="R104" s="105"/>
      <c r="S104" s="17"/>
    </row>
    <row r="105" spans="1:19" x14ac:dyDescent="0.25">
      <c r="A105" s="21"/>
      <c r="B105" s="91"/>
      <c r="C105" s="91"/>
      <c r="D105" s="29"/>
      <c r="E105" s="29"/>
      <c r="F105" s="24"/>
      <c r="G105" s="24"/>
      <c r="H105" s="22"/>
      <c r="I105" s="22"/>
      <c r="J105" s="10"/>
      <c r="K105" s="13"/>
      <c r="L105" s="13"/>
      <c r="M105" s="32"/>
      <c r="N105" s="32"/>
      <c r="O105" s="102"/>
      <c r="P105" s="93"/>
      <c r="Q105" s="32"/>
      <c r="R105" s="105"/>
      <c r="S105" s="16"/>
    </row>
    <row r="106" spans="1:19" x14ac:dyDescent="0.25">
      <c r="A106" s="21"/>
      <c r="B106" s="91"/>
      <c r="C106" s="91"/>
      <c r="D106" s="7"/>
      <c r="E106" s="29"/>
      <c r="F106" s="24"/>
      <c r="G106" s="24"/>
      <c r="H106" s="22"/>
      <c r="I106" s="22"/>
      <c r="J106" s="13"/>
      <c r="K106" s="13"/>
      <c r="L106" s="13"/>
      <c r="M106" s="32"/>
      <c r="N106" s="32"/>
      <c r="O106" s="102"/>
      <c r="P106" s="93"/>
      <c r="Q106" s="32"/>
      <c r="R106" s="105"/>
      <c r="S106" s="16"/>
    </row>
    <row r="107" spans="1:19" x14ac:dyDescent="0.25">
      <c r="A107" s="21"/>
      <c r="B107" s="91"/>
      <c r="C107" s="91"/>
      <c r="D107" s="7"/>
      <c r="E107" s="29"/>
      <c r="F107" s="29"/>
      <c r="G107" s="24"/>
      <c r="H107" s="22"/>
      <c r="I107" s="22"/>
      <c r="J107" s="13"/>
      <c r="K107" s="13"/>
      <c r="L107" s="13"/>
      <c r="M107" s="32"/>
      <c r="N107" s="32"/>
      <c r="O107" s="102"/>
      <c r="P107" s="93"/>
      <c r="Q107" s="32"/>
      <c r="R107" s="105"/>
      <c r="S107" s="16"/>
    </row>
    <row r="108" spans="1:19" x14ac:dyDescent="0.25">
      <c r="A108" s="21"/>
      <c r="B108" s="91"/>
      <c r="C108" s="91"/>
      <c r="D108" s="7"/>
      <c r="E108" s="29"/>
      <c r="F108" s="10"/>
      <c r="G108" s="24"/>
      <c r="H108" s="22"/>
      <c r="I108" s="8"/>
      <c r="J108" s="10"/>
      <c r="K108" s="13"/>
      <c r="L108" s="13"/>
      <c r="M108" s="32"/>
      <c r="N108" s="32"/>
      <c r="O108" s="102"/>
      <c r="P108" s="93"/>
      <c r="Q108" s="32"/>
      <c r="R108" s="105"/>
      <c r="S108" s="16"/>
    </row>
    <row r="109" spans="1:19" x14ac:dyDescent="0.25">
      <c r="A109" s="21"/>
      <c r="B109" s="91"/>
      <c r="C109" s="91"/>
      <c r="D109" s="7"/>
      <c r="E109" s="29"/>
      <c r="F109" s="10"/>
      <c r="G109" s="24"/>
      <c r="H109" s="22"/>
      <c r="I109" s="8"/>
      <c r="J109" s="13"/>
      <c r="K109" s="13"/>
      <c r="L109" s="13"/>
      <c r="M109" s="32"/>
      <c r="N109" s="32"/>
      <c r="O109" s="102"/>
      <c r="P109" s="93"/>
      <c r="Q109" s="32"/>
      <c r="R109" s="105"/>
      <c r="S109" s="16"/>
    </row>
    <row r="110" spans="1:19" x14ac:dyDescent="0.25">
      <c r="A110" s="9"/>
      <c r="B110" s="88"/>
      <c r="C110" s="88"/>
      <c r="D110" s="29"/>
      <c r="E110" s="29"/>
      <c r="F110" s="10"/>
      <c r="G110" s="10"/>
      <c r="H110" s="22"/>
      <c r="I110" s="8"/>
      <c r="J110" s="13"/>
      <c r="K110" s="13"/>
      <c r="L110" s="13"/>
      <c r="M110" s="32"/>
      <c r="N110" s="32"/>
      <c r="O110" s="102"/>
      <c r="P110" s="93"/>
      <c r="Q110" s="32"/>
      <c r="R110" s="105"/>
      <c r="S110" s="17"/>
    </row>
    <row r="111" spans="1:19" x14ac:dyDescent="0.25">
      <c r="A111" s="9"/>
      <c r="B111" s="88"/>
      <c r="C111" s="88"/>
      <c r="D111" s="30"/>
      <c r="E111" s="29"/>
      <c r="F111" s="8"/>
      <c r="G111" s="8"/>
      <c r="H111" s="8"/>
      <c r="I111" s="8"/>
      <c r="J111" s="10"/>
      <c r="K111" s="8"/>
      <c r="L111" s="8"/>
      <c r="M111" s="32"/>
      <c r="N111" s="32"/>
      <c r="O111" s="102"/>
      <c r="P111" s="93"/>
      <c r="Q111" s="32"/>
      <c r="R111" s="105"/>
      <c r="S111" s="17"/>
    </row>
    <row r="112" spans="1:19" x14ac:dyDescent="0.25">
      <c r="A112" s="9"/>
      <c r="B112" s="88"/>
      <c r="C112" s="88"/>
      <c r="D112" s="30"/>
      <c r="E112" s="29"/>
      <c r="F112" s="8"/>
      <c r="G112" s="8"/>
      <c r="H112" s="8"/>
      <c r="I112" s="8"/>
      <c r="J112" s="10"/>
      <c r="K112" s="8"/>
      <c r="L112" s="8"/>
      <c r="M112" s="32"/>
      <c r="N112" s="32"/>
      <c r="O112" s="102"/>
      <c r="P112" s="93"/>
      <c r="Q112" s="32"/>
      <c r="R112" s="105"/>
      <c r="S112" s="17"/>
    </row>
    <row r="113" spans="1:19" x14ac:dyDescent="0.25">
      <c r="A113" s="9"/>
      <c r="B113" s="88"/>
      <c r="C113" s="88"/>
      <c r="D113" s="7"/>
      <c r="E113" s="29"/>
      <c r="F113" s="38"/>
      <c r="G113" s="38"/>
      <c r="H113" s="22"/>
      <c r="I113" s="8"/>
      <c r="J113" s="13"/>
      <c r="K113" s="13"/>
      <c r="L113" s="13"/>
      <c r="M113" s="32"/>
      <c r="N113" s="32"/>
      <c r="O113" s="102"/>
      <c r="P113" s="93"/>
      <c r="Q113" s="36"/>
      <c r="R113" s="105"/>
      <c r="S113" s="17"/>
    </row>
    <row r="114" spans="1:19" x14ac:dyDescent="0.25">
      <c r="A114" s="9"/>
      <c r="B114" s="88"/>
      <c r="C114" s="88"/>
      <c r="D114" s="30"/>
      <c r="E114" s="29"/>
      <c r="F114" s="8"/>
      <c r="G114" s="8"/>
      <c r="H114" s="8"/>
      <c r="I114" s="8"/>
      <c r="J114" s="10"/>
      <c r="K114" s="8"/>
      <c r="L114" s="8"/>
      <c r="M114" s="32"/>
      <c r="N114" s="32"/>
      <c r="O114" s="102"/>
      <c r="P114" s="93"/>
      <c r="Q114" s="32"/>
      <c r="R114" s="105"/>
      <c r="S114" s="17"/>
    </row>
    <row r="115" spans="1:19" x14ac:dyDescent="0.25">
      <c r="A115" s="9"/>
      <c r="B115" s="88"/>
      <c r="C115" s="88"/>
      <c r="D115" s="30"/>
      <c r="E115" s="29"/>
      <c r="F115" s="8"/>
      <c r="G115" s="8"/>
      <c r="H115" s="8"/>
      <c r="I115" s="8"/>
      <c r="J115" s="10"/>
      <c r="K115" s="8"/>
      <c r="L115" s="8"/>
      <c r="M115" s="32"/>
      <c r="N115" s="32"/>
      <c r="O115" s="102"/>
      <c r="P115" s="93"/>
      <c r="Q115" s="32"/>
      <c r="R115" s="105"/>
      <c r="S115" s="17"/>
    </row>
    <row r="116" spans="1:19" x14ac:dyDescent="0.25">
      <c r="A116" s="9"/>
      <c r="B116" s="88"/>
      <c r="C116" s="88"/>
      <c r="D116" s="30"/>
      <c r="E116" s="29"/>
      <c r="F116" s="8"/>
      <c r="G116" s="8"/>
      <c r="H116" s="8"/>
      <c r="I116" s="8"/>
      <c r="J116" s="10"/>
      <c r="K116" s="8"/>
      <c r="L116" s="8"/>
      <c r="M116" s="32"/>
      <c r="N116" s="32"/>
      <c r="O116" s="102"/>
      <c r="P116" s="93"/>
      <c r="Q116" s="32"/>
      <c r="R116" s="105"/>
      <c r="S116" s="17"/>
    </row>
    <row r="117" spans="1:19" x14ac:dyDescent="0.25">
      <c r="A117" s="9"/>
      <c r="B117" s="88"/>
      <c r="C117" s="88"/>
      <c r="D117" s="30"/>
      <c r="E117" s="29"/>
      <c r="F117" s="10"/>
      <c r="G117" s="8"/>
      <c r="H117" s="8"/>
      <c r="I117" s="8"/>
      <c r="J117" s="10"/>
      <c r="K117" s="13"/>
      <c r="L117" s="13"/>
      <c r="M117" s="32"/>
      <c r="N117" s="32"/>
      <c r="O117" s="102"/>
      <c r="P117" s="93"/>
      <c r="Q117" s="32"/>
      <c r="R117" s="105"/>
      <c r="S117" s="17"/>
    </row>
    <row r="118" spans="1:19" x14ac:dyDescent="0.25">
      <c r="A118" s="9"/>
      <c r="B118" s="88"/>
      <c r="C118" s="88"/>
      <c r="D118" s="30"/>
      <c r="E118" s="29"/>
      <c r="F118" s="8"/>
      <c r="G118" s="8"/>
      <c r="H118" s="8"/>
      <c r="I118" s="8"/>
      <c r="J118" s="10"/>
      <c r="K118" s="8"/>
      <c r="L118" s="8"/>
      <c r="M118" s="32"/>
      <c r="N118" s="32"/>
      <c r="O118" s="102"/>
      <c r="P118" s="93"/>
      <c r="Q118" s="32"/>
      <c r="R118" s="105"/>
      <c r="S118" s="17"/>
    </row>
    <row r="119" spans="1:19" x14ac:dyDescent="0.25">
      <c r="A119" s="9"/>
      <c r="B119" s="88"/>
      <c r="C119" s="88"/>
      <c r="D119" s="30"/>
      <c r="E119" s="29"/>
      <c r="F119" s="10"/>
      <c r="G119" s="8"/>
      <c r="H119" s="8"/>
      <c r="I119" s="8"/>
      <c r="J119" s="10"/>
      <c r="K119" s="13"/>
      <c r="L119" s="13"/>
      <c r="M119" s="32"/>
      <c r="N119" s="32"/>
      <c r="O119" s="102"/>
      <c r="P119" s="93"/>
      <c r="Q119" s="32"/>
      <c r="R119" s="105"/>
      <c r="S119" s="17"/>
    </row>
    <row r="120" spans="1:19" x14ac:dyDescent="0.25">
      <c r="A120" s="9"/>
      <c r="B120" s="88"/>
      <c r="C120" s="88"/>
      <c r="D120" s="30"/>
      <c r="E120" s="29"/>
      <c r="F120" s="10"/>
      <c r="G120" s="8"/>
      <c r="H120" s="8"/>
      <c r="I120" s="8"/>
      <c r="J120" s="10"/>
      <c r="K120" s="8"/>
      <c r="L120" s="8"/>
      <c r="M120" s="32"/>
      <c r="N120" s="32"/>
      <c r="O120" s="102"/>
      <c r="P120" s="93"/>
      <c r="Q120" s="32"/>
      <c r="R120" s="105"/>
      <c r="S120" s="17"/>
    </row>
    <row r="121" spans="1:19" x14ac:dyDescent="0.25">
      <c r="A121" s="9"/>
      <c r="B121" s="88"/>
      <c r="C121" s="88"/>
      <c r="D121" s="30"/>
      <c r="E121" s="29"/>
      <c r="F121" s="8"/>
      <c r="G121" s="8"/>
      <c r="H121" s="8"/>
      <c r="I121" s="8"/>
      <c r="J121" s="10"/>
      <c r="K121" s="8"/>
      <c r="L121" s="8"/>
      <c r="M121" s="32"/>
      <c r="N121" s="32"/>
      <c r="O121" s="102"/>
      <c r="P121" s="93"/>
      <c r="Q121" s="32"/>
      <c r="R121" s="105"/>
      <c r="S121" s="17"/>
    </row>
    <row r="122" spans="1:19" x14ac:dyDescent="0.25">
      <c r="A122" s="9"/>
      <c r="B122" s="88"/>
      <c r="C122" s="88"/>
      <c r="D122" s="30"/>
      <c r="E122" s="29"/>
      <c r="F122" s="8"/>
      <c r="G122" s="8"/>
      <c r="H122" s="8"/>
      <c r="I122" s="8"/>
      <c r="J122" s="10"/>
      <c r="K122" s="8"/>
      <c r="L122" s="8"/>
      <c r="M122" s="32"/>
      <c r="N122" s="32"/>
      <c r="O122" s="102"/>
      <c r="P122" s="93"/>
      <c r="Q122" s="32"/>
      <c r="R122" s="105"/>
      <c r="S122" s="17"/>
    </row>
    <row r="123" spans="1:19" x14ac:dyDescent="0.25">
      <c r="A123" s="9"/>
      <c r="B123" s="88"/>
      <c r="C123" s="88"/>
      <c r="D123" s="30"/>
      <c r="E123" s="29"/>
      <c r="F123" s="8"/>
      <c r="G123" s="8"/>
      <c r="H123" s="8"/>
      <c r="I123" s="8"/>
      <c r="J123" s="10"/>
      <c r="K123" s="8"/>
      <c r="L123" s="8"/>
      <c r="M123" s="32"/>
      <c r="N123" s="32"/>
      <c r="O123" s="102"/>
      <c r="P123" s="93"/>
      <c r="Q123" s="32"/>
      <c r="R123" s="105"/>
      <c r="S123" s="17"/>
    </row>
    <row r="124" spans="1:19" x14ac:dyDescent="0.25">
      <c r="A124" s="9"/>
      <c r="B124" s="88"/>
      <c r="C124" s="88"/>
      <c r="D124" s="30"/>
      <c r="E124" s="29"/>
      <c r="F124" s="8"/>
      <c r="G124" s="8"/>
      <c r="H124" s="8"/>
      <c r="I124" s="8"/>
      <c r="J124" s="10"/>
      <c r="K124" s="8"/>
      <c r="L124" s="8"/>
      <c r="M124" s="32"/>
      <c r="N124" s="32"/>
      <c r="O124" s="102"/>
      <c r="P124" s="93"/>
      <c r="Q124" s="32"/>
      <c r="R124" s="105"/>
      <c r="S124" s="17"/>
    </row>
    <row r="125" spans="1:19" x14ac:dyDescent="0.25">
      <c r="A125" s="9"/>
      <c r="B125" s="88"/>
      <c r="C125" s="88"/>
      <c r="D125" s="30"/>
      <c r="E125" s="29"/>
      <c r="F125" s="8"/>
      <c r="G125" s="8"/>
      <c r="H125" s="8"/>
      <c r="I125" s="8"/>
      <c r="J125" s="10"/>
      <c r="K125" s="8"/>
      <c r="L125" s="8"/>
      <c r="M125" s="32"/>
      <c r="N125" s="32"/>
      <c r="O125" s="102"/>
      <c r="P125" s="93"/>
      <c r="Q125" s="32"/>
      <c r="R125" s="105"/>
      <c r="S125" s="17"/>
    </row>
    <row r="126" spans="1:19" x14ac:dyDescent="0.25">
      <c r="A126" s="9"/>
      <c r="B126" s="88"/>
      <c r="C126" s="88"/>
      <c r="D126" s="30"/>
      <c r="E126" s="29"/>
      <c r="F126" s="8"/>
      <c r="G126" s="8"/>
      <c r="H126" s="8"/>
      <c r="I126" s="8"/>
      <c r="J126" s="10"/>
      <c r="K126" s="8"/>
      <c r="L126" s="8"/>
      <c r="M126" s="32"/>
      <c r="N126" s="32"/>
      <c r="O126" s="102"/>
      <c r="P126" s="93"/>
      <c r="Q126" s="32"/>
      <c r="R126" s="105"/>
      <c r="S126" s="17"/>
    </row>
    <row r="127" spans="1:19" x14ac:dyDescent="0.25">
      <c r="A127" s="9"/>
      <c r="B127" s="88"/>
      <c r="C127" s="88"/>
      <c r="D127" s="30"/>
      <c r="E127" s="29"/>
      <c r="F127" s="8"/>
      <c r="G127" s="8"/>
      <c r="H127" s="8"/>
      <c r="I127" s="8"/>
      <c r="J127" s="10"/>
      <c r="K127" s="8"/>
      <c r="L127" s="8"/>
      <c r="M127" s="32"/>
      <c r="N127" s="32"/>
      <c r="O127" s="102"/>
      <c r="P127" s="93"/>
      <c r="Q127" s="32"/>
      <c r="R127" s="105"/>
      <c r="S127" s="17"/>
    </row>
    <row r="128" spans="1:19" x14ac:dyDescent="0.25">
      <c r="A128" s="9"/>
      <c r="B128" s="88"/>
      <c r="C128" s="88"/>
      <c r="D128" s="30"/>
      <c r="E128" s="29"/>
      <c r="F128" s="8"/>
      <c r="G128" s="8"/>
      <c r="H128" s="8"/>
      <c r="I128" s="8"/>
      <c r="J128" s="10"/>
      <c r="K128" s="8"/>
      <c r="L128" s="8"/>
      <c r="M128" s="32"/>
      <c r="N128" s="32"/>
      <c r="O128" s="102"/>
      <c r="P128" s="93"/>
      <c r="Q128" s="32"/>
      <c r="R128" s="105"/>
      <c r="S128" s="17"/>
    </row>
    <row r="129" spans="1:19" x14ac:dyDescent="0.25">
      <c r="A129" s="9"/>
      <c r="B129" s="88"/>
      <c r="C129" s="88"/>
      <c r="D129" s="30"/>
      <c r="E129" s="29"/>
      <c r="F129" s="8"/>
      <c r="G129" s="8"/>
      <c r="H129" s="8"/>
      <c r="I129" s="8"/>
      <c r="J129" s="10"/>
      <c r="K129" s="8"/>
      <c r="L129" s="8"/>
      <c r="M129" s="32"/>
      <c r="N129" s="32"/>
      <c r="O129" s="102"/>
      <c r="P129" s="93"/>
      <c r="Q129" s="32"/>
      <c r="R129" s="105"/>
      <c r="S129" s="17"/>
    </row>
    <row r="130" spans="1:19" x14ac:dyDescent="0.25">
      <c r="A130" s="9"/>
      <c r="B130" s="88"/>
      <c r="C130" s="88"/>
      <c r="D130" s="30"/>
      <c r="E130" s="29"/>
      <c r="F130" s="8"/>
      <c r="G130" s="8"/>
      <c r="H130" s="8"/>
      <c r="I130" s="8"/>
      <c r="J130" s="10"/>
      <c r="K130" s="8"/>
      <c r="L130" s="8"/>
      <c r="M130" s="32"/>
      <c r="N130" s="32"/>
      <c r="O130" s="102"/>
      <c r="P130" s="93"/>
      <c r="Q130" s="32"/>
      <c r="R130" s="105"/>
      <c r="S130" s="17"/>
    </row>
    <row r="131" spans="1:19" x14ac:dyDescent="0.25">
      <c r="A131" s="9"/>
      <c r="B131" s="88"/>
      <c r="C131" s="88"/>
      <c r="D131" s="30"/>
      <c r="E131" s="29"/>
      <c r="F131" s="8"/>
      <c r="G131" s="8"/>
      <c r="H131" s="8"/>
      <c r="I131" s="8"/>
      <c r="J131" s="10"/>
      <c r="K131" s="8"/>
      <c r="L131" s="8"/>
      <c r="M131" s="32"/>
      <c r="N131" s="32"/>
      <c r="O131" s="102"/>
      <c r="P131" s="93"/>
      <c r="Q131" s="32"/>
      <c r="R131" s="105"/>
      <c r="S131" s="17"/>
    </row>
    <row r="132" spans="1:19" x14ac:dyDescent="0.25">
      <c r="A132" s="9"/>
      <c r="B132" s="88"/>
      <c r="C132" s="88"/>
      <c r="D132" s="30"/>
      <c r="E132" s="29"/>
      <c r="F132" s="8"/>
      <c r="G132" s="8"/>
      <c r="H132" s="8"/>
      <c r="I132" s="8"/>
      <c r="J132" s="10"/>
      <c r="K132" s="8"/>
      <c r="L132" s="8"/>
      <c r="M132" s="32"/>
      <c r="N132" s="32"/>
      <c r="O132" s="102"/>
      <c r="P132" s="93"/>
      <c r="Q132" s="32"/>
      <c r="R132" s="105"/>
      <c r="S132" s="17"/>
    </row>
    <row r="133" spans="1:19" x14ac:dyDescent="0.25">
      <c r="A133" s="9"/>
      <c r="B133" s="88"/>
      <c r="C133" s="88"/>
      <c r="D133" s="30"/>
      <c r="E133" s="29"/>
      <c r="F133" s="8"/>
      <c r="G133" s="8"/>
      <c r="H133" s="8"/>
      <c r="I133" s="8"/>
      <c r="J133" s="10"/>
      <c r="K133" s="8"/>
      <c r="L133" s="8"/>
      <c r="M133" s="32"/>
      <c r="N133" s="32"/>
      <c r="O133" s="102"/>
      <c r="P133" s="93"/>
      <c r="Q133" s="32"/>
      <c r="R133" s="105"/>
      <c r="S133" s="17"/>
    </row>
    <row r="134" spans="1:19" x14ac:dyDescent="0.25">
      <c r="A134" s="9"/>
      <c r="B134" s="88"/>
      <c r="C134" s="88"/>
      <c r="D134" s="30"/>
      <c r="E134" s="29"/>
      <c r="F134" s="8"/>
      <c r="G134" s="8"/>
      <c r="H134" s="8"/>
      <c r="I134" s="8"/>
      <c r="J134" s="10"/>
      <c r="K134" s="8"/>
      <c r="L134" s="8"/>
      <c r="M134" s="32"/>
      <c r="N134" s="32"/>
      <c r="O134" s="102"/>
      <c r="P134" s="93"/>
      <c r="Q134" s="32"/>
      <c r="R134" s="105"/>
      <c r="S134" s="17"/>
    </row>
    <row r="135" spans="1:19" x14ac:dyDescent="0.25">
      <c r="A135" s="9"/>
      <c r="B135" s="88"/>
      <c r="C135" s="88"/>
      <c r="D135" s="30"/>
      <c r="E135" s="29"/>
      <c r="F135" s="8"/>
      <c r="G135" s="8"/>
      <c r="H135" s="8"/>
      <c r="I135" s="8"/>
      <c r="J135" s="10"/>
      <c r="K135" s="8"/>
      <c r="L135" s="8"/>
      <c r="M135" s="32"/>
      <c r="N135" s="32"/>
      <c r="O135" s="102"/>
      <c r="P135" s="93"/>
      <c r="Q135" s="32"/>
      <c r="R135" s="105"/>
      <c r="S135" s="17"/>
    </row>
    <row r="136" spans="1:19" x14ac:dyDescent="0.25">
      <c r="A136" s="9"/>
      <c r="B136" s="88"/>
      <c r="C136" s="88"/>
      <c r="D136" s="30"/>
      <c r="E136" s="29"/>
      <c r="F136" s="8"/>
      <c r="G136" s="8"/>
      <c r="H136" s="8"/>
      <c r="I136" s="8"/>
      <c r="J136" s="10"/>
      <c r="K136" s="8"/>
      <c r="L136" s="8"/>
      <c r="M136" s="32"/>
      <c r="N136" s="32"/>
      <c r="O136" s="102"/>
      <c r="P136" s="93"/>
      <c r="Q136" s="32"/>
      <c r="R136" s="105"/>
      <c r="S136" s="17"/>
    </row>
    <row r="137" spans="1:19" x14ac:dyDescent="0.25">
      <c r="A137" s="9"/>
      <c r="B137" s="88"/>
      <c r="C137" s="88"/>
      <c r="D137" s="30"/>
      <c r="E137" s="29"/>
      <c r="F137" s="8"/>
      <c r="G137" s="8"/>
      <c r="H137" s="8"/>
      <c r="I137" s="8"/>
      <c r="J137" s="10"/>
      <c r="K137" s="8"/>
      <c r="L137" s="8"/>
      <c r="M137" s="32"/>
      <c r="N137" s="32"/>
      <c r="O137" s="102"/>
      <c r="P137" s="93"/>
      <c r="Q137" s="32"/>
      <c r="R137" s="105"/>
      <c r="S137" s="17"/>
    </row>
    <row r="138" spans="1:19" x14ac:dyDescent="0.25">
      <c r="A138" s="9"/>
      <c r="B138" s="88"/>
      <c r="C138" s="88"/>
      <c r="D138" s="30"/>
      <c r="E138" s="29"/>
      <c r="F138" s="8"/>
      <c r="G138" s="8"/>
      <c r="H138" s="8"/>
      <c r="I138" s="8"/>
      <c r="J138" s="10"/>
      <c r="K138" s="8"/>
      <c r="L138" s="8"/>
      <c r="M138" s="32"/>
      <c r="N138" s="32"/>
      <c r="O138" s="102"/>
      <c r="P138" s="93"/>
      <c r="Q138" s="32"/>
      <c r="R138" s="105"/>
      <c r="S138" s="17"/>
    </row>
    <row r="139" spans="1:19" x14ac:dyDescent="0.25">
      <c r="A139" s="9"/>
      <c r="B139" s="88"/>
      <c r="C139" s="88"/>
      <c r="D139" s="30"/>
      <c r="E139" s="28"/>
      <c r="F139" s="8"/>
      <c r="G139" s="8"/>
      <c r="H139" s="8"/>
      <c r="I139" s="8"/>
      <c r="J139" s="10"/>
      <c r="K139" s="8"/>
      <c r="L139" s="8"/>
      <c r="M139" s="32"/>
      <c r="N139" s="32"/>
      <c r="O139" s="102"/>
      <c r="P139" s="93"/>
      <c r="Q139" s="32"/>
      <c r="R139" s="105"/>
      <c r="S139" s="17"/>
    </row>
    <row r="140" spans="1:19" x14ac:dyDescent="0.25">
      <c r="A140" s="9"/>
      <c r="B140" s="88"/>
      <c r="C140" s="88"/>
      <c r="D140" s="30"/>
      <c r="E140" s="28"/>
      <c r="F140" s="8"/>
      <c r="G140" s="8"/>
      <c r="H140" s="8"/>
      <c r="I140" s="8"/>
      <c r="J140" s="10"/>
      <c r="K140" s="8"/>
      <c r="L140" s="8"/>
      <c r="M140" s="32"/>
      <c r="N140" s="32"/>
      <c r="O140" s="102"/>
      <c r="P140" s="94"/>
      <c r="Q140" s="32"/>
      <c r="R140" s="105"/>
      <c r="S140" s="17"/>
    </row>
    <row r="141" spans="1:19" x14ac:dyDescent="0.25">
      <c r="A141" s="9"/>
      <c r="B141" s="88"/>
      <c r="C141" s="88"/>
      <c r="D141" s="30"/>
      <c r="E141" s="28"/>
      <c r="F141" s="8"/>
      <c r="G141" s="8"/>
      <c r="H141" s="8"/>
      <c r="I141" s="8"/>
      <c r="J141" s="10"/>
      <c r="K141" s="8"/>
      <c r="L141" s="8"/>
      <c r="M141" s="32"/>
      <c r="N141" s="32"/>
      <c r="O141" s="102"/>
      <c r="P141" s="94"/>
      <c r="Q141" s="32"/>
      <c r="R141" s="105"/>
      <c r="S141" s="17"/>
    </row>
    <row r="142" spans="1:19" x14ac:dyDescent="0.25">
      <c r="A142" s="9"/>
      <c r="B142" s="88"/>
      <c r="C142" s="88"/>
      <c r="D142" s="30"/>
      <c r="E142" s="28"/>
      <c r="F142" s="8"/>
      <c r="G142" s="8"/>
      <c r="H142" s="8"/>
      <c r="I142" s="8"/>
      <c r="J142" s="10"/>
      <c r="K142" s="8"/>
      <c r="L142" s="8"/>
      <c r="M142" s="32"/>
      <c r="N142" s="32"/>
      <c r="O142" s="102"/>
      <c r="P142" s="94"/>
      <c r="Q142" s="32"/>
      <c r="R142" s="105"/>
      <c r="S142" s="17"/>
    </row>
    <row r="143" spans="1:19" x14ac:dyDescent="0.25">
      <c r="A143" s="9"/>
      <c r="B143" s="88"/>
      <c r="C143" s="88"/>
      <c r="D143" s="30"/>
      <c r="E143" s="28"/>
      <c r="F143" s="8"/>
      <c r="G143" s="8"/>
      <c r="H143" s="8"/>
      <c r="I143" s="8"/>
      <c r="J143" s="10"/>
      <c r="K143" s="8"/>
      <c r="L143" s="8"/>
      <c r="M143" s="32"/>
      <c r="N143" s="32"/>
      <c r="O143" s="102"/>
      <c r="P143" s="94"/>
      <c r="Q143" s="32"/>
      <c r="R143" s="105"/>
      <c r="S143" s="17"/>
    </row>
    <row r="144" spans="1:19" x14ac:dyDescent="0.25">
      <c r="A144" s="9"/>
      <c r="B144" s="88"/>
      <c r="C144" s="88"/>
      <c r="D144" s="30"/>
      <c r="E144" s="28"/>
      <c r="F144" s="8"/>
      <c r="G144" s="8"/>
      <c r="H144" s="8"/>
      <c r="I144" s="8"/>
      <c r="J144" s="10"/>
      <c r="K144" s="8"/>
      <c r="L144" s="8"/>
      <c r="M144" s="32"/>
      <c r="N144" s="32"/>
      <c r="O144" s="102"/>
      <c r="P144" s="94"/>
      <c r="Q144" s="32"/>
      <c r="R144" s="105"/>
      <c r="S144" s="17"/>
    </row>
    <row r="145" spans="1:19" x14ac:dyDescent="0.25">
      <c r="A145" s="9"/>
      <c r="B145" s="88"/>
      <c r="C145" s="88"/>
      <c r="D145" s="30"/>
      <c r="E145" s="28"/>
      <c r="F145" s="8"/>
      <c r="G145" s="8"/>
      <c r="H145" s="8"/>
      <c r="I145" s="8"/>
      <c r="J145" s="10"/>
      <c r="K145" s="8"/>
      <c r="L145" s="8"/>
      <c r="M145" s="32"/>
      <c r="N145" s="32"/>
      <c r="O145" s="102"/>
      <c r="P145" s="94"/>
      <c r="Q145" s="32"/>
      <c r="R145" s="105"/>
      <c r="S145" s="17"/>
    </row>
    <row r="146" spans="1:19" x14ac:dyDescent="0.25">
      <c r="A146" s="9"/>
      <c r="B146" s="88"/>
      <c r="C146" s="88"/>
      <c r="D146" s="30"/>
      <c r="E146" s="28"/>
      <c r="F146" s="8"/>
      <c r="G146" s="8"/>
      <c r="H146" s="8"/>
      <c r="I146" s="8"/>
      <c r="J146" s="10"/>
      <c r="K146" s="8"/>
      <c r="L146" s="8"/>
      <c r="M146" s="32"/>
      <c r="N146" s="32"/>
      <c r="O146" s="102"/>
      <c r="P146" s="94"/>
      <c r="Q146" s="32"/>
      <c r="R146" s="105"/>
      <c r="S146" s="17"/>
    </row>
    <row r="147" spans="1:19" x14ac:dyDescent="0.25">
      <c r="A147" s="9"/>
      <c r="B147" s="88"/>
      <c r="C147" s="88"/>
      <c r="D147" s="30"/>
      <c r="E147" s="28"/>
      <c r="F147" s="8"/>
      <c r="G147" s="8"/>
      <c r="H147" s="8"/>
      <c r="I147" s="8"/>
      <c r="J147" s="10"/>
      <c r="K147" s="8"/>
      <c r="L147" s="8"/>
      <c r="M147" s="32"/>
      <c r="N147" s="32"/>
      <c r="O147" s="102"/>
      <c r="P147" s="94"/>
      <c r="Q147" s="32"/>
      <c r="R147" s="105"/>
      <c r="S147" s="17"/>
    </row>
    <row r="148" spans="1:19" x14ac:dyDescent="0.25">
      <c r="A148" s="9"/>
      <c r="B148" s="88"/>
      <c r="C148" s="88"/>
      <c r="D148" s="30"/>
      <c r="E148" s="28"/>
      <c r="F148" s="8"/>
      <c r="G148" s="8"/>
      <c r="H148" s="8"/>
      <c r="I148" s="8"/>
      <c r="J148" s="10"/>
      <c r="K148" s="8"/>
      <c r="L148" s="8"/>
      <c r="M148" s="32"/>
      <c r="N148" s="32"/>
      <c r="O148" s="102"/>
      <c r="P148" s="94"/>
      <c r="Q148" s="32"/>
      <c r="R148" s="105"/>
      <c r="S148" s="17"/>
    </row>
    <row r="149" spans="1:19" x14ac:dyDescent="0.25">
      <c r="A149" s="9"/>
      <c r="B149" s="88"/>
      <c r="C149" s="88"/>
      <c r="D149" s="30"/>
      <c r="E149" s="28"/>
      <c r="F149" s="8"/>
      <c r="G149" s="8"/>
      <c r="H149" s="8"/>
      <c r="I149" s="8"/>
      <c r="J149" s="10"/>
      <c r="K149" s="8"/>
      <c r="L149" s="8"/>
      <c r="M149" s="32"/>
      <c r="N149" s="32"/>
      <c r="O149" s="102"/>
      <c r="P149" s="94"/>
      <c r="Q149" s="32"/>
      <c r="R149" s="105"/>
      <c r="S149" s="17"/>
    </row>
    <row r="150" spans="1:19" x14ac:dyDescent="0.25">
      <c r="A150" s="9"/>
      <c r="B150" s="88"/>
      <c r="C150" s="88"/>
      <c r="D150" s="30"/>
      <c r="E150" s="28"/>
      <c r="F150" s="8"/>
      <c r="G150" s="8"/>
      <c r="H150" s="8"/>
      <c r="I150" s="8"/>
      <c r="J150" s="10"/>
      <c r="K150" s="8"/>
      <c r="L150" s="8"/>
      <c r="M150" s="32"/>
      <c r="N150" s="32"/>
      <c r="O150" s="102"/>
      <c r="P150" s="94"/>
      <c r="Q150" s="32"/>
      <c r="R150" s="105"/>
      <c r="S150" s="17"/>
    </row>
    <row r="151" spans="1:19" x14ac:dyDescent="0.25">
      <c r="A151" s="9"/>
      <c r="B151" s="88"/>
      <c r="C151" s="88"/>
      <c r="D151" s="30"/>
      <c r="E151" s="28"/>
      <c r="F151" s="8"/>
      <c r="G151" s="8"/>
      <c r="H151" s="8"/>
      <c r="I151" s="8"/>
      <c r="J151" s="10"/>
      <c r="K151" s="8"/>
      <c r="L151" s="8"/>
      <c r="M151" s="32"/>
      <c r="N151" s="32"/>
      <c r="O151" s="102"/>
      <c r="P151" s="94"/>
      <c r="Q151" s="32"/>
      <c r="R151" s="105"/>
      <c r="S151" s="17"/>
    </row>
    <row r="152" spans="1:19" x14ac:dyDescent="0.25">
      <c r="A152" s="9"/>
      <c r="B152" s="88"/>
      <c r="C152" s="88"/>
      <c r="D152" s="30"/>
      <c r="E152" s="28"/>
      <c r="F152" s="8"/>
      <c r="G152" s="8"/>
      <c r="H152" s="8"/>
      <c r="I152" s="8"/>
      <c r="J152" s="10"/>
      <c r="K152" s="8"/>
      <c r="L152" s="8"/>
      <c r="M152" s="32"/>
      <c r="N152" s="32"/>
      <c r="O152" s="102"/>
      <c r="P152" s="94"/>
      <c r="Q152" s="32"/>
      <c r="R152" s="105"/>
      <c r="S152" s="17"/>
    </row>
    <row r="153" spans="1:19" x14ac:dyDescent="0.25">
      <c r="A153" s="9"/>
      <c r="B153" s="88"/>
      <c r="C153" s="88"/>
      <c r="D153" s="30"/>
      <c r="E153" s="28"/>
      <c r="F153" s="8"/>
      <c r="G153" s="8"/>
      <c r="H153" s="8"/>
      <c r="I153" s="8"/>
      <c r="J153" s="10"/>
      <c r="K153" s="8"/>
      <c r="L153" s="8"/>
      <c r="M153" s="32"/>
      <c r="N153" s="32"/>
      <c r="O153" s="102"/>
      <c r="P153" s="94"/>
      <c r="Q153" s="32"/>
      <c r="R153" s="105"/>
      <c r="S153" s="17"/>
    </row>
    <row r="154" spans="1:19" x14ac:dyDescent="0.25">
      <c r="A154" s="9"/>
      <c r="B154" s="88"/>
      <c r="C154" s="88"/>
      <c r="D154" s="30"/>
      <c r="E154" s="28"/>
      <c r="F154" s="8"/>
      <c r="G154" s="8"/>
      <c r="H154" s="8"/>
      <c r="I154" s="8"/>
      <c r="J154" s="10"/>
      <c r="K154" s="8"/>
      <c r="L154" s="8"/>
      <c r="M154" s="32"/>
      <c r="N154" s="32"/>
      <c r="O154" s="102"/>
      <c r="P154" s="94"/>
      <c r="Q154" s="32"/>
      <c r="R154" s="105"/>
      <c r="S154" s="17"/>
    </row>
    <row r="155" spans="1:19" x14ac:dyDescent="0.25">
      <c r="A155" s="9"/>
      <c r="B155" s="88"/>
      <c r="C155" s="88"/>
      <c r="D155" s="30"/>
      <c r="E155" s="28"/>
      <c r="F155" s="8"/>
      <c r="G155" s="8"/>
      <c r="H155" s="8"/>
      <c r="I155" s="8"/>
      <c r="J155" s="10"/>
      <c r="K155" s="8"/>
      <c r="L155" s="8"/>
      <c r="M155" s="32"/>
      <c r="N155" s="32"/>
      <c r="O155" s="102"/>
      <c r="P155" s="94"/>
      <c r="Q155" s="32"/>
      <c r="R155" s="105"/>
      <c r="S155" s="17"/>
    </row>
    <row r="156" spans="1:19" x14ac:dyDescent="0.25">
      <c r="A156" s="9"/>
      <c r="B156" s="88"/>
      <c r="C156" s="88"/>
      <c r="D156" s="30"/>
      <c r="E156" s="28"/>
      <c r="F156" s="8"/>
      <c r="G156" s="8"/>
      <c r="H156" s="8"/>
      <c r="I156" s="8"/>
      <c r="J156" s="10"/>
      <c r="K156" s="8"/>
      <c r="L156" s="8"/>
      <c r="M156" s="32"/>
      <c r="N156" s="32"/>
      <c r="O156" s="102"/>
      <c r="P156" s="94"/>
      <c r="Q156" s="32"/>
      <c r="R156" s="105"/>
      <c r="S156" s="17"/>
    </row>
    <row r="157" spans="1:19" x14ac:dyDescent="0.25">
      <c r="A157" s="9"/>
      <c r="B157" s="88"/>
      <c r="C157" s="88"/>
      <c r="D157" s="30"/>
      <c r="E157" s="28"/>
      <c r="F157" s="8"/>
      <c r="G157" s="8"/>
      <c r="H157" s="8"/>
      <c r="I157" s="8"/>
      <c r="J157" s="10"/>
      <c r="K157" s="8"/>
      <c r="L157" s="8"/>
      <c r="M157" s="32"/>
      <c r="N157" s="32"/>
      <c r="O157" s="102"/>
      <c r="P157" s="94"/>
      <c r="Q157" s="32"/>
      <c r="R157" s="105"/>
      <c r="S157" s="17"/>
    </row>
    <row r="158" spans="1:19" x14ac:dyDescent="0.25">
      <c r="A158" s="9"/>
      <c r="B158" s="88"/>
      <c r="C158" s="88"/>
      <c r="D158" s="30"/>
      <c r="E158" s="28"/>
      <c r="F158" s="8"/>
      <c r="G158" s="8"/>
      <c r="H158" s="8"/>
      <c r="I158" s="8"/>
      <c r="J158" s="10"/>
      <c r="K158" s="8"/>
      <c r="L158" s="8"/>
      <c r="M158" s="32"/>
      <c r="N158" s="32"/>
      <c r="O158" s="102"/>
      <c r="P158" s="94"/>
      <c r="Q158" s="32"/>
      <c r="R158" s="105"/>
      <c r="S158" s="17"/>
    </row>
    <row r="159" spans="1:19" x14ac:dyDescent="0.25">
      <c r="A159" s="9"/>
      <c r="B159" s="88"/>
      <c r="C159" s="88"/>
      <c r="D159" s="30"/>
      <c r="E159" s="28"/>
      <c r="F159" s="8"/>
      <c r="G159" s="8"/>
      <c r="H159" s="8"/>
      <c r="I159" s="8"/>
      <c r="J159" s="10"/>
      <c r="K159" s="8"/>
      <c r="L159" s="8"/>
      <c r="M159" s="32"/>
      <c r="N159" s="32"/>
      <c r="O159" s="102"/>
      <c r="P159" s="94"/>
      <c r="Q159" s="32"/>
      <c r="R159" s="105"/>
      <c r="S159" s="17"/>
    </row>
    <row r="160" spans="1:19" x14ac:dyDescent="0.25">
      <c r="A160" s="9"/>
      <c r="B160" s="88"/>
      <c r="C160" s="88"/>
      <c r="D160" s="30"/>
      <c r="E160" s="28"/>
      <c r="F160" s="8"/>
      <c r="G160" s="8"/>
      <c r="H160" s="8"/>
      <c r="I160" s="8"/>
      <c r="J160" s="10"/>
      <c r="K160" s="8"/>
      <c r="L160" s="8"/>
      <c r="M160" s="32"/>
      <c r="N160" s="32"/>
      <c r="O160" s="102"/>
      <c r="P160" s="94"/>
      <c r="Q160" s="32"/>
      <c r="R160" s="105"/>
      <c r="S160" s="17"/>
    </row>
    <row r="161" spans="1:19" x14ac:dyDescent="0.25">
      <c r="A161" s="9"/>
      <c r="B161" s="88"/>
      <c r="C161" s="88"/>
      <c r="D161" s="30"/>
      <c r="E161" s="28"/>
      <c r="F161" s="8"/>
      <c r="G161" s="8"/>
      <c r="H161" s="8"/>
      <c r="I161" s="8"/>
      <c r="J161" s="10"/>
      <c r="K161" s="8"/>
      <c r="L161" s="8"/>
      <c r="M161" s="32"/>
      <c r="N161" s="32"/>
      <c r="O161" s="102"/>
      <c r="P161" s="94"/>
      <c r="Q161" s="32"/>
      <c r="R161" s="105"/>
      <c r="S161" s="17"/>
    </row>
    <row r="162" spans="1:19" x14ac:dyDescent="0.25">
      <c r="A162" s="9"/>
      <c r="B162" s="88"/>
      <c r="C162" s="88"/>
      <c r="D162" s="30"/>
      <c r="E162" s="28"/>
      <c r="F162" s="8"/>
      <c r="G162" s="8"/>
      <c r="H162" s="8"/>
      <c r="I162" s="8"/>
      <c r="J162" s="10"/>
      <c r="K162" s="8"/>
      <c r="L162" s="8"/>
      <c r="M162" s="32"/>
      <c r="N162" s="32"/>
      <c r="O162" s="102"/>
      <c r="P162" s="94"/>
      <c r="Q162" s="32"/>
      <c r="R162" s="105"/>
      <c r="S162" s="17"/>
    </row>
    <row r="163" spans="1:19" x14ac:dyDescent="0.25">
      <c r="A163" s="9"/>
      <c r="B163" s="88"/>
      <c r="C163" s="88"/>
      <c r="D163" s="30"/>
      <c r="E163" s="28"/>
      <c r="F163" s="8"/>
      <c r="G163" s="8"/>
      <c r="H163" s="8"/>
      <c r="I163" s="8"/>
      <c r="J163" s="10"/>
      <c r="K163" s="8"/>
      <c r="L163" s="8"/>
      <c r="M163" s="32"/>
      <c r="N163" s="32"/>
      <c r="O163" s="102"/>
      <c r="P163" s="94"/>
      <c r="Q163" s="32"/>
      <c r="R163" s="105"/>
      <c r="S163" s="17"/>
    </row>
    <row r="164" spans="1:19" x14ac:dyDescent="0.25">
      <c r="A164" s="9"/>
      <c r="B164" s="88"/>
      <c r="C164" s="88"/>
      <c r="D164" s="30"/>
      <c r="E164" s="28"/>
      <c r="F164" s="8"/>
      <c r="G164" s="8"/>
      <c r="H164" s="8"/>
      <c r="I164" s="8"/>
      <c r="J164" s="10"/>
      <c r="K164" s="8"/>
      <c r="L164" s="8"/>
      <c r="M164" s="32"/>
      <c r="N164" s="32"/>
      <c r="O164" s="102"/>
      <c r="P164" s="94"/>
      <c r="Q164" s="32"/>
      <c r="R164" s="105"/>
      <c r="S164" s="17"/>
    </row>
    <row r="165" spans="1:19" x14ac:dyDescent="0.25">
      <c r="A165" s="14"/>
      <c r="B165" s="88"/>
      <c r="C165" s="88"/>
      <c r="D165" s="30"/>
      <c r="E165" s="29"/>
      <c r="F165" s="8"/>
      <c r="G165" s="8"/>
      <c r="H165" s="25"/>
      <c r="I165" s="11"/>
      <c r="J165" s="13"/>
      <c r="K165" s="13"/>
      <c r="L165" s="13"/>
      <c r="M165" s="27"/>
      <c r="N165" s="7"/>
      <c r="O165" s="32"/>
      <c r="P165" s="32"/>
      <c r="Q165" s="102"/>
      <c r="R165" s="26"/>
      <c r="S165" s="17"/>
    </row>
    <row r="166" spans="1:19" x14ac:dyDescent="0.25">
      <c r="A166" s="9"/>
      <c r="B166" s="88"/>
      <c r="C166" s="88"/>
      <c r="D166" s="31"/>
      <c r="E166" s="29"/>
      <c r="F166" s="8"/>
      <c r="G166" s="8"/>
      <c r="H166" s="22"/>
      <c r="I166" s="8"/>
      <c r="J166" s="10"/>
      <c r="K166" s="13"/>
      <c r="L166" s="13"/>
      <c r="M166" s="27"/>
      <c r="N166" s="12"/>
      <c r="O166" s="32"/>
      <c r="P166" s="32"/>
      <c r="Q166" s="102"/>
      <c r="R166" s="26"/>
      <c r="S166" s="17"/>
    </row>
    <row r="167" spans="1:19" x14ac:dyDescent="0.25">
      <c r="A167" s="9"/>
      <c r="B167" s="88"/>
      <c r="C167" s="88"/>
      <c r="D167" s="30"/>
      <c r="E167" s="29"/>
      <c r="F167" s="8"/>
      <c r="G167" s="8"/>
      <c r="H167" s="22"/>
      <c r="I167" s="8"/>
      <c r="J167" s="13"/>
      <c r="K167" s="13"/>
      <c r="L167" s="13"/>
      <c r="M167" s="27"/>
      <c r="N167" s="7"/>
      <c r="O167" s="32"/>
      <c r="P167" s="32"/>
      <c r="Q167" s="102"/>
      <c r="R167" s="26"/>
      <c r="S167" s="17"/>
    </row>
    <row r="168" spans="1:19" x14ac:dyDescent="0.25">
      <c r="A168" s="9"/>
      <c r="B168" s="88"/>
      <c r="C168" s="88"/>
      <c r="D168" s="30"/>
      <c r="E168" s="29"/>
      <c r="F168" s="11"/>
      <c r="G168" s="8"/>
      <c r="H168" s="22"/>
      <c r="I168" s="8"/>
      <c r="J168" s="13"/>
      <c r="K168" s="13"/>
      <c r="L168" s="13"/>
      <c r="M168" s="6"/>
      <c r="N168" s="7"/>
      <c r="O168" s="32"/>
      <c r="P168" s="32"/>
      <c r="Q168" s="102"/>
      <c r="R168" s="26"/>
      <c r="S168" s="17"/>
    </row>
    <row r="169" spans="1:19" x14ac:dyDescent="0.25">
      <c r="A169" s="9"/>
      <c r="B169" s="88"/>
      <c r="C169" s="88"/>
      <c r="D169" s="30"/>
      <c r="E169" s="29"/>
      <c r="F169" s="8"/>
      <c r="G169" s="8"/>
      <c r="H169" s="22"/>
      <c r="I169" s="8"/>
      <c r="J169" s="10"/>
      <c r="K169" s="13"/>
      <c r="L169" s="13"/>
      <c r="M169" s="6"/>
      <c r="N169" s="7"/>
      <c r="O169" s="32"/>
      <c r="P169" s="32"/>
      <c r="Q169" s="102"/>
      <c r="R169" s="26"/>
      <c r="S169" s="17"/>
    </row>
    <row r="170" spans="1:19" x14ac:dyDescent="0.25">
      <c r="A170" s="9"/>
      <c r="B170" s="88"/>
      <c r="C170" s="88"/>
      <c r="D170" s="30"/>
      <c r="E170" s="29"/>
      <c r="F170" s="8"/>
      <c r="G170" s="8"/>
      <c r="H170" s="22"/>
      <c r="I170" s="8"/>
      <c r="J170" s="13"/>
      <c r="K170" s="13"/>
      <c r="L170" s="13"/>
      <c r="M170" s="6"/>
      <c r="N170" s="7"/>
      <c r="O170" s="32"/>
      <c r="P170" s="32"/>
      <c r="Q170" s="102"/>
      <c r="R170" s="26"/>
      <c r="S170" s="17"/>
    </row>
    <row r="171" spans="1:19" x14ac:dyDescent="0.25">
      <c r="A171" s="9"/>
      <c r="B171" s="88"/>
      <c r="C171" s="88"/>
      <c r="D171" s="30"/>
      <c r="E171" s="29"/>
      <c r="F171" s="8"/>
      <c r="G171" s="8"/>
      <c r="H171" s="22"/>
      <c r="I171" s="8"/>
      <c r="J171" s="13"/>
      <c r="K171" s="13"/>
      <c r="L171" s="13"/>
      <c r="M171" s="6"/>
      <c r="N171" s="7"/>
      <c r="O171" s="32"/>
      <c r="P171" s="32"/>
      <c r="Q171" s="102"/>
      <c r="R171" s="26"/>
      <c r="S171" s="17"/>
    </row>
    <row r="172" spans="1:19" x14ac:dyDescent="0.25">
      <c r="A172" s="9"/>
      <c r="B172" s="88"/>
      <c r="C172" s="88"/>
      <c r="D172" s="30"/>
      <c r="E172" s="29"/>
      <c r="F172" s="8"/>
      <c r="G172" s="8"/>
      <c r="H172" s="22"/>
      <c r="I172" s="8"/>
      <c r="J172" s="10"/>
      <c r="K172" s="13"/>
      <c r="L172" s="13"/>
      <c r="M172" s="6"/>
      <c r="N172" s="7"/>
      <c r="O172" s="32"/>
      <c r="P172" s="32"/>
      <c r="Q172" s="102"/>
      <c r="R172" s="26"/>
      <c r="S172" s="17"/>
    </row>
    <row r="173" spans="1:19" x14ac:dyDescent="0.25">
      <c r="A173" s="9"/>
      <c r="B173" s="88"/>
      <c r="C173" s="88"/>
      <c r="D173" s="30"/>
      <c r="E173" s="29"/>
      <c r="F173" s="8"/>
      <c r="G173" s="8"/>
      <c r="H173" s="22"/>
      <c r="I173" s="8"/>
      <c r="J173" s="13"/>
      <c r="K173" s="13"/>
      <c r="L173" s="13"/>
      <c r="M173" s="6"/>
      <c r="N173" s="7"/>
      <c r="O173" s="32"/>
      <c r="P173" s="32"/>
      <c r="Q173" s="102"/>
      <c r="R173" s="26"/>
      <c r="S173" s="17"/>
    </row>
    <row r="174" spans="1:19" x14ac:dyDescent="0.25">
      <c r="A174" s="9"/>
      <c r="B174" s="88"/>
      <c r="C174" s="88"/>
      <c r="D174" s="30"/>
      <c r="E174" s="29"/>
      <c r="F174" s="8"/>
      <c r="G174" s="8"/>
      <c r="H174" s="22"/>
      <c r="I174" s="8"/>
      <c r="J174" s="13"/>
      <c r="K174" s="13"/>
      <c r="L174" s="13"/>
      <c r="M174" s="6"/>
      <c r="N174" s="7"/>
      <c r="O174" s="32"/>
      <c r="P174" s="32"/>
      <c r="Q174" s="102"/>
      <c r="R174" s="26"/>
      <c r="S174" s="17"/>
    </row>
    <row r="175" spans="1:19" x14ac:dyDescent="0.25">
      <c r="A175" s="9"/>
      <c r="B175" s="88"/>
      <c r="C175" s="88"/>
      <c r="D175" s="30"/>
      <c r="E175" s="29"/>
      <c r="F175" s="8"/>
      <c r="G175" s="8"/>
      <c r="H175" s="22"/>
      <c r="I175" s="8"/>
      <c r="J175" s="10"/>
      <c r="K175" s="13"/>
      <c r="L175" s="13"/>
      <c r="M175" s="6"/>
      <c r="N175" s="7"/>
      <c r="O175" s="32"/>
      <c r="P175" s="32"/>
      <c r="Q175" s="102"/>
      <c r="R175" s="26"/>
      <c r="S175" s="17"/>
    </row>
    <row r="176" spans="1:19" x14ac:dyDescent="0.25">
      <c r="A176" s="9"/>
      <c r="B176" s="88"/>
      <c r="C176" s="88"/>
      <c r="D176" s="30"/>
      <c r="E176" s="29"/>
      <c r="F176" s="8"/>
      <c r="G176" s="8"/>
      <c r="H176" s="22"/>
      <c r="I176" s="8"/>
      <c r="J176" s="13"/>
      <c r="K176" s="13"/>
      <c r="L176" s="13"/>
      <c r="M176" s="6"/>
      <c r="N176" s="7"/>
      <c r="O176" s="32"/>
      <c r="P176" s="32"/>
      <c r="Q176" s="102"/>
      <c r="R176" s="26"/>
      <c r="S176" s="17"/>
    </row>
    <row r="177" spans="1:19" x14ac:dyDescent="0.25">
      <c r="A177" s="9"/>
      <c r="B177" s="88"/>
      <c r="C177" s="88"/>
      <c r="D177" s="30"/>
      <c r="E177" s="29"/>
      <c r="F177" s="8"/>
      <c r="G177" s="8"/>
      <c r="H177" s="22"/>
      <c r="I177" s="8"/>
      <c r="J177" s="13"/>
      <c r="K177" s="13"/>
      <c r="L177" s="13"/>
      <c r="M177" s="6"/>
      <c r="N177" s="7"/>
      <c r="O177" s="32"/>
      <c r="P177" s="32"/>
      <c r="Q177" s="102"/>
      <c r="R177" s="26"/>
      <c r="S177" s="17"/>
    </row>
    <row r="178" spans="1:19" x14ac:dyDescent="0.25">
      <c r="A178" s="9"/>
      <c r="B178" s="88"/>
      <c r="C178" s="88"/>
      <c r="D178" s="30"/>
      <c r="E178" s="29"/>
      <c r="F178" s="8"/>
      <c r="G178" s="8"/>
      <c r="H178" s="22"/>
      <c r="I178" s="8"/>
      <c r="J178" s="10"/>
      <c r="K178" s="13"/>
      <c r="L178" s="13"/>
      <c r="M178" s="6"/>
      <c r="N178" s="7"/>
      <c r="O178" s="32"/>
      <c r="P178" s="32"/>
      <c r="Q178" s="102"/>
      <c r="R178" s="26"/>
      <c r="S178" s="17"/>
    </row>
    <row r="179" spans="1:19" x14ac:dyDescent="0.25">
      <c r="A179" s="9"/>
      <c r="B179" s="88"/>
      <c r="C179" s="88"/>
      <c r="D179" s="30"/>
      <c r="E179" s="29"/>
      <c r="F179" s="8"/>
      <c r="G179" s="8"/>
      <c r="H179" s="22"/>
      <c r="I179" s="8"/>
      <c r="J179" s="13"/>
      <c r="K179" s="13"/>
      <c r="L179" s="13"/>
      <c r="M179" s="6"/>
      <c r="N179" s="7"/>
      <c r="O179" s="32"/>
      <c r="P179" s="32"/>
      <c r="Q179" s="102"/>
      <c r="R179" s="26"/>
      <c r="S179" s="17"/>
    </row>
    <row r="180" spans="1:19" x14ac:dyDescent="0.25">
      <c r="A180" s="9"/>
      <c r="B180" s="88"/>
      <c r="C180" s="88"/>
      <c r="D180" s="30"/>
      <c r="E180" s="29"/>
      <c r="F180" s="8"/>
      <c r="G180" s="8"/>
      <c r="H180" s="22"/>
      <c r="I180" s="8"/>
      <c r="J180" s="13"/>
      <c r="K180" s="13"/>
      <c r="L180" s="13"/>
      <c r="M180" s="6"/>
      <c r="N180" s="7"/>
      <c r="O180" s="32"/>
      <c r="P180" s="32"/>
      <c r="Q180" s="102"/>
      <c r="R180" s="26"/>
      <c r="S180" s="17"/>
    </row>
    <row r="181" spans="1:19" x14ac:dyDescent="0.25">
      <c r="A181" s="9"/>
      <c r="B181" s="88"/>
      <c r="C181" s="88"/>
      <c r="D181" s="30"/>
      <c r="E181" s="29"/>
      <c r="F181" s="8"/>
      <c r="G181" s="8"/>
      <c r="H181" s="22"/>
      <c r="I181" s="8"/>
      <c r="J181" s="10"/>
      <c r="K181" s="13"/>
      <c r="L181" s="13"/>
      <c r="M181" s="6"/>
      <c r="N181" s="7"/>
      <c r="O181" s="32"/>
      <c r="P181" s="32"/>
      <c r="Q181" s="102"/>
      <c r="R181" s="26"/>
      <c r="S181" s="17"/>
    </row>
    <row r="182" spans="1:19" x14ac:dyDescent="0.25">
      <c r="A182" s="9"/>
      <c r="B182" s="88"/>
      <c r="C182" s="88"/>
      <c r="D182" s="30"/>
      <c r="E182" s="29"/>
      <c r="F182" s="8"/>
      <c r="G182" s="8"/>
      <c r="H182" s="22"/>
      <c r="I182" s="8"/>
      <c r="J182" s="13"/>
      <c r="K182" s="13"/>
      <c r="L182" s="13"/>
      <c r="M182" s="6"/>
      <c r="N182" s="7"/>
      <c r="O182" s="32"/>
      <c r="P182" s="32"/>
      <c r="Q182" s="102"/>
      <c r="R182" s="26"/>
      <c r="S182" s="17"/>
    </row>
    <row r="183" spans="1:19" x14ac:dyDescent="0.25">
      <c r="A183" s="9"/>
      <c r="B183" s="88"/>
      <c r="C183" s="88"/>
      <c r="D183" s="30"/>
      <c r="E183" s="29"/>
      <c r="F183" s="8"/>
      <c r="G183" s="8"/>
      <c r="H183" s="22"/>
      <c r="I183" s="8"/>
      <c r="J183" s="13"/>
      <c r="K183" s="13"/>
      <c r="L183" s="13"/>
      <c r="M183" s="6"/>
      <c r="N183" s="7"/>
      <c r="O183" s="32"/>
      <c r="P183" s="32"/>
      <c r="Q183" s="102"/>
      <c r="R183" s="26"/>
      <c r="S183" s="17"/>
    </row>
    <row r="184" spans="1:19" x14ac:dyDescent="0.25">
      <c r="A184" s="9"/>
      <c r="B184" s="88"/>
      <c r="C184" s="88"/>
      <c r="D184" s="30"/>
      <c r="E184" s="29"/>
      <c r="F184" s="8"/>
      <c r="G184" s="10"/>
      <c r="H184" s="22"/>
      <c r="I184" s="8"/>
      <c r="J184" s="10"/>
      <c r="K184" s="13"/>
      <c r="L184" s="13"/>
      <c r="M184" s="6"/>
      <c r="N184" s="7"/>
      <c r="O184" s="32"/>
      <c r="P184" s="32"/>
      <c r="Q184" s="102"/>
      <c r="R184" s="26"/>
      <c r="S184" s="17"/>
    </row>
    <row r="185" spans="1:19" x14ac:dyDescent="0.25">
      <c r="A185" s="9"/>
      <c r="B185" s="88"/>
      <c r="C185" s="88"/>
      <c r="D185" s="30"/>
      <c r="E185" s="29"/>
      <c r="F185" s="8"/>
      <c r="G185" s="8"/>
      <c r="H185" s="22"/>
      <c r="I185" s="8"/>
      <c r="J185" s="13"/>
      <c r="K185" s="13"/>
      <c r="L185" s="13"/>
      <c r="M185" s="6"/>
      <c r="N185" s="7"/>
      <c r="O185" s="32"/>
      <c r="P185" s="32"/>
      <c r="Q185" s="102"/>
      <c r="R185" s="26"/>
      <c r="S185" s="17"/>
    </row>
    <row r="186" spans="1:19" x14ac:dyDescent="0.25">
      <c r="A186" s="9"/>
      <c r="B186" s="88"/>
      <c r="C186" s="88"/>
      <c r="D186" s="30"/>
      <c r="E186" s="29"/>
      <c r="F186" s="8"/>
      <c r="G186" s="8"/>
      <c r="H186" s="23"/>
      <c r="I186" s="8"/>
      <c r="J186" s="13"/>
      <c r="K186" s="13"/>
      <c r="L186" s="13"/>
      <c r="M186" s="6"/>
      <c r="N186" s="7"/>
      <c r="O186" s="32"/>
      <c r="P186" s="32"/>
      <c r="Q186" s="102"/>
      <c r="R186" s="26"/>
      <c r="S186" s="17"/>
    </row>
    <row r="187" spans="1:19" x14ac:dyDescent="0.25">
      <c r="A187" s="9"/>
      <c r="B187" s="88"/>
      <c r="C187" s="88"/>
      <c r="D187" s="30"/>
      <c r="E187" s="29"/>
      <c r="F187" s="8"/>
      <c r="G187" s="8"/>
      <c r="H187" s="22"/>
      <c r="I187" s="8"/>
      <c r="J187" s="10"/>
      <c r="K187" s="13"/>
      <c r="L187" s="13"/>
      <c r="M187" s="6"/>
      <c r="N187" s="7"/>
      <c r="O187" s="32"/>
      <c r="P187" s="32"/>
      <c r="Q187" s="102"/>
      <c r="R187" s="26"/>
      <c r="S187" s="17"/>
    </row>
    <row r="188" spans="1:19" x14ac:dyDescent="0.25">
      <c r="A188" s="9"/>
      <c r="B188" s="88"/>
      <c r="C188" s="88"/>
      <c r="D188" s="30"/>
      <c r="E188" s="29"/>
      <c r="F188" s="8"/>
      <c r="G188" s="8"/>
      <c r="H188" s="22"/>
      <c r="I188" s="8"/>
      <c r="J188" s="13"/>
      <c r="K188" s="13"/>
      <c r="L188" s="13"/>
      <c r="M188" s="6"/>
      <c r="N188" s="7"/>
      <c r="O188" s="32"/>
      <c r="P188" s="32"/>
      <c r="Q188" s="102"/>
      <c r="R188" s="26"/>
      <c r="S188" s="17"/>
    </row>
    <row r="189" spans="1:19" x14ac:dyDescent="0.25">
      <c r="A189" s="9"/>
      <c r="B189" s="88"/>
      <c r="C189" s="88"/>
      <c r="D189" s="30"/>
      <c r="E189" s="29"/>
      <c r="F189" s="8"/>
      <c r="G189" s="8"/>
      <c r="H189" s="22"/>
      <c r="I189" s="8"/>
      <c r="J189" s="13"/>
      <c r="K189" s="13"/>
      <c r="L189" s="13"/>
      <c r="M189" s="6"/>
      <c r="N189" s="7"/>
      <c r="O189" s="32"/>
      <c r="P189" s="32"/>
      <c r="Q189" s="102"/>
      <c r="R189" s="26"/>
      <c r="S189" s="17"/>
    </row>
    <row r="190" spans="1:19" x14ac:dyDescent="0.25">
      <c r="A190" s="9"/>
      <c r="B190" s="88"/>
      <c r="C190" s="88"/>
      <c r="D190" s="30"/>
      <c r="E190" s="29"/>
      <c r="F190" s="8"/>
      <c r="G190" s="8"/>
      <c r="H190" s="23"/>
      <c r="I190" s="8"/>
      <c r="J190" s="10"/>
      <c r="K190" s="13"/>
      <c r="L190" s="13"/>
      <c r="M190" s="6"/>
      <c r="N190" s="7"/>
      <c r="O190" s="32"/>
      <c r="P190" s="32"/>
      <c r="Q190" s="102"/>
      <c r="R190" s="26"/>
      <c r="S190" s="17"/>
    </row>
    <row r="191" spans="1:19" x14ac:dyDescent="0.25">
      <c r="A191" s="9"/>
      <c r="B191" s="88"/>
      <c r="C191" s="88"/>
      <c r="D191" s="30"/>
      <c r="E191" s="29"/>
      <c r="F191" s="8"/>
      <c r="G191" s="8"/>
      <c r="H191" s="22"/>
      <c r="I191" s="8"/>
      <c r="J191" s="13"/>
      <c r="K191" s="13"/>
      <c r="L191" s="13"/>
      <c r="M191" s="6"/>
      <c r="N191" s="7"/>
      <c r="O191" s="32"/>
      <c r="P191" s="32"/>
      <c r="Q191" s="102"/>
      <c r="R191" s="26"/>
      <c r="S191" s="17"/>
    </row>
    <row r="192" spans="1:19" x14ac:dyDescent="0.25">
      <c r="A192" s="9"/>
      <c r="B192" s="88"/>
      <c r="C192" s="88"/>
      <c r="D192" s="30"/>
      <c r="E192" s="29"/>
      <c r="F192" s="8"/>
      <c r="G192" s="10"/>
      <c r="H192" s="22"/>
      <c r="I192" s="8"/>
      <c r="J192" s="13"/>
      <c r="K192" s="13"/>
      <c r="L192" s="13"/>
      <c r="M192" s="6"/>
      <c r="N192" s="7"/>
      <c r="O192" s="32"/>
      <c r="P192" s="32"/>
      <c r="Q192" s="102"/>
      <c r="R192" s="26"/>
      <c r="S192" s="17"/>
    </row>
    <row r="193" spans="1:19" x14ac:dyDescent="0.25">
      <c r="A193" s="9"/>
      <c r="B193" s="88"/>
      <c r="C193" s="88"/>
      <c r="D193" s="30"/>
      <c r="E193" s="29"/>
      <c r="F193" s="8"/>
      <c r="G193" s="10"/>
      <c r="H193" s="22"/>
      <c r="I193" s="8"/>
      <c r="J193" s="10"/>
      <c r="K193" s="13"/>
      <c r="L193" s="13"/>
      <c r="M193" s="6"/>
      <c r="N193" s="7"/>
      <c r="O193" s="32"/>
      <c r="P193" s="32"/>
      <c r="Q193" s="102"/>
      <c r="R193" s="26"/>
      <c r="S193" s="17"/>
    </row>
    <row r="194" spans="1:19" x14ac:dyDescent="0.25">
      <c r="A194" s="9"/>
      <c r="B194" s="88"/>
      <c r="C194" s="88"/>
      <c r="D194" s="30"/>
      <c r="E194" s="29"/>
      <c r="F194" s="8"/>
      <c r="G194" s="10"/>
      <c r="H194" s="22"/>
      <c r="I194" s="8"/>
      <c r="J194" s="13"/>
      <c r="K194" s="13"/>
      <c r="L194" s="13"/>
      <c r="M194" s="6"/>
      <c r="N194" s="7"/>
      <c r="O194" s="32"/>
      <c r="P194" s="32"/>
      <c r="Q194" s="102"/>
      <c r="R194" s="26"/>
      <c r="S194" s="17"/>
    </row>
    <row r="195" spans="1:19" x14ac:dyDescent="0.25">
      <c r="A195" s="9"/>
      <c r="B195" s="88"/>
      <c r="C195" s="88"/>
      <c r="D195" s="30"/>
      <c r="E195" s="29"/>
      <c r="F195" s="8"/>
      <c r="G195" s="10"/>
      <c r="H195" s="22"/>
      <c r="I195" s="8"/>
      <c r="J195" s="13"/>
      <c r="K195" s="13"/>
      <c r="L195" s="13"/>
      <c r="M195" s="6"/>
      <c r="N195" s="7"/>
      <c r="O195" s="32"/>
      <c r="P195" s="32"/>
      <c r="Q195" s="102"/>
      <c r="R195" s="26"/>
      <c r="S195" s="17"/>
    </row>
    <row r="196" spans="1:19" x14ac:dyDescent="0.25">
      <c r="A196" s="9"/>
      <c r="B196" s="88"/>
      <c r="C196" s="88"/>
      <c r="D196" s="30"/>
      <c r="E196" s="29"/>
      <c r="F196" s="10"/>
      <c r="G196" s="8"/>
      <c r="H196" s="22"/>
      <c r="I196" s="8"/>
      <c r="J196" s="10"/>
      <c r="K196" s="13"/>
      <c r="L196" s="13"/>
      <c r="M196" s="6"/>
      <c r="N196" s="7"/>
      <c r="O196" s="32"/>
      <c r="P196" s="32"/>
      <c r="Q196" s="102"/>
      <c r="R196" s="26"/>
      <c r="S196" s="17"/>
    </row>
    <row r="197" spans="1:19" x14ac:dyDescent="0.25">
      <c r="A197" s="9"/>
      <c r="B197" s="88"/>
      <c r="C197" s="88"/>
      <c r="D197" s="30"/>
      <c r="E197" s="29"/>
      <c r="F197" s="8"/>
      <c r="G197" s="8"/>
      <c r="H197" s="22"/>
      <c r="I197" s="8"/>
      <c r="J197" s="13"/>
      <c r="K197" s="13"/>
      <c r="L197" s="13"/>
      <c r="M197" s="6"/>
      <c r="N197" s="6"/>
      <c r="O197" s="32"/>
      <c r="P197" s="32"/>
      <c r="Q197" s="102"/>
      <c r="R197" s="26"/>
      <c r="S197" s="17"/>
    </row>
    <row r="198" spans="1:19" x14ac:dyDescent="0.25">
      <c r="A198" s="9"/>
      <c r="B198" s="88"/>
      <c r="C198" s="88"/>
      <c r="D198" s="30"/>
      <c r="E198" s="29"/>
      <c r="F198" s="8"/>
      <c r="G198" s="8"/>
      <c r="H198" s="22"/>
      <c r="I198" s="8"/>
      <c r="J198" s="13"/>
      <c r="K198" s="13"/>
      <c r="L198" s="13"/>
      <c r="M198" s="6"/>
      <c r="N198" s="6"/>
      <c r="O198" s="32"/>
      <c r="P198" s="32"/>
      <c r="Q198" s="102"/>
      <c r="R198" s="26"/>
      <c r="S198" s="17"/>
    </row>
    <row r="199" spans="1:19" x14ac:dyDescent="0.25">
      <c r="A199" s="9"/>
      <c r="B199" s="88"/>
      <c r="C199" s="88"/>
      <c r="D199" s="30"/>
      <c r="E199" s="29"/>
      <c r="F199" s="8"/>
      <c r="G199" s="8"/>
      <c r="H199" s="22"/>
      <c r="I199" s="8"/>
      <c r="J199" s="10"/>
      <c r="K199" s="13"/>
      <c r="L199" s="13"/>
      <c r="M199" s="6"/>
      <c r="N199" s="7"/>
      <c r="O199" s="32"/>
      <c r="P199" s="32"/>
      <c r="Q199" s="102"/>
      <c r="R199" s="26"/>
      <c r="S199" s="17"/>
    </row>
    <row r="200" spans="1:19" x14ac:dyDescent="0.25">
      <c r="A200" s="9"/>
      <c r="B200" s="88"/>
      <c r="C200" s="88"/>
      <c r="D200" s="31"/>
      <c r="E200" s="29"/>
      <c r="F200" s="8"/>
      <c r="G200" s="8"/>
      <c r="H200" s="23"/>
      <c r="I200" s="8"/>
      <c r="J200" s="13"/>
      <c r="K200" s="13"/>
      <c r="L200" s="13"/>
      <c r="M200" s="6"/>
      <c r="N200" s="7"/>
      <c r="O200" s="87"/>
      <c r="P200" s="32"/>
      <c r="Q200" s="102"/>
      <c r="R200" s="26"/>
      <c r="S200" s="17"/>
    </row>
    <row r="201" spans="1:19" x14ac:dyDescent="0.25">
      <c r="A201" s="9"/>
      <c r="B201" s="88"/>
      <c r="C201" s="88"/>
      <c r="D201" s="30"/>
      <c r="E201" s="29"/>
      <c r="F201" s="8"/>
      <c r="G201" s="8"/>
      <c r="H201" s="22"/>
      <c r="I201" s="8"/>
      <c r="J201" s="13"/>
      <c r="K201" s="13"/>
      <c r="L201" s="13"/>
      <c r="M201" s="6"/>
      <c r="N201" s="7"/>
      <c r="O201" s="32"/>
      <c r="P201" s="32"/>
      <c r="Q201" s="102"/>
      <c r="R201" s="26"/>
      <c r="S201" s="17"/>
    </row>
    <row r="202" spans="1:19" x14ac:dyDescent="0.25">
      <c r="A202" s="9"/>
      <c r="B202" s="88"/>
      <c r="C202" s="88"/>
      <c r="D202" s="30"/>
      <c r="E202" s="29"/>
      <c r="F202" s="8"/>
      <c r="G202" s="10"/>
      <c r="H202" s="23"/>
      <c r="I202" s="8"/>
      <c r="J202" s="10"/>
      <c r="K202" s="13"/>
      <c r="L202" s="13"/>
      <c r="M202" s="6"/>
      <c r="N202" s="7"/>
      <c r="O202" s="32"/>
      <c r="P202" s="32"/>
      <c r="Q202" s="102"/>
      <c r="R202" s="26"/>
      <c r="S202" s="17"/>
    </row>
    <row r="203" spans="1:19" x14ac:dyDescent="0.25">
      <c r="A203" s="9"/>
      <c r="B203" s="88"/>
      <c r="C203" s="88"/>
      <c r="D203" s="30"/>
      <c r="E203" s="29"/>
      <c r="F203" s="8"/>
      <c r="G203" s="10"/>
      <c r="H203" s="22"/>
      <c r="I203" s="8"/>
      <c r="J203" s="13"/>
      <c r="K203" s="13"/>
      <c r="L203" s="13"/>
      <c r="M203" s="6"/>
      <c r="N203" s="7"/>
      <c r="O203" s="32"/>
      <c r="P203" s="32"/>
      <c r="Q203" s="102"/>
      <c r="R203" s="26"/>
      <c r="S203" s="17"/>
    </row>
    <row r="204" spans="1:19" x14ac:dyDescent="0.25">
      <c r="A204" s="9"/>
      <c r="B204" s="88"/>
      <c r="C204" s="88"/>
      <c r="D204" s="30"/>
      <c r="E204" s="29"/>
      <c r="F204" s="8"/>
      <c r="G204" s="10"/>
      <c r="H204" s="22"/>
      <c r="I204" s="8"/>
      <c r="J204" s="13"/>
      <c r="K204" s="13"/>
      <c r="L204" s="13"/>
      <c r="M204" s="6"/>
      <c r="N204" s="7"/>
      <c r="O204" s="32"/>
      <c r="P204" s="32"/>
      <c r="Q204" s="102"/>
      <c r="R204" s="26"/>
      <c r="S204" s="17"/>
    </row>
    <row r="205" spans="1:19" x14ac:dyDescent="0.25">
      <c r="A205" s="9"/>
      <c r="B205" s="88"/>
      <c r="C205" s="88"/>
      <c r="D205" s="30"/>
      <c r="E205" s="29"/>
      <c r="F205" s="8"/>
      <c r="G205" s="10"/>
      <c r="H205" s="22"/>
      <c r="I205" s="8"/>
      <c r="J205" s="10"/>
      <c r="K205" s="13"/>
      <c r="L205" s="13"/>
      <c r="M205" s="6"/>
      <c r="N205" s="7"/>
      <c r="O205" s="32"/>
      <c r="P205" s="32"/>
      <c r="Q205" s="102"/>
      <c r="R205" s="26"/>
      <c r="S205" s="17"/>
    </row>
    <row r="206" spans="1:19" x14ac:dyDescent="0.25">
      <c r="A206" s="9"/>
      <c r="B206" s="88"/>
      <c r="C206" s="88"/>
      <c r="D206" s="30"/>
      <c r="E206" s="29"/>
      <c r="F206" s="8"/>
      <c r="G206" s="8"/>
      <c r="H206" s="22"/>
      <c r="I206" s="8"/>
      <c r="J206" s="13"/>
      <c r="K206" s="13"/>
      <c r="L206" s="13"/>
      <c r="M206" s="6"/>
      <c r="N206" s="7"/>
      <c r="O206" s="32"/>
      <c r="P206" s="32"/>
      <c r="Q206" s="102"/>
      <c r="R206" s="26"/>
      <c r="S206" s="17"/>
    </row>
    <row r="207" spans="1:19" x14ac:dyDescent="0.25">
      <c r="A207" s="9"/>
      <c r="B207" s="90"/>
      <c r="C207" s="90"/>
      <c r="D207" s="82"/>
      <c r="E207" s="29"/>
      <c r="F207" s="8"/>
      <c r="G207" s="8"/>
      <c r="H207" s="22"/>
      <c r="I207" s="8"/>
      <c r="J207" s="13"/>
      <c r="K207" s="13"/>
      <c r="L207" s="13"/>
      <c r="M207" s="6"/>
      <c r="N207" s="7"/>
      <c r="O207" s="32"/>
      <c r="P207" s="32"/>
      <c r="Q207" s="102"/>
      <c r="R207" s="93"/>
      <c r="S207" s="17"/>
    </row>
    <row r="208" spans="1:19" x14ac:dyDescent="0.25">
      <c r="A208" s="9"/>
      <c r="B208" s="88"/>
      <c r="C208" s="88"/>
      <c r="D208" s="29"/>
      <c r="E208" s="29"/>
      <c r="F208" s="8"/>
      <c r="G208" s="8"/>
      <c r="H208" s="22"/>
      <c r="I208" s="8"/>
      <c r="J208" s="13"/>
      <c r="K208" s="13"/>
      <c r="L208" s="13"/>
      <c r="M208" s="6"/>
      <c r="N208" s="6"/>
      <c r="O208" s="32"/>
      <c r="P208" s="32"/>
      <c r="Q208" s="102"/>
      <c r="R208" s="26"/>
      <c r="S208" s="17"/>
    </row>
    <row r="209" spans="1:19" x14ac:dyDescent="0.25">
      <c r="A209" s="9"/>
      <c r="B209" s="88"/>
      <c r="C209" s="88"/>
      <c r="D209" s="29"/>
      <c r="E209" s="29"/>
      <c r="F209" s="8"/>
      <c r="G209" s="8"/>
      <c r="H209" s="22"/>
      <c r="I209" s="8"/>
      <c r="J209" s="10"/>
      <c r="K209" s="13"/>
      <c r="L209" s="13"/>
      <c r="M209" s="6"/>
      <c r="N209" s="6"/>
      <c r="O209" s="32"/>
      <c r="P209" s="32"/>
      <c r="Q209" s="102"/>
      <c r="R209" s="26"/>
      <c r="S209" s="17"/>
    </row>
    <row r="210" spans="1:19" x14ac:dyDescent="0.25">
      <c r="A210" s="9"/>
      <c r="B210" s="88"/>
      <c r="C210" s="88"/>
      <c r="D210" s="31"/>
      <c r="E210" s="29"/>
      <c r="F210" s="8"/>
      <c r="G210" s="8"/>
      <c r="H210" s="22"/>
      <c r="I210" s="8"/>
      <c r="J210" s="13"/>
      <c r="K210" s="13"/>
      <c r="L210" s="13"/>
      <c r="M210" s="6"/>
      <c r="N210" s="6"/>
      <c r="O210" s="32"/>
      <c r="P210" s="32"/>
      <c r="Q210" s="102"/>
      <c r="R210" s="26"/>
      <c r="S210" s="17"/>
    </row>
    <row r="211" spans="1:19" x14ac:dyDescent="0.25">
      <c r="A211" s="9"/>
      <c r="B211" s="88"/>
      <c r="C211" s="88"/>
      <c r="D211" s="31"/>
      <c r="E211" s="29"/>
      <c r="F211" s="8"/>
      <c r="G211" s="8"/>
      <c r="H211" s="22"/>
      <c r="I211" s="8"/>
      <c r="J211" s="13"/>
      <c r="K211" s="13"/>
      <c r="L211" s="13"/>
      <c r="M211" s="6"/>
      <c r="N211" s="7"/>
      <c r="O211" s="32"/>
      <c r="P211" s="32"/>
      <c r="Q211" s="102"/>
      <c r="R211" s="26"/>
      <c r="S211" s="17"/>
    </row>
    <row r="212" spans="1:19" x14ac:dyDescent="0.25">
      <c r="A212" s="9"/>
      <c r="B212" s="88"/>
      <c r="C212" s="88"/>
      <c r="D212" s="31"/>
      <c r="E212" s="29"/>
      <c r="F212" s="8"/>
      <c r="G212" s="8"/>
      <c r="H212" s="22"/>
      <c r="I212" s="8"/>
      <c r="J212" s="10"/>
      <c r="K212" s="13"/>
      <c r="L212" s="13"/>
      <c r="M212" s="6"/>
      <c r="N212" s="7"/>
      <c r="O212" s="32"/>
      <c r="P212" s="32"/>
      <c r="Q212" s="102"/>
      <c r="R212" s="26"/>
      <c r="S212" s="17"/>
    </row>
    <row r="213" spans="1:19" x14ac:dyDescent="0.25">
      <c r="A213" s="9"/>
      <c r="B213" s="88"/>
      <c r="C213" s="88"/>
      <c r="D213" s="30"/>
      <c r="E213" s="29"/>
      <c r="F213" s="8"/>
      <c r="G213" s="8"/>
      <c r="H213" s="22"/>
      <c r="I213" s="8"/>
      <c r="J213" s="13"/>
      <c r="K213" s="13"/>
      <c r="L213" s="13"/>
      <c r="M213" s="6"/>
      <c r="N213" s="7"/>
      <c r="O213" s="32"/>
      <c r="P213" s="32"/>
      <c r="Q213" s="102"/>
      <c r="R213" s="26"/>
      <c r="S213" s="17"/>
    </row>
    <row r="214" spans="1:19" x14ac:dyDescent="0.25">
      <c r="A214" s="9"/>
      <c r="B214" s="88"/>
      <c r="C214" s="88"/>
      <c r="D214" s="30"/>
      <c r="E214" s="29"/>
      <c r="F214" s="8"/>
      <c r="G214" s="8"/>
      <c r="H214" s="22"/>
      <c r="I214" s="8"/>
      <c r="J214" s="13"/>
      <c r="K214" s="13"/>
      <c r="L214" s="13"/>
      <c r="M214" s="6"/>
      <c r="N214" s="6"/>
      <c r="O214" s="32"/>
      <c r="P214" s="32"/>
      <c r="Q214" s="102"/>
      <c r="R214" s="26"/>
      <c r="S214" s="17"/>
    </row>
    <row r="215" spans="1:19" x14ac:dyDescent="0.25">
      <c r="A215" s="9"/>
      <c r="B215" s="88"/>
      <c r="C215" s="88"/>
      <c r="D215" s="30"/>
      <c r="E215" s="29"/>
      <c r="F215" s="8"/>
      <c r="G215" s="8"/>
      <c r="H215" s="22"/>
      <c r="I215" s="8"/>
      <c r="J215" s="10"/>
      <c r="K215" s="13"/>
      <c r="L215" s="13"/>
      <c r="M215" s="6"/>
      <c r="N215" s="7"/>
      <c r="O215" s="32"/>
      <c r="P215" s="32"/>
      <c r="Q215" s="102"/>
      <c r="R215" s="26"/>
      <c r="S215" s="17"/>
    </row>
    <row r="216" spans="1:19" x14ac:dyDescent="0.25">
      <c r="A216" s="9"/>
      <c r="B216" s="88"/>
      <c r="C216" s="88"/>
      <c r="D216" s="30"/>
      <c r="E216" s="29"/>
      <c r="F216" s="8"/>
      <c r="G216" s="8"/>
      <c r="H216" s="22"/>
      <c r="I216" s="8"/>
      <c r="J216" s="13"/>
      <c r="K216" s="13"/>
      <c r="L216" s="13"/>
      <c r="M216" s="6"/>
      <c r="N216" s="7"/>
      <c r="O216" s="32"/>
      <c r="P216" s="32"/>
      <c r="Q216" s="102"/>
      <c r="R216" s="26"/>
      <c r="S216" s="17"/>
    </row>
    <row r="217" spans="1:19" x14ac:dyDescent="0.25">
      <c r="A217" s="9"/>
      <c r="B217" s="88"/>
      <c r="C217" s="88"/>
      <c r="D217" s="30"/>
      <c r="E217" s="29"/>
      <c r="F217" s="8"/>
      <c r="G217" s="8"/>
      <c r="H217" s="22"/>
      <c r="I217" s="8"/>
      <c r="J217" s="13"/>
      <c r="K217" s="13"/>
      <c r="L217" s="13"/>
      <c r="M217" s="6"/>
      <c r="N217" s="7"/>
      <c r="O217" s="32"/>
      <c r="P217" s="32"/>
      <c r="Q217" s="102"/>
      <c r="R217" s="26"/>
      <c r="S217" s="17"/>
    </row>
    <row r="218" spans="1:19" x14ac:dyDescent="0.25">
      <c r="A218" s="9"/>
      <c r="B218" s="88"/>
      <c r="C218" s="88"/>
      <c r="D218" s="30"/>
      <c r="E218" s="29"/>
      <c r="F218" s="8"/>
      <c r="G218" s="8"/>
      <c r="H218" s="22"/>
      <c r="I218" s="8"/>
      <c r="J218" s="10"/>
      <c r="K218" s="13"/>
      <c r="L218" s="13"/>
      <c r="M218" s="6"/>
      <c r="N218" s="7"/>
      <c r="O218" s="32"/>
      <c r="P218" s="32"/>
      <c r="Q218" s="102"/>
      <c r="R218" s="26"/>
      <c r="S218" s="17"/>
    </row>
    <row r="219" spans="1:19" x14ac:dyDescent="0.25">
      <c r="A219" s="9"/>
      <c r="B219" s="88"/>
      <c r="C219" s="88"/>
      <c r="D219" s="31"/>
      <c r="E219" s="29"/>
      <c r="F219" s="8"/>
      <c r="G219" s="8"/>
      <c r="H219" s="22"/>
      <c r="I219" s="8"/>
      <c r="J219" s="13"/>
      <c r="K219" s="13"/>
      <c r="L219" s="13"/>
      <c r="M219" s="6"/>
      <c r="N219" s="7"/>
      <c r="O219" s="32"/>
      <c r="P219" s="32"/>
      <c r="Q219" s="102"/>
      <c r="R219" s="26"/>
      <c r="S219" s="17"/>
    </row>
    <row r="220" spans="1:19" x14ac:dyDescent="0.25">
      <c r="A220" s="9"/>
      <c r="B220" s="88"/>
      <c r="C220" s="88"/>
      <c r="D220" s="31"/>
      <c r="E220" s="29"/>
      <c r="F220" s="8"/>
      <c r="G220" s="8"/>
      <c r="H220" s="22"/>
      <c r="I220" s="8"/>
      <c r="J220" s="13"/>
      <c r="K220" s="13"/>
      <c r="L220" s="13"/>
      <c r="M220" s="6"/>
      <c r="N220" s="7"/>
      <c r="O220" s="32"/>
      <c r="P220" s="32"/>
      <c r="Q220" s="102"/>
      <c r="R220" s="26"/>
      <c r="S220" s="17"/>
    </row>
    <row r="221" spans="1:19" x14ac:dyDescent="0.25">
      <c r="A221" s="9"/>
      <c r="B221" s="88"/>
      <c r="C221" s="88"/>
      <c r="D221" s="31"/>
      <c r="E221" s="29"/>
      <c r="F221" s="8"/>
      <c r="G221" s="8"/>
      <c r="H221" s="22"/>
      <c r="I221" s="8"/>
      <c r="J221" s="10"/>
      <c r="K221" s="13"/>
      <c r="L221" s="13"/>
      <c r="M221" s="6"/>
      <c r="N221" s="7"/>
      <c r="O221" s="32"/>
      <c r="P221" s="32"/>
      <c r="Q221" s="102"/>
      <c r="R221" s="26"/>
      <c r="S221" s="17"/>
    </row>
    <row r="222" spans="1:19" x14ac:dyDescent="0.25">
      <c r="A222" s="9"/>
      <c r="B222" s="88"/>
      <c r="C222" s="88"/>
      <c r="D222" s="31"/>
      <c r="E222" s="29"/>
      <c r="F222" s="8"/>
      <c r="G222" s="8"/>
      <c r="H222" s="22"/>
      <c r="I222" s="8"/>
      <c r="J222" s="13"/>
      <c r="K222" s="13"/>
      <c r="L222" s="13"/>
      <c r="M222" s="6"/>
      <c r="N222" s="6"/>
      <c r="O222" s="32"/>
      <c r="P222" s="32"/>
      <c r="Q222" s="102"/>
      <c r="R222" s="26"/>
      <c r="S222" s="17"/>
    </row>
    <row r="223" spans="1:19" x14ac:dyDescent="0.25">
      <c r="A223" s="9"/>
      <c r="B223" s="88"/>
      <c r="C223" s="88"/>
      <c r="D223" s="30"/>
      <c r="E223" s="29"/>
      <c r="F223" s="8"/>
      <c r="G223" s="8"/>
      <c r="H223" s="22"/>
      <c r="I223" s="8"/>
      <c r="J223" s="13"/>
      <c r="K223" s="13"/>
      <c r="L223" s="13"/>
      <c r="M223" s="6"/>
      <c r="N223" s="7"/>
      <c r="O223" s="32"/>
      <c r="P223" s="32"/>
      <c r="Q223" s="102"/>
      <c r="R223" s="26"/>
      <c r="S223" s="17"/>
    </row>
    <row r="224" spans="1:19" x14ac:dyDescent="0.25">
      <c r="A224" s="9"/>
      <c r="B224" s="88"/>
      <c r="C224" s="88"/>
      <c r="D224" s="31"/>
      <c r="E224" s="29"/>
      <c r="F224" s="8"/>
      <c r="G224" s="8"/>
      <c r="H224" s="22"/>
      <c r="I224" s="8"/>
      <c r="J224" s="10"/>
      <c r="K224" s="13"/>
      <c r="L224" s="13"/>
      <c r="M224" s="6"/>
      <c r="N224" s="7"/>
      <c r="O224" s="32"/>
      <c r="P224" s="32"/>
      <c r="Q224" s="102"/>
      <c r="R224" s="26"/>
      <c r="S224" s="17"/>
    </row>
    <row r="225" spans="1:19" x14ac:dyDescent="0.25">
      <c r="A225" s="9"/>
      <c r="B225" s="88"/>
      <c r="C225" s="88"/>
      <c r="D225" s="31"/>
      <c r="E225" s="29"/>
      <c r="F225" s="8"/>
      <c r="G225" s="8"/>
      <c r="H225" s="22"/>
      <c r="I225" s="8"/>
      <c r="J225" s="13"/>
      <c r="K225" s="13"/>
      <c r="L225" s="13"/>
      <c r="M225" s="6"/>
      <c r="N225" s="6"/>
      <c r="O225" s="32"/>
      <c r="P225" s="32"/>
      <c r="Q225" s="102"/>
      <c r="R225" s="26"/>
      <c r="S225" s="17"/>
    </row>
    <row r="226" spans="1:19" x14ac:dyDescent="0.25">
      <c r="A226" s="9"/>
      <c r="B226" s="88"/>
      <c r="C226" s="88"/>
      <c r="D226" s="7"/>
      <c r="E226" s="29"/>
      <c r="F226" s="8"/>
      <c r="G226" s="8"/>
      <c r="H226" s="22"/>
      <c r="I226" s="8"/>
      <c r="J226" s="13"/>
      <c r="K226" s="13"/>
      <c r="L226" s="13"/>
      <c r="M226" s="6"/>
      <c r="N226" s="6"/>
      <c r="O226" s="32"/>
      <c r="P226" s="32"/>
      <c r="Q226" s="102"/>
      <c r="R226" s="26"/>
      <c r="S226" s="17"/>
    </row>
    <row r="227" spans="1:19" x14ac:dyDescent="0.25">
      <c r="A227" s="9"/>
      <c r="B227" s="88"/>
      <c r="C227" s="88"/>
      <c r="D227" s="7"/>
      <c r="E227" s="29"/>
      <c r="F227" s="8"/>
      <c r="G227" s="8"/>
      <c r="H227" s="22"/>
      <c r="I227" s="8"/>
      <c r="J227" s="10"/>
      <c r="K227" s="13"/>
      <c r="L227" s="13"/>
      <c r="M227" s="6"/>
      <c r="N227" s="7"/>
      <c r="O227" s="32"/>
      <c r="P227" s="32"/>
      <c r="Q227" s="102"/>
      <c r="R227" s="26"/>
      <c r="S227" s="17"/>
    </row>
    <row r="228" spans="1:19" x14ac:dyDescent="0.25">
      <c r="A228" s="9"/>
      <c r="B228" s="88"/>
      <c r="C228" s="88"/>
      <c r="D228" s="30"/>
      <c r="E228" s="29"/>
      <c r="F228" s="8"/>
      <c r="G228" s="8"/>
      <c r="H228" s="22"/>
      <c r="I228" s="8"/>
      <c r="J228" s="13"/>
      <c r="K228" s="13"/>
      <c r="L228" s="13"/>
      <c r="M228" s="6"/>
      <c r="N228" s="7"/>
      <c r="O228" s="32"/>
      <c r="P228" s="32"/>
      <c r="Q228" s="102"/>
      <c r="R228" s="26"/>
      <c r="S228" s="17"/>
    </row>
    <row r="229" spans="1:19" x14ac:dyDescent="0.25">
      <c r="A229" s="9"/>
      <c r="B229" s="88"/>
      <c r="C229" s="88"/>
      <c r="D229" s="30"/>
      <c r="E229" s="29"/>
      <c r="F229" s="8"/>
      <c r="G229" s="8"/>
      <c r="H229" s="22"/>
      <c r="I229" s="8"/>
      <c r="J229" s="13"/>
      <c r="K229" s="13"/>
      <c r="L229" s="13"/>
      <c r="M229" s="6"/>
      <c r="N229" s="7"/>
      <c r="O229" s="32"/>
      <c r="P229" s="32"/>
      <c r="Q229" s="102"/>
      <c r="R229" s="26"/>
      <c r="S229" s="17"/>
    </row>
    <row r="230" spans="1:19" x14ac:dyDescent="0.25">
      <c r="A230" s="9"/>
      <c r="B230" s="88"/>
      <c r="C230" s="88"/>
      <c r="D230" s="30"/>
      <c r="E230" s="29"/>
      <c r="F230" s="8"/>
      <c r="G230" s="8"/>
      <c r="H230" s="22"/>
      <c r="I230" s="8"/>
      <c r="J230" s="10"/>
      <c r="K230" s="13"/>
      <c r="L230" s="13"/>
      <c r="M230" s="6"/>
      <c r="N230" s="7"/>
      <c r="O230" s="32"/>
      <c r="P230" s="32"/>
      <c r="Q230" s="102"/>
      <c r="R230" s="26"/>
      <c r="S230" s="17"/>
    </row>
    <row r="231" spans="1:19" x14ac:dyDescent="0.25">
      <c r="A231" s="9"/>
      <c r="B231" s="88"/>
      <c r="C231" s="88"/>
      <c r="D231" s="7"/>
      <c r="E231" s="29"/>
      <c r="F231" s="35"/>
      <c r="G231" s="34"/>
      <c r="H231" s="22"/>
      <c r="I231" s="8"/>
      <c r="J231" s="13"/>
      <c r="K231" s="13"/>
      <c r="L231" s="13"/>
      <c r="M231" s="6"/>
      <c r="N231" s="7"/>
      <c r="O231" s="32"/>
      <c r="P231" s="32"/>
      <c r="Q231" s="102"/>
      <c r="R231" s="93"/>
      <c r="S231" s="36"/>
    </row>
    <row r="232" spans="1:19" x14ac:dyDescent="0.25">
      <c r="A232" s="9"/>
      <c r="B232" s="88"/>
      <c r="C232" s="88"/>
      <c r="D232" s="7"/>
      <c r="E232" s="29"/>
      <c r="F232" s="8"/>
      <c r="G232" s="8"/>
      <c r="H232" s="22"/>
      <c r="I232" s="8"/>
      <c r="J232" s="13"/>
      <c r="K232" s="13"/>
      <c r="L232" s="13"/>
      <c r="M232" s="6"/>
      <c r="N232" s="7"/>
      <c r="O232" s="32"/>
      <c r="P232" s="32"/>
      <c r="Q232" s="102"/>
      <c r="R232" s="93"/>
      <c r="S232" s="17"/>
    </row>
    <row r="233" spans="1:19" x14ac:dyDescent="0.25">
      <c r="A233" s="9"/>
      <c r="B233" s="88"/>
      <c r="C233" s="88"/>
      <c r="D233" s="7"/>
      <c r="E233" s="29"/>
      <c r="F233" s="8"/>
      <c r="G233" s="8"/>
      <c r="H233" s="22"/>
      <c r="I233" s="8"/>
      <c r="J233" s="10"/>
      <c r="K233" s="13"/>
      <c r="L233" s="13"/>
      <c r="M233" s="6"/>
      <c r="N233" s="7"/>
      <c r="O233" s="32"/>
      <c r="P233" s="32"/>
      <c r="Q233" s="102"/>
      <c r="R233" s="93"/>
      <c r="S233" s="17"/>
    </row>
    <row r="234" spans="1:19" x14ac:dyDescent="0.25">
      <c r="A234" s="9"/>
      <c r="B234" s="88"/>
      <c r="C234" s="88"/>
      <c r="D234" s="7"/>
      <c r="E234" s="29"/>
      <c r="F234" s="8"/>
      <c r="G234" s="8"/>
      <c r="H234" s="22"/>
      <c r="I234" s="8"/>
      <c r="J234" s="13"/>
      <c r="K234" s="13"/>
      <c r="L234" s="13"/>
      <c r="M234" s="6"/>
      <c r="N234" s="7"/>
      <c r="O234" s="32"/>
      <c r="P234" s="32"/>
      <c r="Q234" s="102"/>
      <c r="R234" s="93"/>
      <c r="S234" s="17"/>
    </row>
    <row r="235" spans="1:19" x14ac:dyDescent="0.25">
      <c r="A235" s="9"/>
      <c r="B235" s="88"/>
      <c r="C235" s="88"/>
      <c r="D235" s="7"/>
      <c r="E235" s="29"/>
      <c r="F235" s="8"/>
      <c r="G235" s="8"/>
      <c r="H235" s="22"/>
      <c r="I235" s="8"/>
      <c r="J235" s="13"/>
      <c r="K235" s="13"/>
      <c r="L235" s="13"/>
      <c r="M235" s="6"/>
      <c r="N235" s="7"/>
      <c r="O235" s="32"/>
      <c r="P235" s="32"/>
      <c r="Q235" s="102"/>
      <c r="R235" s="93"/>
      <c r="S235" s="17"/>
    </row>
    <row r="236" spans="1:19" x14ac:dyDescent="0.25">
      <c r="A236" s="21"/>
      <c r="B236" s="88"/>
      <c r="C236" s="88"/>
      <c r="D236" s="7"/>
      <c r="E236" s="29"/>
      <c r="F236" s="8"/>
      <c r="G236" s="8"/>
      <c r="H236" s="22"/>
      <c r="I236" s="22"/>
      <c r="J236" s="10"/>
      <c r="K236" s="13"/>
      <c r="L236" s="13"/>
      <c r="M236" s="6"/>
      <c r="N236" s="6"/>
      <c r="O236" s="32"/>
      <c r="P236" s="32"/>
      <c r="Q236" s="102"/>
      <c r="R236" s="93"/>
      <c r="S236" s="17"/>
    </row>
    <row r="237" spans="1:19" x14ac:dyDescent="0.25">
      <c r="A237" s="9"/>
      <c r="B237" s="88"/>
      <c r="C237" s="88"/>
      <c r="D237" s="7"/>
      <c r="E237" s="29"/>
      <c r="F237" s="8"/>
      <c r="G237" s="8"/>
      <c r="H237" s="22"/>
      <c r="I237" s="8"/>
      <c r="J237" s="13"/>
      <c r="K237" s="13"/>
      <c r="L237" s="13"/>
      <c r="M237" s="6"/>
      <c r="N237" s="7"/>
      <c r="O237" s="32"/>
      <c r="P237" s="32"/>
      <c r="Q237" s="102"/>
      <c r="R237" s="93"/>
      <c r="S237" s="17"/>
    </row>
    <row r="238" spans="1:19" x14ac:dyDescent="0.25">
      <c r="A238" s="9"/>
      <c r="B238" s="88"/>
      <c r="C238" s="88"/>
      <c r="D238" s="7"/>
      <c r="E238" s="29"/>
      <c r="F238" s="8"/>
      <c r="G238" s="8"/>
      <c r="H238" s="22"/>
      <c r="I238" s="8"/>
      <c r="J238" s="13"/>
      <c r="K238" s="13"/>
      <c r="L238" s="13"/>
      <c r="M238" s="6"/>
      <c r="N238" s="7"/>
      <c r="O238" s="32"/>
      <c r="P238" s="32"/>
      <c r="Q238" s="102"/>
      <c r="R238" s="93"/>
      <c r="S238" s="17"/>
    </row>
    <row r="239" spans="1:19" x14ac:dyDescent="0.25">
      <c r="A239" s="9"/>
      <c r="B239" s="88"/>
      <c r="C239" s="88"/>
      <c r="D239" s="7"/>
      <c r="E239" s="29"/>
      <c r="F239" s="34"/>
      <c r="G239" s="34"/>
      <c r="H239" s="22"/>
      <c r="I239" s="8"/>
      <c r="J239" s="10"/>
      <c r="K239" s="13"/>
      <c r="L239" s="13"/>
      <c r="M239" s="6"/>
      <c r="N239" s="7"/>
      <c r="O239" s="32"/>
      <c r="P239" s="32"/>
      <c r="Q239" s="102"/>
      <c r="R239" s="93"/>
      <c r="S239" s="36"/>
    </row>
    <row r="240" spans="1:19" x14ac:dyDescent="0.25">
      <c r="A240" s="9"/>
      <c r="B240" s="88"/>
      <c r="C240" s="88"/>
      <c r="D240" s="7"/>
      <c r="E240" s="29"/>
      <c r="F240" s="8"/>
      <c r="G240" s="8"/>
      <c r="H240" s="22"/>
      <c r="I240" s="8"/>
      <c r="J240" s="13"/>
      <c r="K240" s="13"/>
      <c r="L240" s="13"/>
      <c r="M240" s="6"/>
      <c r="N240" s="6"/>
      <c r="O240" s="32"/>
      <c r="P240" s="32"/>
      <c r="Q240" s="102"/>
      <c r="R240" s="93"/>
      <c r="S240" s="17"/>
    </row>
    <row r="241" spans="1:19" x14ac:dyDescent="0.25">
      <c r="A241" s="9"/>
      <c r="B241" s="88"/>
      <c r="C241" s="88"/>
      <c r="D241" s="7"/>
      <c r="E241" s="29"/>
      <c r="F241" s="8"/>
      <c r="G241" s="8"/>
      <c r="H241" s="22"/>
      <c r="I241" s="8"/>
      <c r="J241" s="13"/>
      <c r="K241" s="13"/>
      <c r="L241" s="13"/>
      <c r="M241" s="6"/>
      <c r="N241" s="7"/>
      <c r="O241" s="32"/>
      <c r="P241" s="32"/>
      <c r="Q241" s="102"/>
      <c r="R241" s="93"/>
      <c r="S241" s="17"/>
    </row>
    <row r="242" spans="1:19" x14ac:dyDescent="0.25">
      <c r="A242" s="9"/>
      <c r="B242" s="88"/>
      <c r="C242" s="88"/>
      <c r="D242" s="7"/>
      <c r="E242" s="29"/>
      <c r="F242" s="34"/>
      <c r="G242" s="34"/>
      <c r="H242" s="22"/>
      <c r="I242" s="8"/>
      <c r="J242" s="10"/>
      <c r="K242" s="13"/>
      <c r="L242" s="13"/>
      <c r="M242" s="6"/>
      <c r="N242" s="7"/>
      <c r="O242" s="32"/>
      <c r="P242" s="32"/>
      <c r="Q242" s="102"/>
      <c r="R242" s="93"/>
      <c r="S242" s="36"/>
    </row>
    <row r="243" spans="1:19" x14ac:dyDescent="0.25">
      <c r="A243" s="9"/>
      <c r="B243" s="88"/>
      <c r="C243" s="88"/>
      <c r="D243" s="7"/>
      <c r="E243" s="29"/>
      <c r="F243" s="38"/>
      <c r="G243" s="38"/>
      <c r="H243" s="22"/>
      <c r="I243" s="8"/>
      <c r="J243" s="13"/>
      <c r="K243" s="13"/>
      <c r="L243" s="13"/>
      <c r="M243" s="6"/>
      <c r="N243" s="6"/>
      <c r="O243" s="32"/>
      <c r="P243" s="32"/>
      <c r="Q243" s="102"/>
      <c r="R243" s="93"/>
      <c r="S243" s="36"/>
    </row>
    <row r="244" spans="1:19" x14ac:dyDescent="0.25">
      <c r="A244" s="9"/>
      <c r="B244" s="88"/>
      <c r="C244" s="88"/>
      <c r="D244" s="7"/>
      <c r="E244" s="29"/>
      <c r="F244" s="38"/>
      <c r="G244" s="38"/>
      <c r="H244" s="22"/>
      <c r="I244" s="8"/>
      <c r="J244" s="13"/>
      <c r="K244" s="13"/>
      <c r="L244" s="13"/>
      <c r="M244" s="6"/>
      <c r="N244" s="6"/>
      <c r="O244" s="32"/>
      <c r="P244" s="32"/>
      <c r="Q244" s="102"/>
      <c r="R244" s="93"/>
      <c r="S244" s="36"/>
    </row>
    <row r="245" spans="1:19" x14ac:dyDescent="0.25">
      <c r="A245" s="9"/>
      <c r="B245" s="88"/>
      <c r="C245" s="88"/>
      <c r="D245" s="7"/>
      <c r="E245" s="29"/>
      <c r="F245" s="8"/>
      <c r="G245" s="8"/>
      <c r="H245" s="22"/>
      <c r="I245" s="8"/>
      <c r="J245" s="10"/>
      <c r="K245" s="13"/>
      <c r="L245" s="13"/>
      <c r="M245" s="6"/>
      <c r="N245" s="7"/>
      <c r="O245" s="32"/>
      <c r="P245" s="32"/>
      <c r="Q245" s="102"/>
      <c r="R245" s="37"/>
      <c r="S245" s="36"/>
    </row>
    <row r="246" spans="1:19" x14ac:dyDescent="0.25">
      <c r="A246" s="9"/>
      <c r="B246" s="88"/>
      <c r="C246" s="88"/>
      <c r="D246" s="7"/>
      <c r="E246" s="29"/>
      <c r="F246" s="38"/>
      <c r="G246" s="38"/>
      <c r="H246" s="22"/>
      <c r="I246" s="8"/>
      <c r="J246" s="13"/>
      <c r="K246" s="13"/>
      <c r="L246" s="13"/>
      <c r="M246" s="6"/>
      <c r="N246" s="7"/>
      <c r="O246" s="32"/>
      <c r="P246" s="32"/>
      <c r="Q246" s="102"/>
      <c r="R246" s="37"/>
      <c r="S246" s="36"/>
    </row>
    <row r="247" spans="1:19" x14ac:dyDescent="0.25">
      <c r="A247" s="21"/>
      <c r="B247" s="88"/>
      <c r="C247" s="88"/>
      <c r="D247" s="7"/>
      <c r="E247" s="29"/>
      <c r="F247" s="10"/>
      <c r="G247" s="10"/>
      <c r="H247" s="22"/>
      <c r="I247" s="8"/>
      <c r="J247" s="13"/>
      <c r="K247" s="13"/>
      <c r="L247" s="13"/>
      <c r="M247" s="6"/>
      <c r="N247" s="7"/>
      <c r="O247" s="32"/>
      <c r="P247" s="32"/>
      <c r="Q247" s="102"/>
      <c r="R247" s="26"/>
      <c r="S247" s="32"/>
    </row>
    <row r="248" spans="1:19" x14ac:dyDescent="0.25">
      <c r="A248" s="9"/>
      <c r="B248" s="88"/>
      <c r="C248" s="88"/>
      <c r="D248" s="7"/>
      <c r="E248" s="29"/>
      <c r="F248" s="10"/>
      <c r="G248" s="10"/>
      <c r="H248" s="22"/>
      <c r="I248" s="8"/>
      <c r="J248" s="10"/>
      <c r="K248" s="13"/>
      <c r="L248" s="13"/>
      <c r="M248" s="6"/>
      <c r="N248" s="7"/>
      <c r="O248" s="32"/>
      <c r="P248" s="32"/>
      <c r="Q248" s="102"/>
      <c r="R248" s="26"/>
      <c r="S248" s="32"/>
    </row>
    <row r="249" spans="1:19" x14ac:dyDescent="0.25">
      <c r="A249" s="9"/>
      <c r="B249" s="88"/>
      <c r="C249" s="88"/>
      <c r="D249" s="7"/>
      <c r="E249" s="29"/>
      <c r="F249" s="10"/>
      <c r="G249" s="10"/>
      <c r="H249" s="22"/>
      <c r="I249" s="8"/>
      <c r="J249" s="13"/>
      <c r="K249" s="13"/>
      <c r="L249" s="13"/>
      <c r="M249" s="6"/>
      <c r="N249" s="7"/>
      <c r="O249" s="32"/>
      <c r="P249" s="32"/>
      <c r="Q249" s="102"/>
      <c r="R249" s="26"/>
      <c r="S249" s="32"/>
    </row>
    <row r="250" spans="1:19" x14ac:dyDescent="0.25">
      <c r="A250" s="9"/>
      <c r="B250" s="88"/>
      <c r="C250" s="88"/>
      <c r="D250" s="30"/>
      <c r="E250" s="29"/>
      <c r="F250" s="10"/>
      <c r="G250" s="10"/>
      <c r="H250" s="22"/>
      <c r="I250" s="8"/>
      <c r="J250" s="13"/>
      <c r="K250" s="13"/>
      <c r="L250" s="13"/>
      <c r="M250" s="6"/>
      <c r="N250" s="7"/>
      <c r="O250" s="32"/>
      <c r="P250" s="32"/>
      <c r="Q250" s="102"/>
      <c r="R250" s="93"/>
      <c r="S250" s="32"/>
    </row>
    <row r="251" spans="1:19" x14ac:dyDescent="0.25">
      <c r="A251" s="9"/>
      <c r="B251" s="88"/>
      <c r="C251" s="88"/>
      <c r="D251" s="30"/>
      <c r="E251" s="29"/>
      <c r="F251" s="10"/>
      <c r="G251" s="10"/>
      <c r="H251" s="22"/>
      <c r="I251" s="8"/>
      <c r="J251" s="10"/>
      <c r="K251" s="13"/>
      <c r="L251" s="13"/>
      <c r="M251" s="6"/>
      <c r="N251" s="7"/>
      <c r="O251" s="32"/>
      <c r="P251" s="32"/>
      <c r="Q251" s="102"/>
      <c r="R251" s="93"/>
      <c r="S251" s="32"/>
    </row>
    <row r="252" spans="1:19" x14ac:dyDescent="0.25">
      <c r="A252" s="9"/>
      <c r="B252" s="88"/>
      <c r="C252" s="88"/>
      <c r="D252" s="30"/>
      <c r="E252" s="29"/>
      <c r="F252" s="10"/>
      <c r="G252" s="10"/>
      <c r="H252" s="22"/>
      <c r="I252" s="8"/>
      <c r="J252" s="13"/>
      <c r="K252" s="13"/>
      <c r="L252" s="13"/>
      <c r="M252" s="6"/>
      <c r="N252" s="7"/>
      <c r="O252" s="32"/>
      <c r="P252" s="32"/>
      <c r="Q252" s="102"/>
      <c r="R252" s="26"/>
      <c r="S252" s="32"/>
    </row>
    <row r="253" spans="1:19" x14ac:dyDescent="0.25">
      <c r="A253" s="9"/>
      <c r="B253" s="88"/>
      <c r="C253" s="88"/>
      <c r="D253" s="29"/>
      <c r="E253" s="29"/>
      <c r="F253" s="10"/>
      <c r="G253" s="10"/>
      <c r="H253" s="22"/>
      <c r="I253" s="8"/>
      <c r="J253" s="13"/>
      <c r="K253" s="13"/>
      <c r="L253" s="13"/>
      <c r="M253" s="6"/>
      <c r="N253" s="7"/>
      <c r="O253" s="32"/>
      <c r="P253" s="32"/>
      <c r="Q253" s="102"/>
      <c r="R253" s="93"/>
      <c r="S253" s="32"/>
    </row>
    <row r="254" spans="1:19" x14ac:dyDescent="0.25">
      <c r="A254" s="9"/>
      <c r="B254" s="88"/>
      <c r="C254" s="88"/>
      <c r="D254" s="7"/>
      <c r="E254" s="29"/>
      <c r="F254" s="10"/>
      <c r="G254" s="10"/>
      <c r="H254" s="22"/>
      <c r="I254" s="8"/>
      <c r="J254" s="10"/>
      <c r="K254" s="13"/>
      <c r="L254" s="13"/>
      <c r="M254" s="6"/>
      <c r="N254" s="7"/>
      <c r="O254" s="32"/>
      <c r="P254" s="32"/>
      <c r="Q254" s="102"/>
      <c r="R254" s="93"/>
      <c r="S254" s="32"/>
    </row>
    <row r="255" spans="1:19" x14ac:dyDescent="0.25">
      <c r="A255" s="9"/>
      <c r="B255" s="88"/>
      <c r="C255" s="88"/>
      <c r="D255" s="29"/>
      <c r="E255" s="29"/>
      <c r="F255" s="10"/>
      <c r="G255" s="10"/>
      <c r="H255" s="22"/>
      <c r="I255" s="8"/>
      <c r="J255" s="13"/>
      <c r="K255" s="13"/>
      <c r="L255" s="13"/>
      <c r="M255" s="6"/>
      <c r="N255" s="7"/>
      <c r="O255" s="32"/>
      <c r="P255" s="32"/>
      <c r="Q255" s="102"/>
      <c r="R255" s="93"/>
      <c r="S255" s="32"/>
    </row>
    <row r="256" spans="1:19" x14ac:dyDescent="0.25">
      <c r="A256" s="21"/>
      <c r="B256" s="91"/>
      <c r="C256" s="91"/>
      <c r="D256" s="29"/>
      <c r="E256" s="29"/>
      <c r="F256" s="10"/>
      <c r="G256" s="10"/>
      <c r="H256" s="22"/>
      <c r="I256" s="8"/>
      <c r="J256" s="13"/>
      <c r="K256" s="13"/>
      <c r="L256" s="13"/>
      <c r="M256" s="6"/>
      <c r="N256" s="7"/>
      <c r="O256" s="32"/>
      <c r="P256" s="32"/>
      <c r="Q256" s="102"/>
      <c r="R256" s="93"/>
      <c r="S256" s="32"/>
    </row>
    <row r="257" spans="1:19" x14ac:dyDescent="0.25">
      <c r="A257" s="21"/>
      <c r="B257" s="91"/>
      <c r="C257" s="91"/>
      <c r="D257" s="29"/>
      <c r="E257" s="29"/>
      <c r="F257" s="24"/>
      <c r="G257" s="24"/>
      <c r="H257" s="22"/>
      <c r="I257" s="22"/>
      <c r="J257" s="10"/>
      <c r="K257" s="13"/>
      <c r="L257" s="13"/>
      <c r="M257" s="6"/>
      <c r="N257" s="7"/>
      <c r="O257" s="32"/>
      <c r="P257" s="32"/>
      <c r="Q257" s="102"/>
      <c r="R257" s="93"/>
      <c r="S257" s="32"/>
    </row>
    <row r="258" spans="1:19" x14ac:dyDescent="0.25">
      <c r="A258" s="21"/>
      <c r="B258" s="91"/>
      <c r="C258" s="91"/>
      <c r="D258" s="7"/>
      <c r="E258" s="29"/>
      <c r="F258" s="24"/>
      <c r="G258" s="24"/>
      <c r="H258" s="22"/>
      <c r="I258" s="22"/>
      <c r="J258" s="13"/>
      <c r="K258" s="13"/>
      <c r="L258" s="13"/>
      <c r="M258" s="6"/>
      <c r="N258" s="7"/>
      <c r="O258" s="32"/>
      <c r="P258" s="32"/>
      <c r="Q258" s="102"/>
      <c r="R258" s="93"/>
      <c r="S258" s="32"/>
    </row>
    <row r="259" spans="1:19" x14ac:dyDescent="0.25">
      <c r="A259" s="21"/>
      <c r="B259" s="91"/>
      <c r="C259" s="91"/>
      <c r="D259" s="7"/>
      <c r="E259" s="29"/>
      <c r="F259" s="29"/>
      <c r="G259" s="24"/>
      <c r="H259" s="22"/>
      <c r="I259" s="22"/>
      <c r="J259" s="13"/>
      <c r="K259" s="13"/>
      <c r="L259" s="13"/>
      <c r="M259" s="6"/>
      <c r="N259" s="7"/>
      <c r="O259" s="32"/>
      <c r="P259" s="32"/>
      <c r="Q259" s="102"/>
      <c r="R259" s="93"/>
      <c r="S259" s="32"/>
    </row>
    <row r="260" spans="1:19" x14ac:dyDescent="0.25">
      <c r="A260" s="21"/>
      <c r="B260" s="91"/>
      <c r="C260" s="91"/>
      <c r="D260" s="7"/>
      <c r="E260" s="29"/>
      <c r="F260" s="10"/>
      <c r="G260" s="24"/>
      <c r="H260" s="22"/>
      <c r="I260" s="8"/>
      <c r="J260" s="10"/>
      <c r="K260" s="13"/>
      <c r="L260" s="13"/>
      <c r="M260" s="6"/>
      <c r="N260" s="7"/>
      <c r="O260" s="32"/>
      <c r="P260" s="32"/>
      <c r="Q260" s="102"/>
      <c r="R260" s="93"/>
      <c r="S260" s="32"/>
    </row>
    <row r="261" spans="1:19" x14ac:dyDescent="0.25">
      <c r="A261" s="21"/>
      <c r="B261" s="91"/>
      <c r="C261" s="91"/>
      <c r="D261" s="7"/>
      <c r="E261" s="29"/>
      <c r="F261" s="10"/>
      <c r="G261" s="24"/>
      <c r="H261" s="22"/>
      <c r="I261" s="8"/>
      <c r="J261" s="13"/>
      <c r="K261" s="13"/>
      <c r="L261" s="13"/>
      <c r="M261" s="6"/>
      <c r="N261" s="7"/>
      <c r="O261" s="32"/>
      <c r="P261" s="32"/>
      <c r="Q261" s="102"/>
      <c r="R261" s="93"/>
      <c r="S261" s="32"/>
    </row>
    <row r="262" spans="1:19" x14ac:dyDescent="0.25">
      <c r="A262" s="9"/>
      <c r="B262" s="88"/>
      <c r="C262" s="88"/>
      <c r="D262" s="29"/>
      <c r="E262" s="29"/>
      <c r="F262" s="10"/>
      <c r="G262" s="10"/>
      <c r="H262" s="22"/>
      <c r="I262" s="8"/>
      <c r="J262" s="13"/>
      <c r="K262" s="13"/>
      <c r="L262" s="13"/>
      <c r="M262" s="6"/>
      <c r="N262" s="7"/>
      <c r="O262" s="32"/>
      <c r="P262" s="32"/>
      <c r="Q262" s="102"/>
      <c r="R262" s="93"/>
      <c r="S262" s="32"/>
    </row>
    <row r="263" spans="1:19" x14ac:dyDescent="0.25">
      <c r="A263" s="9"/>
      <c r="B263" s="88"/>
      <c r="C263" s="88"/>
      <c r="D263" s="29"/>
      <c r="E263" s="29"/>
      <c r="F263" s="86"/>
      <c r="G263" s="85"/>
      <c r="H263" s="22"/>
      <c r="I263" s="8"/>
      <c r="J263" s="10"/>
      <c r="K263" s="13"/>
      <c r="L263" s="13"/>
      <c r="M263" s="6"/>
      <c r="N263" s="7"/>
      <c r="O263" s="32"/>
      <c r="P263" s="32"/>
      <c r="Q263" s="102"/>
      <c r="R263" s="93"/>
      <c r="S263" s="32"/>
    </row>
    <row r="264" spans="1:19" x14ac:dyDescent="0.25">
      <c r="A264" s="9"/>
      <c r="B264" s="88"/>
      <c r="C264" s="88"/>
      <c r="D264" s="29"/>
      <c r="E264" s="29"/>
      <c r="F264" s="86"/>
      <c r="G264" s="85"/>
      <c r="H264" s="22"/>
      <c r="I264" s="8"/>
      <c r="J264" s="13"/>
      <c r="K264" s="13"/>
      <c r="L264" s="13"/>
      <c r="M264" s="6"/>
      <c r="N264" s="7"/>
      <c r="O264" s="32"/>
      <c r="P264" s="32"/>
      <c r="Q264" s="102"/>
      <c r="R264" s="93"/>
      <c r="S264" s="32"/>
    </row>
    <row r="265" spans="1:19" x14ac:dyDescent="0.25">
      <c r="A265" s="9"/>
      <c r="B265" s="88"/>
      <c r="C265" s="88"/>
      <c r="D265" s="29"/>
      <c r="E265" s="29"/>
      <c r="F265" s="10"/>
      <c r="G265" s="10"/>
      <c r="H265" s="22"/>
      <c r="I265" s="8"/>
      <c r="J265" s="10"/>
      <c r="K265" s="13"/>
      <c r="L265" s="13"/>
      <c r="M265" s="6"/>
      <c r="N265" s="7"/>
      <c r="O265" s="32"/>
      <c r="P265" s="32"/>
      <c r="Q265" s="102"/>
      <c r="R265" s="93"/>
      <c r="S265" s="32"/>
    </row>
    <row r="266" spans="1:19" x14ac:dyDescent="0.25">
      <c r="A266" s="9"/>
      <c r="B266" s="88"/>
      <c r="C266" s="88"/>
      <c r="D266" s="29"/>
      <c r="E266" s="29"/>
      <c r="F266" s="10"/>
      <c r="G266" s="10"/>
      <c r="H266" s="22"/>
      <c r="I266" s="8"/>
      <c r="J266" s="10"/>
      <c r="K266" s="13"/>
      <c r="L266" s="13"/>
      <c r="M266" s="6"/>
      <c r="N266" s="7"/>
      <c r="O266" s="32"/>
      <c r="P266" s="32"/>
      <c r="Q266" s="102"/>
      <c r="R266" s="93"/>
      <c r="S266" s="32"/>
    </row>
    <row r="267" spans="1:19" x14ac:dyDescent="0.25">
      <c r="A267" s="9"/>
      <c r="B267" s="88"/>
      <c r="C267" s="88"/>
      <c r="D267" s="29"/>
      <c r="E267" s="29"/>
      <c r="F267" s="10"/>
      <c r="G267" s="10"/>
      <c r="H267" s="22"/>
      <c r="I267" s="8"/>
      <c r="J267" s="10"/>
      <c r="K267" s="13"/>
      <c r="L267" s="13"/>
      <c r="M267" s="6"/>
      <c r="N267" s="7"/>
      <c r="O267" s="32"/>
      <c r="P267" s="32"/>
      <c r="Q267" s="102"/>
      <c r="R267" s="93"/>
      <c r="S267" s="32"/>
    </row>
    <row r="268" spans="1:19" x14ac:dyDescent="0.25">
      <c r="A268" s="9"/>
      <c r="B268" s="88"/>
      <c r="C268" s="88"/>
      <c r="D268" s="29"/>
      <c r="E268" s="29"/>
      <c r="F268" s="10"/>
      <c r="G268" s="8"/>
      <c r="H268" s="22"/>
      <c r="I268" s="8"/>
      <c r="J268" s="10"/>
      <c r="K268" s="13"/>
      <c r="L268" s="13"/>
      <c r="M268" s="6"/>
      <c r="N268" s="7"/>
      <c r="O268" s="32"/>
      <c r="P268" s="32"/>
      <c r="Q268" s="102"/>
      <c r="R268" s="93"/>
      <c r="S268" s="32"/>
    </row>
    <row r="269" spans="1:19" x14ac:dyDescent="0.25">
      <c r="A269" s="9"/>
      <c r="B269" s="88"/>
      <c r="C269" s="88"/>
      <c r="D269" s="29"/>
      <c r="E269" s="29"/>
      <c r="F269" s="8"/>
      <c r="G269" s="8"/>
      <c r="H269" s="8"/>
      <c r="I269" s="8"/>
      <c r="J269" s="10"/>
      <c r="K269" s="13"/>
      <c r="L269" s="13"/>
      <c r="M269" s="6"/>
      <c r="N269" s="7"/>
      <c r="O269" s="32"/>
      <c r="P269" s="32"/>
      <c r="Q269" s="102"/>
      <c r="R269" s="93"/>
      <c r="S269" s="32"/>
    </row>
    <row r="270" spans="1:19" x14ac:dyDescent="0.25">
      <c r="A270" s="9"/>
      <c r="B270" s="88"/>
      <c r="C270" s="88"/>
      <c r="D270" s="29"/>
      <c r="E270" s="29"/>
      <c r="F270" s="8"/>
      <c r="G270" s="8"/>
      <c r="H270" s="8"/>
      <c r="I270" s="8"/>
      <c r="J270" s="10"/>
      <c r="K270" s="13"/>
      <c r="L270" s="13"/>
      <c r="M270" s="6"/>
      <c r="N270" s="7"/>
      <c r="O270" s="32"/>
      <c r="P270" s="32"/>
      <c r="Q270" s="102"/>
      <c r="R270" s="93"/>
      <c r="S270" s="32"/>
    </row>
    <row r="271" spans="1:19" x14ac:dyDescent="0.25">
      <c r="A271" s="9"/>
      <c r="B271" s="88"/>
      <c r="C271" s="88"/>
      <c r="D271" s="29"/>
      <c r="E271" s="29"/>
      <c r="F271" s="8"/>
      <c r="G271" s="8"/>
      <c r="H271" s="8"/>
      <c r="I271" s="8"/>
      <c r="J271" s="10"/>
      <c r="K271" s="13"/>
      <c r="L271" s="13"/>
      <c r="M271" s="6"/>
      <c r="N271" s="7"/>
      <c r="O271" s="32"/>
      <c r="P271" s="32"/>
      <c r="Q271" s="102"/>
      <c r="R271" s="93"/>
      <c r="S271" s="32"/>
    </row>
    <row r="272" spans="1:19" x14ac:dyDescent="0.25">
      <c r="A272" s="9"/>
      <c r="B272" s="88"/>
      <c r="C272" s="88"/>
      <c r="D272" s="29"/>
      <c r="E272" s="29"/>
      <c r="F272" s="8"/>
      <c r="G272" s="8"/>
      <c r="H272" s="83"/>
      <c r="I272" s="8"/>
      <c r="J272" s="10"/>
      <c r="K272" s="13"/>
      <c r="L272" s="13"/>
      <c r="M272" s="6"/>
      <c r="N272" s="7"/>
      <c r="O272" s="32"/>
      <c r="P272" s="32"/>
      <c r="Q272" s="102"/>
      <c r="R272" s="93"/>
      <c r="S272" s="32"/>
    </row>
    <row r="273" spans="1:19" x14ac:dyDescent="0.25">
      <c r="A273" s="9"/>
      <c r="B273" s="88"/>
      <c r="C273" s="88"/>
      <c r="D273" s="30"/>
      <c r="E273" s="29"/>
      <c r="F273" s="8"/>
      <c r="G273" s="8"/>
      <c r="H273" s="8"/>
      <c r="I273" s="8"/>
      <c r="J273" s="10"/>
      <c r="K273" s="13"/>
      <c r="L273" s="13"/>
      <c r="M273" s="6"/>
      <c r="N273" s="7"/>
      <c r="O273" s="32"/>
      <c r="P273" s="32"/>
      <c r="Q273" s="102"/>
      <c r="R273" s="93"/>
      <c r="S273" s="32"/>
    </row>
    <row r="274" spans="1:19" x14ac:dyDescent="0.25">
      <c r="A274" s="9"/>
      <c r="B274" s="88"/>
      <c r="C274" s="88"/>
      <c r="D274" s="30"/>
      <c r="E274" s="29"/>
      <c r="F274" s="8"/>
      <c r="G274" s="8"/>
      <c r="H274" s="8"/>
      <c r="I274" s="8"/>
      <c r="J274" s="10"/>
      <c r="K274" s="13"/>
      <c r="L274" s="13"/>
      <c r="M274" s="6"/>
      <c r="N274" s="7"/>
      <c r="O274" s="32"/>
      <c r="P274" s="32"/>
      <c r="Q274" s="102"/>
      <c r="R274" s="93"/>
      <c r="S274" s="32"/>
    </row>
    <row r="275" spans="1:19" x14ac:dyDescent="0.25">
      <c r="A275" s="9"/>
      <c r="B275" s="88"/>
      <c r="C275" s="88"/>
      <c r="D275" s="30"/>
      <c r="E275" s="29"/>
      <c r="F275" s="8"/>
      <c r="G275" s="8"/>
      <c r="H275" s="8"/>
      <c r="I275" s="8"/>
      <c r="J275" s="10"/>
      <c r="K275" s="13"/>
      <c r="L275" s="13"/>
      <c r="M275" s="6"/>
      <c r="N275" s="7"/>
      <c r="O275" s="32"/>
      <c r="P275" s="32"/>
      <c r="Q275" s="102"/>
      <c r="R275" s="93"/>
      <c r="S275" s="32"/>
    </row>
    <row r="276" spans="1:19" x14ac:dyDescent="0.25">
      <c r="A276" s="9"/>
      <c r="B276" s="88"/>
      <c r="C276" s="88"/>
      <c r="D276" s="30"/>
      <c r="E276" s="29"/>
      <c r="F276" s="8"/>
      <c r="G276" s="8"/>
      <c r="H276" s="8"/>
      <c r="I276" s="8"/>
      <c r="J276" s="10"/>
      <c r="K276" s="13"/>
      <c r="L276" s="13"/>
      <c r="M276" s="6"/>
      <c r="N276" s="7"/>
      <c r="O276" s="32"/>
      <c r="P276" s="32"/>
      <c r="Q276" s="102"/>
      <c r="R276" s="93"/>
      <c r="S276" s="32"/>
    </row>
    <row r="277" spans="1:19" x14ac:dyDescent="0.25">
      <c r="A277" s="9"/>
      <c r="B277" s="88"/>
      <c r="C277" s="88"/>
      <c r="D277" s="30"/>
      <c r="E277" s="29"/>
      <c r="F277" s="8"/>
      <c r="G277" s="8"/>
      <c r="H277" s="8"/>
      <c r="I277" s="8"/>
      <c r="J277" s="10"/>
      <c r="K277" s="13"/>
      <c r="L277" s="13"/>
      <c r="M277" s="6"/>
      <c r="N277" s="7"/>
      <c r="O277" s="32"/>
      <c r="P277" s="32"/>
      <c r="Q277" s="102"/>
      <c r="R277" s="93"/>
      <c r="S277" s="32"/>
    </row>
    <row r="278" spans="1:19" x14ac:dyDescent="0.25">
      <c r="A278" s="9"/>
      <c r="B278" s="88"/>
      <c r="C278" s="88"/>
      <c r="D278" s="30"/>
      <c r="E278" s="29"/>
      <c r="F278" s="8"/>
      <c r="G278" s="8"/>
      <c r="H278" s="8"/>
      <c r="I278" s="8"/>
      <c r="J278" s="10"/>
      <c r="K278" s="8"/>
      <c r="L278" s="8"/>
      <c r="M278" s="6"/>
      <c r="N278" s="7"/>
      <c r="O278" s="32"/>
      <c r="P278" s="32"/>
      <c r="Q278" s="102"/>
      <c r="R278" s="93"/>
      <c r="S278" s="32"/>
    </row>
    <row r="279" spans="1:19" x14ac:dyDescent="0.25">
      <c r="A279" s="9"/>
      <c r="B279" s="88"/>
      <c r="C279" s="88"/>
      <c r="D279" s="30"/>
      <c r="E279" s="29"/>
      <c r="F279" s="8"/>
      <c r="G279" s="8"/>
      <c r="H279" s="8"/>
      <c r="I279" s="8"/>
      <c r="J279" s="10"/>
      <c r="K279" s="8"/>
      <c r="L279" s="8"/>
      <c r="M279" s="6"/>
      <c r="N279" s="7"/>
      <c r="O279" s="32"/>
      <c r="P279" s="32"/>
      <c r="Q279" s="102"/>
      <c r="R279" s="93"/>
      <c r="S279" s="32"/>
    </row>
    <row r="280" spans="1:19" x14ac:dyDescent="0.25">
      <c r="A280" s="9"/>
      <c r="B280" s="88"/>
      <c r="C280" s="88"/>
      <c r="D280" s="30"/>
      <c r="E280" s="29"/>
      <c r="F280" s="8"/>
      <c r="G280" s="8"/>
      <c r="H280" s="8"/>
      <c r="I280" s="8"/>
      <c r="J280" s="10"/>
      <c r="K280" s="8"/>
      <c r="L280" s="8"/>
      <c r="M280" s="6"/>
      <c r="N280" s="7"/>
      <c r="O280" s="32"/>
      <c r="P280" s="32"/>
      <c r="Q280" s="102"/>
      <c r="R280" s="93"/>
      <c r="S280" s="32"/>
    </row>
    <row r="281" spans="1:19" x14ac:dyDescent="0.25">
      <c r="A281" s="9"/>
      <c r="B281" s="88"/>
      <c r="C281" s="88"/>
      <c r="D281" s="30"/>
      <c r="E281" s="29"/>
      <c r="F281" s="8"/>
      <c r="G281" s="8"/>
      <c r="H281" s="8"/>
      <c r="I281" s="8"/>
      <c r="J281" s="10"/>
      <c r="K281" s="8"/>
      <c r="L281" s="8"/>
      <c r="M281" s="6"/>
      <c r="N281" s="7"/>
      <c r="O281" s="32"/>
      <c r="P281" s="32"/>
      <c r="Q281" s="102"/>
      <c r="R281" s="93"/>
      <c r="S281" s="32"/>
    </row>
    <row r="282" spans="1:19" x14ac:dyDescent="0.25">
      <c r="A282" s="9"/>
      <c r="B282" s="88"/>
      <c r="C282" s="88"/>
      <c r="D282" s="30"/>
      <c r="E282" s="29"/>
      <c r="F282" s="8"/>
      <c r="G282" s="8"/>
      <c r="H282" s="8"/>
      <c r="I282" s="8"/>
      <c r="J282" s="10"/>
      <c r="K282" s="8"/>
      <c r="L282" s="8"/>
      <c r="M282" s="6"/>
      <c r="N282" s="7"/>
      <c r="O282" s="32"/>
      <c r="P282" s="32"/>
      <c r="Q282" s="102"/>
      <c r="R282" s="93"/>
      <c r="S282" s="32"/>
    </row>
    <row r="283" spans="1:19" x14ac:dyDescent="0.25">
      <c r="A283" s="9"/>
      <c r="B283" s="88"/>
      <c r="C283" s="88"/>
      <c r="D283" s="30"/>
      <c r="E283" s="29"/>
      <c r="F283" s="10"/>
      <c r="G283" s="8"/>
      <c r="H283" s="8"/>
      <c r="I283" s="8"/>
      <c r="J283" s="10"/>
      <c r="K283" s="13"/>
      <c r="L283" s="13"/>
      <c r="M283" s="6"/>
      <c r="N283" s="7"/>
      <c r="O283" s="32"/>
      <c r="P283" s="32"/>
      <c r="Q283" s="102"/>
      <c r="R283" s="93"/>
      <c r="S283" s="32"/>
    </row>
    <row r="284" spans="1:19" x14ac:dyDescent="0.25">
      <c r="A284" s="9"/>
      <c r="B284" s="88"/>
      <c r="C284" s="88"/>
      <c r="D284" s="30"/>
      <c r="E284" s="29"/>
      <c r="F284" s="8"/>
      <c r="G284" s="8"/>
      <c r="H284" s="8"/>
      <c r="I284" s="8"/>
      <c r="J284" s="10"/>
      <c r="K284" s="8"/>
      <c r="L284" s="8"/>
      <c r="M284" s="6"/>
      <c r="N284" s="7"/>
      <c r="O284" s="32"/>
      <c r="P284" s="32"/>
      <c r="Q284" s="102"/>
      <c r="R284" s="93"/>
      <c r="S284" s="32"/>
    </row>
    <row r="285" spans="1:19" x14ac:dyDescent="0.25">
      <c r="A285" s="9"/>
      <c r="B285" s="88"/>
      <c r="C285" s="88"/>
      <c r="D285" s="30"/>
      <c r="E285" s="29"/>
      <c r="F285" s="8"/>
      <c r="G285" s="8"/>
      <c r="H285" s="8"/>
      <c r="I285" s="8"/>
      <c r="J285" s="10"/>
      <c r="K285" s="8"/>
      <c r="L285" s="8"/>
      <c r="M285" s="6"/>
      <c r="N285" s="7"/>
      <c r="O285" s="32"/>
      <c r="P285" s="32"/>
      <c r="Q285" s="102"/>
      <c r="R285" s="93"/>
      <c r="S285" s="32"/>
    </row>
    <row r="286" spans="1:19" x14ac:dyDescent="0.25">
      <c r="A286" s="9"/>
      <c r="B286" s="88"/>
      <c r="C286" s="88"/>
      <c r="D286" s="30"/>
      <c r="E286" s="29"/>
      <c r="F286" s="8"/>
      <c r="G286" s="8"/>
      <c r="H286" s="8"/>
      <c r="I286" s="8"/>
      <c r="J286" s="10"/>
      <c r="K286" s="8"/>
      <c r="L286" s="8"/>
      <c r="M286" s="6"/>
      <c r="N286" s="7"/>
      <c r="O286" s="32"/>
      <c r="P286" s="32"/>
      <c r="Q286" s="102"/>
      <c r="R286" s="93"/>
      <c r="S286" s="32"/>
    </row>
    <row r="287" spans="1:19" x14ac:dyDescent="0.25">
      <c r="A287" s="9"/>
      <c r="B287" s="88"/>
      <c r="C287" s="88"/>
      <c r="D287" s="30"/>
      <c r="E287" s="29"/>
      <c r="F287" s="10"/>
      <c r="G287" s="8"/>
      <c r="H287" s="8"/>
      <c r="I287" s="8"/>
      <c r="J287" s="10"/>
      <c r="K287" s="13"/>
      <c r="L287" s="13"/>
      <c r="M287" s="6"/>
      <c r="N287" s="7"/>
      <c r="O287" s="32"/>
      <c r="P287" s="32"/>
      <c r="Q287" s="102"/>
      <c r="R287" s="93"/>
      <c r="S287" s="32"/>
    </row>
    <row r="288" spans="1:19" x14ac:dyDescent="0.25">
      <c r="A288" s="9"/>
      <c r="B288" s="88"/>
      <c r="C288" s="88"/>
      <c r="D288" s="30"/>
      <c r="E288" s="29"/>
      <c r="F288" s="10"/>
      <c r="G288" s="8"/>
      <c r="H288" s="8"/>
      <c r="I288" s="8"/>
      <c r="J288" s="10"/>
      <c r="K288" s="8"/>
      <c r="L288" s="8"/>
      <c r="M288" s="6"/>
      <c r="N288" s="7"/>
      <c r="O288" s="32"/>
      <c r="P288" s="32"/>
      <c r="Q288" s="102"/>
      <c r="R288" s="93"/>
      <c r="S288" s="32"/>
    </row>
    <row r="289" spans="1:19" x14ac:dyDescent="0.25">
      <c r="A289" s="9"/>
      <c r="B289" s="88"/>
      <c r="C289" s="88"/>
      <c r="D289" s="30"/>
      <c r="E289" s="29"/>
      <c r="F289" s="8"/>
      <c r="G289" s="8"/>
      <c r="H289" s="8"/>
      <c r="I289" s="8"/>
      <c r="J289" s="10"/>
      <c r="K289" s="8"/>
      <c r="L289" s="8"/>
      <c r="M289" s="6"/>
      <c r="N289" s="7"/>
      <c r="O289" s="32"/>
      <c r="P289" s="32"/>
      <c r="Q289" s="102"/>
      <c r="R289" s="93"/>
      <c r="S289" s="32"/>
    </row>
    <row r="290" spans="1:19" x14ac:dyDescent="0.25">
      <c r="A290" s="9"/>
      <c r="B290" s="88"/>
      <c r="C290" s="88"/>
      <c r="D290" s="30"/>
      <c r="E290" s="29"/>
      <c r="F290" s="8"/>
      <c r="G290" s="8"/>
      <c r="H290" s="8"/>
      <c r="I290" s="8"/>
      <c r="J290" s="10"/>
      <c r="K290" s="8"/>
      <c r="L290" s="8"/>
      <c r="M290" s="6"/>
      <c r="N290" s="7"/>
      <c r="O290" s="32"/>
      <c r="P290" s="32"/>
      <c r="Q290" s="102"/>
      <c r="R290" s="93"/>
      <c r="S290" s="32"/>
    </row>
    <row r="291" spans="1:19" x14ac:dyDescent="0.25">
      <c r="A291" s="9"/>
      <c r="B291" s="88"/>
      <c r="C291" s="88"/>
      <c r="D291" s="30"/>
      <c r="E291" s="29"/>
      <c r="F291" s="8"/>
      <c r="G291" s="8"/>
      <c r="H291" s="8"/>
      <c r="I291" s="8"/>
      <c r="J291" s="10"/>
      <c r="K291" s="8"/>
      <c r="L291" s="8"/>
      <c r="M291" s="6"/>
      <c r="N291" s="7"/>
      <c r="O291" s="32"/>
      <c r="P291" s="32"/>
      <c r="Q291" s="102"/>
      <c r="R291" s="93"/>
      <c r="S291" s="32"/>
    </row>
    <row r="292" spans="1:19" x14ac:dyDescent="0.25">
      <c r="A292" s="9"/>
      <c r="B292" s="88"/>
      <c r="C292" s="88"/>
      <c r="D292" s="30"/>
      <c r="E292" s="29"/>
      <c r="F292" s="8"/>
      <c r="G292" s="8"/>
      <c r="H292" s="8"/>
      <c r="I292" s="8"/>
      <c r="J292" s="10"/>
      <c r="K292" s="8"/>
      <c r="L292" s="8"/>
      <c r="M292" s="6"/>
      <c r="N292" s="7"/>
      <c r="O292" s="32"/>
      <c r="P292" s="32"/>
      <c r="Q292" s="102"/>
      <c r="R292" s="93"/>
      <c r="S292" s="32"/>
    </row>
    <row r="293" spans="1:19" x14ac:dyDescent="0.25">
      <c r="A293" s="9"/>
      <c r="B293" s="88"/>
      <c r="C293" s="88"/>
      <c r="D293" s="30"/>
      <c r="E293" s="29"/>
      <c r="F293" s="8"/>
      <c r="G293" s="8"/>
      <c r="H293" s="8"/>
      <c r="I293" s="8"/>
      <c r="J293" s="10"/>
      <c r="K293" s="8"/>
      <c r="L293" s="8"/>
      <c r="M293" s="6"/>
      <c r="N293" s="7"/>
      <c r="O293" s="32"/>
      <c r="P293" s="32"/>
      <c r="Q293" s="102"/>
      <c r="R293" s="93"/>
      <c r="S293" s="32"/>
    </row>
    <row r="294" spans="1:19" x14ac:dyDescent="0.25">
      <c r="A294" s="9"/>
      <c r="B294" s="88"/>
      <c r="C294" s="88"/>
      <c r="D294" s="30"/>
      <c r="E294" s="29"/>
      <c r="F294" s="8"/>
      <c r="G294" s="8"/>
      <c r="H294" s="8"/>
      <c r="I294" s="8"/>
      <c r="J294" s="10"/>
      <c r="K294" s="8"/>
      <c r="L294" s="8"/>
      <c r="M294" s="6"/>
      <c r="N294" s="7"/>
      <c r="O294" s="32"/>
      <c r="P294" s="32"/>
      <c r="Q294" s="102"/>
      <c r="R294" s="93"/>
      <c r="S294" s="32"/>
    </row>
    <row r="295" spans="1:19" x14ac:dyDescent="0.25">
      <c r="A295" s="9"/>
      <c r="B295" s="88"/>
      <c r="C295" s="88"/>
      <c r="D295" s="30"/>
      <c r="E295" s="29"/>
      <c r="F295" s="8"/>
      <c r="G295" s="8"/>
      <c r="H295" s="8"/>
      <c r="I295" s="8"/>
      <c r="J295" s="10"/>
      <c r="K295" s="8"/>
      <c r="L295" s="8"/>
      <c r="M295" s="6"/>
      <c r="N295" s="7"/>
      <c r="O295" s="32"/>
      <c r="P295" s="32"/>
      <c r="Q295" s="102"/>
      <c r="R295" s="93"/>
      <c r="S295" s="32"/>
    </row>
    <row r="296" spans="1:19" x14ac:dyDescent="0.25">
      <c r="A296" s="9"/>
      <c r="B296" s="88"/>
      <c r="C296" s="88"/>
      <c r="D296" s="30"/>
      <c r="E296" s="29"/>
      <c r="F296" s="8"/>
      <c r="G296" s="8"/>
      <c r="H296" s="8"/>
      <c r="I296" s="8"/>
      <c r="J296" s="10"/>
      <c r="K296" s="8"/>
      <c r="L296" s="8"/>
      <c r="M296" s="6"/>
      <c r="N296" s="7"/>
      <c r="O296" s="32"/>
      <c r="P296" s="32"/>
      <c r="Q296" s="102"/>
      <c r="R296" s="93"/>
      <c r="S296" s="32"/>
    </row>
    <row r="297" spans="1:19" x14ac:dyDescent="0.25">
      <c r="A297" s="9"/>
      <c r="B297" s="88"/>
      <c r="C297" s="88"/>
      <c r="D297" s="30"/>
      <c r="E297" s="29"/>
      <c r="F297" s="8"/>
      <c r="G297" s="8"/>
      <c r="H297" s="8"/>
      <c r="I297" s="8"/>
      <c r="J297" s="10"/>
      <c r="K297" s="8"/>
      <c r="L297" s="8"/>
      <c r="M297" s="6"/>
      <c r="N297" s="7"/>
      <c r="O297" s="32"/>
      <c r="P297" s="32"/>
      <c r="Q297" s="102"/>
      <c r="R297" s="93"/>
      <c r="S297" s="32"/>
    </row>
    <row r="298" spans="1:19" x14ac:dyDescent="0.25">
      <c r="A298" s="9"/>
      <c r="B298" s="88"/>
      <c r="C298" s="88"/>
      <c r="D298" s="30"/>
      <c r="E298" s="29"/>
      <c r="F298" s="8"/>
      <c r="G298" s="8"/>
      <c r="H298" s="8"/>
      <c r="I298" s="8"/>
      <c r="J298" s="10"/>
      <c r="K298" s="8"/>
      <c r="L298" s="8"/>
      <c r="M298" s="6"/>
      <c r="N298" s="7"/>
      <c r="O298" s="32"/>
      <c r="P298" s="32"/>
      <c r="Q298" s="102"/>
      <c r="R298" s="93"/>
      <c r="S298" s="32"/>
    </row>
    <row r="299" spans="1:19" x14ac:dyDescent="0.25">
      <c r="A299" s="9"/>
      <c r="B299" s="88"/>
      <c r="C299" s="88"/>
      <c r="D299" s="30"/>
      <c r="E299" s="29"/>
      <c r="F299" s="8"/>
      <c r="G299" s="8"/>
      <c r="H299" s="8"/>
      <c r="I299" s="8"/>
      <c r="J299" s="10"/>
      <c r="K299" s="8"/>
      <c r="L299" s="8"/>
      <c r="M299" s="6"/>
      <c r="N299" s="7"/>
      <c r="O299" s="32"/>
      <c r="P299" s="32"/>
      <c r="Q299" s="102"/>
      <c r="R299" s="93"/>
      <c r="S299" s="32"/>
    </row>
    <row r="300" spans="1:19" x14ac:dyDescent="0.25">
      <c r="A300" s="9"/>
      <c r="B300" s="88"/>
      <c r="C300" s="88"/>
      <c r="D300" s="30"/>
      <c r="E300" s="29"/>
      <c r="F300" s="8"/>
      <c r="G300" s="8"/>
      <c r="H300" s="8"/>
      <c r="I300" s="8"/>
      <c r="J300" s="10"/>
      <c r="K300" s="8"/>
      <c r="L300" s="8"/>
      <c r="M300" s="6"/>
      <c r="N300" s="7"/>
      <c r="O300" s="32"/>
      <c r="P300" s="32"/>
      <c r="Q300" s="102"/>
      <c r="R300" s="93"/>
      <c r="S300" s="32"/>
    </row>
    <row r="301" spans="1:19" x14ac:dyDescent="0.25">
      <c r="A301" s="9"/>
      <c r="B301" s="88"/>
      <c r="C301" s="88"/>
      <c r="D301" s="30"/>
      <c r="E301" s="29"/>
      <c r="F301" s="8"/>
      <c r="G301" s="8"/>
      <c r="H301" s="8"/>
      <c r="I301" s="8"/>
      <c r="J301" s="10"/>
      <c r="K301" s="8"/>
      <c r="L301" s="8"/>
      <c r="M301" s="6"/>
      <c r="N301" s="7"/>
      <c r="O301" s="32"/>
      <c r="P301" s="32"/>
      <c r="Q301" s="102"/>
      <c r="R301" s="93"/>
      <c r="S301" s="32"/>
    </row>
    <row r="302" spans="1:19" x14ac:dyDescent="0.25">
      <c r="A302" s="9"/>
      <c r="B302" s="88"/>
      <c r="C302" s="88"/>
      <c r="D302" s="30"/>
      <c r="E302" s="29"/>
      <c r="F302" s="8"/>
      <c r="G302" s="8"/>
      <c r="H302" s="8"/>
      <c r="I302" s="8"/>
      <c r="J302" s="10"/>
      <c r="K302" s="8"/>
      <c r="L302" s="8"/>
      <c r="M302" s="6"/>
      <c r="N302" s="7"/>
      <c r="O302" s="32"/>
      <c r="P302" s="32"/>
      <c r="Q302" s="102"/>
      <c r="R302" s="93"/>
      <c r="S302" s="32"/>
    </row>
    <row r="303" spans="1:19" x14ac:dyDescent="0.25">
      <c r="A303" s="9"/>
      <c r="B303" s="88"/>
      <c r="C303" s="88"/>
      <c r="D303" s="30"/>
      <c r="E303" s="29"/>
      <c r="F303" s="8"/>
      <c r="G303" s="8"/>
      <c r="H303" s="8"/>
      <c r="I303" s="8"/>
      <c r="J303" s="10"/>
      <c r="K303" s="8"/>
      <c r="L303" s="8"/>
      <c r="M303" s="6"/>
      <c r="N303" s="7"/>
      <c r="O303" s="32"/>
      <c r="P303" s="32"/>
      <c r="Q303" s="102"/>
      <c r="R303" s="93"/>
      <c r="S303" s="32"/>
    </row>
    <row r="304" spans="1:19" x14ac:dyDescent="0.25">
      <c r="A304" s="9"/>
      <c r="B304" s="88"/>
      <c r="C304" s="88"/>
      <c r="D304" s="30"/>
      <c r="E304" s="29"/>
      <c r="F304" s="8"/>
      <c r="G304" s="8"/>
      <c r="H304" s="8"/>
      <c r="I304" s="8"/>
      <c r="J304" s="10"/>
      <c r="K304" s="8"/>
      <c r="L304" s="8"/>
      <c r="M304" s="6"/>
      <c r="N304" s="7"/>
      <c r="O304" s="32"/>
      <c r="P304" s="32"/>
      <c r="Q304" s="102"/>
      <c r="R304" s="93"/>
      <c r="S304" s="32"/>
    </row>
    <row r="305" spans="1:19" x14ac:dyDescent="0.25">
      <c r="A305" s="9"/>
      <c r="B305" s="88"/>
      <c r="C305" s="88"/>
      <c r="D305" s="30"/>
      <c r="E305" s="28"/>
      <c r="F305" s="8"/>
      <c r="G305" s="8"/>
      <c r="H305" s="8"/>
      <c r="I305" s="8"/>
      <c r="J305" s="10"/>
      <c r="K305" s="8"/>
      <c r="L305" s="8"/>
      <c r="M305" s="6"/>
      <c r="N305" s="7"/>
      <c r="O305" s="32"/>
      <c r="P305" s="32"/>
      <c r="Q305" s="102"/>
      <c r="R305" s="93"/>
      <c r="S305" s="32"/>
    </row>
    <row r="306" spans="1:19" x14ac:dyDescent="0.25">
      <c r="A306" s="9"/>
      <c r="B306" s="88"/>
      <c r="C306" s="88"/>
      <c r="D306" s="30"/>
      <c r="E306" s="28"/>
      <c r="F306" s="8"/>
      <c r="G306" s="8"/>
      <c r="H306" s="8"/>
      <c r="I306" s="8"/>
      <c r="J306" s="10"/>
      <c r="K306" s="8"/>
      <c r="L306" s="8"/>
      <c r="M306" s="6"/>
      <c r="N306" s="7"/>
      <c r="O306" s="32"/>
      <c r="P306" s="32"/>
      <c r="Q306" s="102"/>
      <c r="R306" s="94"/>
      <c r="S306" s="32"/>
    </row>
    <row r="307" spans="1:19" x14ac:dyDescent="0.25">
      <c r="A307" s="9"/>
      <c r="B307" s="88"/>
      <c r="C307" s="88"/>
      <c r="D307" s="30"/>
      <c r="E307" s="28"/>
      <c r="F307" s="8"/>
      <c r="G307" s="8"/>
      <c r="H307" s="8"/>
      <c r="I307" s="8"/>
      <c r="J307" s="10"/>
      <c r="K307" s="8"/>
      <c r="L307" s="8"/>
      <c r="M307" s="6"/>
      <c r="N307" s="7"/>
      <c r="O307" s="32"/>
      <c r="P307" s="32"/>
      <c r="Q307" s="102"/>
      <c r="R307" s="94"/>
      <c r="S307" s="32"/>
    </row>
    <row r="308" spans="1:19" x14ac:dyDescent="0.25">
      <c r="A308" s="9"/>
      <c r="B308" s="88"/>
      <c r="C308" s="88"/>
      <c r="D308" s="30"/>
      <c r="E308" s="28"/>
      <c r="F308" s="8"/>
      <c r="G308" s="8"/>
      <c r="H308" s="8"/>
      <c r="I308" s="8"/>
      <c r="J308" s="10"/>
      <c r="K308" s="8"/>
      <c r="L308" s="8"/>
      <c r="M308" s="6"/>
      <c r="N308" s="7"/>
      <c r="O308" s="32"/>
      <c r="P308" s="32"/>
      <c r="Q308" s="102"/>
      <c r="R308" s="94"/>
      <c r="S308" s="32"/>
    </row>
    <row r="309" spans="1:19" x14ac:dyDescent="0.25">
      <c r="A309" s="9"/>
      <c r="B309" s="88"/>
      <c r="C309" s="88"/>
      <c r="D309" s="30"/>
      <c r="E309" s="28"/>
      <c r="F309" s="8"/>
      <c r="G309" s="8"/>
      <c r="H309" s="8"/>
      <c r="I309" s="8"/>
      <c r="J309" s="10"/>
      <c r="K309" s="8"/>
      <c r="L309" s="8"/>
      <c r="M309" s="6"/>
      <c r="N309" s="7"/>
      <c r="O309" s="32"/>
      <c r="P309" s="32"/>
      <c r="Q309" s="102"/>
      <c r="R309" s="94"/>
      <c r="S309" s="32"/>
    </row>
    <row r="310" spans="1:19" x14ac:dyDescent="0.25">
      <c r="A310" s="9"/>
      <c r="B310" s="88"/>
      <c r="C310" s="88"/>
      <c r="D310" s="30"/>
      <c r="E310" s="28"/>
      <c r="F310" s="8"/>
      <c r="G310" s="8"/>
      <c r="H310" s="8"/>
      <c r="I310" s="8"/>
      <c r="J310" s="10"/>
      <c r="K310" s="8"/>
      <c r="L310" s="8"/>
      <c r="M310" s="6"/>
      <c r="N310" s="7"/>
      <c r="O310" s="32"/>
      <c r="P310" s="32"/>
      <c r="Q310" s="102"/>
      <c r="R310" s="94"/>
      <c r="S310" s="32"/>
    </row>
    <row r="311" spans="1:19" x14ac:dyDescent="0.25">
      <c r="A311" s="9"/>
      <c r="B311" s="88"/>
      <c r="C311" s="88"/>
      <c r="D311" s="30"/>
      <c r="E311" s="28"/>
      <c r="F311" s="8"/>
      <c r="G311" s="8"/>
      <c r="H311" s="8"/>
      <c r="I311" s="8"/>
      <c r="J311" s="10"/>
      <c r="K311" s="8"/>
      <c r="L311" s="8"/>
      <c r="M311" s="6"/>
      <c r="N311" s="7"/>
      <c r="O311" s="32"/>
      <c r="P311" s="32"/>
      <c r="Q311" s="102"/>
      <c r="R311" s="94"/>
      <c r="S311" s="32"/>
    </row>
    <row r="312" spans="1:19" x14ac:dyDescent="0.25">
      <c r="A312" s="9"/>
      <c r="B312" s="88"/>
      <c r="C312" s="88"/>
      <c r="D312" s="30"/>
      <c r="E312" s="28"/>
      <c r="F312" s="8"/>
      <c r="G312" s="8"/>
      <c r="H312" s="8"/>
      <c r="I312" s="8"/>
      <c r="J312" s="10"/>
      <c r="K312" s="8"/>
      <c r="L312" s="8"/>
      <c r="M312" s="6"/>
      <c r="N312" s="7"/>
      <c r="O312" s="32"/>
      <c r="P312" s="32"/>
      <c r="Q312" s="102"/>
      <c r="R312" s="94"/>
      <c r="S312" s="32"/>
    </row>
    <row r="313" spans="1:19" x14ac:dyDescent="0.25">
      <c r="A313" s="9"/>
      <c r="B313" s="88"/>
      <c r="C313" s="88"/>
      <c r="D313" s="30"/>
      <c r="E313" s="28"/>
      <c r="F313" s="8"/>
      <c r="G313" s="8"/>
      <c r="H313" s="8"/>
      <c r="I313" s="8"/>
      <c r="J313" s="10"/>
      <c r="K313" s="8"/>
      <c r="L313" s="8"/>
      <c r="M313" s="6"/>
      <c r="N313" s="7"/>
      <c r="O313" s="32"/>
      <c r="P313" s="32"/>
      <c r="Q313" s="102"/>
      <c r="R313" s="94"/>
      <c r="S313" s="32"/>
    </row>
    <row r="314" spans="1:19" x14ac:dyDescent="0.25">
      <c r="A314" s="9"/>
      <c r="B314" s="88"/>
      <c r="C314" s="88"/>
      <c r="D314" s="30"/>
      <c r="E314" s="28"/>
      <c r="F314" s="8"/>
      <c r="G314" s="8"/>
      <c r="H314" s="8"/>
      <c r="I314" s="8"/>
      <c r="J314" s="10"/>
      <c r="K314" s="8"/>
      <c r="L314" s="8"/>
      <c r="M314" s="6"/>
      <c r="N314" s="7"/>
      <c r="O314" s="32"/>
      <c r="P314" s="32"/>
      <c r="Q314" s="102"/>
      <c r="R314" s="94"/>
      <c r="S314" s="32"/>
    </row>
    <row r="315" spans="1:19" x14ac:dyDescent="0.25">
      <c r="A315" s="9"/>
      <c r="B315" s="88"/>
      <c r="C315" s="88"/>
      <c r="D315" s="30"/>
      <c r="E315" s="28"/>
      <c r="F315" s="8"/>
      <c r="G315" s="8"/>
      <c r="H315" s="8"/>
      <c r="I315" s="8"/>
      <c r="J315" s="10"/>
      <c r="K315" s="8"/>
      <c r="L315" s="8"/>
      <c r="M315" s="6"/>
      <c r="N315" s="7"/>
      <c r="O315" s="32"/>
      <c r="P315" s="32"/>
      <c r="Q315" s="102"/>
      <c r="R315" s="94"/>
      <c r="S315" s="32"/>
    </row>
    <row r="316" spans="1:19" x14ac:dyDescent="0.25">
      <c r="A316" s="9"/>
      <c r="B316" s="88"/>
      <c r="C316" s="88"/>
      <c r="D316" s="30"/>
      <c r="E316" s="28"/>
      <c r="F316" s="8"/>
      <c r="G316" s="8"/>
      <c r="H316" s="8"/>
      <c r="I316" s="8"/>
      <c r="J316" s="10"/>
      <c r="K316" s="8"/>
      <c r="L316" s="8"/>
      <c r="M316" s="6"/>
      <c r="N316" s="7"/>
      <c r="O316" s="32"/>
      <c r="P316" s="32"/>
      <c r="Q316" s="102"/>
      <c r="R316" s="94"/>
      <c r="S316" s="32"/>
    </row>
    <row r="317" spans="1:19" x14ac:dyDescent="0.25">
      <c r="A317" s="9"/>
      <c r="B317" s="88"/>
      <c r="C317" s="88"/>
      <c r="D317" s="30"/>
      <c r="E317" s="28"/>
      <c r="F317" s="8"/>
      <c r="G317" s="8"/>
      <c r="H317" s="8"/>
      <c r="I317" s="8"/>
      <c r="J317" s="10"/>
      <c r="K317" s="8"/>
      <c r="L317" s="8"/>
      <c r="M317" s="6"/>
      <c r="N317" s="7"/>
      <c r="O317" s="32"/>
      <c r="P317" s="32"/>
      <c r="Q317" s="102"/>
      <c r="R317" s="94"/>
      <c r="S317" s="32"/>
    </row>
    <row r="318" spans="1:19" x14ac:dyDescent="0.25">
      <c r="A318" s="9"/>
      <c r="B318" s="88"/>
      <c r="C318" s="88"/>
      <c r="D318" s="30"/>
      <c r="E318" s="28"/>
      <c r="F318" s="8"/>
      <c r="G318" s="8"/>
      <c r="H318" s="8"/>
      <c r="I318" s="8"/>
      <c r="J318" s="10"/>
      <c r="K318" s="8"/>
      <c r="L318" s="8"/>
      <c r="M318" s="6"/>
      <c r="N318" s="7"/>
      <c r="O318" s="32"/>
      <c r="P318" s="32"/>
      <c r="Q318" s="102"/>
      <c r="R318" s="94"/>
      <c r="S318" s="32"/>
    </row>
    <row r="319" spans="1:19" x14ac:dyDescent="0.25">
      <c r="A319" s="9"/>
      <c r="B319" s="88"/>
      <c r="C319" s="88"/>
      <c r="D319" s="30"/>
      <c r="E319" s="28"/>
      <c r="F319" s="8"/>
      <c r="G319" s="8"/>
      <c r="H319" s="8"/>
      <c r="I319" s="8"/>
      <c r="J319" s="10"/>
      <c r="K319" s="8"/>
      <c r="L319" s="8"/>
      <c r="M319" s="6"/>
      <c r="N319" s="7"/>
      <c r="O319" s="32"/>
      <c r="P319" s="32"/>
      <c r="Q319" s="102"/>
      <c r="R319" s="94"/>
      <c r="S319" s="32"/>
    </row>
    <row r="320" spans="1:19" x14ac:dyDescent="0.25">
      <c r="A320" s="9"/>
      <c r="B320" s="88"/>
      <c r="C320" s="88"/>
      <c r="D320" s="30"/>
      <c r="E320" s="28"/>
      <c r="F320" s="8"/>
      <c r="G320" s="8"/>
      <c r="H320" s="8"/>
      <c r="I320" s="8"/>
      <c r="J320" s="10"/>
      <c r="K320" s="8"/>
      <c r="L320" s="8"/>
      <c r="M320" s="6"/>
      <c r="N320" s="7"/>
      <c r="O320" s="32"/>
      <c r="P320" s="32"/>
      <c r="Q320" s="102"/>
      <c r="R320" s="94"/>
      <c r="S320" s="32"/>
    </row>
    <row r="321" spans="1:19" x14ac:dyDescent="0.25">
      <c r="A321" s="9"/>
      <c r="B321" s="88"/>
      <c r="C321" s="88"/>
      <c r="D321" s="30"/>
      <c r="E321" s="28"/>
      <c r="F321" s="8"/>
      <c r="G321" s="8"/>
      <c r="H321" s="8"/>
      <c r="I321" s="8"/>
      <c r="J321" s="10"/>
      <c r="K321" s="8"/>
      <c r="L321" s="8"/>
      <c r="M321" s="6"/>
      <c r="N321" s="7"/>
      <c r="O321" s="32"/>
      <c r="P321" s="32"/>
      <c r="Q321" s="102"/>
      <c r="R321" s="94"/>
      <c r="S321" s="32"/>
    </row>
    <row r="322" spans="1:19" x14ac:dyDescent="0.25">
      <c r="A322" s="9"/>
      <c r="B322" s="88"/>
      <c r="C322" s="88"/>
      <c r="D322" s="30"/>
      <c r="E322" s="28"/>
      <c r="F322" s="8"/>
      <c r="G322" s="8"/>
      <c r="H322" s="8"/>
      <c r="I322" s="8"/>
      <c r="J322" s="10"/>
      <c r="K322" s="8"/>
      <c r="L322" s="8"/>
      <c r="M322" s="6"/>
      <c r="N322" s="7"/>
      <c r="O322" s="32"/>
      <c r="P322" s="32"/>
      <c r="Q322" s="102"/>
      <c r="R322" s="94"/>
      <c r="S322" s="32"/>
    </row>
    <row r="323" spans="1:19" x14ac:dyDescent="0.25">
      <c r="A323" s="9"/>
      <c r="B323" s="88"/>
      <c r="C323" s="88"/>
      <c r="D323" s="30"/>
      <c r="E323" s="28"/>
      <c r="F323" s="8"/>
      <c r="G323" s="8"/>
      <c r="H323" s="8"/>
      <c r="I323" s="8"/>
      <c r="J323" s="10"/>
      <c r="K323" s="8"/>
      <c r="L323" s="8"/>
      <c r="M323" s="6"/>
      <c r="N323" s="7"/>
      <c r="O323" s="32"/>
      <c r="P323" s="32"/>
      <c r="Q323" s="102"/>
      <c r="R323" s="94"/>
      <c r="S323" s="32"/>
    </row>
    <row r="324" spans="1:19" x14ac:dyDescent="0.25">
      <c r="A324" s="9"/>
      <c r="B324" s="88"/>
      <c r="C324" s="88"/>
      <c r="D324" s="30"/>
      <c r="E324" s="28"/>
      <c r="F324" s="8"/>
      <c r="G324" s="8"/>
      <c r="H324" s="8"/>
      <c r="I324" s="8"/>
      <c r="J324" s="10"/>
      <c r="K324" s="8"/>
      <c r="L324" s="8"/>
      <c r="M324" s="6"/>
      <c r="N324" s="7"/>
      <c r="O324" s="32"/>
      <c r="P324" s="32"/>
      <c r="Q324" s="102"/>
      <c r="R324" s="94"/>
      <c r="S324" s="32"/>
    </row>
    <row r="325" spans="1:19" x14ac:dyDescent="0.25">
      <c r="A325" s="9"/>
      <c r="B325" s="88"/>
      <c r="C325" s="88"/>
      <c r="D325" s="30"/>
      <c r="E325" s="28"/>
      <c r="F325" s="8"/>
      <c r="G325" s="8"/>
      <c r="H325" s="8"/>
      <c r="I325" s="8"/>
      <c r="J325" s="10"/>
      <c r="K325" s="8"/>
      <c r="L325" s="8"/>
      <c r="M325" s="6"/>
      <c r="N325" s="7"/>
      <c r="O325" s="32"/>
      <c r="P325" s="32"/>
      <c r="Q325" s="102"/>
      <c r="R325" s="94"/>
      <c r="S325" s="32"/>
    </row>
    <row r="326" spans="1:19" x14ac:dyDescent="0.25">
      <c r="A326" s="9"/>
      <c r="B326" s="88"/>
      <c r="C326" s="88"/>
      <c r="D326" s="30"/>
      <c r="E326" s="28"/>
      <c r="F326" s="8"/>
      <c r="G326" s="8"/>
      <c r="H326" s="8"/>
      <c r="I326" s="8"/>
      <c r="J326" s="10"/>
      <c r="K326" s="8"/>
      <c r="L326" s="8"/>
      <c r="M326" s="6"/>
      <c r="N326" s="7"/>
      <c r="O326" s="32"/>
      <c r="P326" s="32"/>
      <c r="Q326" s="102"/>
      <c r="R326" s="94"/>
      <c r="S326" s="32"/>
    </row>
    <row r="327" spans="1:19" x14ac:dyDescent="0.25">
      <c r="A327" s="9"/>
      <c r="B327" s="88"/>
      <c r="C327" s="88"/>
      <c r="D327" s="30"/>
      <c r="E327" s="28"/>
      <c r="F327" s="8"/>
      <c r="G327" s="8"/>
      <c r="H327" s="8"/>
      <c r="I327" s="8"/>
      <c r="J327" s="10"/>
      <c r="K327" s="8"/>
      <c r="L327" s="8"/>
      <c r="M327" s="6"/>
      <c r="N327" s="7"/>
      <c r="O327" s="32"/>
      <c r="P327" s="32"/>
      <c r="Q327" s="102"/>
      <c r="R327" s="94"/>
      <c r="S327" s="32"/>
    </row>
    <row r="328" spans="1:19" x14ac:dyDescent="0.25">
      <c r="A328" s="9"/>
      <c r="B328" s="88"/>
      <c r="C328" s="88"/>
      <c r="D328" s="30"/>
      <c r="E328" s="28"/>
      <c r="F328" s="8"/>
      <c r="G328" s="8"/>
      <c r="H328" s="8"/>
      <c r="I328" s="8"/>
      <c r="J328" s="10"/>
      <c r="K328" s="8"/>
      <c r="L328" s="8"/>
      <c r="M328" s="6"/>
      <c r="N328" s="7"/>
      <c r="O328" s="32"/>
      <c r="P328" s="32"/>
      <c r="Q328" s="102"/>
      <c r="R328" s="94"/>
      <c r="S328" s="32"/>
    </row>
    <row r="329" spans="1:19" x14ac:dyDescent="0.25">
      <c r="A329" s="9"/>
      <c r="B329" s="88"/>
      <c r="C329" s="88"/>
      <c r="D329" s="30"/>
      <c r="E329" s="28"/>
      <c r="F329" s="8"/>
      <c r="G329" s="8"/>
      <c r="H329" s="8"/>
      <c r="I329" s="8"/>
      <c r="J329" s="10"/>
      <c r="K329" s="8"/>
      <c r="L329" s="8"/>
      <c r="M329" s="6"/>
      <c r="N329" s="7"/>
      <c r="O329" s="32"/>
      <c r="P329" s="32"/>
      <c r="Q329" s="102"/>
      <c r="R329" s="94"/>
      <c r="S329" s="32"/>
    </row>
    <row r="330" spans="1:19" x14ac:dyDescent="0.25">
      <c r="A330" s="9"/>
      <c r="B330" s="88"/>
      <c r="C330" s="88"/>
      <c r="D330" s="30"/>
      <c r="E330" s="28"/>
      <c r="F330" s="8"/>
      <c r="G330" s="8"/>
      <c r="H330" s="8"/>
      <c r="I330" s="8"/>
      <c r="J330" s="10"/>
      <c r="K330" s="8"/>
      <c r="L330" s="8"/>
      <c r="M330" s="6"/>
      <c r="N330" s="7"/>
      <c r="O330" s="32"/>
      <c r="P330" s="32"/>
      <c r="Q330" s="102"/>
      <c r="R330" s="94"/>
      <c r="S330" s="32"/>
    </row>
    <row r="331" spans="1:19" x14ac:dyDescent="0.25">
      <c r="A331" s="9"/>
      <c r="B331" s="88"/>
      <c r="C331" s="88"/>
      <c r="D331" s="30"/>
      <c r="E331" s="28"/>
      <c r="F331" s="8"/>
      <c r="G331" s="8"/>
      <c r="H331" s="8"/>
      <c r="I331" s="8"/>
      <c r="J331" s="8"/>
      <c r="K331" s="8"/>
      <c r="L331" s="8"/>
      <c r="M331" s="6"/>
      <c r="N331" s="7"/>
      <c r="O331" s="32"/>
      <c r="P331" s="32"/>
      <c r="Q331" s="102"/>
      <c r="R331" s="94"/>
      <c r="S331" s="17"/>
    </row>
    <row r="332" spans="1:19" x14ac:dyDescent="0.25">
      <c r="A332" s="9"/>
      <c r="B332" s="88"/>
      <c r="C332" s="88"/>
      <c r="D332" s="30"/>
      <c r="E332" s="28"/>
      <c r="F332" s="8"/>
      <c r="G332" s="8"/>
      <c r="H332" s="8"/>
      <c r="I332" s="8"/>
      <c r="J332" s="8"/>
      <c r="K332" s="8"/>
      <c r="L332" s="8"/>
      <c r="M332" s="6"/>
      <c r="N332" s="7"/>
      <c r="O332" s="32"/>
      <c r="P332" s="32"/>
      <c r="Q332" s="102"/>
      <c r="R332" s="94"/>
      <c r="S332" s="17"/>
    </row>
    <row r="333" spans="1:19" x14ac:dyDescent="0.25">
      <c r="A333" s="9"/>
      <c r="B333" s="88"/>
      <c r="C333" s="88"/>
      <c r="D333" s="30"/>
      <c r="E333" s="28"/>
      <c r="F333" s="8"/>
      <c r="G333" s="8"/>
      <c r="H333" s="8"/>
      <c r="I333" s="8"/>
      <c r="J333" s="8"/>
      <c r="K333" s="8"/>
      <c r="L333" s="8"/>
      <c r="M333" s="6"/>
      <c r="N333" s="7"/>
      <c r="O333" s="32"/>
      <c r="P333" s="32"/>
      <c r="Q333" s="102"/>
      <c r="R333" s="94"/>
      <c r="S333" s="17"/>
    </row>
    <row r="334" spans="1:19" x14ac:dyDescent="0.25">
      <c r="A334" s="9"/>
      <c r="B334" s="88"/>
      <c r="C334" s="88"/>
      <c r="D334" s="30"/>
      <c r="E334" s="28"/>
      <c r="F334" s="8"/>
      <c r="G334" s="8"/>
      <c r="H334" s="8"/>
      <c r="I334" s="8"/>
      <c r="J334" s="8"/>
      <c r="K334" s="8"/>
      <c r="L334" s="8"/>
      <c r="M334" s="6"/>
      <c r="N334" s="7"/>
      <c r="O334" s="32"/>
      <c r="P334" s="32"/>
      <c r="Q334" s="102"/>
      <c r="R334" s="94"/>
      <c r="S334" s="17"/>
    </row>
    <row r="335" spans="1:19" x14ac:dyDescent="0.25">
      <c r="A335" s="9"/>
      <c r="B335" s="88"/>
      <c r="C335" s="88"/>
      <c r="D335" s="30"/>
      <c r="E335" s="28"/>
      <c r="F335" s="8"/>
      <c r="G335" s="8"/>
      <c r="H335" s="8"/>
      <c r="I335" s="8"/>
      <c r="J335" s="8"/>
      <c r="K335" s="8"/>
      <c r="L335" s="8"/>
      <c r="M335" s="6"/>
      <c r="N335" s="7"/>
      <c r="O335" s="32"/>
      <c r="P335" s="32"/>
      <c r="Q335" s="102"/>
      <c r="R335" s="94"/>
      <c r="S335" s="17"/>
    </row>
    <row r="336" spans="1:19" x14ac:dyDescent="0.25">
      <c r="A336" s="9"/>
      <c r="B336" s="88"/>
      <c r="C336" s="88"/>
      <c r="D336" s="30"/>
      <c r="E336" s="28"/>
      <c r="F336" s="8"/>
      <c r="G336" s="8"/>
      <c r="H336" s="8"/>
      <c r="I336" s="8"/>
      <c r="J336" s="8"/>
      <c r="K336" s="8"/>
      <c r="L336" s="8"/>
      <c r="M336" s="6"/>
      <c r="N336" s="7"/>
      <c r="O336" s="32"/>
      <c r="P336" s="32"/>
      <c r="Q336" s="102"/>
      <c r="R336" s="94"/>
      <c r="S336" s="17"/>
    </row>
    <row r="337" spans="1:19" x14ac:dyDescent="0.25">
      <c r="A337" s="9"/>
      <c r="B337" s="88"/>
      <c r="C337" s="88"/>
      <c r="D337" s="30"/>
      <c r="E337" s="28"/>
      <c r="F337" s="8"/>
      <c r="G337" s="8"/>
      <c r="H337" s="8"/>
      <c r="I337" s="8"/>
      <c r="J337" s="8"/>
      <c r="K337" s="8"/>
      <c r="L337" s="8"/>
      <c r="M337" s="6"/>
      <c r="N337" s="7"/>
      <c r="O337" s="32"/>
      <c r="P337" s="32"/>
      <c r="Q337" s="102"/>
      <c r="R337" s="94"/>
      <c r="S337" s="17"/>
    </row>
    <row r="338" spans="1:19" x14ac:dyDescent="0.25">
      <c r="A338" s="9"/>
      <c r="B338" s="88"/>
      <c r="C338" s="88"/>
      <c r="D338" s="30"/>
      <c r="E338" s="28"/>
      <c r="F338" s="8"/>
      <c r="G338" s="8"/>
      <c r="H338" s="8"/>
      <c r="I338" s="8"/>
      <c r="J338" s="8"/>
      <c r="K338" s="8"/>
      <c r="L338" s="8"/>
      <c r="M338" s="6"/>
      <c r="N338" s="7"/>
      <c r="O338" s="32"/>
      <c r="P338" s="32"/>
      <c r="Q338" s="102"/>
      <c r="R338" s="94"/>
      <c r="S338" s="17"/>
    </row>
    <row r="339" spans="1:19" x14ac:dyDescent="0.25">
      <c r="A339" s="9"/>
      <c r="B339" s="88"/>
      <c r="C339" s="88"/>
      <c r="D339" s="30"/>
      <c r="E339" s="28"/>
      <c r="F339" s="8"/>
      <c r="G339" s="8"/>
      <c r="H339" s="8"/>
      <c r="I339" s="8"/>
      <c r="J339" s="8"/>
      <c r="K339" s="8"/>
      <c r="L339" s="8"/>
      <c r="M339" s="6"/>
      <c r="N339" s="7"/>
      <c r="O339" s="32"/>
      <c r="P339" s="32"/>
      <c r="Q339" s="102"/>
      <c r="R339" s="94"/>
      <c r="S339" s="17"/>
    </row>
    <row r="340" spans="1:19" x14ac:dyDescent="0.25">
      <c r="A340" s="9"/>
      <c r="B340" s="88"/>
      <c r="C340" s="88"/>
      <c r="D340" s="30"/>
      <c r="E340" s="28"/>
      <c r="F340" s="8"/>
      <c r="G340" s="8"/>
      <c r="H340" s="8"/>
      <c r="I340" s="8"/>
      <c r="J340" s="10"/>
      <c r="K340" s="8"/>
      <c r="L340" s="8"/>
      <c r="M340" s="6"/>
      <c r="N340" s="7"/>
      <c r="O340" s="32"/>
      <c r="P340" s="32"/>
      <c r="Q340" s="102"/>
      <c r="R340" s="94"/>
      <c r="S340" s="32"/>
    </row>
    <row r="341" spans="1:19" x14ac:dyDescent="0.25">
      <c r="A341" s="9"/>
      <c r="B341" s="88"/>
      <c r="C341" s="88"/>
      <c r="D341" s="30"/>
      <c r="E341" s="28"/>
      <c r="F341" s="8"/>
      <c r="G341" s="8"/>
      <c r="H341" s="8"/>
      <c r="I341" s="8"/>
      <c r="J341" s="10"/>
      <c r="K341" s="8"/>
      <c r="L341" s="8"/>
      <c r="M341" s="6"/>
      <c r="N341" s="7"/>
      <c r="O341" s="32"/>
      <c r="P341" s="32"/>
      <c r="Q341" s="102"/>
      <c r="R341" s="94"/>
      <c r="S341" s="32"/>
    </row>
    <row r="342" spans="1:19" x14ac:dyDescent="0.25">
      <c r="A342" s="9"/>
      <c r="B342" s="88"/>
      <c r="C342" s="88"/>
      <c r="D342" s="30"/>
      <c r="E342" s="28"/>
      <c r="F342" s="8"/>
      <c r="G342" s="8"/>
      <c r="H342" s="8"/>
      <c r="I342" s="8"/>
      <c r="J342" s="10"/>
      <c r="K342" s="8"/>
      <c r="L342" s="8"/>
      <c r="M342" s="6"/>
      <c r="N342" s="7"/>
      <c r="O342" s="32"/>
      <c r="P342" s="32"/>
      <c r="Q342" s="102"/>
      <c r="R342" s="94"/>
      <c r="S342" s="32"/>
    </row>
    <row r="343" spans="1:19" x14ac:dyDescent="0.25">
      <c r="A343" s="9"/>
      <c r="B343" s="88"/>
      <c r="C343" s="88"/>
      <c r="D343" s="30"/>
      <c r="E343" s="28"/>
      <c r="F343" s="8"/>
      <c r="G343" s="8"/>
      <c r="H343" s="8"/>
      <c r="I343" s="8"/>
      <c r="J343" s="10"/>
      <c r="K343" s="8"/>
      <c r="L343" s="8"/>
      <c r="M343" s="6"/>
      <c r="N343" s="7"/>
      <c r="O343" s="32"/>
      <c r="P343" s="32"/>
      <c r="Q343" s="102"/>
      <c r="R343" s="94"/>
      <c r="S343" s="32"/>
    </row>
    <row r="344" spans="1:19" x14ac:dyDescent="0.25">
      <c r="A344" s="9"/>
      <c r="B344" s="88"/>
      <c r="C344" s="88"/>
      <c r="D344" s="30"/>
      <c r="E344" s="28"/>
      <c r="F344" s="8"/>
      <c r="G344" s="8"/>
      <c r="H344" s="8"/>
      <c r="I344" s="8"/>
      <c r="J344" s="10"/>
      <c r="K344" s="8"/>
      <c r="L344" s="8"/>
      <c r="M344" s="6"/>
      <c r="N344" s="7"/>
      <c r="O344" s="32"/>
      <c r="P344" s="32"/>
      <c r="Q344" s="102"/>
      <c r="R344" s="94"/>
      <c r="S344" s="32"/>
    </row>
    <row r="345" spans="1:19" x14ac:dyDescent="0.25">
      <c r="A345" s="9"/>
      <c r="B345" s="88"/>
      <c r="C345" s="88"/>
      <c r="D345" s="30"/>
      <c r="E345" s="28"/>
      <c r="F345" s="8"/>
      <c r="G345" s="8"/>
      <c r="H345" s="8"/>
      <c r="I345" s="8"/>
      <c r="J345" s="10"/>
      <c r="K345" s="8"/>
      <c r="L345" s="8"/>
      <c r="M345" s="6"/>
      <c r="N345" s="7"/>
      <c r="O345" s="32"/>
      <c r="P345" s="32"/>
      <c r="Q345" s="102"/>
      <c r="R345" s="94"/>
      <c r="S345" s="32"/>
    </row>
    <row r="346" spans="1:19" x14ac:dyDescent="0.25">
      <c r="A346" s="9"/>
      <c r="B346" s="88"/>
      <c r="C346" s="88"/>
      <c r="D346" s="30"/>
      <c r="E346" s="28"/>
      <c r="F346" s="8"/>
      <c r="G346" s="8"/>
      <c r="H346" s="8"/>
      <c r="I346" s="8"/>
      <c r="J346" s="10"/>
      <c r="K346" s="8"/>
      <c r="L346" s="8"/>
      <c r="M346" s="6"/>
      <c r="N346" s="7"/>
      <c r="O346" s="32"/>
      <c r="P346" s="32"/>
      <c r="Q346" s="102"/>
      <c r="R346" s="94"/>
      <c r="S346" s="32"/>
    </row>
    <row r="347" spans="1:19" x14ac:dyDescent="0.25">
      <c r="A347" s="9"/>
      <c r="B347" s="88"/>
      <c r="C347" s="88"/>
      <c r="D347" s="30"/>
      <c r="E347" s="28"/>
      <c r="F347" s="8"/>
      <c r="G347" s="8"/>
      <c r="H347" s="8"/>
      <c r="I347" s="8"/>
      <c r="J347" s="10"/>
      <c r="K347" s="8"/>
      <c r="L347" s="8"/>
      <c r="M347" s="6"/>
      <c r="N347" s="7"/>
      <c r="O347" s="32"/>
      <c r="P347" s="32"/>
      <c r="Q347" s="102"/>
      <c r="R347" s="94"/>
      <c r="S347" s="32"/>
    </row>
    <row r="348" spans="1:19" x14ac:dyDescent="0.25">
      <c r="A348" s="9"/>
      <c r="B348" s="88"/>
      <c r="C348" s="88"/>
      <c r="D348" s="30"/>
      <c r="E348" s="28"/>
      <c r="F348" s="8"/>
      <c r="G348" s="8"/>
      <c r="H348" s="8"/>
      <c r="I348" s="8"/>
      <c r="J348" s="10"/>
      <c r="K348" s="8"/>
      <c r="L348" s="8"/>
      <c r="M348" s="6"/>
      <c r="N348" s="7"/>
      <c r="O348" s="32"/>
      <c r="P348" s="32"/>
      <c r="Q348" s="102"/>
      <c r="R348" s="94"/>
      <c r="S348" s="32"/>
    </row>
    <row r="349" spans="1:19" x14ac:dyDescent="0.25">
      <c r="A349" s="9"/>
      <c r="B349" s="88"/>
      <c r="C349" s="88"/>
      <c r="D349" s="30"/>
      <c r="E349" s="28"/>
      <c r="F349" s="8"/>
      <c r="G349" s="8"/>
      <c r="H349" s="8"/>
      <c r="I349" s="8"/>
      <c r="J349" s="10"/>
      <c r="K349" s="8"/>
      <c r="L349" s="8"/>
      <c r="M349" s="6"/>
      <c r="N349" s="7"/>
      <c r="O349" s="32"/>
      <c r="P349" s="32"/>
      <c r="Q349" s="102"/>
      <c r="R349" s="94"/>
      <c r="S349" s="32"/>
    </row>
    <row r="350" spans="1:19" x14ac:dyDescent="0.25">
      <c r="A350" s="9"/>
      <c r="B350" s="88"/>
      <c r="C350" s="88"/>
      <c r="D350" s="30"/>
      <c r="E350" s="28"/>
      <c r="F350" s="8"/>
      <c r="G350" s="8"/>
      <c r="H350" s="8"/>
      <c r="I350" s="8"/>
      <c r="J350" s="10"/>
      <c r="K350" s="8"/>
      <c r="L350" s="8"/>
      <c r="M350" s="6"/>
      <c r="N350" s="7"/>
      <c r="O350" s="32"/>
      <c r="P350" s="32"/>
      <c r="Q350" s="102"/>
      <c r="R350" s="94"/>
      <c r="S350" s="32"/>
    </row>
    <row r="351" spans="1:19" x14ac:dyDescent="0.25">
      <c r="A351" s="9"/>
      <c r="B351" s="88"/>
      <c r="C351" s="88"/>
      <c r="D351" s="30"/>
      <c r="E351" s="28"/>
      <c r="F351" s="8"/>
      <c r="G351" s="8"/>
      <c r="H351" s="8"/>
      <c r="I351" s="8"/>
      <c r="J351" s="8"/>
      <c r="K351" s="8"/>
      <c r="L351" s="8"/>
      <c r="M351" s="6"/>
      <c r="N351" s="7"/>
      <c r="O351" s="32"/>
      <c r="P351" s="32"/>
      <c r="Q351" s="102"/>
      <c r="R351" s="94"/>
      <c r="S351" s="17"/>
    </row>
    <row r="352" spans="1:19" x14ac:dyDescent="0.25">
      <c r="A352" s="9"/>
      <c r="B352" s="88"/>
      <c r="C352" s="88"/>
      <c r="D352" s="30"/>
      <c r="E352" s="28"/>
      <c r="F352" s="8"/>
      <c r="G352" s="8"/>
      <c r="H352" s="8"/>
      <c r="I352" s="8"/>
      <c r="J352" s="8"/>
      <c r="K352" s="8"/>
      <c r="L352" s="8"/>
      <c r="M352" s="6"/>
      <c r="N352" s="7"/>
      <c r="O352" s="32"/>
      <c r="P352" s="32"/>
      <c r="Q352" s="102"/>
      <c r="R352" s="94"/>
      <c r="S352" s="17"/>
    </row>
    <row r="353" spans="1:19" x14ac:dyDescent="0.25">
      <c r="A353" s="9"/>
      <c r="B353" s="88"/>
      <c r="C353" s="88"/>
      <c r="D353" s="30"/>
      <c r="E353" s="28"/>
      <c r="F353" s="8"/>
      <c r="G353" s="8"/>
      <c r="H353" s="8"/>
      <c r="I353" s="8"/>
      <c r="J353" s="8"/>
      <c r="K353" s="8"/>
      <c r="L353" s="8"/>
      <c r="M353" s="6"/>
      <c r="N353" s="7"/>
      <c r="O353" s="32"/>
      <c r="P353" s="32"/>
      <c r="Q353" s="102"/>
      <c r="R353" s="94"/>
      <c r="S353" s="17"/>
    </row>
    <row r="354" spans="1:19" x14ac:dyDescent="0.25">
      <c r="A354" s="9"/>
      <c r="B354" s="88"/>
      <c r="C354" s="88"/>
      <c r="D354" s="30"/>
      <c r="E354" s="28"/>
      <c r="F354" s="8"/>
      <c r="G354" s="8"/>
      <c r="H354" s="8"/>
      <c r="I354" s="8"/>
      <c r="J354" s="8"/>
      <c r="K354" s="8"/>
      <c r="L354" s="8"/>
      <c r="M354" s="6"/>
      <c r="N354" s="7"/>
      <c r="O354" s="32"/>
      <c r="P354" s="32"/>
      <c r="Q354" s="102"/>
      <c r="R354" s="94"/>
      <c r="S354" s="17"/>
    </row>
    <row r="355" spans="1:19" x14ac:dyDescent="0.25">
      <c r="A355" s="9"/>
      <c r="B355" s="88"/>
      <c r="C355" s="88"/>
      <c r="D355" s="30"/>
      <c r="E355" s="28"/>
      <c r="F355" s="8"/>
      <c r="G355" s="8"/>
      <c r="H355" s="8"/>
      <c r="I355" s="8"/>
      <c r="J355" s="8"/>
      <c r="K355" s="8"/>
      <c r="L355" s="8"/>
      <c r="M355" s="6"/>
      <c r="N355" s="7"/>
      <c r="O355" s="32"/>
      <c r="P355" s="32"/>
      <c r="Q355" s="102"/>
      <c r="R355" s="94"/>
      <c r="S355" s="17"/>
    </row>
    <row r="356" spans="1:19" x14ac:dyDescent="0.25">
      <c r="A356" s="9"/>
      <c r="B356" s="88"/>
      <c r="C356" s="88"/>
      <c r="D356" s="30"/>
      <c r="E356" s="28"/>
      <c r="F356" s="8"/>
      <c r="G356" s="8"/>
      <c r="H356" s="8"/>
      <c r="I356" s="8"/>
      <c r="J356" s="8"/>
      <c r="K356" s="8"/>
      <c r="L356" s="8"/>
      <c r="M356" s="6"/>
      <c r="N356" s="7"/>
      <c r="O356" s="32"/>
      <c r="P356" s="32"/>
      <c r="Q356" s="102"/>
      <c r="R356" s="94"/>
      <c r="S356" s="17"/>
    </row>
    <row r="357" spans="1:19" x14ac:dyDescent="0.25">
      <c r="A357" s="9"/>
      <c r="B357" s="88"/>
      <c r="C357" s="88"/>
      <c r="D357" s="30"/>
      <c r="E357" s="28"/>
      <c r="F357" s="8"/>
      <c r="G357" s="8"/>
      <c r="H357" s="8"/>
      <c r="I357" s="8"/>
      <c r="J357" s="8"/>
      <c r="K357" s="8"/>
      <c r="L357" s="8"/>
      <c r="M357" s="6"/>
      <c r="N357" s="7"/>
      <c r="O357" s="32"/>
      <c r="P357" s="32"/>
      <c r="Q357" s="102"/>
      <c r="R357" s="94"/>
      <c r="S357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transfert">
                <anchor moveWithCells="1" sizeWithCells="1">
                  <from>
                    <xdr:col>6</xdr:col>
                    <xdr:colOff>333375</xdr:colOff>
                    <xdr:row>5</xdr:row>
                    <xdr:rowOff>76200</xdr:rowOff>
                  </from>
                  <to>
                    <xdr:col>10</xdr:col>
                    <xdr:colOff>342900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A1:T4"/>
  <sheetViews>
    <sheetView zoomScaleNormal="100" zoomScaleSheetLayoutView="70" workbookViewId="0">
      <pane xSplit="10" ySplit="3" topLeftCell="K4" activePane="bottomRight" state="frozen"/>
      <selection activeCell="H9" sqref="H9"/>
      <selection pane="topRight" activeCell="H9" sqref="H9"/>
      <selection pane="bottomLeft" activeCell="H9" sqref="H9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5" style="18" bestFit="1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33.75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81" t="s">
        <v>347</v>
      </c>
      <c r="N2" s="81" t="s">
        <v>401</v>
      </c>
      <c r="O2" s="81" t="s">
        <v>20</v>
      </c>
      <c r="P2" s="84" t="s">
        <v>620</v>
      </c>
      <c r="Q2" s="81" t="s">
        <v>414</v>
      </c>
      <c r="R2" s="97" t="s">
        <v>633</v>
      </c>
      <c r="S2" s="15">
        <f>SUMPRODUCT($N4:$N4,R4:R4)</f>
        <v>1620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80" t="s">
        <v>5</v>
      </c>
      <c r="G3" s="80" t="s">
        <v>6</v>
      </c>
      <c r="H3" s="141"/>
      <c r="I3" s="141"/>
      <c r="J3" s="141"/>
      <c r="K3" s="141"/>
      <c r="L3" s="141"/>
      <c r="M3" s="19">
        <f>SUM(M4:M4)</f>
        <v>36</v>
      </c>
      <c r="N3" s="101">
        <f>SUM(N4:N4)</f>
        <v>1620</v>
      </c>
      <c r="O3" s="103">
        <f>SUM(O4:O4)+S3</f>
        <v>48</v>
      </c>
      <c r="P3" s="37"/>
      <c r="Q3" s="15">
        <f>SUM(Q4:Q4)</f>
        <v>0</v>
      </c>
      <c r="R3" s="100">
        <f>S2/N3</f>
        <v>1</v>
      </c>
      <c r="S3" s="15">
        <f>SUM(S4:S4)</f>
        <v>0</v>
      </c>
    </row>
    <row r="4" spans="1:20" s="3" customFormat="1" ht="18" customHeight="1" x14ac:dyDescent="0.25">
      <c r="A4" s="9">
        <v>112</v>
      </c>
      <c r="B4" s="88"/>
      <c r="C4" s="88">
        <v>300</v>
      </c>
      <c r="D4" s="30"/>
      <c r="E4" s="29"/>
      <c r="F4" s="8" t="s">
        <v>571</v>
      </c>
      <c r="G4" s="8" t="s">
        <v>570</v>
      </c>
      <c r="H4" s="8">
        <v>1</v>
      </c>
      <c r="I4" s="8">
        <v>300</v>
      </c>
      <c r="J4" s="10" t="s">
        <v>533</v>
      </c>
      <c r="K4" s="13" t="s">
        <v>498</v>
      </c>
      <c r="L4" s="13" t="s">
        <v>569</v>
      </c>
      <c r="M4" s="32">
        <v>36</v>
      </c>
      <c r="N4" s="102">
        <f>M4*45</f>
        <v>1620</v>
      </c>
      <c r="O4" s="104">
        <v>48</v>
      </c>
      <c r="P4" s="93"/>
      <c r="Q4" s="32" t="s">
        <v>415</v>
      </c>
      <c r="R4" s="99">
        <v>1</v>
      </c>
      <c r="S4" s="17"/>
      <c r="T4" s="4"/>
    </row>
  </sheetData>
  <autoFilter ref="A3:S4">
    <sortState ref="A5:AC176">
      <sortCondition ref="A3:A176"/>
    </sortState>
  </autoFilter>
  <mergeCells count="9">
    <mergeCell ref="K2:K3"/>
    <mergeCell ref="L2:L3"/>
    <mergeCell ref="E2:E3"/>
    <mergeCell ref="A2:A3"/>
    <mergeCell ref="H2:H3"/>
    <mergeCell ref="I2:I3"/>
    <mergeCell ref="J2:J3"/>
    <mergeCell ref="B2:B3"/>
    <mergeCell ref="D2:D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T57"/>
  <sheetViews>
    <sheetView zoomScaleNormal="100" zoomScaleSheetLayoutView="70" workbookViewId="0">
      <pane xSplit="10" ySplit="3" topLeftCell="L19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13.229330558858502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SUMPRODUCT(N4:N207,R4:R207)</f>
        <v>21127.534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SUM(M4:M57)</f>
        <v>577.39000000000021</v>
      </c>
      <c r="N3" s="19">
        <f>SUM(N4:N57)</f>
        <v>22251.734</v>
      </c>
      <c r="O3" s="19">
        <f>SUM(O4:O57)+S3</f>
        <v>1682</v>
      </c>
      <c r="P3" s="37"/>
      <c r="Q3" s="15">
        <f>SUM(Q4:Q57)</f>
        <v>0</v>
      </c>
      <c r="R3" s="100">
        <f>S2/N3</f>
        <v>0.94947809460602028</v>
      </c>
      <c r="S3" s="15">
        <f>SUM(S4:S57)</f>
        <v>0</v>
      </c>
    </row>
    <row r="4" spans="1:20" s="3" customFormat="1" ht="18" customHeight="1" x14ac:dyDescent="0.25">
      <c r="A4" s="14">
        <v>1</v>
      </c>
      <c r="B4" s="88" t="s">
        <v>436</v>
      </c>
      <c r="C4" s="88"/>
      <c r="D4" s="30">
        <v>42355</v>
      </c>
      <c r="E4" s="29">
        <v>42359</v>
      </c>
      <c r="F4" s="8" t="s">
        <v>327</v>
      </c>
      <c r="G4" s="8" t="s">
        <v>370</v>
      </c>
      <c r="H4" s="25">
        <v>2</v>
      </c>
      <c r="I4" s="11">
        <v>250</v>
      </c>
      <c r="J4" s="13" t="s">
        <v>23</v>
      </c>
      <c r="K4" s="13" t="s">
        <v>21</v>
      </c>
      <c r="L4" s="13" t="s">
        <v>22</v>
      </c>
      <c r="M4" s="32">
        <v>33</v>
      </c>
      <c r="N4" s="32">
        <f>M4*40</f>
        <v>1320</v>
      </c>
      <c r="O4" s="102">
        <v>40</v>
      </c>
      <c r="P4" s="26"/>
      <c r="Q4" s="17" t="s">
        <v>415</v>
      </c>
      <c r="R4" s="105">
        <v>1</v>
      </c>
      <c r="S4" s="17"/>
    </row>
    <row r="5" spans="1:20" s="3" customFormat="1" ht="18" customHeight="1" x14ac:dyDescent="0.25">
      <c r="A5" s="9">
        <v>2</v>
      </c>
      <c r="B5" s="88" t="s">
        <v>435</v>
      </c>
      <c r="C5" s="88"/>
      <c r="D5" s="31">
        <v>42354</v>
      </c>
      <c r="E5" s="29">
        <v>42354</v>
      </c>
      <c r="F5" s="8" t="s">
        <v>370</v>
      </c>
      <c r="G5" s="8" t="s">
        <v>371</v>
      </c>
      <c r="H5" s="22" t="s">
        <v>372</v>
      </c>
      <c r="I5" s="8">
        <v>200</v>
      </c>
      <c r="J5" s="10" t="s">
        <v>26</v>
      </c>
      <c r="K5" s="13" t="s">
        <v>24</v>
      </c>
      <c r="L5" s="13" t="s">
        <v>25</v>
      </c>
      <c r="M5" s="32">
        <v>47</v>
      </c>
      <c r="N5" s="32">
        <f>M5*33</f>
        <v>1551</v>
      </c>
      <c r="O5" s="102">
        <v>40</v>
      </c>
      <c r="P5" s="26"/>
      <c r="Q5" s="17" t="s">
        <v>415</v>
      </c>
      <c r="R5" s="105">
        <v>1</v>
      </c>
      <c r="S5" s="17"/>
    </row>
    <row r="6" spans="1:20" s="3" customFormat="1" ht="18" customHeight="1" x14ac:dyDescent="0.25">
      <c r="A6" s="9">
        <v>3</v>
      </c>
      <c r="B6" s="88" t="s">
        <v>323</v>
      </c>
      <c r="C6" s="88"/>
      <c r="D6" s="30">
        <v>42313</v>
      </c>
      <c r="E6" s="29">
        <v>42318</v>
      </c>
      <c r="F6" s="8" t="s">
        <v>326</v>
      </c>
      <c r="G6" s="8" t="s">
        <v>327</v>
      </c>
      <c r="H6" s="22">
        <v>2</v>
      </c>
      <c r="I6" s="8">
        <v>250</v>
      </c>
      <c r="J6" s="13" t="s">
        <v>27</v>
      </c>
      <c r="K6" s="13" t="s">
        <v>315</v>
      </c>
      <c r="L6" s="13" t="s">
        <v>28</v>
      </c>
      <c r="M6" s="32">
        <v>9</v>
      </c>
      <c r="N6" s="32">
        <f>M6*40</f>
        <v>360</v>
      </c>
      <c r="O6" s="102">
        <v>20</v>
      </c>
      <c r="P6" s="26"/>
      <c r="Q6" s="17" t="s">
        <v>415</v>
      </c>
      <c r="R6" s="105">
        <v>1</v>
      </c>
      <c r="S6" s="17"/>
    </row>
    <row r="7" spans="1:20" s="3" customFormat="1" ht="18" customHeight="1" x14ac:dyDescent="0.25">
      <c r="A7" s="9">
        <v>4</v>
      </c>
      <c r="B7" s="88" t="s">
        <v>323</v>
      </c>
      <c r="C7" s="88"/>
      <c r="D7" s="30">
        <v>42313</v>
      </c>
      <c r="E7" s="29">
        <v>42318</v>
      </c>
      <c r="F7" s="11" t="s">
        <v>328</v>
      </c>
      <c r="G7" s="8" t="s">
        <v>327</v>
      </c>
      <c r="H7" s="22">
        <v>2</v>
      </c>
      <c r="I7" s="8">
        <v>200</v>
      </c>
      <c r="J7" s="13" t="s">
        <v>29</v>
      </c>
      <c r="K7" s="13" t="s">
        <v>315</v>
      </c>
      <c r="L7" s="13" t="s">
        <v>30</v>
      </c>
      <c r="M7" s="32">
        <v>3.1309999999999998</v>
      </c>
      <c r="N7" s="32">
        <f>M7*33</f>
        <v>103.32299999999999</v>
      </c>
      <c r="O7" s="102">
        <v>16</v>
      </c>
      <c r="P7" s="26"/>
      <c r="Q7" s="17" t="s">
        <v>415</v>
      </c>
      <c r="R7" s="105">
        <v>1</v>
      </c>
      <c r="S7" s="17"/>
      <c r="T7" s="4"/>
    </row>
    <row r="8" spans="1:20" s="3" customFormat="1" ht="18" customHeight="1" x14ac:dyDescent="0.25">
      <c r="A8" s="9">
        <v>5</v>
      </c>
      <c r="B8" s="88" t="s">
        <v>323</v>
      </c>
      <c r="C8" s="88"/>
      <c r="D8" s="30">
        <v>42313</v>
      </c>
      <c r="E8" s="29">
        <v>42318</v>
      </c>
      <c r="F8" s="8" t="s">
        <v>329</v>
      </c>
      <c r="G8" s="8" t="s">
        <v>326</v>
      </c>
      <c r="H8" s="22">
        <v>2</v>
      </c>
      <c r="I8" s="8">
        <v>200</v>
      </c>
      <c r="J8" s="10" t="s">
        <v>31</v>
      </c>
      <c r="K8" s="13" t="s">
        <v>315</v>
      </c>
      <c r="L8" s="13" t="s">
        <v>32</v>
      </c>
      <c r="M8" s="32">
        <v>2.8210000000000002</v>
      </c>
      <c r="N8" s="32">
        <f>M8*33</f>
        <v>93.093000000000004</v>
      </c>
      <c r="O8" s="102">
        <v>16</v>
      </c>
      <c r="P8" s="26"/>
      <c r="Q8" s="17" t="s">
        <v>415</v>
      </c>
      <c r="R8" s="105">
        <v>1</v>
      </c>
      <c r="S8" s="17"/>
      <c r="T8" s="4"/>
    </row>
    <row r="9" spans="1:20" s="3" customFormat="1" ht="18" customHeight="1" x14ac:dyDescent="0.25">
      <c r="A9" s="9">
        <v>6</v>
      </c>
      <c r="B9" s="88" t="s">
        <v>323</v>
      </c>
      <c r="C9" s="88"/>
      <c r="D9" s="30">
        <v>42324</v>
      </c>
      <c r="E9" s="29">
        <v>42327</v>
      </c>
      <c r="F9" s="8" t="s">
        <v>336</v>
      </c>
      <c r="G9" s="8" t="s">
        <v>326</v>
      </c>
      <c r="H9" s="22">
        <v>2</v>
      </c>
      <c r="I9" s="8">
        <v>200</v>
      </c>
      <c r="J9" s="13" t="s">
        <v>33</v>
      </c>
      <c r="K9" s="13" t="s">
        <v>315</v>
      </c>
      <c r="L9" s="13" t="s">
        <v>34</v>
      </c>
      <c r="M9" s="32">
        <v>10.706</v>
      </c>
      <c r="N9" s="32">
        <f>M9*33</f>
        <v>353.298</v>
      </c>
      <c r="O9" s="102">
        <f>8*2</f>
        <v>16</v>
      </c>
      <c r="P9" s="26"/>
      <c r="Q9" s="17" t="s">
        <v>415</v>
      </c>
      <c r="R9" s="105">
        <v>1</v>
      </c>
      <c r="S9" s="17"/>
      <c r="T9" s="4"/>
    </row>
    <row r="10" spans="1:20" s="3" customFormat="1" ht="18" customHeight="1" x14ac:dyDescent="0.25">
      <c r="A10" s="9">
        <v>7</v>
      </c>
      <c r="B10" s="88">
        <v>2</v>
      </c>
      <c r="C10" s="88"/>
      <c r="D10" s="30">
        <v>42311</v>
      </c>
      <c r="E10" s="29">
        <v>42312</v>
      </c>
      <c r="F10" s="8" t="s">
        <v>313</v>
      </c>
      <c r="G10" s="8" t="s">
        <v>314</v>
      </c>
      <c r="H10" s="22">
        <v>2</v>
      </c>
      <c r="I10" s="8">
        <v>200</v>
      </c>
      <c r="J10" s="13" t="s">
        <v>35</v>
      </c>
      <c r="K10" s="13" t="s">
        <v>36</v>
      </c>
      <c r="L10" s="13" t="s">
        <v>37</v>
      </c>
      <c r="M10" s="32">
        <f>1.72+1.18</f>
        <v>2.9</v>
      </c>
      <c r="N10" s="32">
        <f>M10*33</f>
        <v>95.7</v>
      </c>
      <c r="O10" s="102">
        <v>28</v>
      </c>
      <c r="P10" s="26"/>
      <c r="Q10" s="17" t="s">
        <v>415</v>
      </c>
      <c r="R10" s="105">
        <v>1</v>
      </c>
      <c r="S10" s="17"/>
      <c r="T10" s="4"/>
    </row>
    <row r="11" spans="1:20" s="3" customFormat="1" ht="18" customHeight="1" x14ac:dyDescent="0.25">
      <c r="A11" s="9">
        <v>8</v>
      </c>
      <c r="B11" s="88">
        <v>2</v>
      </c>
      <c r="C11" s="88"/>
      <c r="D11" s="30">
        <v>42311</v>
      </c>
      <c r="E11" s="29">
        <v>42312</v>
      </c>
      <c r="F11" s="8" t="s">
        <v>316</v>
      </c>
      <c r="G11" s="8" t="s">
        <v>314</v>
      </c>
      <c r="H11" s="22">
        <v>2</v>
      </c>
      <c r="I11" s="8">
        <v>100</v>
      </c>
      <c r="J11" s="10" t="s">
        <v>38</v>
      </c>
      <c r="K11" s="13" t="s">
        <v>39</v>
      </c>
      <c r="L11" s="13" t="s">
        <v>40</v>
      </c>
      <c r="M11" s="32">
        <f>1.143+3.94+1.283</f>
        <v>6.3659999999999997</v>
      </c>
      <c r="N11" s="32">
        <f>M11*15</f>
        <v>95.49</v>
      </c>
      <c r="O11" s="102">
        <v>20</v>
      </c>
      <c r="P11" s="26"/>
      <c r="Q11" s="17" t="s">
        <v>415</v>
      </c>
      <c r="R11" s="105">
        <v>1</v>
      </c>
      <c r="S11" s="17"/>
      <c r="T11" s="4"/>
    </row>
    <row r="12" spans="1:20" s="3" customFormat="1" ht="18" customHeight="1" x14ac:dyDescent="0.25">
      <c r="A12" s="9">
        <v>9</v>
      </c>
      <c r="B12" s="88">
        <v>2</v>
      </c>
      <c r="C12" s="88"/>
      <c r="D12" s="30">
        <v>42311</v>
      </c>
      <c r="E12" s="29">
        <v>42312</v>
      </c>
      <c r="F12" s="8" t="s">
        <v>314</v>
      </c>
      <c r="G12" s="8" t="s">
        <v>317</v>
      </c>
      <c r="H12" s="22">
        <v>2</v>
      </c>
      <c r="I12" s="8">
        <v>200</v>
      </c>
      <c r="J12" s="13" t="s">
        <v>41</v>
      </c>
      <c r="K12" s="13" t="s">
        <v>42</v>
      </c>
      <c r="L12" s="13" t="s">
        <v>43</v>
      </c>
      <c r="M12" s="32">
        <f>4.02+1.15</f>
        <v>5.17</v>
      </c>
      <c r="N12" s="32">
        <f>M12*33</f>
        <v>170.60999999999999</v>
      </c>
      <c r="O12" s="102">
        <v>28</v>
      </c>
      <c r="P12" s="26"/>
      <c r="Q12" s="17" t="s">
        <v>415</v>
      </c>
      <c r="R12" s="105">
        <v>1</v>
      </c>
      <c r="S12" s="17"/>
      <c r="T12" s="4"/>
    </row>
    <row r="13" spans="1:20" s="3" customFormat="1" ht="18" customHeight="1" x14ac:dyDescent="0.25">
      <c r="A13" s="9">
        <v>10</v>
      </c>
      <c r="B13" s="88">
        <v>2</v>
      </c>
      <c r="C13" s="88"/>
      <c r="D13" s="30">
        <v>42306</v>
      </c>
      <c r="E13" s="29">
        <v>42312</v>
      </c>
      <c r="F13" s="8" t="s">
        <v>318</v>
      </c>
      <c r="G13" s="8" t="s">
        <v>314</v>
      </c>
      <c r="H13" s="22">
        <v>2</v>
      </c>
      <c r="I13" s="8">
        <v>150</v>
      </c>
      <c r="J13" s="13" t="s">
        <v>44</v>
      </c>
      <c r="K13" s="13" t="s">
        <v>45</v>
      </c>
      <c r="L13" s="13" t="s">
        <v>46</v>
      </c>
      <c r="M13" s="32">
        <f>1.18+3.73+0.94+3.6+2+0.763+1.46+0.424+1.77+1.193+((1.77+1.193+0.424)*3)</f>
        <v>27.220999999999997</v>
      </c>
      <c r="N13" s="32">
        <f>M13*23</f>
        <v>626.08299999999997</v>
      </c>
      <c r="O13" s="102">
        <v>102</v>
      </c>
      <c r="P13" s="26"/>
      <c r="Q13" s="17" t="s">
        <v>415</v>
      </c>
      <c r="R13" s="105">
        <v>1</v>
      </c>
      <c r="S13" s="17"/>
      <c r="T13" s="4"/>
    </row>
    <row r="14" spans="1:20" s="3" customFormat="1" ht="18" customHeight="1" x14ac:dyDescent="0.25">
      <c r="A14" s="9">
        <v>11</v>
      </c>
      <c r="B14" s="88">
        <v>1</v>
      </c>
      <c r="C14" s="88"/>
      <c r="D14" s="30">
        <v>42296</v>
      </c>
      <c r="E14" s="29">
        <v>42300</v>
      </c>
      <c r="F14" s="8" t="s">
        <v>306</v>
      </c>
      <c r="G14" s="8" t="s">
        <v>307</v>
      </c>
      <c r="H14" s="22">
        <v>2</v>
      </c>
      <c r="I14" s="8">
        <v>150</v>
      </c>
      <c r="J14" s="10" t="s">
        <v>47</v>
      </c>
      <c r="K14" s="13" t="s">
        <v>48</v>
      </c>
      <c r="L14" s="13" t="s">
        <v>49</v>
      </c>
      <c r="M14" s="32">
        <f>0.9+1.64+2.08+2.05+1.544+1.46+0.424*2+1.62*2+1.193*2+1.193+1.33+0.424</f>
        <v>19.094999999999999</v>
      </c>
      <c r="N14" s="32">
        <f>M14*23</f>
        <v>439.18499999999995</v>
      </c>
      <c r="O14" s="102">
        <v>78</v>
      </c>
      <c r="P14" s="26"/>
      <c r="Q14" s="17" t="s">
        <v>415</v>
      </c>
      <c r="R14" s="105">
        <v>1</v>
      </c>
      <c r="S14" s="16"/>
      <c r="T14" s="4"/>
    </row>
    <row r="15" spans="1:20" s="3" customFormat="1" ht="18" customHeight="1" x14ac:dyDescent="0.25">
      <c r="A15" s="9">
        <v>12</v>
      </c>
      <c r="B15" s="88">
        <v>1</v>
      </c>
      <c r="C15" s="88"/>
      <c r="D15" s="30">
        <v>42306</v>
      </c>
      <c r="E15" s="29">
        <v>42312</v>
      </c>
      <c r="F15" s="8" t="s">
        <v>311</v>
      </c>
      <c r="G15" s="8" t="s">
        <v>307</v>
      </c>
      <c r="H15" s="22">
        <v>2</v>
      </c>
      <c r="I15" s="8">
        <v>150</v>
      </c>
      <c r="J15" s="13" t="s">
        <v>50</v>
      </c>
      <c r="K15" s="13" t="s">
        <v>51</v>
      </c>
      <c r="L15" s="13" t="s">
        <v>52</v>
      </c>
      <c r="M15" s="32">
        <f>1+1.275+1.63+0.43+1.12+0.418+1.46+1.555*2+1.32+0.82+1.193*4+1.33*2+0.425*2</f>
        <v>20.865000000000002</v>
      </c>
      <c r="N15" s="32">
        <f>M15*23</f>
        <v>479.89500000000004</v>
      </c>
      <c r="O15" s="102">
        <v>96</v>
      </c>
      <c r="P15" s="26"/>
      <c r="Q15" s="17" t="s">
        <v>415</v>
      </c>
      <c r="R15" s="105">
        <v>1</v>
      </c>
      <c r="S15" s="17"/>
      <c r="T15" s="4"/>
    </row>
    <row r="16" spans="1:20" s="3" customFormat="1" ht="18" customHeight="1" x14ac:dyDescent="0.25">
      <c r="A16" s="9">
        <v>13</v>
      </c>
      <c r="B16" s="88">
        <v>1</v>
      </c>
      <c r="C16" s="88"/>
      <c r="D16" s="30">
        <v>42296</v>
      </c>
      <c r="E16" s="29">
        <v>42300</v>
      </c>
      <c r="F16" s="8" t="s">
        <v>308</v>
      </c>
      <c r="G16" s="8" t="s">
        <v>307</v>
      </c>
      <c r="H16" s="22">
        <v>2</v>
      </c>
      <c r="I16" s="8">
        <v>100</v>
      </c>
      <c r="J16" s="13" t="s">
        <v>53</v>
      </c>
      <c r="K16" s="13" t="s">
        <v>54</v>
      </c>
      <c r="L16" s="13" t="s">
        <v>55</v>
      </c>
      <c r="M16" s="32">
        <f>0.237+1.48+1.193</f>
        <v>2.91</v>
      </c>
      <c r="N16" s="32">
        <f>M16*15</f>
        <v>43.650000000000006</v>
      </c>
      <c r="O16" s="102">
        <v>22</v>
      </c>
      <c r="P16" s="26"/>
      <c r="Q16" s="17" t="s">
        <v>415</v>
      </c>
      <c r="R16" s="105">
        <v>1</v>
      </c>
      <c r="S16" s="16"/>
      <c r="T16" s="4"/>
    </row>
    <row r="17" spans="1:20" s="3" customFormat="1" ht="18" customHeight="1" x14ac:dyDescent="0.25">
      <c r="A17" s="9">
        <v>14</v>
      </c>
      <c r="B17" s="88">
        <v>1</v>
      </c>
      <c r="C17" s="88"/>
      <c r="D17" s="30">
        <v>42306</v>
      </c>
      <c r="E17" s="29">
        <v>42307</v>
      </c>
      <c r="F17" s="8" t="s">
        <v>312</v>
      </c>
      <c r="G17" s="8" t="s">
        <v>307</v>
      </c>
      <c r="H17" s="22">
        <v>2</v>
      </c>
      <c r="I17" s="8">
        <v>100</v>
      </c>
      <c r="J17" s="10" t="s">
        <v>56</v>
      </c>
      <c r="K17" s="13" t="s">
        <v>57</v>
      </c>
      <c r="L17" s="13" t="s">
        <v>58</v>
      </c>
      <c r="M17" s="32">
        <f>1.193+0.877+0.95+1.484+0.58+0.58+1.193</f>
        <v>6.8570000000000011</v>
      </c>
      <c r="N17" s="32">
        <f>M17*15</f>
        <v>102.85500000000002</v>
      </c>
      <c r="O17" s="102">
        <v>40</v>
      </c>
      <c r="P17" s="26"/>
      <c r="Q17" s="17" t="s">
        <v>415</v>
      </c>
      <c r="R17" s="105">
        <v>1</v>
      </c>
      <c r="S17" s="17"/>
      <c r="T17" s="4"/>
    </row>
    <row r="18" spans="1:20" s="3" customFormat="1" ht="18" customHeight="1" x14ac:dyDescent="0.25">
      <c r="A18" s="9">
        <v>15</v>
      </c>
      <c r="B18" s="88">
        <v>1</v>
      </c>
      <c r="C18" s="88"/>
      <c r="D18" s="30">
        <v>42296</v>
      </c>
      <c r="E18" s="29">
        <v>42300</v>
      </c>
      <c r="F18" s="8" t="s">
        <v>309</v>
      </c>
      <c r="G18" s="8" t="s">
        <v>307</v>
      </c>
      <c r="H18" s="22">
        <v>2</v>
      </c>
      <c r="I18" s="8">
        <v>100</v>
      </c>
      <c r="J18" s="13" t="s">
        <v>59</v>
      </c>
      <c r="K18" s="13" t="s">
        <v>60</v>
      </c>
      <c r="L18" s="13" t="s">
        <v>61</v>
      </c>
      <c r="M18" s="32">
        <f>0.93+2.204+1.145+1.443</f>
        <v>5.7219999999999995</v>
      </c>
      <c r="N18" s="32">
        <f>M18*15</f>
        <v>85.83</v>
      </c>
      <c r="O18" s="102">
        <v>24</v>
      </c>
      <c r="P18" s="26"/>
      <c r="Q18" s="17" t="s">
        <v>415</v>
      </c>
      <c r="R18" s="105">
        <v>1</v>
      </c>
      <c r="S18" s="16"/>
      <c r="T18" s="4"/>
    </row>
    <row r="19" spans="1:20" s="3" customFormat="1" ht="18" customHeight="1" x14ac:dyDescent="0.25">
      <c r="A19" s="9">
        <v>16</v>
      </c>
      <c r="B19" s="88">
        <v>2</v>
      </c>
      <c r="C19" s="88"/>
      <c r="D19" s="30">
        <v>42311</v>
      </c>
      <c r="E19" s="29">
        <v>42312</v>
      </c>
      <c r="F19" s="8" t="s">
        <v>307</v>
      </c>
      <c r="G19" s="8" t="s">
        <v>317</v>
      </c>
      <c r="H19" s="22">
        <v>2</v>
      </c>
      <c r="I19" s="8">
        <v>200</v>
      </c>
      <c r="J19" s="13" t="s">
        <v>62</v>
      </c>
      <c r="K19" s="13" t="s">
        <v>63</v>
      </c>
      <c r="L19" s="13" t="s">
        <v>64</v>
      </c>
      <c r="M19" s="32">
        <f>3.47+1.07</f>
        <v>4.54</v>
      </c>
      <c r="N19" s="32">
        <f>M19*33</f>
        <v>149.82</v>
      </c>
      <c r="O19" s="102">
        <v>28</v>
      </c>
      <c r="P19" s="26"/>
      <c r="Q19" s="17" t="s">
        <v>415</v>
      </c>
      <c r="R19" s="105">
        <v>1</v>
      </c>
      <c r="S19" s="17"/>
      <c r="T19" s="4"/>
    </row>
    <row r="20" spans="1:20" s="3" customFormat="1" ht="18" customHeight="1" x14ac:dyDescent="0.25">
      <c r="A20" s="9">
        <v>17</v>
      </c>
      <c r="B20" s="88">
        <v>2</v>
      </c>
      <c r="C20" s="88"/>
      <c r="D20" s="30">
        <v>42313</v>
      </c>
      <c r="E20" s="29">
        <v>42318</v>
      </c>
      <c r="F20" s="8" t="s">
        <v>330</v>
      </c>
      <c r="G20" s="8" t="s">
        <v>317</v>
      </c>
      <c r="H20" s="22">
        <v>2</v>
      </c>
      <c r="I20" s="8">
        <v>150</v>
      </c>
      <c r="J20" s="10" t="s">
        <v>65</v>
      </c>
      <c r="K20" s="13" t="s">
        <v>66</v>
      </c>
      <c r="L20" s="13" t="s">
        <v>67</v>
      </c>
      <c r="M20" s="32">
        <f>1.17+10.7+1.1+1.22+1.22+0.424+0.424+1.193+1.193</f>
        <v>18.644000000000002</v>
      </c>
      <c r="N20" s="32">
        <f>M20*23</f>
        <v>428.81200000000007</v>
      </c>
      <c r="O20" s="102">
        <v>66</v>
      </c>
      <c r="P20" s="26"/>
      <c r="Q20" s="17" t="s">
        <v>415</v>
      </c>
      <c r="R20" s="105">
        <v>1</v>
      </c>
      <c r="S20" s="17"/>
      <c r="T20" s="4"/>
    </row>
    <row r="21" spans="1:20" s="3" customFormat="1" ht="18" customHeight="1" x14ac:dyDescent="0.25">
      <c r="A21" s="9">
        <v>18</v>
      </c>
      <c r="B21" s="88">
        <v>2</v>
      </c>
      <c r="C21" s="88"/>
      <c r="D21" s="30">
        <v>42311</v>
      </c>
      <c r="E21" s="29">
        <v>42312</v>
      </c>
      <c r="F21" s="8" t="s">
        <v>317</v>
      </c>
      <c r="G21" s="8" t="s">
        <v>319</v>
      </c>
      <c r="H21" s="22">
        <v>2</v>
      </c>
      <c r="I21" s="8">
        <v>200</v>
      </c>
      <c r="J21" s="13" t="s">
        <v>68</v>
      </c>
      <c r="K21" s="13" t="s">
        <v>315</v>
      </c>
      <c r="L21" s="13" t="s">
        <v>69</v>
      </c>
      <c r="M21" s="32">
        <f>4.02</f>
        <v>4.0199999999999996</v>
      </c>
      <c r="N21" s="32">
        <f>M21*33</f>
        <v>132.66</v>
      </c>
      <c r="O21" s="102">
        <v>16</v>
      </c>
      <c r="P21" s="26"/>
      <c r="Q21" s="17" t="s">
        <v>415</v>
      </c>
      <c r="R21" s="105">
        <v>1</v>
      </c>
      <c r="S21" s="17"/>
      <c r="T21" s="4"/>
    </row>
    <row r="22" spans="1:20" s="3" customFormat="1" ht="18" customHeight="1" x14ac:dyDescent="0.25">
      <c r="A22" s="9">
        <v>19</v>
      </c>
      <c r="B22" s="88">
        <v>2</v>
      </c>
      <c r="C22" s="88"/>
      <c r="D22" s="30">
        <v>42311</v>
      </c>
      <c r="E22" s="29">
        <v>42312</v>
      </c>
      <c r="F22" s="8" t="s">
        <v>320</v>
      </c>
      <c r="G22" s="8" t="s">
        <v>321</v>
      </c>
      <c r="H22" s="22">
        <v>2</v>
      </c>
      <c r="I22" s="8">
        <v>200</v>
      </c>
      <c r="J22" s="13" t="s">
        <v>70</v>
      </c>
      <c r="K22" s="13" t="s">
        <v>71</v>
      </c>
      <c r="L22" s="13" t="s">
        <v>72</v>
      </c>
      <c r="M22" s="32">
        <f>6.757+1.2</f>
        <v>7.9569999999999999</v>
      </c>
      <c r="N22" s="32">
        <f>M22*33</f>
        <v>262.58100000000002</v>
      </c>
      <c r="O22" s="102">
        <v>28</v>
      </c>
      <c r="P22" s="26"/>
      <c r="Q22" s="17" t="s">
        <v>415</v>
      </c>
      <c r="R22" s="105">
        <v>1</v>
      </c>
      <c r="S22" s="17"/>
      <c r="T22" s="4"/>
    </row>
    <row r="23" spans="1:20" s="3" customFormat="1" ht="18" customHeight="1" x14ac:dyDescent="0.25">
      <c r="A23" s="9">
        <v>20</v>
      </c>
      <c r="B23" s="88">
        <v>2</v>
      </c>
      <c r="C23" s="88"/>
      <c r="D23" s="30">
        <v>42312</v>
      </c>
      <c r="E23" s="29">
        <v>42312</v>
      </c>
      <c r="F23" s="8" t="s">
        <v>319</v>
      </c>
      <c r="G23" s="10" t="s">
        <v>322</v>
      </c>
      <c r="H23" s="22">
        <v>2</v>
      </c>
      <c r="I23" s="8">
        <v>250</v>
      </c>
      <c r="J23" s="10" t="s">
        <v>73</v>
      </c>
      <c r="K23" s="13" t="s">
        <v>74</v>
      </c>
      <c r="L23" s="13" t="s">
        <v>75</v>
      </c>
      <c r="M23" s="32">
        <f>13.43+1.189</f>
        <v>14.619</v>
      </c>
      <c r="N23" s="32">
        <f>M23*40</f>
        <v>584.76</v>
      </c>
      <c r="O23" s="102">
        <v>35</v>
      </c>
      <c r="P23" s="26"/>
      <c r="Q23" s="17" t="s">
        <v>415</v>
      </c>
      <c r="R23" s="105">
        <v>1</v>
      </c>
      <c r="S23" s="17"/>
      <c r="T23" s="4"/>
    </row>
    <row r="24" spans="1:20" s="3" customFormat="1" ht="18" customHeight="1" x14ac:dyDescent="0.25">
      <c r="A24" s="9">
        <v>22</v>
      </c>
      <c r="B24" s="88" t="s">
        <v>323</v>
      </c>
      <c r="C24" s="88"/>
      <c r="D24" s="30">
        <v>42317</v>
      </c>
      <c r="E24" s="29">
        <v>42318</v>
      </c>
      <c r="F24" s="8" t="s">
        <v>331</v>
      </c>
      <c r="G24" s="8" t="s">
        <v>319</v>
      </c>
      <c r="H24" s="23" t="s">
        <v>332</v>
      </c>
      <c r="I24" s="8">
        <v>250</v>
      </c>
      <c r="J24" s="13" t="s">
        <v>79</v>
      </c>
      <c r="K24" s="13" t="s">
        <v>315</v>
      </c>
      <c r="L24" s="13" t="s">
        <v>80</v>
      </c>
      <c r="M24" s="32">
        <v>3.88</v>
      </c>
      <c r="N24" s="32">
        <f>M24*40</f>
        <v>155.19999999999999</v>
      </c>
      <c r="O24" s="102">
        <v>20</v>
      </c>
      <c r="P24" s="26"/>
      <c r="Q24" s="17" t="s">
        <v>415</v>
      </c>
      <c r="R24" s="105">
        <v>1</v>
      </c>
      <c r="S24" s="16"/>
      <c r="T24" s="4" t="s">
        <v>16</v>
      </c>
    </row>
    <row r="25" spans="1:20" s="3" customFormat="1" ht="18" customHeight="1" x14ac:dyDescent="0.25">
      <c r="A25" s="9">
        <v>23</v>
      </c>
      <c r="B25" s="88" t="s">
        <v>323</v>
      </c>
      <c r="C25" s="88"/>
      <c r="D25" s="30">
        <v>42317</v>
      </c>
      <c r="E25" s="29">
        <v>42318</v>
      </c>
      <c r="F25" s="8" t="s">
        <v>333</v>
      </c>
      <c r="G25" s="8" t="s">
        <v>322</v>
      </c>
      <c r="H25" s="22">
        <v>2</v>
      </c>
      <c r="I25" s="8">
        <v>250</v>
      </c>
      <c r="J25" s="10" t="s">
        <v>81</v>
      </c>
      <c r="K25" s="13" t="s">
        <v>82</v>
      </c>
      <c r="L25" s="13" t="s">
        <v>83</v>
      </c>
      <c r="M25" s="32">
        <f>4.69+1.97</f>
        <v>6.66</v>
      </c>
      <c r="N25" s="32">
        <f>M25*40</f>
        <v>266.39999999999998</v>
      </c>
      <c r="O25" s="102">
        <v>35</v>
      </c>
      <c r="P25" s="26"/>
      <c r="Q25" s="17" t="s">
        <v>415</v>
      </c>
      <c r="R25" s="105">
        <v>1</v>
      </c>
      <c r="S25" s="17"/>
      <c r="T25" s="4"/>
    </row>
    <row r="26" spans="1:20" s="3" customFormat="1" ht="18" customHeight="1" x14ac:dyDescent="0.25">
      <c r="A26" s="9">
        <v>26</v>
      </c>
      <c r="B26" s="88" t="s">
        <v>323</v>
      </c>
      <c r="C26" s="88"/>
      <c r="D26" s="30">
        <v>42324</v>
      </c>
      <c r="E26" s="29">
        <v>42327</v>
      </c>
      <c r="F26" s="8" t="s">
        <v>338</v>
      </c>
      <c r="G26" s="8" t="s">
        <v>331</v>
      </c>
      <c r="H26" s="23" t="s">
        <v>332</v>
      </c>
      <c r="I26" s="8">
        <v>100</v>
      </c>
      <c r="J26" s="10" t="s">
        <v>90</v>
      </c>
      <c r="K26" s="13" t="s">
        <v>91</v>
      </c>
      <c r="L26" s="13" t="s">
        <v>92</v>
      </c>
      <c r="M26" s="32">
        <f>0.21+2.381+1.2</f>
        <v>3.7909999999999995</v>
      </c>
      <c r="N26" s="32">
        <f>M26*15</f>
        <v>56.864999999999995</v>
      </c>
      <c r="O26" s="102">
        <v>20</v>
      </c>
      <c r="P26" s="26"/>
      <c r="Q26" s="17" t="s">
        <v>415</v>
      </c>
      <c r="R26" s="105">
        <v>1</v>
      </c>
      <c r="S26" s="17"/>
      <c r="T26" s="4" t="s">
        <v>13</v>
      </c>
    </row>
    <row r="27" spans="1:20" s="3" customFormat="1" ht="18" customHeight="1" x14ac:dyDescent="0.25">
      <c r="A27" s="9">
        <v>27</v>
      </c>
      <c r="B27" s="88" t="s">
        <v>323</v>
      </c>
      <c r="C27" s="88"/>
      <c r="D27" s="30">
        <v>42325</v>
      </c>
      <c r="E27" s="29">
        <v>42327</v>
      </c>
      <c r="F27" s="8" t="s">
        <v>339</v>
      </c>
      <c r="G27" s="8" t="s">
        <v>335</v>
      </c>
      <c r="H27" s="22">
        <v>2</v>
      </c>
      <c r="I27" s="8">
        <v>100</v>
      </c>
      <c r="J27" s="13" t="s">
        <v>93</v>
      </c>
      <c r="K27" s="13" t="s">
        <v>94</v>
      </c>
      <c r="L27" s="13" t="s">
        <v>95</v>
      </c>
      <c r="M27" s="32">
        <f>0.21+2.381+1.2</f>
        <v>3.7909999999999995</v>
      </c>
      <c r="N27" s="32">
        <f>M27*15</f>
        <v>56.864999999999995</v>
      </c>
      <c r="O27" s="102">
        <v>16</v>
      </c>
      <c r="P27" s="26"/>
      <c r="Q27" s="17" t="s">
        <v>415</v>
      </c>
      <c r="R27" s="105">
        <v>1</v>
      </c>
      <c r="S27" s="17"/>
      <c r="T27" s="4"/>
    </row>
    <row r="28" spans="1:20" s="3" customFormat="1" ht="18" customHeight="1" x14ac:dyDescent="0.25">
      <c r="A28" s="9">
        <v>28</v>
      </c>
      <c r="B28" s="88" t="s">
        <v>325</v>
      </c>
      <c r="C28" s="88"/>
      <c r="D28" s="30">
        <v>42328</v>
      </c>
      <c r="E28" s="29">
        <v>42335</v>
      </c>
      <c r="F28" s="8" t="s">
        <v>356</v>
      </c>
      <c r="G28" s="10" t="s">
        <v>335</v>
      </c>
      <c r="H28" s="22">
        <v>2</v>
      </c>
      <c r="I28" s="8">
        <v>100</v>
      </c>
      <c r="J28" s="13" t="s">
        <v>96</v>
      </c>
      <c r="K28" s="13" t="s">
        <v>97</v>
      </c>
      <c r="L28" s="13" t="s">
        <v>98</v>
      </c>
      <c r="M28" s="32">
        <f>0.2+1.2+1.5</f>
        <v>2.9</v>
      </c>
      <c r="N28" s="32">
        <f>M28*15</f>
        <v>43.5</v>
      </c>
      <c r="O28" s="102">
        <f>4*5</f>
        <v>20</v>
      </c>
      <c r="P28" s="26"/>
      <c r="Q28" s="17" t="s">
        <v>415</v>
      </c>
      <c r="R28" s="105">
        <v>1</v>
      </c>
      <c r="S28" s="16"/>
      <c r="T28" s="4"/>
    </row>
    <row r="29" spans="1:20" s="3" customFormat="1" ht="18" customHeight="1" x14ac:dyDescent="0.25">
      <c r="A29" s="9">
        <v>29</v>
      </c>
      <c r="B29" s="88" t="s">
        <v>323</v>
      </c>
      <c r="C29" s="88"/>
      <c r="D29" s="30">
        <v>42317</v>
      </c>
      <c r="E29" s="29">
        <v>42318</v>
      </c>
      <c r="F29" s="8" t="s">
        <v>335</v>
      </c>
      <c r="G29" s="10" t="s">
        <v>322</v>
      </c>
      <c r="H29" s="22">
        <v>2</v>
      </c>
      <c r="I29" s="8">
        <v>200</v>
      </c>
      <c r="J29" s="10" t="s">
        <v>99</v>
      </c>
      <c r="K29" s="13" t="s">
        <v>100</v>
      </c>
      <c r="L29" s="13" t="s">
        <v>101</v>
      </c>
      <c r="M29" s="32">
        <f>9.62+0.21</f>
        <v>9.83</v>
      </c>
      <c r="N29" s="32">
        <f>M29*33</f>
        <v>324.39</v>
      </c>
      <c r="O29" s="102">
        <v>28</v>
      </c>
      <c r="P29" s="26"/>
      <c r="Q29" s="17" t="s">
        <v>415</v>
      </c>
      <c r="R29" s="105">
        <v>1</v>
      </c>
      <c r="S29" s="16"/>
      <c r="T29" s="4"/>
    </row>
    <row r="30" spans="1:20" s="3" customFormat="1" ht="18" customHeight="1" x14ac:dyDescent="0.25">
      <c r="A30" s="9">
        <v>30</v>
      </c>
      <c r="B30" s="88" t="s">
        <v>325</v>
      </c>
      <c r="C30" s="88"/>
      <c r="D30" s="30">
        <v>42331</v>
      </c>
      <c r="E30" s="29">
        <v>42335</v>
      </c>
      <c r="F30" s="8" t="s">
        <v>357</v>
      </c>
      <c r="G30" s="10" t="s">
        <v>322</v>
      </c>
      <c r="H30" s="22">
        <v>2</v>
      </c>
      <c r="I30" s="8">
        <v>100</v>
      </c>
      <c r="J30" s="13" t="s">
        <v>102</v>
      </c>
      <c r="K30" s="13" t="s">
        <v>103</v>
      </c>
      <c r="L30" s="13" t="s">
        <v>104</v>
      </c>
      <c r="M30" s="32">
        <f>0.7+2.5+1.5</f>
        <v>4.7</v>
      </c>
      <c r="N30" s="32">
        <f>M30*15</f>
        <v>70.5</v>
      </c>
      <c r="O30" s="102">
        <v>20</v>
      </c>
      <c r="P30" s="26"/>
      <c r="Q30" s="17" t="s">
        <v>415</v>
      </c>
      <c r="R30" s="105">
        <v>1</v>
      </c>
      <c r="S30" s="17"/>
      <c r="T30" s="4"/>
    </row>
    <row r="31" spans="1:20" s="3" customFormat="1" ht="18" customHeight="1" x14ac:dyDescent="0.25">
      <c r="A31" s="9">
        <v>31</v>
      </c>
      <c r="B31" s="88" t="s">
        <v>323</v>
      </c>
      <c r="C31" s="88"/>
      <c r="D31" s="30">
        <v>42321</v>
      </c>
      <c r="E31" s="29">
        <v>42327</v>
      </c>
      <c r="F31" s="8" t="s">
        <v>340</v>
      </c>
      <c r="G31" s="10" t="s">
        <v>336</v>
      </c>
      <c r="H31" s="22">
        <v>2</v>
      </c>
      <c r="I31" s="8">
        <v>200</v>
      </c>
      <c r="J31" s="13" t="s">
        <v>105</v>
      </c>
      <c r="K31" s="13" t="s">
        <v>106</v>
      </c>
      <c r="L31" s="13" t="s">
        <v>107</v>
      </c>
      <c r="M31" s="32">
        <f>1.747+1.5</f>
        <v>3.2469999999999999</v>
      </c>
      <c r="N31" s="32">
        <f>M31*33</f>
        <v>107.151</v>
      </c>
      <c r="O31" s="102">
        <v>28</v>
      </c>
      <c r="P31" s="26"/>
      <c r="Q31" s="17" t="s">
        <v>415</v>
      </c>
      <c r="R31" s="105">
        <v>1</v>
      </c>
      <c r="S31" s="16"/>
      <c r="T31" s="4"/>
    </row>
    <row r="32" spans="1:20" s="3" customFormat="1" ht="18" customHeight="1" x14ac:dyDescent="0.25">
      <c r="A32" s="9">
        <v>33</v>
      </c>
      <c r="B32" s="88" t="s">
        <v>324</v>
      </c>
      <c r="C32" s="88"/>
      <c r="D32" s="30">
        <v>42324</v>
      </c>
      <c r="E32" s="29">
        <v>42327</v>
      </c>
      <c r="F32" s="8" t="s">
        <v>341</v>
      </c>
      <c r="G32" s="8" t="s">
        <v>307</v>
      </c>
      <c r="H32" s="22">
        <v>2</v>
      </c>
      <c r="I32" s="8">
        <v>100</v>
      </c>
      <c r="J32" s="13" t="s">
        <v>111</v>
      </c>
      <c r="K32" s="13" t="s">
        <v>112</v>
      </c>
      <c r="L32" s="13" t="s">
        <v>113</v>
      </c>
      <c r="M32" s="32">
        <f>0.55+1.926+3.68</f>
        <v>6.1560000000000006</v>
      </c>
      <c r="N32" s="32">
        <f>M32*15</f>
        <v>92.34</v>
      </c>
      <c r="O32" s="102">
        <f>4*3</f>
        <v>12</v>
      </c>
      <c r="P32" s="26"/>
      <c r="Q32" s="17" t="s">
        <v>415</v>
      </c>
      <c r="R32" s="105">
        <v>1</v>
      </c>
      <c r="S32" s="16"/>
      <c r="T32" s="4"/>
    </row>
    <row r="33" spans="1:20" s="3" customFormat="1" ht="18" customHeight="1" x14ac:dyDescent="0.25">
      <c r="A33" s="9">
        <v>34</v>
      </c>
      <c r="B33" s="88" t="s">
        <v>324</v>
      </c>
      <c r="C33" s="88"/>
      <c r="D33" s="30">
        <v>42325</v>
      </c>
      <c r="E33" s="29">
        <v>42327</v>
      </c>
      <c r="F33" s="8" t="s">
        <v>341</v>
      </c>
      <c r="G33" s="8" t="s">
        <v>317</v>
      </c>
      <c r="H33" s="22">
        <v>2</v>
      </c>
      <c r="I33" s="8">
        <v>100</v>
      </c>
      <c r="J33" s="13" t="s">
        <v>114</v>
      </c>
      <c r="K33" s="13" t="s">
        <v>115</v>
      </c>
      <c r="L33" s="13" t="s">
        <v>116</v>
      </c>
      <c r="M33" s="32">
        <f>0.55+0.247+3.446+1.097+4.033+1.791</f>
        <v>11.164000000000001</v>
      </c>
      <c r="N33" s="32">
        <f>M33*15</f>
        <v>167.46000000000004</v>
      </c>
      <c r="O33" s="102">
        <f>4*7.5</f>
        <v>30</v>
      </c>
      <c r="P33" s="26"/>
      <c r="Q33" s="17" t="s">
        <v>415</v>
      </c>
      <c r="R33" s="105">
        <v>1</v>
      </c>
      <c r="S33" s="16"/>
      <c r="T33" s="4"/>
    </row>
    <row r="34" spans="1:20" s="3" customFormat="1" ht="18" customHeight="1" x14ac:dyDescent="0.25">
      <c r="A34" s="9">
        <v>35</v>
      </c>
      <c r="B34" s="88" t="s">
        <v>325</v>
      </c>
      <c r="C34" s="88"/>
      <c r="D34" s="30">
        <v>42296</v>
      </c>
      <c r="E34" s="29">
        <v>42335</v>
      </c>
      <c r="F34" s="8" t="s">
        <v>341</v>
      </c>
      <c r="G34" s="8" t="s">
        <v>314</v>
      </c>
      <c r="H34" s="22">
        <v>2</v>
      </c>
      <c r="I34" s="8">
        <v>100</v>
      </c>
      <c r="J34" s="10" t="s">
        <v>117</v>
      </c>
      <c r="K34" s="13" t="s">
        <v>118</v>
      </c>
      <c r="L34" s="13" t="s">
        <v>119</v>
      </c>
      <c r="M34" s="32">
        <f>0.6+0.5+6.6+8.1+1.8</f>
        <v>17.599999999999998</v>
      </c>
      <c r="N34" s="32">
        <f>M34*15</f>
        <v>263.99999999999994</v>
      </c>
      <c r="O34" s="102">
        <f>4*6</f>
        <v>24</v>
      </c>
      <c r="P34" s="26"/>
      <c r="Q34" s="17" t="s">
        <v>415</v>
      </c>
      <c r="R34" s="105">
        <v>1</v>
      </c>
      <c r="S34" s="16"/>
      <c r="T34" s="4" t="s">
        <v>11</v>
      </c>
    </row>
    <row r="35" spans="1:20" s="3" customFormat="1" ht="18" customHeight="1" x14ac:dyDescent="0.25">
      <c r="A35" s="9">
        <v>36</v>
      </c>
      <c r="B35" s="88" t="s">
        <v>426</v>
      </c>
      <c r="C35" s="88"/>
      <c r="D35" s="31">
        <v>42347</v>
      </c>
      <c r="E35" s="29">
        <v>42348</v>
      </c>
      <c r="F35" s="8" t="s">
        <v>341</v>
      </c>
      <c r="G35" s="8" t="s">
        <v>331</v>
      </c>
      <c r="H35" s="23" t="s">
        <v>332</v>
      </c>
      <c r="I35" s="8">
        <v>100</v>
      </c>
      <c r="J35" s="13" t="s">
        <v>120</v>
      </c>
      <c r="K35" s="13" t="s">
        <v>121</v>
      </c>
      <c r="L35" s="13" t="s">
        <v>122</v>
      </c>
      <c r="M35" s="87">
        <f>0.6+7.1+8.9</f>
        <v>16.600000000000001</v>
      </c>
      <c r="N35" s="32">
        <f>M35*15</f>
        <v>249.00000000000003</v>
      </c>
      <c r="O35" s="102">
        <f>4*3</f>
        <v>12</v>
      </c>
      <c r="P35" s="26"/>
      <c r="Q35" s="17" t="s">
        <v>415</v>
      </c>
      <c r="R35" s="105">
        <v>1</v>
      </c>
      <c r="S35" s="16"/>
      <c r="T35" s="4" t="s">
        <v>10</v>
      </c>
    </row>
    <row r="36" spans="1:20" s="3" customFormat="1" ht="18" customHeight="1" x14ac:dyDescent="0.25">
      <c r="A36" s="9">
        <v>37</v>
      </c>
      <c r="B36" s="88" t="s">
        <v>323</v>
      </c>
      <c r="C36" s="88"/>
      <c r="D36" s="30">
        <v>42321</v>
      </c>
      <c r="E36" s="29">
        <v>42327</v>
      </c>
      <c r="F36" s="8" t="s">
        <v>342</v>
      </c>
      <c r="G36" s="8" t="s">
        <v>335</v>
      </c>
      <c r="H36" s="22">
        <v>2</v>
      </c>
      <c r="I36" s="8">
        <v>200</v>
      </c>
      <c r="J36" s="13" t="s">
        <v>123</v>
      </c>
      <c r="K36" s="13" t="s">
        <v>124</v>
      </c>
      <c r="L36" s="13" t="s">
        <v>125</v>
      </c>
      <c r="M36" s="32">
        <f>0.2+0.232+1.36+0.745+0.7</f>
        <v>3.2370000000000001</v>
      </c>
      <c r="N36" s="32">
        <f>M36*33</f>
        <v>106.821</v>
      </c>
      <c r="O36" s="102">
        <f>8*6.5</f>
        <v>52</v>
      </c>
      <c r="P36" s="26"/>
      <c r="Q36" s="17" t="s">
        <v>415</v>
      </c>
      <c r="R36" s="105">
        <v>1</v>
      </c>
      <c r="S36" s="17"/>
      <c r="T36" s="4"/>
    </row>
    <row r="37" spans="1:20" s="3" customFormat="1" ht="18" customHeight="1" x14ac:dyDescent="0.25">
      <c r="A37" s="9">
        <v>38</v>
      </c>
      <c r="B37" s="88" t="s">
        <v>323</v>
      </c>
      <c r="C37" s="88"/>
      <c r="D37" s="30">
        <v>42318</v>
      </c>
      <c r="E37" s="29">
        <v>42327</v>
      </c>
      <c r="F37" s="8" t="s">
        <v>343</v>
      </c>
      <c r="G37" s="10" t="s">
        <v>344</v>
      </c>
      <c r="H37" s="23" t="s">
        <v>332</v>
      </c>
      <c r="I37" s="8">
        <v>250</v>
      </c>
      <c r="J37" s="10" t="s">
        <v>126</v>
      </c>
      <c r="K37" s="13" t="s">
        <v>315</v>
      </c>
      <c r="L37" s="13" t="s">
        <v>127</v>
      </c>
      <c r="M37" s="32">
        <v>16.850000000000001</v>
      </c>
      <c r="N37" s="32">
        <f>M37*40</f>
        <v>674</v>
      </c>
      <c r="O37" s="102">
        <v>30</v>
      </c>
      <c r="P37" s="26"/>
      <c r="Q37" s="17" t="s">
        <v>415</v>
      </c>
      <c r="R37" s="105">
        <v>1</v>
      </c>
      <c r="S37" s="17"/>
      <c r="T37" s="4" t="s">
        <v>9</v>
      </c>
    </row>
    <row r="38" spans="1:20" s="3" customFormat="1" ht="18" customHeight="1" x14ac:dyDescent="0.25">
      <c r="A38" s="9">
        <v>39</v>
      </c>
      <c r="B38" s="88" t="s">
        <v>323</v>
      </c>
      <c r="C38" s="88"/>
      <c r="D38" s="30">
        <v>42318</v>
      </c>
      <c r="E38" s="29">
        <v>42327</v>
      </c>
      <c r="F38" s="8" t="s">
        <v>345</v>
      </c>
      <c r="G38" s="10" t="s">
        <v>346</v>
      </c>
      <c r="H38" s="22">
        <v>2</v>
      </c>
      <c r="I38" s="8">
        <v>250</v>
      </c>
      <c r="J38" s="13" t="s">
        <v>128</v>
      </c>
      <c r="K38" s="13" t="s">
        <v>315</v>
      </c>
      <c r="L38" s="13" t="s">
        <v>129</v>
      </c>
      <c r="M38" s="32">
        <v>10.656000000000001</v>
      </c>
      <c r="N38" s="32">
        <f>M38*40</f>
        <v>426.24</v>
      </c>
      <c r="O38" s="102">
        <v>20</v>
      </c>
      <c r="P38" s="26"/>
      <c r="Q38" s="17" t="s">
        <v>415</v>
      </c>
      <c r="R38" s="105">
        <v>1</v>
      </c>
      <c r="S38" s="16"/>
      <c r="T38" s="4"/>
    </row>
    <row r="39" spans="1:20" s="3" customFormat="1" ht="18" customHeight="1" x14ac:dyDescent="0.25">
      <c r="A39" s="9">
        <v>40</v>
      </c>
      <c r="B39" s="88" t="s">
        <v>325</v>
      </c>
      <c r="C39" s="88"/>
      <c r="D39" s="30">
        <v>42296</v>
      </c>
      <c r="E39" s="29">
        <v>42335</v>
      </c>
      <c r="F39" s="8" t="s">
        <v>425</v>
      </c>
      <c r="G39" s="10" t="s">
        <v>345</v>
      </c>
      <c r="H39" s="22">
        <v>2</v>
      </c>
      <c r="I39" s="8">
        <v>250</v>
      </c>
      <c r="J39" s="13" t="s">
        <v>130</v>
      </c>
      <c r="K39" s="13" t="s">
        <v>131</v>
      </c>
      <c r="L39" s="13" t="s">
        <v>132</v>
      </c>
      <c r="M39" s="32">
        <f>1.3+0.8</f>
        <v>2.1</v>
      </c>
      <c r="N39" s="32">
        <f>M39*40</f>
        <v>84</v>
      </c>
      <c r="O39" s="102">
        <v>35</v>
      </c>
      <c r="P39" s="26"/>
      <c r="Q39" s="17" t="s">
        <v>415</v>
      </c>
      <c r="R39" s="105">
        <v>1</v>
      </c>
      <c r="S39" s="16"/>
      <c r="T39" s="4"/>
    </row>
    <row r="40" spans="1:20" s="3" customFormat="1" ht="18" customHeight="1" x14ac:dyDescent="0.25">
      <c r="A40" s="9">
        <v>41</v>
      </c>
      <c r="B40" s="88" t="s">
        <v>323</v>
      </c>
      <c r="C40" s="88"/>
      <c r="D40" s="30">
        <v>42325</v>
      </c>
      <c r="E40" s="29">
        <v>42327</v>
      </c>
      <c r="F40" s="8" t="s">
        <v>350</v>
      </c>
      <c r="G40" s="10" t="s">
        <v>336</v>
      </c>
      <c r="H40" s="22">
        <v>2</v>
      </c>
      <c r="I40" s="8">
        <v>200</v>
      </c>
      <c r="J40" s="10" t="s">
        <v>133</v>
      </c>
      <c r="K40" s="13" t="s">
        <v>134</v>
      </c>
      <c r="L40" s="13" t="s">
        <v>135</v>
      </c>
      <c r="M40" s="32">
        <f>4.919+1.71</f>
        <v>6.6289999999999996</v>
      </c>
      <c r="N40" s="32">
        <f>M40*33</f>
        <v>218.75699999999998</v>
      </c>
      <c r="O40" s="102">
        <f>8*3.5</f>
        <v>28</v>
      </c>
      <c r="P40" s="26"/>
      <c r="Q40" s="17" t="s">
        <v>415</v>
      </c>
      <c r="R40" s="105">
        <v>1</v>
      </c>
      <c r="S40" s="16"/>
      <c r="T40" s="4"/>
    </row>
    <row r="41" spans="1:20" s="3" customFormat="1" ht="18" customHeight="1" x14ac:dyDescent="0.25">
      <c r="A41" s="9">
        <v>42</v>
      </c>
      <c r="B41" s="88" t="s">
        <v>323</v>
      </c>
      <c r="C41" s="88"/>
      <c r="D41" s="30">
        <v>42320</v>
      </c>
      <c r="E41" s="29">
        <v>42327</v>
      </c>
      <c r="F41" s="8" t="s">
        <v>322</v>
      </c>
      <c r="G41" s="8" t="s">
        <v>345</v>
      </c>
      <c r="H41" s="22">
        <v>2</v>
      </c>
      <c r="I41" s="8">
        <v>250</v>
      </c>
      <c r="J41" s="13" t="s">
        <v>136</v>
      </c>
      <c r="K41" s="13" t="s">
        <v>137</v>
      </c>
      <c r="L41" s="13" t="s">
        <v>138</v>
      </c>
      <c r="M41" s="32">
        <f>0.25+0.125+2.18</f>
        <v>2.5550000000000002</v>
      </c>
      <c r="N41" s="32">
        <f>M41*40</f>
        <v>102.2</v>
      </c>
      <c r="O41" s="102">
        <v>35</v>
      </c>
      <c r="P41" s="26"/>
      <c r="Q41" s="17" t="s">
        <v>415</v>
      </c>
      <c r="R41" s="105">
        <v>1</v>
      </c>
      <c r="S41" s="17"/>
      <c r="T41" s="4"/>
    </row>
    <row r="42" spans="1:20" s="3" customFormat="1" ht="18" customHeight="1" x14ac:dyDescent="0.25">
      <c r="A42" s="9">
        <v>42</v>
      </c>
      <c r="B42" s="90" t="s">
        <v>478</v>
      </c>
      <c r="C42" s="90"/>
      <c r="D42" s="82">
        <v>42396</v>
      </c>
      <c r="E42" s="29">
        <v>42425</v>
      </c>
      <c r="F42" s="8"/>
      <c r="G42" s="8"/>
      <c r="H42" s="22">
        <v>2</v>
      </c>
      <c r="I42" s="8"/>
      <c r="J42" s="13"/>
      <c r="K42" s="13"/>
      <c r="L42" s="13"/>
      <c r="M42" s="32"/>
      <c r="N42" s="32"/>
      <c r="O42" s="102"/>
      <c r="P42" s="93"/>
      <c r="Q42" s="17"/>
      <c r="R42" s="105">
        <v>1</v>
      </c>
      <c r="S42" s="17"/>
      <c r="T42" s="4"/>
    </row>
    <row r="43" spans="1:20" s="3" customFormat="1" ht="18" customHeight="1" x14ac:dyDescent="0.25">
      <c r="A43" s="9">
        <v>43</v>
      </c>
      <c r="B43" s="88" t="s">
        <v>435</v>
      </c>
      <c r="C43" s="88"/>
      <c r="D43" s="29">
        <v>42354</v>
      </c>
      <c r="E43" s="29">
        <v>42354</v>
      </c>
      <c r="F43" s="8" t="s">
        <v>341</v>
      </c>
      <c r="G43" s="8" t="s">
        <v>345</v>
      </c>
      <c r="H43" s="22">
        <v>2</v>
      </c>
      <c r="I43" s="8">
        <v>100</v>
      </c>
      <c r="J43" s="13" t="s">
        <v>139</v>
      </c>
      <c r="K43" s="13" t="s">
        <v>140</v>
      </c>
      <c r="L43" s="13" t="s">
        <v>141</v>
      </c>
      <c r="M43" s="32">
        <f>1.2+1.5+0.6</f>
        <v>3.3000000000000003</v>
      </c>
      <c r="N43" s="32">
        <f>M43*15</f>
        <v>49.500000000000007</v>
      </c>
      <c r="O43" s="102">
        <v>12</v>
      </c>
      <c r="P43" s="26"/>
      <c r="Q43" s="17" t="s">
        <v>415</v>
      </c>
      <c r="R43" s="105">
        <v>1</v>
      </c>
      <c r="S43" s="16"/>
      <c r="T43" s="4"/>
    </row>
    <row r="44" spans="1:20" s="3" customFormat="1" ht="18" customHeight="1" x14ac:dyDescent="0.25">
      <c r="A44" s="9">
        <v>44</v>
      </c>
      <c r="B44" s="88" t="s">
        <v>435</v>
      </c>
      <c r="C44" s="88"/>
      <c r="D44" s="29">
        <v>42354</v>
      </c>
      <c r="E44" s="29">
        <v>42354</v>
      </c>
      <c r="F44" s="8" t="s">
        <v>341</v>
      </c>
      <c r="G44" s="8" t="s">
        <v>345</v>
      </c>
      <c r="H44" s="22">
        <v>2</v>
      </c>
      <c r="I44" s="8">
        <v>100</v>
      </c>
      <c r="J44" s="10" t="s">
        <v>142</v>
      </c>
      <c r="K44" s="13" t="s">
        <v>143</v>
      </c>
      <c r="L44" s="13" t="s">
        <v>144</v>
      </c>
      <c r="M44" s="32">
        <f>1.9+0.5+0.6</f>
        <v>3</v>
      </c>
      <c r="N44" s="32">
        <f>M44*15</f>
        <v>45</v>
      </c>
      <c r="O44" s="102">
        <v>12</v>
      </c>
      <c r="P44" s="26"/>
      <c r="Q44" s="17" t="s">
        <v>415</v>
      </c>
      <c r="R44" s="105">
        <v>1</v>
      </c>
      <c r="S44" s="16"/>
      <c r="T44" s="4"/>
    </row>
    <row r="45" spans="1:20" s="3" customFormat="1" ht="18" customHeight="1" x14ac:dyDescent="0.25">
      <c r="A45" s="9">
        <v>45</v>
      </c>
      <c r="B45" s="88" t="s">
        <v>325</v>
      </c>
      <c r="C45" s="88"/>
      <c r="D45" s="31">
        <v>42347</v>
      </c>
      <c r="E45" s="29">
        <v>42348</v>
      </c>
      <c r="F45" s="8" t="s">
        <v>341</v>
      </c>
      <c r="G45" s="8" t="s">
        <v>335</v>
      </c>
      <c r="H45" s="22">
        <v>2</v>
      </c>
      <c r="I45" s="8">
        <v>100</v>
      </c>
      <c r="J45" s="13" t="s">
        <v>145</v>
      </c>
      <c r="K45" s="13" t="s">
        <v>146</v>
      </c>
      <c r="L45" s="13" t="s">
        <v>147</v>
      </c>
      <c r="M45" s="32">
        <f>1.5+3.4+9.1+0.6</f>
        <v>14.6</v>
      </c>
      <c r="N45" s="32">
        <f>M45*15</f>
        <v>219</v>
      </c>
      <c r="O45" s="102">
        <v>18</v>
      </c>
      <c r="P45" s="26"/>
      <c r="Q45" s="17" t="s">
        <v>415</v>
      </c>
      <c r="R45" s="105">
        <v>1</v>
      </c>
      <c r="S45" s="16"/>
      <c r="T45" s="4"/>
    </row>
    <row r="46" spans="1:20" s="3" customFormat="1" ht="18" customHeight="1" x14ac:dyDescent="0.25">
      <c r="A46" s="9">
        <v>46</v>
      </c>
      <c r="B46" s="88" t="s">
        <v>435</v>
      </c>
      <c r="C46" s="88"/>
      <c r="D46" s="31" t="s">
        <v>479</v>
      </c>
      <c r="E46" s="29">
        <v>42354</v>
      </c>
      <c r="F46" s="8" t="s">
        <v>341</v>
      </c>
      <c r="G46" s="8" t="s">
        <v>322</v>
      </c>
      <c r="H46" s="22">
        <v>2</v>
      </c>
      <c r="I46" s="8">
        <v>100</v>
      </c>
      <c r="J46" s="13" t="s">
        <v>148</v>
      </c>
      <c r="K46" s="13" t="s">
        <v>149</v>
      </c>
      <c r="L46" s="13" t="s">
        <v>150</v>
      </c>
      <c r="M46" s="32">
        <f>0.7+1.6+1.6+0.6</f>
        <v>4.5</v>
      </c>
      <c r="N46" s="32">
        <f>M46*15</f>
        <v>67.5</v>
      </c>
      <c r="O46" s="102">
        <v>18</v>
      </c>
      <c r="P46" s="26"/>
      <c r="Q46" s="17" t="s">
        <v>415</v>
      </c>
      <c r="R46" s="105">
        <v>1</v>
      </c>
      <c r="S46" s="16"/>
      <c r="T46" s="4"/>
    </row>
    <row r="47" spans="1:20" s="3" customFormat="1" ht="18" customHeight="1" x14ac:dyDescent="0.25">
      <c r="A47" s="9">
        <v>47</v>
      </c>
      <c r="B47" s="88" t="s">
        <v>435</v>
      </c>
      <c r="C47" s="88"/>
      <c r="D47" s="31">
        <v>42353</v>
      </c>
      <c r="E47" s="29">
        <v>42354</v>
      </c>
      <c r="F47" s="8" t="s">
        <v>341</v>
      </c>
      <c r="G47" s="8" t="s">
        <v>343</v>
      </c>
      <c r="H47" s="22" t="s">
        <v>372</v>
      </c>
      <c r="I47" s="8">
        <v>100</v>
      </c>
      <c r="J47" s="10" t="s">
        <v>151</v>
      </c>
      <c r="K47" s="13" t="s">
        <v>152</v>
      </c>
      <c r="L47" s="13" t="s">
        <v>153</v>
      </c>
      <c r="M47" s="32">
        <f>0.6+0.7+1.4+1.2</f>
        <v>3.8999999999999995</v>
      </c>
      <c r="N47" s="32">
        <f>M47*15</f>
        <v>58.499999999999993</v>
      </c>
      <c r="O47" s="102">
        <v>18</v>
      </c>
      <c r="P47" s="26"/>
      <c r="Q47" s="17" t="s">
        <v>415</v>
      </c>
      <c r="R47" s="105">
        <v>1</v>
      </c>
      <c r="S47" s="17"/>
      <c r="T47" s="4"/>
    </row>
    <row r="48" spans="1:20" s="3" customFormat="1" ht="18" customHeight="1" x14ac:dyDescent="0.25">
      <c r="A48" s="9">
        <v>66</v>
      </c>
      <c r="B48" s="88"/>
      <c r="C48" s="88"/>
      <c r="D48" s="7"/>
      <c r="E48" s="29"/>
      <c r="F48" s="35" t="s">
        <v>346</v>
      </c>
      <c r="G48" s="34" t="s">
        <v>373</v>
      </c>
      <c r="H48" s="22" t="s">
        <v>374</v>
      </c>
      <c r="I48" s="8">
        <v>250</v>
      </c>
      <c r="J48" s="13" t="s">
        <v>207</v>
      </c>
      <c r="K48" s="13" t="s">
        <v>208</v>
      </c>
      <c r="L48" s="13" t="s">
        <v>209</v>
      </c>
      <c r="M48" s="32">
        <v>22</v>
      </c>
      <c r="N48" s="32">
        <f>M48*40</f>
        <v>880</v>
      </c>
      <c r="O48" s="102">
        <f>10*4.5</f>
        <v>45</v>
      </c>
      <c r="P48" s="93"/>
      <c r="Q48" s="36" t="s">
        <v>375</v>
      </c>
      <c r="R48" s="105">
        <v>0</v>
      </c>
      <c r="S48" s="16"/>
      <c r="T48" s="4"/>
    </row>
    <row r="49" spans="1:20" s="3" customFormat="1" ht="18" customHeight="1" x14ac:dyDescent="0.25">
      <c r="A49" s="9">
        <v>67</v>
      </c>
      <c r="B49" s="88"/>
      <c r="C49" s="88"/>
      <c r="D49" s="7">
        <v>42366</v>
      </c>
      <c r="E49" s="29">
        <v>42375</v>
      </c>
      <c r="F49" s="8" t="s">
        <v>370</v>
      </c>
      <c r="G49" s="8" t="s">
        <v>376</v>
      </c>
      <c r="H49" s="22" t="s">
        <v>377</v>
      </c>
      <c r="I49" s="8">
        <v>250</v>
      </c>
      <c r="J49" s="13" t="s">
        <v>210</v>
      </c>
      <c r="K49" s="13" t="s">
        <v>315</v>
      </c>
      <c r="L49" s="13" t="s">
        <v>211</v>
      </c>
      <c r="M49" s="32">
        <v>8.6999999999999993</v>
      </c>
      <c r="N49" s="32">
        <f>M49*40</f>
        <v>348</v>
      </c>
      <c r="O49" s="102">
        <v>35</v>
      </c>
      <c r="P49" s="93"/>
      <c r="Q49" s="17" t="s">
        <v>415</v>
      </c>
      <c r="R49" s="105">
        <v>1</v>
      </c>
      <c r="S49" s="16"/>
      <c r="T49" s="4"/>
    </row>
    <row r="50" spans="1:20" s="3" customFormat="1" ht="18" customHeight="1" x14ac:dyDescent="0.25">
      <c r="A50" s="9">
        <v>68</v>
      </c>
      <c r="B50" s="88"/>
      <c r="C50" s="88"/>
      <c r="D50" s="7">
        <v>42359</v>
      </c>
      <c r="E50" s="29">
        <v>42375</v>
      </c>
      <c r="F50" s="8" t="s">
        <v>450</v>
      </c>
      <c r="G50" s="8" t="s">
        <v>370</v>
      </c>
      <c r="H50" s="22" t="s">
        <v>377</v>
      </c>
      <c r="I50" s="8">
        <v>200</v>
      </c>
      <c r="J50" s="10" t="s">
        <v>212</v>
      </c>
      <c r="K50" s="13" t="s">
        <v>315</v>
      </c>
      <c r="L50" s="13" t="s">
        <v>213</v>
      </c>
      <c r="M50" s="32">
        <v>4.7</v>
      </c>
      <c r="N50" s="32">
        <f>M50*33</f>
        <v>155.1</v>
      </c>
      <c r="O50" s="102">
        <f>8*3.5</f>
        <v>28</v>
      </c>
      <c r="P50" s="93"/>
      <c r="Q50" s="17" t="s">
        <v>415</v>
      </c>
      <c r="R50" s="105">
        <v>1</v>
      </c>
      <c r="S50" s="17"/>
      <c r="T50" s="4"/>
    </row>
    <row r="51" spans="1:20" s="3" customFormat="1" ht="18" customHeight="1" x14ac:dyDescent="0.25">
      <c r="A51" s="9">
        <v>72</v>
      </c>
      <c r="B51" s="88"/>
      <c r="C51" s="88"/>
      <c r="D51" s="7">
        <v>42410</v>
      </c>
      <c r="E51" s="29">
        <v>42425</v>
      </c>
      <c r="F51" s="8" t="s">
        <v>384</v>
      </c>
      <c r="G51" s="8" t="s">
        <v>385</v>
      </c>
      <c r="H51" s="22" t="s">
        <v>377</v>
      </c>
      <c r="I51" s="8">
        <v>500</v>
      </c>
      <c r="J51" s="13" t="s">
        <v>222</v>
      </c>
      <c r="K51" s="13" t="s">
        <v>223</v>
      </c>
      <c r="L51" s="13" t="s">
        <v>224</v>
      </c>
      <c r="M51" s="32">
        <v>45.5</v>
      </c>
      <c r="N51" s="32">
        <f>M51*92</f>
        <v>4186</v>
      </c>
      <c r="O51" s="102">
        <f>20*5</f>
        <v>100</v>
      </c>
      <c r="P51" s="93" t="s">
        <v>627</v>
      </c>
      <c r="Q51" s="17" t="s">
        <v>415</v>
      </c>
      <c r="R51" s="105">
        <v>1</v>
      </c>
      <c r="S51" s="17"/>
      <c r="T51" s="4"/>
    </row>
    <row r="52" spans="1:20" s="3" customFormat="1" ht="18" customHeight="1" x14ac:dyDescent="0.25">
      <c r="A52" s="9">
        <v>73</v>
      </c>
      <c r="B52" s="88"/>
      <c r="C52" s="88"/>
      <c r="D52" s="7">
        <v>42415</v>
      </c>
      <c r="E52" s="29">
        <v>42425</v>
      </c>
      <c r="F52" s="8" t="s">
        <v>386</v>
      </c>
      <c r="G52" s="8" t="s">
        <v>384</v>
      </c>
      <c r="H52" s="22" t="s">
        <v>387</v>
      </c>
      <c r="I52" s="8">
        <v>500</v>
      </c>
      <c r="J52" s="13" t="s">
        <v>225</v>
      </c>
      <c r="K52" s="13" t="s">
        <v>226</v>
      </c>
      <c r="L52" s="13" t="s">
        <v>227</v>
      </c>
      <c r="M52" s="32">
        <v>47.5</v>
      </c>
      <c r="N52" s="32">
        <f>M52*92</f>
        <v>4370</v>
      </c>
      <c r="O52" s="102">
        <v>100</v>
      </c>
      <c r="P52" s="93" t="s">
        <v>627</v>
      </c>
      <c r="Q52" s="17" t="s">
        <v>415</v>
      </c>
      <c r="R52" s="105">
        <v>1</v>
      </c>
      <c r="S52" s="16"/>
      <c r="T52" s="4"/>
    </row>
    <row r="53" spans="1:20" s="3" customFormat="1" ht="18" customHeight="1" x14ac:dyDescent="0.25">
      <c r="A53" s="9">
        <v>74</v>
      </c>
      <c r="B53" s="88"/>
      <c r="C53" s="88"/>
      <c r="D53" s="7"/>
      <c r="E53" s="29"/>
      <c r="F53" s="34" t="s">
        <v>388</v>
      </c>
      <c r="G53" s="34" t="s">
        <v>389</v>
      </c>
      <c r="H53" s="22" t="s">
        <v>387</v>
      </c>
      <c r="I53" s="8">
        <v>200</v>
      </c>
      <c r="J53" s="10" t="s">
        <v>228</v>
      </c>
      <c r="K53" s="13" t="s">
        <v>229</v>
      </c>
      <c r="L53" s="13" t="s">
        <v>230</v>
      </c>
      <c r="M53" s="32">
        <v>7.4</v>
      </c>
      <c r="N53" s="32">
        <f>M53*33</f>
        <v>244.20000000000002</v>
      </c>
      <c r="O53" s="102">
        <f>8*2</f>
        <v>16</v>
      </c>
      <c r="P53" s="93"/>
      <c r="Q53" s="36" t="s">
        <v>375</v>
      </c>
      <c r="R53" s="105">
        <v>0</v>
      </c>
      <c r="S53" s="17"/>
      <c r="T53" s="4"/>
    </row>
    <row r="54" spans="1:20" s="3" customFormat="1" ht="18" customHeight="1" x14ac:dyDescent="0.25">
      <c r="A54" s="9">
        <v>75</v>
      </c>
      <c r="B54" s="88"/>
      <c r="C54" s="88"/>
      <c r="D54" s="7">
        <v>42359</v>
      </c>
      <c r="E54" s="29">
        <v>42375</v>
      </c>
      <c r="F54" s="8" t="s">
        <v>389</v>
      </c>
      <c r="G54" s="8" t="s">
        <v>336</v>
      </c>
      <c r="H54" s="22" t="s">
        <v>387</v>
      </c>
      <c r="I54" s="8">
        <v>200</v>
      </c>
      <c r="J54" s="13" t="s">
        <v>231</v>
      </c>
      <c r="K54" s="13" t="s">
        <v>232</v>
      </c>
      <c r="L54" s="13" t="s">
        <v>233</v>
      </c>
      <c r="M54" s="32">
        <v>15.2</v>
      </c>
      <c r="N54" s="32">
        <f>M54*33</f>
        <v>501.59999999999997</v>
      </c>
      <c r="O54" s="102">
        <f>8*3</f>
        <v>24</v>
      </c>
      <c r="P54" s="93"/>
      <c r="Q54" s="17" t="s">
        <v>415</v>
      </c>
      <c r="R54" s="105">
        <v>1</v>
      </c>
      <c r="S54" s="16"/>
      <c r="T54" s="4"/>
    </row>
    <row r="55" spans="1:20" s="3" customFormat="1" ht="18" customHeight="1" x14ac:dyDescent="0.25">
      <c r="A55" s="9">
        <v>84</v>
      </c>
      <c r="B55" s="88"/>
      <c r="C55" s="88"/>
      <c r="D55" s="7">
        <v>42348</v>
      </c>
      <c r="E55" s="29">
        <v>42353</v>
      </c>
      <c r="F55" s="10" t="s">
        <v>399</v>
      </c>
      <c r="G55" s="10" t="s">
        <v>427</v>
      </c>
      <c r="H55" s="22">
        <v>2</v>
      </c>
      <c r="I55" s="8">
        <v>100</v>
      </c>
      <c r="J55" s="13" t="s">
        <v>258</v>
      </c>
      <c r="K55" s="13" t="s">
        <v>259</v>
      </c>
      <c r="L55" s="13" t="s">
        <v>260</v>
      </c>
      <c r="M55" s="32">
        <f>3.1+1.8+5.1+2.2</f>
        <v>12.2</v>
      </c>
      <c r="N55" s="32">
        <f>M55*15</f>
        <v>183</v>
      </c>
      <c r="O55" s="102">
        <v>32</v>
      </c>
      <c r="P55" s="26"/>
      <c r="Q55" s="32" t="s">
        <v>415</v>
      </c>
      <c r="R55" s="105">
        <v>1</v>
      </c>
      <c r="S55" s="16"/>
      <c r="T55" s="4"/>
    </row>
    <row r="56" spans="1:20" s="3" customFormat="1" ht="18" customHeight="1" x14ac:dyDescent="0.25">
      <c r="A56" s="9">
        <v>98</v>
      </c>
      <c r="B56" s="88"/>
      <c r="C56" s="88"/>
      <c r="D56" s="29">
        <v>42375</v>
      </c>
      <c r="E56" s="29">
        <v>42376</v>
      </c>
      <c r="F56" s="86" t="s">
        <v>451</v>
      </c>
      <c r="G56" s="85"/>
      <c r="H56" s="22">
        <v>2</v>
      </c>
      <c r="I56" s="8">
        <v>25</v>
      </c>
      <c r="J56" s="10" t="s">
        <v>300</v>
      </c>
      <c r="K56" s="13" t="s">
        <v>301</v>
      </c>
      <c r="L56" s="13" t="s">
        <v>302</v>
      </c>
      <c r="M56" s="32"/>
      <c r="N56" s="32"/>
      <c r="O56" s="102"/>
      <c r="P56" s="93"/>
      <c r="Q56" s="32" t="s">
        <v>415</v>
      </c>
      <c r="R56" s="105">
        <v>1</v>
      </c>
      <c r="S56" s="17"/>
      <c r="T56" s="4"/>
    </row>
    <row r="57" spans="1:20" s="3" customFormat="1" ht="18" customHeight="1" x14ac:dyDescent="0.25">
      <c r="A57" s="9">
        <v>99</v>
      </c>
      <c r="B57" s="88"/>
      <c r="C57" s="88"/>
      <c r="D57" s="29">
        <v>42375</v>
      </c>
      <c r="E57" s="29">
        <v>42376</v>
      </c>
      <c r="F57" s="86" t="s">
        <v>452</v>
      </c>
      <c r="G57" s="85"/>
      <c r="H57" s="22">
        <v>2</v>
      </c>
      <c r="I57" s="8">
        <v>40</v>
      </c>
      <c r="J57" s="13" t="s">
        <v>303</v>
      </c>
      <c r="K57" s="13" t="s">
        <v>304</v>
      </c>
      <c r="L57" s="13" t="s">
        <v>305</v>
      </c>
      <c r="M57" s="32"/>
      <c r="N57" s="32"/>
      <c r="O57" s="102"/>
      <c r="P57" s="93"/>
      <c r="Q57" s="32" t="s">
        <v>415</v>
      </c>
      <c r="R57" s="105">
        <v>1</v>
      </c>
      <c r="S57" s="17"/>
      <c r="T57" s="4"/>
    </row>
  </sheetData>
  <autoFilter ref="A3:S57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T43"/>
  <sheetViews>
    <sheetView zoomScaleNormal="100" zoomScaleSheetLayoutView="70" workbookViewId="0">
      <pane xSplit="10" ySplit="3" topLeftCell="L4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8.7891242105263157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SUMPRODUCT(N4:N193,R4:R193)</f>
        <v>7983.0680000000002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SUM(M4:M32)</f>
        <v>303.62600000000003</v>
      </c>
      <c r="N3" s="19">
        <f>SUM(N4:N32)</f>
        <v>8349.6679999999997</v>
      </c>
      <c r="O3" s="19">
        <f>SUM(O4:O32)+S3</f>
        <v>950</v>
      </c>
      <c r="P3" s="37"/>
      <c r="Q3" s="15">
        <f>SUM(Q4:Q32)</f>
        <v>0</v>
      </c>
      <c r="R3" s="100">
        <f>S2/N3</f>
        <v>0.95609406266213226</v>
      </c>
      <c r="S3" s="15">
        <f>SUM(S4:S32)</f>
        <v>0</v>
      </c>
    </row>
    <row r="4" spans="1:20" s="3" customFormat="1" ht="18" customHeight="1" x14ac:dyDescent="0.25">
      <c r="A4" s="9">
        <v>21</v>
      </c>
      <c r="B4" s="88" t="s">
        <v>325</v>
      </c>
      <c r="C4" s="88"/>
      <c r="D4" s="30">
        <v>42328</v>
      </c>
      <c r="E4" s="29">
        <v>42335</v>
      </c>
      <c r="F4" s="8" t="s">
        <v>355</v>
      </c>
      <c r="G4" s="8" t="s">
        <v>331</v>
      </c>
      <c r="H4" s="22">
        <v>3</v>
      </c>
      <c r="I4" s="8">
        <v>200</v>
      </c>
      <c r="J4" s="13" t="s">
        <v>76</v>
      </c>
      <c r="K4" s="13" t="s">
        <v>77</v>
      </c>
      <c r="L4" s="13" t="s">
        <v>78</v>
      </c>
      <c r="M4" s="32">
        <f>6.5+1.6</f>
        <v>8.1</v>
      </c>
      <c r="N4" s="32">
        <f>M4*33</f>
        <v>267.3</v>
      </c>
      <c r="O4" s="102">
        <v>28</v>
      </c>
      <c r="P4" s="26"/>
      <c r="Q4" s="17" t="s">
        <v>415</v>
      </c>
      <c r="R4" s="105">
        <v>1</v>
      </c>
      <c r="S4" s="17"/>
      <c r="T4" s="4" t="s">
        <v>17</v>
      </c>
    </row>
    <row r="5" spans="1:20" s="3" customFormat="1" ht="18" customHeight="1" x14ac:dyDescent="0.25">
      <c r="A5" s="9">
        <v>24</v>
      </c>
      <c r="B5" s="88" t="s">
        <v>323</v>
      </c>
      <c r="C5" s="88"/>
      <c r="D5" s="30">
        <v>42317</v>
      </c>
      <c r="E5" s="29">
        <v>42318</v>
      </c>
      <c r="F5" s="8" t="s">
        <v>334</v>
      </c>
      <c r="G5" s="8" t="s">
        <v>331</v>
      </c>
      <c r="H5" s="22">
        <v>3</v>
      </c>
      <c r="I5" s="8">
        <v>150</v>
      </c>
      <c r="J5" s="13" t="s">
        <v>84</v>
      </c>
      <c r="K5" s="13" t="s">
        <v>85</v>
      </c>
      <c r="L5" s="13" t="s">
        <v>86</v>
      </c>
      <c r="M5" s="32">
        <f>0.434+0.774+3.34+2.3+3.78+1.15+0.39+1.25+1.697+1.104+1.193*5+1.624*2+2.005+0.792</f>
        <v>28.229000000000003</v>
      </c>
      <c r="N5" s="32">
        <f>M5*23</f>
        <v>649.26700000000005</v>
      </c>
      <c r="O5" s="102">
        <v>108</v>
      </c>
      <c r="P5" s="26"/>
      <c r="Q5" s="17" t="s">
        <v>415</v>
      </c>
      <c r="R5" s="105">
        <v>1</v>
      </c>
      <c r="S5" s="17"/>
      <c r="T5" s="4" t="s">
        <v>15</v>
      </c>
    </row>
    <row r="6" spans="1:20" s="3" customFormat="1" ht="18" customHeight="1" x14ac:dyDescent="0.25">
      <c r="A6" s="9">
        <v>25</v>
      </c>
      <c r="B6" s="88" t="s">
        <v>323</v>
      </c>
      <c r="C6" s="88"/>
      <c r="D6" s="30">
        <v>42318</v>
      </c>
      <c r="E6" s="29">
        <v>42327</v>
      </c>
      <c r="F6" s="8" t="s">
        <v>337</v>
      </c>
      <c r="G6" s="8" t="s">
        <v>331</v>
      </c>
      <c r="H6" s="22">
        <v>3</v>
      </c>
      <c r="I6" s="8">
        <v>200</v>
      </c>
      <c r="J6" s="13" t="s">
        <v>87</v>
      </c>
      <c r="K6" s="13" t="s">
        <v>88</v>
      </c>
      <c r="L6" s="13" t="s">
        <v>89</v>
      </c>
      <c r="M6" s="32">
        <f>4.627+1.97</f>
        <v>6.5969999999999995</v>
      </c>
      <c r="N6" s="32">
        <f>M6*33</f>
        <v>217.70099999999999</v>
      </c>
      <c r="O6" s="102">
        <v>28</v>
      </c>
      <c r="P6" s="26"/>
      <c r="Q6" s="17" t="s">
        <v>415</v>
      </c>
      <c r="R6" s="105">
        <v>1</v>
      </c>
      <c r="S6" s="17"/>
      <c r="T6" s="4" t="s">
        <v>14</v>
      </c>
    </row>
    <row r="7" spans="1:20" s="3" customFormat="1" ht="18" customHeight="1" x14ac:dyDescent="0.25">
      <c r="A7" s="9">
        <v>32</v>
      </c>
      <c r="B7" s="88" t="s">
        <v>325</v>
      </c>
      <c r="C7" s="88"/>
      <c r="D7" s="30">
        <v>42328</v>
      </c>
      <c r="E7" s="29">
        <v>42335</v>
      </c>
      <c r="F7" s="10" t="s">
        <v>358</v>
      </c>
      <c r="G7" s="8" t="s">
        <v>331</v>
      </c>
      <c r="H7" s="22">
        <v>3</v>
      </c>
      <c r="I7" s="8">
        <v>200</v>
      </c>
      <c r="J7" s="10" t="s">
        <v>108</v>
      </c>
      <c r="K7" s="13" t="s">
        <v>109</v>
      </c>
      <c r="L7" s="13" t="s">
        <v>110</v>
      </c>
      <c r="M7" s="32">
        <f>21.5+1.2</f>
        <v>22.7</v>
      </c>
      <c r="N7" s="32">
        <f>M7*33</f>
        <v>749.1</v>
      </c>
      <c r="O7" s="102">
        <v>42</v>
      </c>
      <c r="P7" s="26"/>
      <c r="Q7" s="17" t="s">
        <v>415</v>
      </c>
      <c r="R7" s="105">
        <v>1</v>
      </c>
      <c r="S7" s="17"/>
      <c r="T7" s="4" t="s">
        <v>12</v>
      </c>
    </row>
    <row r="8" spans="1:20" s="3" customFormat="1" ht="18" customHeight="1" x14ac:dyDescent="0.25">
      <c r="A8" s="9">
        <v>48</v>
      </c>
      <c r="B8" s="88" t="s">
        <v>325</v>
      </c>
      <c r="C8" s="88"/>
      <c r="D8" s="30">
        <v>42331</v>
      </c>
      <c r="E8" s="29">
        <v>42335</v>
      </c>
      <c r="F8" s="8" t="s">
        <v>359</v>
      </c>
      <c r="G8" s="8" t="s">
        <v>343</v>
      </c>
      <c r="H8" s="22">
        <v>3</v>
      </c>
      <c r="I8" s="8">
        <v>250</v>
      </c>
      <c r="J8" s="13" t="s">
        <v>154</v>
      </c>
      <c r="K8" s="13" t="s">
        <v>155</v>
      </c>
      <c r="L8" s="13" t="s">
        <v>156</v>
      </c>
      <c r="M8" s="32">
        <f>7.9+2.6</f>
        <v>10.5</v>
      </c>
      <c r="N8" s="32">
        <f>M8*40</f>
        <v>420</v>
      </c>
      <c r="O8" s="102">
        <v>35</v>
      </c>
      <c r="P8" s="26"/>
      <c r="Q8" s="17" t="s">
        <v>415</v>
      </c>
      <c r="R8" s="105">
        <v>1</v>
      </c>
      <c r="S8" s="17"/>
      <c r="T8" s="4"/>
    </row>
    <row r="9" spans="1:20" s="3" customFormat="1" ht="18" customHeight="1" x14ac:dyDescent="0.25">
      <c r="A9" s="9">
        <v>49</v>
      </c>
      <c r="B9" s="88" t="s">
        <v>325</v>
      </c>
      <c r="C9" s="88"/>
      <c r="D9" s="30">
        <v>42331</v>
      </c>
      <c r="E9" s="29">
        <v>42335</v>
      </c>
      <c r="F9" s="8" t="s">
        <v>360</v>
      </c>
      <c r="G9" s="8" t="s">
        <v>343</v>
      </c>
      <c r="H9" s="22">
        <v>3</v>
      </c>
      <c r="I9" s="8">
        <v>200</v>
      </c>
      <c r="J9" s="13" t="s">
        <v>157</v>
      </c>
      <c r="K9" s="13" t="s">
        <v>158</v>
      </c>
      <c r="L9" s="13" t="s">
        <v>159</v>
      </c>
      <c r="M9" s="32">
        <f>7.8+2.6</f>
        <v>10.4</v>
      </c>
      <c r="N9" s="32">
        <f>M9*33</f>
        <v>343.2</v>
      </c>
      <c r="O9" s="102">
        <f>8*3.5</f>
        <v>28</v>
      </c>
      <c r="P9" s="26"/>
      <c r="Q9" s="17" t="s">
        <v>415</v>
      </c>
      <c r="R9" s="105">
        <v>1</v>
      </c>
      <c r="S9" s="17"/>
      <c r="T9" s="4"/>
    </row>
    <row r="10" spans="1:20" s="3" customFormat="1" ht="18" customHeight="1" x14ac:dyDescent="0.25">
      <c r="A10" s="9">
        <v>50</v>
      </c>
      <c r="B10" s="88" t="s">
        <v>325</v>
      </c>
      <c r="C10" s="88"/>
      <c r="D10" s="30">
        <v>42334</v>
      </c>
      <c r="E10" s="29">
        <v>42335</v>
      </c>
      <c r="F10" s="8" t="s">
        <v>362</v>
      </c>
      <c r="G10" s="8" t="s">
        <v>352</v>
      </c>
      <c r="H10" s="22">
        <v>3</v>
      </c>
      <c r="I10" s="8">
        <v>150</v>
      </c>
      <c r="J10" s="10" t="s">
        <v>160</v>
      </c>
      <c r="K10" s="13" t="s">
        <v>161</v>
      </c>
      <c r="L10" s="13" t="s">
        <v>162</v>
      </c>
      <c r="M10" s="32">
        <f>12+4.3+0.4+1.5</f>
        <v>18.2</v>
      </c>
      <c r="N10" s="32">
        <f>M10*23</f>
        <v>418.59999999999997</v>
      </c>
      <c r="O10" s="102">
        <f>6*5+6</f>
        <v>36</v>
      </c>
      <c r="P10" s="26"/>
      <c r="Q10" s="17" t="s">
        <v>415</v>
      </c>
      <c r="R10" s="105">
        <v>1</v>
      </c>
      <c r="S10" s="17"/>
      <c r="T10" s="4"/>
    </row>
    <row r="11" spans="1:20" s="3" customFormat="1" ht="18" customHeight="1" x14ac:dyDescent="0.25">
      <c r="A11" s="9">
        <v>51</v>
      </c>
      <c r="B11" s="88" t="s">
        <v>325</v>
      </c>
      <c r="C11" s="88"/>
      <c r="D11" s="30">
        <v>42333</v>
      </c>
      <c r="E11" s="29">
        <v>42335</v>
      </c>
      <c r="F11" s="8" t="s">
        <v>351</v>
      </c>
      <c r="G11" s="8" t="s">
        <v>352</v>
      </c>
      <c r="H11" s="22">
        <v>3</v>
      </c>
      <c r="I11" s="8">
        <v>150</v>
      </c>
      <c r="J11" s="13" t="s">
        <v>163</v>
      </c>
      <c r="K11" s="13" t="s">
        <v>164</v>
      </c>
      <c r="L11" s="13" t="s">
        <v>165</v>
      </c>
      <c r="M11" s="32">
        <v>25.5</v>
      </c>
      <c r="N11" s="32">
        <f>M11*23</f>
        <v>586.5</v>
      </c>
      <c r="O11" s="102">
        <f>6*11.5+4*9</f>
        <v>105</v>
      </c>
      <c r="P11" s="26"/>
      <c r="Q11" s="17" t="s">
        <v>415</v>
      </c>
      <c r="R11" s="105">
        <v>1</v>
      </c>
      <c r="S11" s="17"/>
      <c r="T11" s="4"/>
    </row>
    <row r="12" spans="1:20" s="3" customFormat="1" ht="18" customHeight="1" x14ac:dyDescent="0.25">
      <c r="A12" s="9">
        <v>52</v>
      </c>
      <c r="B12" s="88" t="s">
        <v>325</v>
      </c>
      <c r="C12" s="88"/>
      <c r="D12" s="30">
        <v>42331</v>
      </c>
      <c r="E12" s="29">
        <v>42335</v>
      </c>
      <c r="F12" s="8" t="s">
        <v>353</v>
      </c>
      <c r="G12" s="8" t="s">
        <v>352</v>
      </c>
      <c r="H12" s="22">
        <v>3</v>
      </c>
      <c r="I12" s="8">
        <v>150</v>
      </c>
      <c r="J12" s="13" t="s">
        <v>166</v>
      </c>
      <c r="K12" s="13" t="s">
        <v>167</v>
      </c>
      <c r="L12" s="13" t="s">
        <v>168</v>
      </c>
      <c r="M12" s="32">
        <f>14.5+2.2+1.9</f>
        <v>18.599999999999998</v>
      </c>
      <c r="N12" s="32">
        <f>M12*23</f>
        <v>427.79999999999995</v>
      </c>
      <c r="O12" s="102">
        <f>6*6</f>
        <v>36</v>
      </c>
      <c r="P12" s="26"/>
      <c r="Q12" s="17" t="s">
        <v>415</v>
      </c>
      <c r="R12" s="105">
        <v>1</v>
      </c>
      <c r="S12" s="17"/>
      <c r="T12" s="4"/>
    </row>
    <row r="13" spans="1:20" s="3" customFormat="1" ht="18" customHeight="1" x14ac:dyDescent="0.25">
      <c r="A13" s="9">
        <v>53</v>
      </c>
      <c r="B13" s="88" t="s">
        <v>325</v>
      </c>
      <c r="C13" s="88"/>
      <c r="D13" s="30">
        <v>42333</v>
      </c>
      <c r="E13" s="29">
        <v>42335</v>
      </c>
      <c r="F13" s="8" t="s">
        <v>354</v>
      </c>
      <c r="G13" s="8" t="s">
        <v>352</v>
      </c>
      <c r="H13" s="22">
        <v>3</v>
      </c>
      <c r="I13" s="8">
        <v>150</v>
      </c>
      <c r="J13" s="10" t="s">
        <v>169</v>
      </c>
      <c r="K13" s="13" t="s">
        <v>170</v>
      </c>
      <c r="L13" s="13" t="s">
        <v>171</v>
      </c>
      <c r="M13" s="32">
        <f>14.5+2.2+1.9</f>
        <v>18.599999999999998</v>
      </c>
      <c r="N13" s="32">
        <f>M13*23</f>
        <v>427.79999999999995</v>
      </c>
      <c r="O13" s="102">
        <f>6*6</f>
        <v>36</v>
      </c>
      <c r="P13" s="26"/>
      <c r="Q13" s="17" t="s">
        <v>415</v>
      </c>
      <c r="R13" s="105">
        <v>1</v>
      </c>
      <c r="S13" s="17"/>
      <c r="T13" s="4"/>
    </row>
    <row r="14" spans="1:20" s="3" customFormat="1" ht="18" customHeight="1" x14ac:dyDescent="0.25">
      <c r="A14" s="9">
        <v>54</v>
      </c>
      <c r="B14" s="88" t="s">
        <v>426</v>
      </c>
      <c r="C14" s="88"/>
      <c r="D14" s="31">
        <v>42342</v>
      </c>
      <c r="E14" s="29">
        <v>42348</v>
      </c>
      <c r="F14" s="8" t="s">
        <v>361</v>
      </c>
      <c r="G14" s="8" t="s">
        <v>352</v>
      </c>
      <c r="H14" s="22">
        <v>3</v>
      </c>
      <c r="I14" s="8">
        <v>200</v>
      </c>
      <c r="J14" s="13" t="s">
        <v>315</v>
      </c>
      <c r="K14" s="13" t="s">
        <v>172</v>
      </c>
      <c r="L14" s="13" t="s">
        <v>173</v>
      </c>
      <c r="M14" s="32">
        <v>11.2</v>
      </c>
      <c r="N14" s="32">
        <f>M14*33</f>
        <v>369.59999999999997</v>
      </c>
      <c r="O14" s="102">
        <v>16</v>
      </c>
      <c r="P14" s="26"/>
      <c r="Q14" s="17" t="s">
        <v>415</v>
      </c>
      <c r="R14" s="105">
        <v>1</v>
      </c>
      <c r="S14" s="17"/>
      <c r="T14" s="4"/>
    </row>
    <row r="15" spans="1:20" s="3" customFormat="1" ht="18" customHeight="1" x14ac:dyDescent="0.25">
      <c r="A15" s="9">
        <v>55</v>
      </c>
      <c r="B15" s="88" t="s">
        <v>426</v>
      </c>
      <c r="C15" s="88"/>
      <c r="D15" s="31">
        <v>42342</v>
      </c>
      <c r="E15" s="29">
        <v>42348</v>
      </c>
      <c r="F15" s="8" t="s">
        <v>362</v>
      </c>
      <c r="G15" s="8" t="s">
        <v>361</v>
      </c>
      <c r="H15" s="22">
        <v>3</v>
      </c>
      <c r="I15" s="8">
        <v>200</v>
      </c>
      <c r="J15" s="13" t="s">
        <v>174</v>
      </c>
      <c r="K15" s="13" t="s">
        <v>175</v>
      </c>
      <c r="L15" s="13" t="s">
        <v>176</v>
      </c>
      <c r="M15" s="32">
        <f>1.9+4.1+1.3</f>
        <v>7.3</v>
      </c>
      <c r="N15" s="32">
        <f>M15*33</f>
        <v>240.9</v>
      </c>
      <c r="O15" s="102">
        <f>8*7.5</f>
        <v>60</v>
      </c>
      <c r="P15" s="26"/>
      <c r="Q15" s="17" t="s">
        <v>415</v>
      </c>
      <c r="R15" s="105">
        <v>1</v>
      </c>
      <c r="S15" s="16"/>
      <c r="T15" s="4"/>
    </row>
    <row r="16" spans="1:20" s="3" customFormat="1" ht="18" customHeight="1" x14ac:dyDescent="0.25">
      <c r="A16" s="9">
        <v>56</v>
      </c>
      <c r="B16" s="88" t="s">
        <v>426</v>
      </c>
      <c r="C16" s="88"/>
      <c r="D16" s="31">
        <v>42342</v>
      </c>
      <c r="E16" s="29">
        <v>42348</v>
      </c>
      <c r="F16" s="8" t="s">
        <v>363</v>
      </c>
      <c r="G16" s="8" t="s">
        <v>358</v>
      </c>
      <c r="H16" s="22">
        <v>3</v>
      </c>
      <c r="I16" s="8">
        <v>200</v>
      </c>
      <c r="J16" s="10" t="s">
        <v>177</v>
      </c>
      <c r="K16" s="13" t="s">
        <v>178</v>
      </c>
      <c r="L16" s="13" t="s">
        <v>179</v>
      </c>
      <c r="M16" s="32">
        <f>4.7+1.4</f>
        <v>6.1</v>
      </c>
      <c r="N16" s="32">
        <f>M16*33</f>
        <v>201.29999999999998</v>
      </c>
      <c r="O16" s="102">
        <f>8*4.5</f>
        <v>36</v>
      </c>
      <c r="P16" s="26"/>
      <c r="Q16" s="17" t="s">
        <v>415</v>
      </c>
      <c r="R16" s="105">
        <v>1</v>
      </c>
      <c r="S16" s="16"/>
      <c r="T16" s="4"/>
    </row>
    <row r="17" spans="1:20" s="3" customFormat="1" ht="18" customHeight="1" x14ac:dyDescent="0.25">
      <c r="A17" s="9">
        <v>57</v>
      </c>
      <c r="B17" s="88" t="s">
        <v>426</v>
      </c>
      <c r="C17" s="88"/>
      <c r="D17" s="31">
        <v>42347</v>
      </c>
      <c r="E17" s="29">
        <v>42348</v>
      </c>
      <c r="F17" s="8" t="s">
        <v>364</v>
      </c>
      <c r="G17" s="8" t="s">
        <v>358</v>
      </c>
      <c r="H17" s="22">
        <v>3</v>
      </c>
      <c r="I17" s="8">
        <v>200</v>
      </c>
      <c r="J17" s="13" t="s">
        <v>180</v>
      </c>
      <c r="K17" s="13" t="s">
        <v>181</v>
      </c>
      <c r="L17" s="13" t="s">
        <v>182</v>
      </c>
      <c r="M17" s="32">
        <f>1.6+0.5</f>
        <v>2.1</v>
      </c>
      <c r="N17" s="32">
        <f>M17*33</f>
        <v>69.3</v>
      </c>
      <c r="O17" s="102">
        <f>8*3.5</f>
        <v>28</v>
      </c>
      <c r="P17" s="26"/>
      <c r="Q17" s="17" t="s">
        <v>415</v>
      </c>
      <c r="R17" s="105">
        <v>1</v>
      </c>
      <c r="S17" s="17"/>
      <c r="T17" s="4"/>
    </row>
    <row r="18" spans="1:20" s="3" customFormat="1" ht="18" customHeight="1" x14ac:dyDescent="0.25">
      <c r="A18" s="9">
        <v>58</v>
      </c>
      <c r="B18" s="88" t="s">
        <v>426</v>
      </c>
      <c r="C18" s="88"/>
      <c r="D18" s="30">
        <v>42342</v>
      </c>
      <c r="E18" s="29">
        <v>42348</v>
      </c>
      <c r="F18" s="8" t="s">
        <v>365</v>
      </c>
      <c r="G18" s="8" t="s">
        <v>358</v>
      </c>
      <c r="H18" s="22">
        <v>3</v>
      </c>
      <c r="I18" s="8">
        <v>250</v>
      </c>
      <c r="J18" s="13" t="s">
        <v>183</v>
      </c>
      <c r="K18" s="13" t="s">
        <v>184</v>
      </c>
      <c r="L18" s="13" t="s">
        <v>185</v>
      </c>
      <c r="M18" s="32">
        <f>7.4+1.2</f>
        <v>8.6</v>
      </c>
      <c r="N18" s="32">
        <f>M18*40</f>
        <v>344</v>
      </c>
      <c r="O18" s="102">
        <f>10*3.5</f>
        <v>35</v>
      </c>
      <c r="P18" s="26"/>
      <c r="Q18" s="17" t="s">
        <v>415</v>
      </c>
      <c r="R18" s="105">
        <v>1</v>
      </c>
      <c r="S18" s="16"/>
      <c r="T18" s="4"/>
    </row>
    <row r="19" spans="1:20" s="3" customFormat="1" ht="18" customHeight="1" x14ac:dyDescent="0.25">
      <c r="A19" s="9">
        <v>59</v>
      </c>
      <c r="B19" s="88" t="s">
        <v>426</v>
      </c>
      <c r="C19" s="88"/>
      <c r="D19" s="31">
        <v>42342</v>
      </c>
      <c r="E19" s="29">
        <v>42348</v>
      </c>
      <c r="F19" s="8" t="s">
        <v>366</v>
      </c>
      <c r="G19" s="8" t="s">
        <v>361</v>
      </c>
      <c r="H19" s="22">
        <v>3</v>
      </c>
      <c r="I19" s="8">
        <v>200</v>
      </c>
      <c r="J19" s="10" t="s">
        <v>186</v>
      </c>
      <c r="K19" s="13" t="s">
        <v>187</v>
      </c>
      <c r="L19" s="13" t="s">
        <v>188</v>
      </c>
      <c r="M19" s="32">
        <f>15.1+2.2</f>
        <v>17.3</v>
      </c>
      <c r="N19" s="32">
        <f>M19*33</f>
        <v>570.9</v>
      </c>
      <c r="O19" s="102">
        <f>10*4.5</f>
        <v>45</v>
      </c>
      <c r="P19" s="26"/>
      <c r="Q19" s="17" t="s">
        <v>415</v>
      </c>
      <c r="R19" s="105">
        <v>1</v>
      </c>
      <c r="S19" s="16"/>
      <c r="T19" s="4"/>
    </row>
    <row r="20" spans="1:20" s="3" customFormat="1" ht="18" customHeight="1" x14ac:dyDescent="0.25">
      <c r="A20" s="9">
        <v>60</v>
      </c>
      <c r="B20" s="88" t="s">
        <v>435</v>
      </c>
      <c r="C20" s="88"/>
      <c r="D20" s="31">
        <v>42353</v>
      </c>
      <c r="E20" s="29">
        <v>42354</v>
      </c>
      <c r="F20" s="8" t="s">
        <v>367</v>
      </c>
      <c r="G20" s="8" t="s">
        <v>365</v>
      </c>
      <c r="H20" s="22">
        <v>3</v>
      </c>
      <c r="I20" s="8">
        <v>250</v>
      </c>
      <c r="J20" s="13" t="s">
        <v>189</v>
      </c>
      <c r="K20" s="13" t="s">
        <v>190</v>
      </c>
      <c r="L20" s="13" t="s">
        <v>191</v>
      </c>
      <c r="M20" s="32">
        <f>1.1+0.5</f>
        <v>1.6</v>
      </c>
      <c r="N20" s="32">
        <f>M20*40</f>
        <v>64</v>
      </c>
      <c r="O20" s="102">
        <v>35</v>
      </c>
      <c r="P20" s="26"/>
      <c r="Q20" s="17" t="s">
        <v>415</v>
      </c>
      <c r="R20" s="105">
        <v>1</v>
      </c>
      <c r="S20" s="17"/>
      <c r="T20" s="4"/>
    </row>
    <row r="21" spans="1:20" s="3" customFormat="1" ht="18" customHeight="1" x14ac:dyDescent="0.25">
      <c r="A21" s="9">
        <v>61</v>
      </c>
      <c r="B21" s="88" t="s">
        <v>426</v>
      </c>
      <c r="C21" s="88"/>
      <c r="D21" s="7">
        <v>42339</v>
      </c>
      <c r="E21" s="29">
        <v>42348</v>
      </c>
      <c r="F21" s="8" t="s">
        <v>368</v>
      </c>
      <c r="G21" s="8" t="s">
        <v>365</v>
      </c>
      <c r="H21" s="22">
        <v>3</v>
      </c>
      <c r="I21" s="8">
        <v>100</v>
      </c>
      <c r="J21" s="13" t="s">
        <v>192</v>
      </c>
      <c r="K21" s="13" t="s">
        <v>193</v>
      </c>
      <c r="L21" s="13" t="s">
        <v>194</v>
      </c>
      <c r="M21" s="32">
        <f>0.4+0.7+1.2</f>
        <v>2.2999999999999998</v>
      </c>
      <c r="N21" s="32">
        <f>M21*15</f>
        <v>34.5</v>
      </c>
      <c r="O21" s="102">
        <v>16</v>
      </c>
      <c r="P21" s="26"/>
      <c r="Q21" s="17" t="s">
        <v>415</v>
      </c>
      <c r="R21" s="105">
        <v>1</v>
      </c>
      <c r="S21" s="16"/>
      <c r="T21" s="4"/>
    </row>
    <row r="22" spans="1:20" s="3" customFormat="1" ht="18" customHeight="1" x14ac:dyDescent="0.25">
      <c r="A22" s="9">
        <v>62</v>
      </c>
      <c r="B22" s="88" t="s">
        <v>435</v>
      </c>
      <c r="C22" s="88"/>
      <c r="D22" s="7">
        <v>42353</v>
      </c>
      <c r="E22" s="29">
        <v>42354</v>
      </c>
      <c r="F22" s="8" t="s">
        <v>369</v>
      </c>
      <c r="G22" s="8" t="s">
        <v>365</v>
      </c>
      <c r="H22" s="22">
        <v>3</v>
      </c>
      <c r="I22" s="8">
        <v>250</v>
      </c>
      <c r="J22" s="10" t="s">
        <v>195</v>
      </c>
      <c r="K22" s="13" t="s">
        <v>196</v>
      </c>
      <c r="L22" s="13" t="s">
        <v>197</v>
      </c>
      <c r="M22" s="32">
        <f>1.2+11.2+0.8+1.2</f>
        <v>14.399999999999999</v>
      </c>
      <c r="N22" s="32">
        <f>M22*40</f>
        <v>576</v>
      </c>
      <c r="O22" s="102">
        <f>10*3.5+4*3</f>
        <v>47</v>
      </c>
      <c r="P22" s="26"/>
      <c r="Q22" s="17" t="s">
        <v>415</v>
      </c>
      <c r="R22" s="105">
        <v>1</v>
      </c>
      <c r="S22" s="16"/>
      <c r="T22" s="4"/>
    </row>
    <row r="23" spans="1:20" s="3" customFormat="1" ht="18.75" customHeight="1" x14ac:dyDescent="0.25">
      <c r="A23" s="9">
        <v>63</v>
      </c>
      <c r="B23" s="88" t="s">
        <v>436</v>
      </c>
      <c r="C23" s="88"/>
      <c r="D23" s="30">
        <v>42356</v>
      </c>
      <c r="E23" s="29">
        <v>42359</v>
      </c>
      <c r="F23" s="8" t="s">
        <v>341</v>
      </c>
      <c r="G23" s="8" t="s">
        <v>358</v>
      </c>
      <c r="H23" s="22">
        <v>3</v>
      </c>
      <c r="I23" s="8">
        <v>100</v>
      </c>
      <c r="J23" s="13" t="s">
        <v>198</v>
      </c>
      <c r="K23" s="13" t="s">
        <v>199</v>
      </c>
      <c r="L23" s="13" t="s">
        <v>200</v>
      </c>
      <c r="M23" s="32">
        <f>2.8+7.1+0.6</f>
        <v>10.499999999999998</v>
      </c>
      <c r="N23" s="32">
        <f>M23*15</f>
        <v>157.49999999999997</v>
      </c>
      <c r="O23" s="102">
        <f>4*4</f>
        <v>16</v>
      </c>
      <c r="P23" s="26"/>
      <c r="Q23" s="17" t="s">
        <v>415</v>
      </c>
      <c r="R23" s="105">
        <v>1</v>
      </c>
      <c r="S23" s="16"/>
      <c r="T23" s="4"/>
    </row>
    <row r="24" spans="1:20" s="3" customFormat="1" ht="18" customHeight="1" x14ac:dyDescent="0.25">
      <c r="A24" s="9">
        <v>64</v>
      </c>
      <c r="B24" s="88" t="s">
        <v>436</v>
      </c>
      <c r="C24" s="88"/>
      <c r="D24" s="30">
        <v>42355</v>
      </c>
      <c r="E24" s="29">
        <v>42359</v>
      </c>
      <c r="F24" s="8" t="s">
        <v>341</v>
      </c>
      <c r="G24" s="8" t="s">
        <v>365</v>
      </c>
      <c r="H24" s="22">
        <v>3</v>
      </c>
      <c r="I24" s="8">
        <v>100</v>
      </c>
      <c r="J24" s="13" t="s">
        <v>201</v>
      </c>
      <c r="K24" s="13" t="s">
        <v>202</v>
      </c>
      <c r="L24" s="13" t="s">
        <v>203</v>
      </c>
      <c r="M24" s="32">
        <f>0.6+0.5+5.7</f>
        <v>6.8000000000000007</v>
      </c>
      <c r="N24" s="32">
        <f>M24*15</f>
        <v>102.00000000000001</v>
      </c>
      <c r="O24" s="102">
        <v>12</v>
      </c>
      <c r="P24" s="26"/>
      <c r="Q24" s="17" t="s">
        <v>415</v>
      </c>
      <c r="R24" s="105">
        <v>1</v>
      </c>
      <c r="S24" s="17"/>
      <c r="T24" s="4"/>
    </row>
    <row r="25" spans="1:20" s="3" customFormat="1" ht="18" customHeight="1" x14ac:dyDescent="0.25">
      <c r="A25" s="9">
        <v>65</v>
      </c>
      <c r="B25" s="88" t="s">
        <v>436</v>
      </c>
      <c r="C25" s="88"/>
      <c r="D25" s="30">
        <v>42356</v>
      </c>
      <c r="E25" s="29">
        <v>42359</v>
      </c>
      <c r="F25" s="8" t="s">
        <v>341</v>
      </c>
      <c r="G25" s="8" t="s">
        <v>366</v>
      </c>
      <c r="H25" s="22">
        <v>3</v>
      </c>
      <c r="I25" s="8">
        <v>100</v>
      </c>
      <c r="J25" s="10" t="s">
        <v>204</v>
      </c>
      <c r="K25" s="13" t="s">
        <v>205</v>
      </c>
      <c r="L25" s="13" t="s">
        <v>206</v>
      </c>
      <c r="M25" s="32">
        <f>0.6+8.3+2.5</f>
        <v>11.4</v>
      </c>
      <c r="N25" s="32">
        <f>M25*15</f>
        <v>171</v>
      </c>
      <c r="O25" s="102">
        <v>12</v>
      </c>
      <c r="P25" s="26"/>
      <c r="Q25" s="17" t="s">
        <v>415</v>
      </c>
      <c r="R25" s="105">
        <v>1</v>
      </c>
      <c r="S25" s="17"/>
      <c r="T25" s="4"/>
    </row>
    <row r="26" spans="1:20" s="3" customFormat="1" ht="18" customHeight="1" x14ac:dyDescent="0.25">
      <c r="A26" s="9">
        <v>76</v>
      </c>
      <c r="B26" s="88"/>
      <c r="C26" s="88"/>
      <c r="D26" s="7">
        <v>42359</v>
      </c>
      <c r="E26" s="29">
        <v>42375</v>
      </c>
      <c r="F26" s="8" t="s">
        <v>390</v>
      </c>
      <c r="G26" s="8" t="s">
        <v>392</v>
      </c>
      <c r="H26" s="22" t="s">
        <v>391</v>
      </c>
      <c r="I26" s="8">
        <v>200</v>
      </c>
      <c r="J26" s="13" t="s">
        <v>234</v>
      </c>
      <c r="K26" s="13" t="s">
        <v>235</v>
      </c>
      <c r="L26" s="13" t="s">
        <v>236</v>
      </c>
      <c r="M26" s="32">
        <v>7.5</v>
      </c>
      <c r="N26" s="32">
        <f>M26*33</f>
        <v>247.5</v>
      </c>
      <c r="O26" s="102">
        <v>16</v>
      </c>
      <c r="P26" s="93"/>
      <c r="Q26" s="17" t="s">
        <v>415</v>
      </c>
      <c r="R26" s="105">
        <v>1</v>
      </c>
      <c r="S26" s="17"/>
      <c r="T26" s="4"/>
    </row>
    <row r="27" spans="1:20" s="3" customFormat="1" ht="18" customHeight="1" x14ac:dyDescent="0.25">
      <c r="A27" s="9">
        <v>77</v>
      </c>
      <c r="B27" s="88"/>
      <c r="C27" s="88"/>
      <c r="D27" s="7"/>
      <c r="E27" s="29"/>
      <c r="F27" s="34" t="s">
        <v>393</v>
      </c>
      <c r="G27" s="34" t="s">
        <v>390</v>
      </c>
      <c r="H27" s="22" t="s">
        <v>391</v>
      </c>
      <c r="I27" s="8">
        <v>200</v>
      </c>
      <c r="J27" s="10" t="s">
        <v>237</v>
      </c>
      <c r="K27" s="13" t="s">
        <v>238</v>
      </c>
      <c r="L27" s="13" t="s">
        <v>239</v>
      </c>
      <c r="M27" s="32">
        <v>2.5</v>
      </c>
      <c r="N27" s="32">
        <f>M27*33</f>
        <v>82.5</v>
      </c>
      <c r="O27" s="102">
        <v>16</v>
      </c>
      <c r="P27" s="93"/>
      <c r="Q27" s="36" t="s">
        <v>375</v>
      </c>
      <c r="R27" s="105">
        <v>0</v>
      </c>
      <c r="S27" s="17"/>
      <c r="T27" s="4"/>
    </row>
    <row r="28" spans="1:20" s="3" customFormat="1" ht="18" customHeight="1" x14ac:dyDescent="0.25">
      <c r="A28" s="9">
        <v>78</v>
      </c>
      <c r="B28" s="88"/>
      <c r="C28" s="88"/>
      <c r="D28" s="7"/>
      <c r="E28" s="29"/>
      <c r="F28" s="38" t="s">
        <v>394</v>
      </c>
      <c r="G28" s="38" t="s">
        <v>396</v>
      </c>
      <c r="H28" s="22" t="s">
        <v>395</v>
      </c>
      <c r="I28" s="8">
        <v>200</v>
      </c>
      <c r="J28" s="13" t="s">
        <v>240</v>
      </c>
      <c r="K28" s="13" t="s">
        <v>241</v>
      </c>
      <c r="L28" s="13" t="s">
        <v>242</v>
      </c>
      <c r="M28" s="32">
        <v>7.7</v>
      </c>
      <c r="N28" s="32">
        <f>M28*33</f>
        <v>254.1</v>
      </c>
      <c r="O28" s="102">
        <v>16</v>
      </c>
      <c r="P28" s="93"/>
      <c r="Q28" s="36" t="s">
        <v>375</v>
      </c>
      <c r="R28" s="105">
        <v>0</v>
      </c>
      <c r="S28" s="17"/>
      <c r="T28" s="4"/>
    </row>
    <row r="29" spans="1:20" s="3" customFormat="1" ht="18" customHeight="1" x14ac:dyDescent="0.25">
      <c r="A29" s="9">
        <v>80</v>
      </c>
      <c r="B29" s="88"/>
      <c r="C29" s="88"/>
      <c r="D29" s="7">
        <v>42432</v>
      </c>
      <c r="E29" s="29"/>
      <c r="F29" s="8" t="s">
        <v>399</v>
      </c>
      <c r="G29" s="8" t="s">
        <v>400</v>
      </c>
      <c r="H29" s="22">
        <v>3</v>
      </c>
      <c r="I29" s="8">
        <v>100</v>
      </c>
      <c r="J29" s="10" t="s">
        <v>246</v>
      </c>
      <c r="K29" s="13" t="s">
        <v>247</v>
      </c>
      <c r="L29" s="13" t="s">
        <v>248</v>
      </c>
      <c r="M29" s="32">
        <v>10</v>
      </c>
      <c r="N29" s="32">
        <f>M29*15</f>
        <v>150</v>
      </c>
      <c r="O29" s="102">
        <v>10</v>
      </c>
      <c r="P29" s="37" t="s">
        <v>623</v>
      </c>
      <c r="Q29" s="36"/>
      <c r="R29" s="105">
        <v>1</v>
      </c>
      <c r="S29" s="17"/>
      <c r="T29" s="4"/>
    </row>
    <row r="30" spans="1:20" s="3" customFormat="1" ht="18" customHeight="1" x14ac:dyDescent="0.25">
      <c r="A30" s="9">
        <v>81</v>
      </c>
      <c r="B30" s="88"/>
      <c r="C30" s="88"/>
      <c r="D30" s="7"/>
      <c r="E30" s="29"/>
      <c r="F30" s="38" t="s">
        <v>399</v>
      </c>
      <c r="G30" s="38" t="s">
        <v>400</v>
      </c>
      <c r="H30" s="22">
        <v>3</v>
      </c>
      <c r="I30" s="8">
        <v>100</v>
      </c>
      <c r="J30" s="13" t="s">
        <v>249</v>
      </c>
      <c r="K30" s="13" t="s">
        <v>250</v>
      </c>
      <c r="L30" s="13" t="s">
        <v>251</v>
      </c>
      <c r="M30" s="32">
        <v>2</v>
      </c>
      <c r="N30" s="32">
        <f>M30*15</f>
        <v>30</v>
      </c>
      <c r="O30" s="102"/>
      <c r="P30" s="37"/>
      <c r="Q30" s="36" t="s">
        <v>375</v>
      </c>
      <c r="R30" s="105">
        <v>0</v>
      </c>
      <c r="S30" s="17"/>
      <c r="T30" s="4"/>
    </row>
    <row r="31" spans="1:20" s="3" customFormat="1" ht="18" customHeight="1" x14ac:dyDescent="0.25">
      <c r="A31" s="21">
        <v>82</v>
      </c>
      <c r="B31" s="88" t="s">
        <v>436</v>
      </c>
      <c r="C31" s="88"/>
      <c r="D31" s="7">
        <v>42354</v>
      </c>
      <c r="E31" s="29">
        <v>42359</v>
      </c>
      <c r="F31" s="10" t="s">
        <v>412</v>
      </c>
      <c r="G31" s="10" t="s">
        <v>390</v>
      </c>
      <c r="H31" s="22">
        <v>3</v>
      </c>
      <c r="I31" s="8">
        <v>200</v>
      </c>
      <c r="J31" s="13" t="s">
        <v>252</v>
      </c>
      <c r="K31" s="13" t="s">
        <v>253</v>
      </c>
      <c r="L31" s="13" t="s">
        <v>254</v>
      </c>
      <c r="M31" s="32">
        <f>1.5+2.6</f>
        <v>4.0999999999999996</v>
      </c>
      <c r="N31" s="32">
        <f>M31*33</f>
        <v>135.29999999999998</v>
      </c>
      <c r="O31" s="102">
        <f>8*3.5</f>
        <v>28</v>
      </c>
      <c r="P31" s="26"/>
      <c r="Q31" s="32" t="s">
        <v>415</v>
      </c>
      <c r="R31" s="105">
        <v>1</v>
      </c>
      <c r="S31" s="17"/>
      <c r="T31" s="4"/>
    </row>
    <row r="32" spans="1:20" s="3" customFormat="1" ht="18" customHeight="1" x14ac:dyDescent="0.25">
      <c r="A32" s="9">
        <v>83</v>
      </c>
      <c r="B32" s="88" t="s">
        <v>436</v>
      </c>
      <c r="C32" s="88"/>
      <c r="D32" s="7">
        <v>42354</v>
      </c>
      <c r="E32" s="29">
        <v>42359</v>
      </c>
      <c r="F32" s="10" t="s">
        <v>413</v>
      </c>
      <c r="G32" s="10" t="s">
        <v>366</v>
      </c>
      <c r="H32" s="22">
        <v>3</v>
      </c>
      <c r="I32" s="8">
        <v>100</v>
      </c>
      <c r="J32" s="10" t="s">
        <v>255</v>
      </c>
      <c r="K32" s="13" t="s">
        <v>256</v>
      </c>
      <c r="L32" s="13" t="s">
        <v>257</v>
      </c>
      <c r="M32" s="32">
        <f>1.2+0.7+0.9</f>
        <v>2.8</v>
      </c>
      <c r="N32" s="32">
        <f>M32*15</f>
        <v>42</v>
      </c>
      <c r="O32" s="102">
        <f>4*6</f>
        <v>24</v>
      </c>
      <c r="P32" s="26"/>
      <c r="Q32" s="32" t="s">
        <v>415</v>
      </c>
      <c r="R32" s="105">
        <v>1</v>
      </c>
      <c r="S32" s="16"/>
      <c r="T32" s="4"/>
    </row>
    <row r="33" spans="1:20" s="3" customFormat="1" ht="18" customHeight="1" x14ac:dyDescent="0.2">
      <c r="A33" s="9"/>
      <c r="B33" s="88"/>
      <c r="C33" s="88"/>
      <c r="D33" s="30"/>
      <c r="E33" s="28"/>
      <c r="F33" s="8"/>
      <c r="G33" s="8"/>
      <c r="H33" s="8"/>
      <c r="I33" s="8"/>
      <c r="J33" s="8"/>
      <c r="K33" s="8"/>
      <c r="L33" s="8"/>
      <c r="M33" s="32"/>
      <c r="N33" s="32"/>
      <c r="O33" s="5"/>
      <c r="P33" s="94"/>
      <c r="Q33" s="17"/>
      <c r="R33" s="18"/>
      <c r="S33" s="17"/>
      <c r="T33" s="4"/>
    </row>
    <row r="34" spans="1:20" s="3" customFormat="1" ht="18" customHeight="1" x14ac:dyDescent="0.2">
      <c r="A34" s="9"/>
      <c r="B34" s="88"/>
      <c r="C34" s="88"/>
      <c r="D34" s="30"/>
      <c r="E34" s="28"/>
      <c r="F34" s="8"/>
      <c r="G34" s="8"/>
      <c r="H34" s="8"/>
      <c r="I34" s="8"/>
      <c r="J34" s="8"/>
      <c r="K34" s="8"/>
      <c r="L34" s="8"/>
      <c r="M34" s="32"/>
      <c r="N34" s="32"/>
      <c r="O34" s="5"/>
      <c r="P34" s="94"/>
      <c r="Q34" s="17"/>
      <c r="R34" s="18"/>
      <c r="S34" s="17"/>
      <c r="T34" s="4"/>
    </row>
    <row r="35" spans="1:20" s="3" customFormat="1" ht="18" customHeight="1" x14ac:dyDescent="0.2">
      <c r="A35" s="9"/>
      <c r="B35" s="88"/>
      <c r="C35" s="88"/>
      <c r="D35" s="30"/>
      <c r="E35" s="28"/>
      <c r="F35" s="8"/>
      <c r="G35" s="8"/>
      <c r="H35" s="8"/>
      <c r="I35" s="8"/>
      <c r="J35" s="8"/>
      <c r="K35" s="8"/>
      <c r="L35" s="8"/>
      <c r="M35" s="32"/>
      <c r="N35" s="32"/>
      <c r="O35" s="5"/>
      <c r="P35" s="94"/>
      <c r="Q35" s="17"/>
      <c r="R35" s="18"/>
      <c r="S35" s="17"/>
      <c r="T35" s="4"/>
    </row>
    <row r="36" spans="1:20" s="3" customFormat="1" ht="18" customHeight="1" x14ac:dyDescent="0.2">
      <c r="A36" s="9"/>
      <c r="B36" s="88"/>
      <c r="C36" s="88"/>
      <c r="D36" s="30"/>
      <c r="E36" s="28"/>
      <c r="F36" s="8"/>
      <c r="G36" s="8"/>
      <c r="H36" s="8"/>
      <c r="I36" s="8"/>
      <c r="J36" s="8"/>
      <c r="K36" s="8"/>
      <c r="L36" s="8"/>
      <c r="M36" s="32"/>
      <c r="N36" s="32"/>
      <c r="O36" s="5"/>
      <c r="P36" s="94"/>
      <c r="Q36" s="17"/>
      <c r="R36" s="18"/>
      <c r="S36" s="17"/>
      <c r="T36" s="4"/>
    </row>
    <row r="37" spans="1:20" s="3" customFormat="1" ht="18" customHeight="1" x14ac:dyDescent="0.2">
      <c r="A37" s="9"/>
      <c r="B37" s="88"/>
      <c r="C37" s="88"/>
      <c r="D37" s="30"/>
      <c r="E37" s="28"/>
      <c r="F37" s="8"/>
      <c r="G37" s="8"/>
      <c r="H37" s="8"/>
      <c r="I37" s="8"/>
      <c r="J37" s="8"/>
      <c r="K37" s="8"/>
      <c r="L37" s="8"/>
      <c r="M37" s="32"/>
      <c r="N37" s="32"/>
      <c r="O37" s="5"/>
      <c r="P37" s="94"/>
      <c r="Q37" s="17"/>
      <c r="R37" s="18"/>
      <c r="S37" s="17"/>
      <c r="T37" s="4"/>
    </row>
    <row r="38" spans="1:20" s="3" customFormat="1" ht="18" customHeight="1" x14ac:dyDescent="0.2">
      <c r="A38" s="9"/>
      <c r="B38" s="88"/>
      <c r="C38" s="88"/>
      <c r="D38" s="30"/>
      <c r="E38" s="28"/>
      <c r="F38" s="8"/>
      <c r="G38" s="8"/>
      <c r="H38" s="8"/>
      <c r="I38" s="8"/>
      <c r="J38" s="8"/>
      <c r="K38" s="8"/>
      <c r="L38" s="8"/>
      <c r="M38" s="32"/>
      <c r="N38" s="32"/>
      <c r="O38" s="5"/>
      <c r="P38" s="94"/>
      <c r="Q38" s="17"/>
      <c r="R38" s="18"/>
      <c r="S38" s="17"/>
      <c r="T38" s="4"/>
    </row>
    <row r="39" spans="1:20" s="3" customFormat="1" ht="18" customHeight="1" x14ac:dyDescent="0.2">
      <c r="A39" s="9"/>
      <c r="B39" s="88"/>
      <c r="C39" s="88"/>
      <c r="D39" s="30"/>
      <c r="E39" s="28"/>
      <c r="F39" s="8"/>
      <c r="G39" s="8"/>
      <c r="H39" s="8"/>
      <c r="I39" s="8"/>
      <c r="J39" s="8"/>
      <c r="K39" s="8"/>
      <c r="L39" s="8"/>
      <c r="M39" s="32"/>
      <c r="N39" s="32"/>
      <c r="O39" s="5"/>
      <c r="P39" s="94"/>
      <c r="Q39" s="17"/>
      <c r="R39" s="18"/>
      <c r="S39" s="17"/>
      <c r="T39" s="4"/>
    </row>
    <row r="40" spans="1:20" s="3" customFormat="1" ht="18" customHeight="1" x14ac:dyDescent="0.2">
      <c r="A40" s="9"/>
      <c r="B40" s="88"/>
      <c r="C40" s="88"/>
      <c r="D40" s="30"/>
      <c r="E40" s="28"/>
      <c r="F40" s="8"/>
      <c r="G40" s="8"/>
      <c r="H40" s="8"/>
      <c r="I40" s="8"/>
      <c r="J40" s="8"/>
      <c r="K40" s="8"/>
      <c r="L40" s="8"/>
      <c r="M40" s="32"/>
      <c r="N40" s="32"/>
      <c r="O40" s="5"/>
      <c r="P40" s="94"/>
      <c r="Q40" s="17"/>
      <c r="R40" s="18"/>
      <c r="S40" s="17"/>
      <c r="T40" s="4"/>
    </row>
    <row r="41" spans="1:20" s="3" customFormat="1" ht="18" customHeight="1" x14ac:dyDescent="0.2">
      <c r="A41" s="9"/>
      <c r="B41" s="88"/>
      <c r="C41" s="88"/>
      <c r="D41" s="30"/>
      <c r="E41" s="28"/>
      <c r="F41" s="8"/>
      <c r="G41" s="8"/>
      <c r="H41" s="8"/>
      <c r="I41" s="8"/>
      <c r="J41" s="8"/>
      <c r="K41" s="8"/>
      <c r="L41" s="8"/>
      <c r="M41" s="32"/>
      <c r="N41" s="32"/>
      <c r="O41" s="5"/>
      <c r="P41" s="94"/>
      <c r="Q41" s="17"/>
      <c r="R41" s="18"/>
      <c r="S41" s="17"/>
      <c r="T41" s="4"/>
    </row>
    <row r="42" spans="1:20" s="3" customFormat="1" ht="18" customHeight="1" x14ac:dyDescent="0.2">
      <c r="A42" s="9"/>
      <c r="B42" s="88"/>
      <c r="C42" s="88"/>
      <c r="D42" s="30"/>
      <c r="E42" s="28"/>
      <c r="F42" s="8"/>
      <c r="G42" s="8"/>
      <c r="H42" s="8"/>
      <c r="I42" s="8"/>
      <c r="J42" s="8"/>
      <c r="K42" s="8"/>
      <c r="L42" s="8"/>
      <c r="M42" s="32"/>
      <c r="N42" s="32"/>
      <c r="O42" s="5"/>
      <c r="P42" s="94"/>
      <c r="Q42" s="17"/>
      <c r="R42" s="18"/>
      <c r="S42" s="17"/>
      <c r="T42" s="4"/>
    </row>
    <row r="43" spans="1:20" s="3" customFormat="1" ht="18" customHeight="1" x14ac:dyDescent="0.2">
      <c r="A43" s="9"/>
      <c r="B43" s="88"/>
      <c r="C43" s="88"/>
      <c r="D43" s="30"/>
      <c r="E43" s="28"/>
      <c r="F43" s="8"/>
      <c r="G43" s="8"/>
      <c r="H43" s="8"/>
      <c r="I43" s="8"/>
      <c r="J43" s="8"/>
      <c r="K43" s="8"/>
      <c r="L43" s="8"/>
      <c r="M43" s="32"/>
      <c r="N43" s="32"/>
      <c r="O43" s="5"/>
      <c r="P43" s="94"/>
      <c r="Q43" s="17"/>
      <c r="R43" s="18"/>
      <c r="S43" s="17"/>
      <c r="T43" s="4"/>
    </row>
  </sheetData>
  <autoFilter ref="A3:S32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  <pageSetUpPr fitToPage="1"/>
  </sheetPr>
  <dimension ref="A1:T7"/>
  <sheetViews>
    <sheetView zoomScaleNormal="100" zoomScaleSheetLayoutView="70" workbookViewId="0">
      <pane xSplit="10" ySplit="3" topLeftCell="K4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26.7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SUMPRODUCT(N4:N81,R4:R81)</f>
        <v>0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SUM(M4:M7)</f>
        <v>76</v>
      </c>
      <c r="N3" s="19">
        <f>SUM(N4:N7)</f>
        <v>5340</v>
      </c>
      <c r="O3" s="19">
        <f>SUM(O4:O7)+S3</f>
        <v>200</v>
      </c>
      <c r="P3" s="37"/>
      <c r="Q3" s="15">
        <f>SUM(Q4:Q7)</f>
        <v>0</v>
      </c>
      <c r="R3" s="100">
        <f>S2/N3</f>
        <v>0</v>
      </c>
      <c r="S3" s="15">
        <f>SUM(S4:S7)</f>
        <v>0</v>
      </c>
    </row>
    <row r="4" spans="1:20" s="3" customFormat="1" ht="18" customHeight="1" x14ac:dyDescent="0.25">
      <c r="A4" s="9">
        <v>108</v>
      </c>
      <c r="B4" s="88"/>
      <c r="C4" s="88">
        <v>400</v>
      </c>
      <c r="D4" s="30"/>
      <c r="E4" s="29"/>
      <c r="F4" s="8" t="s">
        <v>564</v>
      </c>
      <c r="G4" s="8" t="s">
        <v>433</v>
      </c>
      <c r="H4" s="8">
        <v>5</v>
      </c>
      <c r="I4" s="8">
        <v>450</v>
      </c>
      <c r="J4" s="10" t="s">
        <v>529</v>
      </c>
      <c r="K4" s="13" t="s">
        <v>498</v>
      </c>
      <c r="L4" s="13" t="s">
        <v>565</v>
      </c>
      <c r="M4" s="32">
        <v>25</v>
      </c>
      <c r="N4" s="32">
        <f>M4*85</f>
        <v>2125</v>
      </c>
      <c r="O4" s="102">
        <v>72</v>
      </c>
      <c r="P4" s="93"/>
      <c r="Q4" s="32" t="s">
        <v>415</v>
      </c>
      <c r="R4" s="105">
        <v>0</v>
      </c>
      <c r="S4" s="17"/>
      <c r="T4" s="4"/>
    </row>
    <row r="5" spans="1:20" s="3" customFormat="1" ht="18" customHeight="1" x14ac:dyDescent="0.25">
      <c r="A5" s="9">
        <v>109</v>
      </c>
      <c r="B5" s="88"/>
      <c r="C5" s="88">
        <v>400</v>
      </c>
      <c r="D5" s="30"/>
      <c r="E5" s="29"/>
      <c r="F5" s="8" t="s">
        <v>433</v>
      </c>
      <c r="G5" s="8" t="s">
        <v>503</v>
      </c>
      <c r="H5" s="8">
        <v>5</v>
      </c>
      <c r="I5" s="8">
        <v>450</v>
      </c>
      <c r="J5" s="10" t="s">
        <v>530</v>
      </c>
      <c r="K5" s="13" t="s">
        <v>498</v>
      </c>
      <c r="L5" s="13" t="s">
        <v>566</v>
      </c>
      <c r="M5" s="32">
        <v>9</v>
      </c>
      <c r="N5" s="32">
        <f>M5*85</f>
        <v>765</v>
      </c>
      <c r="O5" s="102">
        <v>32</v>
      </c>
      <c r="P5" s="93"/>
      <c r="Q5" s="32" t="s">
        <v>415</v>
      </c>
      <c r="R5" s="105">
        <v>0</v>
      </c>
      <c r="S5" s="17"/>
      <c r="T5" s="4"/>
    </row>
    <row r="6" spans="1:20" s="3" customFormat="1" ht="18" customHeight="1" x14ac:dyDescent="0.25">
      <c r="A6" s="9">
        <v>110</v>
      </c>
      <c r="B6" s="88"/>
      <c r="C6" s="88">
        <v>400</v>
      </c>
      <c r="D6" s="30"/>
      <c r="E6" s="29"/>
      <c r="F6" s="8" t="s">
        <v>373</v>
      </c>
      <c r="G6" s="8" t="s">
        <v>564</v>
      </c>
      <c r="H6" s="8">
        <v>5</v>
      </c>
      <c r="I6" s="8">
        <v>450</v>
      </c>
      <c r="J6" s="10" t="s">
        <v>531</v>
      </c>
      <c r="K6" s="13" t="s">
        <v>498</v>
      </c>
      <c r="L6" s="13" t="s">
        <v>567</v>
      </c>
      <c r="M6" s="32">
        <v>14</v>
      </c>
      <c r="N6" s="32">
        <f>M6*85</f>
        <v>1190</v>
      </c>
      <c r="O6" s="102">
        <v>48</v>
      </c>
      <c r="P6" s="93"/>
      <c r="Q6" s="32" t="s">
        <v>415</v>
      </c>
      <c r="R6" s="105">
        <v>0</v>
      </c>
      <c r="S6" s="17"/>
      <c r="T6" s="4"/>
    </row>
    <row r="7" spans="1:20" s="3" customFormat="1" ht="18" customHeight="1" x14ac:dyDescent="0.25">
      <c r="A7" s="9">
        <v>111</v>
      </c>
      <c r="B7" s="88"/>
      <c r="C7" s="88">
        <v>300</v>
      </c>
      <c r="D7" s="30"/>
      <c r="E7" s="29"/>
      <c r="F7" s="8" t="s">
        <v>570</v>
      </c>
      <c r="G7" s="8" t="s">
        <v>373</v>
      </c>
      <c r="H7" s="8">
        <v>5</v>
      </c>
      <c r="I7" s="8">
        <v>300</v>
      </c>
      <c r="J7" s="10" t="s">
        <v>532</v>
      </c>
      <c r="K7" s="13" t="s">
        <v>498</v>
      </c>
      <c r="L7" s="13" t="s">
        <v>568</v>
      </c>
      <c r="M7" s="32">
        <v>28</v>
      </c>
      <c r="N7" s="32">
        <f>M7*45</f>
        <v>1260</v>
      </c>
      <c r="O7" s="102">
        <v>48</v>
      </c>
      <c r="P7" s="93"/>
      <c r="Q7" s="32" t="s">
        <v>415</v>
      </c>
      <c r="R7" s="105">
        <v>0</v>
      </c>
      <c r="S7" s="17"/>
      <c r="T7" s="4"/>
    </row>
  </sheetData>
  <autoFilter ref="A3:S7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T18"/>
  <sheetViews>
    <sheetView zoomScaleNormal="100" zoomScaleSheetLayoutView="70" workbookViewId="0">
      <pane xSplit="10" ySplit="3" topLeftCell="K4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13.277192982456139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SUMPRODUCT(N4:N130,R4:R130)</f>
        <v>6054.4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SUM(M4:M18)</f>
        <v>172.2</v>
      </c>
      <c r="N3" s="19">
        <f>SUM(N4:N18)</f>
        <v>6054.4</v>
      </c>
      <c r="O3" s="19">
        <f>SUM(O4:O18)+S3</f>
        <v>456</v>
      </c>
      <c r="P3" s="37"/>
      <c r="Q3" s="15">
        <f>SUM(Q4:Q18)</f>
        <v>0</v>
      </c>
      <c r="R3" s="100">
        <f>S2/N3</f>
        <v>1</v>
      </c>
      <c r="S3" s="15">
        <f>SUM(S4:S18)</f>
        <v>0</v>
      </c>
    </row>
    <row r="4" spans="1:20" s="3" customFormat="1" ht="18" customHeight="1" x14ac:dyDescent="0.25">
      <c r="A4" s="9">
        <v>85</v>
      </c>
      <c r="B4" s="88"/>
      <c r="C4" s="88"/>
      <c r="D4" s="30">
        <v>42361</v>
      </c>
      <c r="E4" s="29">
        <v>42375</v>
      </c>
      <c r="F4" s="10" t="s">
        <v>428</v>
      </c>
      <c r="G4" s="10" t="s">
        <v>429</v>
      </c>
      <c r="H4" s="22">
        <v>6</v>
      </c>
      <c r="I4" s="8">
        <v>200</v>
      </c>
      <c r="J4" s="13" t="s">
        <v>261</v>
      </c>
      <c r="K4" s="13" t="s">
        <v>262</v>
      </c>
      <c r="L4" s="13" t="s">
        <v>263</v>
      </c>
      <c r="M4" s="32">
        <v>2.4</v>
      </c>
      <c r="N4" s="32">
        <f>M4*33</f>
        <v>79.2</v>
      </c>
      <c r="O4" s="102">
        <v>28</v>
      </c>
      <c r="P4" s="93"/>
      <c r="Q4" s="32" t="s">
        <v>415</v>
      </c>
      <c r="R4" s="105">
        <v>1</v>
      </c>
      <c r="S4" s="16"/>
      <c r="T4" s="4"/>
    </row>
    <row r="5" spans="1:20" s="3" customFormat="1" ht="18" customHeight="1" x14ac:dyDescent="0.25">
      <c r="A5" s="9">
        <v>86</v>
      </c>
      <c r="B5" s="88"/>
      <c r="C5" s="88"/>
      <c r="D5" s="30">
        <v>42361</v>
      </c>
      <c r="E5" s="29">
        <v>42375</v>
      </c>
      <c r="F5" s="10" t="s">
        <v>430</v>
      </c>
      <c r="G5" s="10" t="s">
        <v>431</v>
      </c>
      <c r="H5" s="22">
        <v>6</v>
      </c>
      <c r="I5" s="8">
        <v>200</v>
      </c>
      <c r="J5" s="10" t="s">
        <v>264</v>
      </c>
      <c r="K5" s="13" t="s">
        <v>265</v>
      </c>
      <c r="L5" s="13" t="s">
        <v>266</v>
      </c>
      <c r="M5" s="32">
        <v>12.7</v>
      </c>
      <c r="N5" s="32">
        <f>M5*33</f>
        <v>419.09999999999997</v>
      </c>
      <c r="O5" s="102">
        <v>28</v>
      </c>
      <c r="P5" s="93"/>
      <c r="Q5" s="32" t="s">
        <v>415</v>
      </c>
      <c r="R5" s="105">
        <v>1</v>
      </c>
      <c r="S5" s="16"/>
      <c r="T5" s="4"/>
    </row>
    <row r="6" spans="1:20" s="3" customFormat="1" ht="18" customHeight="1" x14ac:dyDescent="0.25">
      <c r="A6" s="9">
        <v>87</v>
      </c>
      <c r="B6" s="88" t="s">
        <v>436</v>
      </c>
      <c r="C6" s="88"/>
      <c r="D6" s="30">
        <v>42355</v>
      </c>
      <c r="E6" s="29">
        <v>42359</v>
      </c>
      <c r="F6" s="10" t="s">
        <v>432</v>
      </c>
      <c r="G6" s="10" t="s">
        <v>433</v>
      </c>
      <c r="H6" s="22" t="s">
        <v>434</v>
      </c>
      <c r="I6" s="8">
        <v>250</v>
      </c>
      <c r="J6" s="13" t="s">
        <v>267</v>
      </c>
      <c r="K6" s="13" t="s">
        <v>268</v>
      </c>
      <c r="L6" s="13" t="s">
        <v>269</v>
      </c>
      <c r="M6" s="32">
        <v>32</v>
      </c>
      <c r="N6" s="32">
        <f>M6*40</f>
        <v>1280</v>
      </c>
      <c r="O6" s="102">
        <f>5.5*10</f>
        <v>55</v>
      </c>
      <c r="P6" s="26"/>
      <c r="Q6" s="32" t="s">
        <v>415</v>
      </c>
      <c r="R6" s="105">
        <v>1</v>
      </c>
      <c r="S6" s="16"/>
      <c r="T6" s="4"/>
    </row>
    <row r="7" spans="1:20" s="3" customFormat="1" ht="18" customHeight="1" x14ac:dyDescent="0.25">
      <c r="A7" s="9">
        <v>88</v>
      </c>
      <c r="B7" s="88"/>
      <c r="C7" s="88"/>
      <c r="D7" s="29">
        <v>42387</v>
      </c>
      <c r="E7" s="29">
        <v>42395</v>
      </c>
      <c r="F7" s="10" t="s">
        <v>437</v>
      </c>
      <c r="G7" s="10" t="s">
        <v>438</v>
      </c>
      <c r="H7" s="22" t="s">
        <v>439</v>
      </c>
      <c r="I7" s="8">
        <v>200</v>
      </c>
      <c r="J7" s="13" t="s">
        <v>270</v>
      </c>
      <c r="K7" s="13" t="s">
        <v>271</v>
      </c>
      <c r="L7" s="13" t="s">
        <v>272</v>
      </c>
      <c r="M7" s="32">
        <v>15.3</v>
      </c>
      <c r="N7" s="32">
        <f>M7*33</f>
        <v>504.90000000000003</v>
      </c>
      <c r="O7" s="102">
        <v>24</v>
      </c>
      <c r="P7" s="93"/>
      <c r="Q7" s="32" t="s">
        <v>415</v>
      </c>
      <c r="R7" s="105">
        <v>1</v>
      </c>
      <c r="S7" s="16"/>
      <c r="T7" s="4"/>
    </row>
    <row r="8" spans="1:20" s="3" customFormat="1" ht="18" customHeight="1" x14ac:dyDescent="0.25">
      <c r="A8" s="9">
        <v>89</v>
      </c>
      <c r="B8" s="88"/>
      <c r="C8" s="88"/>
      <c r="D8" s="7">
        <v>42373</v>
      </c>
      <c r="E8" s="29">
        <v>42375</v>
      </c>
      <c r="F8" s="10" t="s">
        <v>440</v>
      </c>
      <c r="G8" s="10" t="s">
        <v>431</v>
      </c>
      <c r="H8" s="22" t="s">
        <v>439</v>
      </c>
      <c r="I8" s="8">
        <v>250</v>
      </c>
      <c r="J8" s="10" t="s">
        <v>273</v>
      </c>
      <c r="K8" s="13" t="s">
        <v>274</v>
      </c>
      <c r="L8" s="13" t="s">
        <v>275</v>
      </c>
      <c r="M8" s="32">
        <f>1.7+5.1+1.6</f>
        <v>8.4</v>
      </c>
      <c r="N8" s="32">
        <f>M8*40</f>
        <v>336</v>
      </c>
      <c r="O8" s="102">
        <v>75</v>
      </c>
      <c r="P8" s="93"/>
      <c r="Q8" s="32" t="s">
        <v>415</v>
      </c>
      <c r="R8" s="105">
        <v>1</v>
      </c>
      <c r="S8" s="16"/>
      <c r="T8" s="4"/>
    </row>
    <row r="9" spans="1:20" s="3" customFormat="1" ht="18" customHeight="1" x14ac:dyDescent="0.25">
      <c r="A9" s="9">
        <v>90</v>
      </c>
      <c r="B9" s="88"/>
      <c r="C9" s="88"/>
      <c r="D9" s="29">
        <v>42383</v>
      </c>
      <c r="E9" s="29">
        <v>42395</v>
      </c>
      <c r="F9" s="10" t="s">
        <v>441</v>
      </c>
      <c r="G9" s="10" t="s">
        <v>429</v>
      </c>
      <c r="H9" s="22" t="s">
        <v>439</v>
      </c>
      <c r="I9" s="8">
        <v>200</v>
      </c>
      <c r="J9" s="13" t="s">
        <v>276</v>
      </c>
      <c r="K9" s="13" t="s">
        <v>277</v>
      </c>
      <c r="L9" s="13" t="s">
        <v>278</v>
      </c>
      <c r="M9" s="32">
        <v>24.1</v>
      </c>
      <c r="N9" s="32">
        <f>M9*33</f>
        <v>795.30000000000007</v>
      </c>
      <c r="O9" s="102">
        <v>24</v>
      </c>
      <c r="P9" s="93"/>
      <c r="Q9" s="32" t="s">
        <v>415</v>
      </c>
      <c r="R9" s="105">
        <v>1</v>
      </c>
      <c r="S9" s="16"/>
      <c r="T9" s="4"/>
    </row>
    <row r="10" spans="1:20" s="3" customFormat="1" ht="18" customHeight="1" x14ac:dyDescent="0.25">
      <c r="A10" s="21">
        <v>91</v>
      </c>
      <c r="B10" s="91"/>
      <c r="C10" s="91"/>
      <c r="D10" s="29">
        <v>42387</v>
      </c>
      <c r="E10" s="29">
        <v>42395</v>
      </c>
      <c r="F10" s="10" t="s">
        <v>442</v>
      </c>
      <c r="G10" s="10" t="s">
        <v>429</v>
      </c>
      <c r="H10" s="22" t="s">
        <v>439</v>
      </c>
      <c r="I10" s="8">
        <v>200</v>
      </c>
      <c r="J10" s="13" t="s">
        <v>279</v>
      </c>
      <c r="K10" s="13" t="s">
        <v>280</v>
      </c>
      <c r="L10" s="13" t="s">
        <v>281</v>
      </c>
      <c r="M10" s="32">
        <f>9.9+1.4</f>
        <v>11.3</v>
      </c>
      <c r="N10" s="32">
        <f>M10*33</f>
        <v>372.90000000000003</v>
      </c>
      <c r="O10" s="102">
        <v>28</v>
      </c>
      <c r="P10" s="93"/>
      <c r="Q10" s="32" t="s">
        <v>415</v>
      </c>
      <c r="R10" s="105">
        <v>1</v>
      </c>
      <c r="S10" s="16"/>
      <c r="T10" s="4"/>
    </row>
    <row r="11" spans="1:20" s="3" customFormat="1" ht="18" customHeight="1" x14ac:dyDescent="0.25">
      <c r="A11" s="9">
        <v>100</v>
      </c>
      <c r="B11" s="88"/>
      <c r="C11" s="88"/>
      <c r="D11" s="29">
        <v>42384</v>
      </c>
      <c r="E11" s="29">
        <v>42395</v>
      </c>
      <c r="F11" s="10" t="s">
        <v>453</v>
      </c>
      <c r="G11" s="10" t="s">
        <v>454</v>
      </c>
      <c r="H11" s="22">
        <v>6</v>
      </c>
      <c r="I11" s="8">
        <v>250</v>
      </c>
      <c r="J11" s="10" t="s">
        <v>455</v>
      </c>
      <c r="K11" s="13" t="s">
        <v>456</v>
      </c>
      <c r="L11" s="13" t="s">
        <v>457</v>
      </c>
      <c r="M11" s="32">
        <v>6</v>
      </c>
      <c r="N11" s="32">
        <f>M11*40</f>
        <v>240</v>
      </c>
      <c r="O11" s="102">
        <v>24</v>
      </c>
      <c r="P11" s="93"/>
      <c r="Q11" s="32" t="s">
        <v>415</v>
      </c>
      <c r="R11" s="105">
        <v>1</v>
      </c>
      <c r="S11" s="17"/>
      <c r="T11" s="4"/>
    </row>
    <row r="12" spans="1:20" s="3" customFormat="1" ht="18" customHeight="1" x14ac:dyDescent="0.25">
      <c r="A12" s="9">
        <v>101</v>
      </c>
      <c r="B12" s="88"/>
      <c r="C12" s="88"/>
      <c r="D12" s="29">
        <v>42384</v>
      </c>
      <c r="E12" s="29">
        <v>42395</v>
      </c>
      <c r="F12" s="10" t="s">
        <v>461</v>
      </c>
      <c r="G12" s="10" t="s">
        <v>454</v>
      </c>
      <c r="H12" s="22">
        <v>6</v>
      </c>
      <c r="I12" s="8">
        <v>200</v>
      </c>
      <c r="J12" s="10" t="s">
        <v>458</v>
      </c>
      <c r="K12" s="13" t="s">
        <v>459</v>
      </c>
      <c r="L12" s="13" t="s">
        <v>460</v>
      </c>
      <c r="M12" s="32">
        <v>8</v>
      </c>
      <c r="N12" s="32">
        <f>M12*33</f>
        <v>264</v>
      </c>
      <c r="O12" s="102">
        <v>50</v>
      </c>
      <c r="P12" s="93"/>
      <c r="Q12" s="32" t="s">
        <v>415</v>
      </c>
      <c r="R12" s="105">
        <v>1</v>
      </c>
      <c r="S12" s="17"/>
      <c r="T12" s="4"/>
    </row>
    <row r="13" spans="1:20" s="3" customFormat="1" ht="18" customHeight="1" x14ac:dyDescent="0.25">
      <c r="A13" s="9">
        <v>102</v>
      </c>
      <c r="B13" s="88"/>
      <c r="C13" s="88"/>
      <c r="D13" s="29">
        <v>42387</v>
      </c>
      <c r="E13" s="29">
        <v>42395</v>
      </c>
      <c r="F13" s="10" t="s">
        <v>462</v>
      </c>
      <c r="G13" s="10" t="s">
        <v>454</v>
      </c>
      <c r="H13" s="22">
        <v>6</v>
      </c>
      <c r="I13" s="8">
        <v>150</v>
      </c>
      <c r="J13" s="10" t="s">
        <v>482</v>
      </c>
      <c r="K13" s="13" t="s">
        <v>488</v>
      </c>
      <c r="L13" s="13" t="s">
        <v>491</v>
      </c>
      <c r="M13" s="32">
        <v>4</v>
      </c>
      <c r="N13" s="32">
        <f>M13*23</f>
        <v>92</v>
      </c>
      <c r="O13" s="102">
        <v>24</v>
      </c>
      <c r="P13" s="93"/>
      <c r="Q13" s="32" t="s">
        <v>415</v>
      </c>
      <c r="R13" s="105">
        <v>1</v>
      </c>
      <c r="S13" s="17"/>
      <c r="T13" s="4"/>
    </row>
    <row r="14" spans="1:20" s="3" customFormat="1" ht="18" customHeight="1" x14ac:dyDescent="0.25">
      <c r="A14" s="9">
        <v>103</v>
      </c>
      <c r="B14" s="88"/>
      <c r="C14" s="88"/>
      <c r="D14" s="29">
        <v>42384</v>
      </c>
      <c r="E14" s="29">
        <v>42395</v>
      </c>
      <c r="F14" s="10" t="s">
        <v>454</v>
      </c>
      <c r="G14" s="8" t="s">
        <v>463</v>
      </c>
      <c r="H14" s="22">
        <v>6</v>
      </c>
      <c r="I14" s="8">
        <v>250</v>
      </c>
      <c r="J14" s="10" t="s">
        <v>483</v>
      </c>
      <c r="K14" s="13" t="s">
        <v>489</v>
      </c>
      <c r="L14" s="13" t="s">
        <v>492</v>
      </c>
      <c r="M14" s="32">
        <v>4</v>
      </c>
      <c r="N14" s="32">
        <f>M14*40</f>
        <v>160</v>
      </c>
      <c r="O14" s="102">
        <v>16</v>
      </c>
      <c r="P14" s="93"/>
      <c r="Q14" s="32" t="s">
        <v>415</v>
      </c>
      <c r="R14" s="105">
        <v>1</v>
      </c>
      <c r="S14" s="17"/>
      <c r="T14" s="4"/>
    </row>
    <row r="15" spans="1:20" s="3" customFormat="1" ht="18" customHeight="1" x14ac:dyDescent="0.25">
      <c r="A15" s="9">
        <v>104</v>
      </c>
      <c r="B15" s="88"/>
      <c r="C15" s="88"/>
      <c r="D15" s="29">
        <v>42384</v>
      </c>
      <c r="E15" s="29">
        <v>42395</v>
      </c>
      <c r="F15" s="8" t="s">
        <v>431</v>
      </c>
      <c r="G15" s="8" t="s">
        <v>463</v>
      </c>
      <c r="H15" s="8">
        <v>6</v>
      </c>
      <c r="I15" s="8">
        <v>250</v>
      </c>
      <c r="J15" s="10" t="s">
        <v>484</v>
      </c>
      <c r="K15" s="13" t="s">
        <v>490</v>
      </c>
      <c r="L15" s="13" t="s">
        <v>493</v>
      </c>
      <c r="M15" s="32">
        <v>12</v>
      </c>
      <c r="N15" s="32">
        <f>M15*40</f>
        <v>480</v>
      </c>
      <c r="O15" s="102">
        <v>16</v>
      </c>
      <c r="P15" s="93"/>
      <c r="Q15" s="32" t="s">
        <v>415</v>
      </c>
      <c r="R15" s="105">
        <v>1</v>
      </c>
      <c r="S15" s="17"/>
      <c r="T15" s="4"/>
    </row>
    <row r="16" spans="1:20" s="3" customFormat="1" ht="18" customHeight="1" x14ac:dyDescent="0.25">
      <c r="A16" s="9">
        <v>105</v>
      </c>
      <c r="B16" s="88"/>
      <c r="C16" s="88"/>
      <c r="D16" s="29">
        <v>42383</v>
      </c>
      <c r="E16" s="29">
        <v>42395</v>
      </c>
      <c r="F16" s="8" t="s">
        <v>464</v>
      </c>
      <c r="G16" s="8" t="s">
        <v>389</v>
      </c>
      <c r="H16" s="8">
        <v>6</v>
      </c>
      <c r="I16" s="8">
        <v>200</v>
      </c>
      <c r="J16" s="10" t="s">
        <v>485</v>
      </c>
      <c r="K16" s="13" t="s">
        <v>315</v>
      </c>
      <c r="L16" s="13" t="s">
        <v>494</v>
      </c>
      <c r="M16" s="32">
        <v>18</v>
      </c>
      <c r="N16" s="32">
        <f>M16*33</f>
        <v>594</v>
      </c>
      <c r="O16" s="102">
        <v>24</v>
      </c>
      <c r="P16" s="93"/>
      <c r="Q16" s="32" t="s">
        <v>415</v>
      </c>
      <c r="R16" s="105">
        <v>1</v>
      </c>
      <c r="S16" s="17"/>
      <c r="T16" s="4"/>
    </row>
    <row r="17" spans="1:20" s="3" customFormat="1" ht="18" customHeight="1" x14ac:dyDescent="0.25">
      <c r="A17" s="9">
        <v>106</v>
      </c>
      <c r="B17" s="88"/>
      <c r="C17" s="88"/>
      <c r="D17" s="29">
        <v>42397</v>
      </c>
      <c r="E17" s="29">
        <v>42425</v>
      </c>
      <c r="F17" s="8" t="s">
        <v>499</v>
      </c>
      <c r="G17" s="8" t="s">
        <v>481</v>
      </c>
      <c r="H17" s="8">
        <v>6</v>
      </c>
      <c r="I17" s="8">
        <v>150</v>
      </c>
      <c r="J17" s="10" t="s">
        <v>486</v>
      </c>
      <c r="K17" s="13" t="s">
        <v>498</v>
      </c>
      <c r="L17" s="13" t="s">
        <v>495</v>
      </c>
      <c r="M17" s="32">
        <v>2.5</v>
      </c>
      <c r="N17" s="32">
        <f>M17*23</f>
        <v>57.5</v>
      </c>
      <c r="O17" s="102">
        <v>24</v>
      </c>
      <c r="P17" s="93" t="s">
        <v>626</v>
      </c>
      <c r="Q17" s="32" t="s">
        <v>415</v>
      </c>
      <c r="R17" s="105">
        <v>1</v>
      </c>
      <c r="S17" s="17"/>
      <c r="T17" s="4"/>
    </row>
    <row r="18" spans="1:20" s="3" customFormat="1" ht="18" customHeight="1" x14ac:dyDescent="0.25">
      <c r="A18" s="9">
        <v>107</v>
      </c>
      <c r="B18" s="88"/>
      <c r="C18" s="88"/>
      <c r="D18" s="29">
        <v>42396</v>
      </c>
      <c r="E18" s="29">
        <v>42425</v>
      </c>
      <c r="F18" s="8" t="s">
        <v>481</v>
      </c>
      <c r="G18" s="8" t="s">
        <v>480</v>
      </c>
      <c r="H18" s="83" t="s">
        <v>497</v>
      </c>
      <c r="I18" s="8">
        <v>200</v>
      </c>
      <c r="J18" s="10" t="s">
        <v>487</v>
      </c>
      <c r="K18" s="13" t="s">
        <v>315</v>
      </c>
      <c r="L18" s="13" t="s">
        <v>496</v>
      </c>
      <c r="M18" s="32">
        <v>11.5</v>
      </c>
      <c r="N18" s="32">
        <f>M18*33</f>
        <v>379.5</v>
      </c>
      <c r="O18" s="102">
        <v>16</v>
      </c>
      <c r="P18" s="93" t="s">
        <v>624</v>
      </c>
      <c r="Q18" s="32" t="s">
        <v>415</v>
      </c>
      <c r="R18" s="105">
        <v>1</v>
      </c>
      <c r="S18" s="17"/>
      <c r="T18" s="4"/>
    </row>
  </sheetData>
  <autoFilter ref="A3:S18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A1:T11"/>
  <sheetViews>
    <sheetView zoomScaleNormal="100" zoomScaleSheetLayoutView="70" workbookViewId="0">
      <pane xSplit="10" ySplit="3" topLeftCell="L4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6.5006451612903229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SUMPRODUCT(N4:N161,R4:R161)</f>
        <v>2015.2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SUM(M4:M11)</f>
        <v>65</v>
      </c>
      <c r="N3" s="19">
        <f>SUM(N4:N11)</f>
        <v>2015.2</v>
      </c>
      <c r="O3" s="19">
        <f>SUM(O4:O11)+S3</f>
        <v>310</v>
      </c>
      <c r="P3" s="37"/>
      <c r="Q3" s="15">
        <f>SUM(Q4:Q11)</f>
        <v>0</v>
      </c>
      <c r="R3" s="100">
        <f>S2/N3</f>
        <v>1</v>
      </c>
      <c r="S3" s="15">
        <f>SUM(S4:S11)</f>
        <v>0</v>
      </c>
    </row>
    <row r="4" spans="1:20" s="3" customFormat="1" ht="18" customHeight="1" x14ac:dyDescent="0.25">
      <c r="A4" s="21">
        <v>92</v>
      </c>
      <c r="B4" s="91"/>
      <c r="C4" s="91"/>
      <c r="D4" s="29">
        <v>42387</v>
      </c>
      <c r="E4" s="29">
        <v>42395</v>
      </c>
      <c r="F4" s="24" t="s">
        <v>443</v>
      </c>
      <c r="G4" s="24" t="s">
        <v>437</v>
      </c>
      <c r="H4" s="22">
        <v>7</v>
      </c>
      <c r="I4" s="22">
        <v>150</v>
      </c>
      <c r="J4" s="10" t="s">
        <v>282</v>
      </c>
      <c r="K4" s="13" t="s">
        <v>283</v>
      </c>
      <c r="L4" s="13" t="s">
        <v>284</v>
      </c>
      <c r="M4" s="32">
        <f>1.1+1.4+0.5+0.6+1.3+1.3+0.6+0.5+2.2+1</f>
        <v>10.5</v>
      </c>
      <c r="N4" s="32">
        <f>M4*23</f>
        <v>241.5</v>
      </c>
      <c r="O4" s="102">
        <f>6*11.5</f>
        <v>69</v>
      </c>
      <c r="P4" s="93"/>
      <c r="Q4" s="32" t="s">
        <v>415</v>
      </c>
      <c r="R4" s="105">
        <v>1</v>
      </c>
      <c r="S4" s="16"/>
      <c r="T4" s="4"/>
    </row>
    <row r="5" spans="1:20" s="3" customFormat="1" ht="18" customHeight="1" x14ac:dyDescent="0.25">
      <c r="A5" s="21">
        <v>93</v>
      </c>
      <c r="B5" s="91"/>
      <c r="C5" s="91"/>
      <c r="D5" s="7">
        <v>42373</v>
      </c>
      <c r="E5" s="29">
        <v>42376</v>
      </c>
      <c r="F5" s="24" t="s">
        <v>341</v>
      </c>
      <c r="G5" s="24" t="s">
        <v>437</v>
      </c>
      <c r="H5" s="22">
        <v>7</v>
      </c>
      <c r="I5" s="22">
        <v>100</v>
      </c>
      <c r="J5" s="13" t="s">
        <v>285</v>
      </c>
      <c r="K5" s="13" t="s">
        <v>286</v>
      </c>
      <c r="L5" s="13" t="s">
        <v>287</v>
      </c>
      <c r="M5" s="32">
        <f>0.6+0.5+0.6</f>
        <v>1.7000000000000002</v>
      </c>
      <c r="N5" s="32">
        <f>M5*15</f>
        <v>25.500000000000004</v>
      </c>
      <c r="O5" s="102">
        <f>4*3+4</f>
        <v>16</v>
      </c>
      <c r="P5" s="93"/>
      <c r="Q5" s="32" t="s">
        <v>415</v>
      </c>
      <c r="R5" s="105">
        <v>1</v>
      </c>
      <c r="S5" s="16"/>
      <c r="T5" s="4"/>
    </row>
    <row r="6" spans="1:20" s="3" customFormat="1" ht="18" customHeight="1" x14ac:dyDescent="0.25">
      <c r="A6" s="21">
        <v>94</v>
      </c>
      <c r="B6" s="91"/>
      <c r="C6" s="91"/>
      <c r="D6" s="7">
        <v>42373</v>
      </c>
      <c r="E6" s="29">
        <v>42375</v>
      </c>
      <c r="F6" s="29">
        <v>42377</v>
      </c>
      <c r="G6" s="24" t="s">
        <v>444</v>
      </c>
      <c r="H6" s="22">
        <v>7</v>
      </c>
      <c r="I6" s="22">
        <v>200</v>
      </c>
      <c r="J6" s="13" t="s">
        <v>288</v>
      </c>
      <c r="K6" s="13" t="s">
        <v>289</v>
      </c>
      <c r="L6" s="13" t="s">
        <v>290</v>
      </c>
      <c r="M6" s="32">
        <f>1.4+0.3</f>
        <v>1.7</v>
      </c>
      <c r="N6" s="32">
        <f>M6*33</f>
        <v>56.1</v>
      </c>
      <c r="O6" s="102">
        <f>8*3.5</f>
        <v>28</v>
      </c>
      <c r="P6" s="93"/>
      <c r="Q6" s="32" t="s">
        <v>415</v>
      </c>
      <c r="R6" s="105">
        <v>1</v>
      </c>
      <c r="S6" s="16"/>
      <c r="T6" s="4"/>
    </row>
    <row r="7" spans="1:20" s="3" customFormat="1" ht="18" customHeight="1" x14ac:dyDescent="0.25">
      <c r="A7" s="21">
        <v>95</v>
      </c>
      <c r="B7" s="91"/>
      <c r="C7" s="91"/>
      <c r="D7" s="7">
        <v>42374</v>
      </c>
      <c r="E7" s="29">
        <v>42375</v>
      </c>
      <c r="F7" s="10" t="s">
        <v>447</v>
      </c>
      <c r="G7" s="24" t="s">
        <v>444</v>
      </c>
      <c r="H7" s="22">
        <v>7</v>
      </c>
      <c r="I7" s="8">
        <v>150</v>
      </c>
      <c r="J7" s="10" t="s">
        <v>291</v>
      </c>
      <c r="K7" s="13" t="s">
        <v>292</v>
      </c>
      <c r="L7" s="13" t="s">
        <v>293</v>
      </c>
      <c r="M7" s="32">
        <f>0.9+0.5+1.2</f>
        <v>2.5999999999999996</v>
      </c>
      <c r="N7" s="32">
        <f>M7*23</f>
        <v>59.79999999999999</v>
      </c>
      <c r="O7" s="102">
        <f>6*4</f>
        <v>24</v>
      </c>
      <c r="P7" s="93"/>
      <c r="Q7" s="32" t="s">
        <v>415</v>
      </c>
      <c r="R7" s="105">
        <v>1</v>
      </c>
      <c r="S7" s="16"/>
      <c r="T7" s="4"/>
    </row>
    <row r="8" spans="1:20" s="3" customFormat="1" ht="18" customHeight="1" x14ac:dyDescent="0.25">
      <c r="A8" s="21">
        <v>96</v>
      </c>
      <c r="B8" s="91"/>
      <c r="C8" s="91"/>
      <c r="D8" s="7">
        <v>42424</v>
      </c>
      <c r="E8" s="29">
        <v>42425</v>
      </c>
      <c r="F8" s="10" t="s">
        <v>448</v>
      </c>
      <c r="G8" s="24" t="s">
        <v>444</v>
      </c>
      <c r="H8" s="22">
        <v>7</v>
      </c>
      <c r="I8" s="8">
        <v>150</v>
      </c>
      <c r="J8" s="13" t="s">
        <v>294</v>
      </c>
      <c r="K8" s="13" t="s">
        <v>295</v>
      </c>
      <c r="L8" s="13" t="s">
        <v>296</v>
      </c>
      <c r="M8" s="32">
        <f>1.1+0.6+1.8+3.9+1.5+1+1.1+0.5+1.2+0.5+1+1.2+0.5+1+1.2</f>
        <v>18.099999999999998</v>
      </c>
      <c r="N8" s="32">
        <f>M8*23</f>
        <v>416.29999999999995</v>
      </c>
      <c r="O8" s="102">
        <f>6*17.5</f>
        <v>105</v>
      </c>
      <c r="P8" s="93" t="s">
        <v>629</v>
      </c>
      <c r="Q8" s="32" t="s">
        <v>415</v>
      </c>
      <c r="R8" s="105">
        <v>1</v>
      </c>
      <c r="S8" s="16"/>
      <c r="T8" s="4"/>
    </row>
    <row r="9" spans="1:20" s="3" customFormat="1" ht="18" customHeight="1" x14ac:dyDescent="0.25">
      <c r="A9" s="9">
        <v>97</v>
      </c>
      <c r="B9" s="88"/>
      <c r="C9" s="88"/>
      <c r="D9" s="29">
        <v>42384</v>
      </c>
      <c r="E9" s="29">
        <v>42395</v>
      </c>
      <c r="F9" s="10" t="s">
        <v>449</v>
      </c>
      <c r="G9" s="10" t="s">
        <v>441</v>
      </c>
      <c r="H9" s="22">
        <v>7</v>
      </c>
      <c r="I9" s="8">
        <v>200</v>
      </c>
      <c r="J9" s="13" t="s">
        <v>297</v>
      </c>
      <c r="K9" s="13" t="s">
        <v>298</v>
      </c>
      <c r="L9" s="13" t="s">
        <v>299</v>
      </c>
      <c r="M9" s="32">
        <f>8+1.4</f>
        <v>9.4</v>
      </c>
      <c r="N9" s="32">
        <f>M9*40</f>
        <v>376</v>
      </c>
      <c r="O9" s="102">
        <f>8*3.5</f>
        <v>28</v>
      </c>
      <c r="P9" s="93"/>
      <c r="Q9" s="32" t="s">
        <v>415</v>
      </c>
      <c r="R9" s="105">
        <v>1</v>
      </c>
      <c r="S9" s="17"/>
      <c r="T9" s="4"/>
    </row>
    <row r="10" spans="1:20" s="3" customFormat="1" ht="18" customHeight="1" x14ac:dyDescent="0.25">
      <c r="A10" s="9">
        <v>113</v>
      </c>
      <c r="B10" s="88">
        <v>3</v>
      </c>
      <c r="C10" s="88"/>
      <c r="D10" s="30">
        <v>42436</v>
      </c>
      <c r="E10" s="29"/>
      <c r="F10" s="8" t="s">
        <v>500</v>
      </c>
      <c r="G10" s="8" t="s">
        <v>392</v>
      </c>
      <c r="H10" s="8">
        <v>7</v>
      </c>
      <c r="I10" s="8">
        <v>200</v>
      </c>
      <c r="J10" s="10" t="s">
        <v>534</v>
      </c>
      <c r="K10" s="8"/>
      <c r="L10" s="8"/>
      <c r="M10" s="32">
        <v>10</v>
      </c>
      <c r="N10" s="32">
        <f>M10*40</f>
        <v>400</v>
      </c>
      <c r="O10" s="102">
        <v>20</v>
      </c>
      <c r="P10" s="93" t="s">
        <v>625</v>
      </c>
      <c r="Q10" s="32" t="s">
        <v>415</v>
      </c>
      <c r="R10" s="105">
        <v>1</v>
      </c>
      <c r="S10" s="17"/>
      <c r="T10" s="4"/>
    </row>
    <row r="11" spans="1:20" s="3" customFormat="1" ht="18" customHeight="1" x14ac:dyDescent="0.25">
      <c r="A11" s="9">
        <v>114</v>
      </c>
      <c r="B11" s="88">
        <v>4</v>
      </c>
      <c r="C11" s="88"/>
      <c r="D11" s="30">
        <v>42436</v>
      </c>
      <c r="E11" s="29"/>
      <c r="F11" s="8" t="s">
        <v>501</v>
      </c>
      <c r="G11" s="8" t="s">
        <v>389</v>
      </c>
      <c r="H11" s="8" t="s">
        <v>502</v>
      </c>
      <c r="I11" s="8">
        <v>200</v>
      </c>
      <c r="J11" s="10" t="s">
        <v>535</v>
      </c>
      <c r="K11" s="8"/>
      <c r="L11" s="8"/>
      <c r="M11" s="32">
        <v>11</v>
      </c>
      <c r="N11" s="32">
        <f>M11*40</f>
        <v>440</v>
      </c>
      <c r="O11" s="102">
        <v>20</v>
      </c>
      <c r="P11" s="93" t="s">
        <v>625</v>
      </c>
      <c r="Q11" s="32" t="s">
        <v>415</v>
      </c>
      <c r="R11" s="105">
        <v>1</v>
      </c>
      <c r="S11" s="17"/>
      <c r="T11" s="4"/>
    </row>
  </sheetData>
  <autoFilter ref="A3:S11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  <pageSetUpPr fitToPage="1"/>
  </sheetPr>
  <dimension ref="A1:T11"/>
  <sheetViews>
    <sheetView zoomScaleNormal="100" zoomScaleSheetLayoutView="70" workbookViewId="0">
      <pane xSplit="10" ySplit="3" topLeftCell="L4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22.117578125000001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SUMPRODUCT(N4:N161,R4:R161)</f>
        <v>1056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SUM(M4:M11)</f>
        <v>103.7</v>
      </c>
      <c r="N3" s="19">
        <f>SUM(N4:N11)</f>
        <v>5662.1</v>
      </c>
      <c r="O3" s="19">
        <f>SUM(O4:O11)+S3</f>
        <v>256</v>
      </c>
      <c r="P3" s="37"/>
      <c r="Q3" s="15">
        <f>SUM(Q4:Q11)</f>
        <v>0</v>
      </c>
      <c r="R3" s="100">
        <f>S2/N3</f>
        <v>0.18650324084703554</v>
      </c>
      <c r="S3" s="15">
        <f>SUM(S4:S11)</f>
        <v>0</v>
      </c>
    </row>
    <row r="4" spans="1:20" s="3" customFormat="1" ht="18" customHeight="1" x14ac:dyDescent="0.25">
      <c r="A4" s="9">
        <v>79</v>
      </c>
      <c r="B4" s="88"/>
      <c r="C4" s="88"/>
      <c r="D4" s="7"/>
      <c r="E4" s="29"/>
      <c r="F4" s="38" t="s">
        <v>397</v>
      </c>
      <c r="G4" s="38" t="s">
        <v>371</v>
      </c>
      <c r="H4" s="22" t="s">
        <v>398</v>
      </c>
      <c r="I4" s="8">
        <v>200</v>
      </c>
      <c r="J4" s="13" t="s">
        <v>243</v>
      </c>
      <c r="K4" s="13" t="s">
        <v>244</v>
      </c>
      <c r="L4" s="13" t="s">
        <v>245</v>
      </c>
      <c r="M4" s="32">
        <v>4.7</v>
      </c>
      <c r="N4" s="32">
        <f>M4*33</f>
        <v>155.1</v>
      </c>
      <c r="O4" s="102">
        <v>16</v>
      </c>
      <c r="P4" s="93"/>
      <c r="Q4" s="36" t="s">
        <v>375</v>
      </c>
      <c r="R4" s="105">
        <v>0</v>
      </c>
      <c r="S4" s="17"/>
      <c r="T4" s="4"/>
    </row>
    <row r="5" spans="1:20" s="3" customFormat="1" ht="18" customHeight="1" x14ac:dyDescent="0.25">
      <c r="A5" s="9">
        <v>115</v>
      </c>
      <c r="B5" s="88"/>
      <c r="C5" s="88">
        <v>400</v>
      </c>
      <c r="D5" s="30"/>
      <c r="E5" s="29"/>
      <c r="F5" s="8" t="s">
        <v>503</v>
      </c>
      <c r="G5" s="8" t="s">
        <v>504</v>
      </c>
      <c r="H5" s="8">
        <v>9</v>
      </c>
      <c r="I5" s="8">
        <v>400</v>
      </c>
      <c r="J5" s="10" t="s">
        <v>536</v>
      </c>
      <c r="K5" s="8"/>
      <c r="L5" s="8"/>
      <c r="M5" s="32">
        <v>21</v>
      </c>
      <c r="N5" s="32">
        <f>M5*73</f>
        <v>1533</v>
      </c>
      <c r="O5" s="102">
        <f>16*4.5</f>
        <v>72</v>
      </c>
      <c r="P5" s="93"/>
      <c r="Q5" s="32" t="s">
        <v>415</v>
      </c>
      <c r="R5" s="105">
        <v>0</v>
      </c>
      <c r="S5" s="17"/>
      <c r="T5" s="4"/>
    </row>
    <row r="6" spans="1:20" s="3" customFormat="1" ht="18" customHeight="1" x14ac:dyDescent="0.25">
      <c r="A6" s="9">
        <v>116</v>
      </c>
      <c r="B6" s="88"/>
      <c r="C6" s="88">
        <v>400</v>
      </c>
      <c r="D6" s="30"/>
      <c r="E6" s="29"/>
      <c r="F6" s="8" t="s">
        <v>504</v>
      </c>
      <c r="G6" s="8" t="s">
        <v>505</v>
      </c>
      <c r="H6" s="8">
        <v>9</v>
      </c>
      <c r="I6" s="8">
        <v>400</v>
      </c>
      <c r="J6" s="10" t="s">
        <v>537</v>
      </c>
      <c r="K6" s="8"/>
      <c r="L6" s="8"/>
      <c r="M6" s="32">
        <v>11</v>
      </c>
      <c r="N6" s="32">
        <f>M6*73</f>
        <v>803</v>
      </c>
      <c r="O6" s="102">
        <v>32</v>
      </c>
      <c r="P6" s="93"/>
      <c r="Q6" s="32" t="s">
        <v>415</v>
      </c>
      <c r="R6" s="105">
        <v>0</v>
      </c>
      <c r="S6" s="17"/>
      <c r="T6" s="4"/>
    </row>
    <row r="7" spans="1:20" s="3" customFormat="1" ht="18" customHeight="1" x14ac:dyDescent="0.25">
      <c r="A7" s="9">
        <v>117</v>
      </c>
      <c r="B7" s="88"/>
      <c r="C7" s="88">
        <v>400</v>
      </c>
      <c r="D7" s="30"/>
      <c r="E7" s="29"/>
      <c r="F7" s="8" t="s">
        <v>505</v>
      </c>
      <c r="G7" s="8" t="s">
        <v>506</v>
      </c>
      <c r="H7" s="8">
        <v>9</v>
      </c>
      <c r="I7" s="8">
        <v>400</v>
      </c>
      <c r="J7" s="10" t="s">
        <v>538</v>
      </c>
      <c r="K7" s="8"/>
      <c r="L7" s="8"/>
      <c r="M7" s="32">
        <v>24</v>
      </c>
      <c r="N7" s="32">
        <f>M7*73</f>
        <v>1752</v>
      </c>
      <c r="O7" s="102">
        <f>16*3</f>
        <v>48</v>
      </c>
      <c r="P7" s="93"/>
      <c r="Q7" s="32" t="s">
        <v>415</v>
      </c>
      <c r="R7" s="105">
        <v>0</v>
      </c>
      <c r="S7" s="17"/>
      <c r="T7" s="4"/>
    </row>
    <row r="8" spans="1:20" s="3" customFormat="1" ht="18" customHeight="1" x14ac:dyDescent="0.25">
      <c r="A8" s="9">
        <v>118</v>
      </c>
      <c r="B8" s="88"/>
      <c r="C8" s="88"/>
      <c r="D8" s="30">
        <v>42418</v>
      </c>
      <c r="E8" s="29">
        <v>42425</v>
      </c>
      <c r="F8" s="10" t="s">
        <v>507</v>
      </c>
      <c r="G8" s="8" t="s">
        <v>503</v>
      </c>
      <c r="H8" s="8" t="s">
        <v>508</v>
      </c>
      <c r="I8" s="8">
        <v>200</v>
      </c>
      <c r="J8" s="10" t="s">
        <v>539</v>
      </c>
      <c r="K8" s="13" t="s">
        <v>315</v>
      </c>
      <c r="L8" s="13" t="s">
        <v>621</v>
      </c>
      <c r="M8" s="32">
        <v>14</v>
      </c>
      <c r="N8" s="32">
        <f>M8*33</f>
        <v>462</v>
      </c>
      <c r="O8" s="102">
        <v>24</v>
      </c>
      <c r="P8" s="93" t="s">
        <v>626</v>
      </c>
      <c r="Q8" s="32" t="s">
        <v>415</v>
      </c>
      <c r="R8" s="105">
        <v>1</v>
      </c>
      <c r="S8" s="17"/>
      <c r="T8" s="4"/>
    </row>
    <row r="9" spans="1:20" s="3" customFormat="1" ht="18" customHeight="1" x14ac:dyDescent="0.25">
      <c r="A9" s="9">
        <v>119</v>
      </c>
      <c r="B9" s="88"/>
      <c r="C9" s="88"/>
      <c r="D9" s="30">
        <v>42436</v>
      </c>
      <c r="E9" s="29"/>
      <c r="F9" s="8" t="s">
        <v>509</v>
      </c>
      <c r="G9" s="8" t="s">
        <v>510</v>
      </c>
      <c r="H9" s="8" t="s">
        <v>508</v>
      </c>
      <c r="I9" s="8">
        <v>200</v>
      </c>
      <c r="J9" s="10" t="s">
        <v>540</v>
      </c>
      <c r="K9" s="8"/>
      <c r="L9" s="8"/>
      <c r="M9" s="32">
        <v>7</v>
      </c>
      <c r="N9" s="32">
        <f>M9*33</f>
        <v>231</v>
      </c>
      <c r="O9" s="102">
        <v>20</v>
      </c>
      <c r="P9" s="93" t="s">
        <v>625</v>
      </c>
      <c r="Q9" s="32" t="s">
        <v>415</v>
      </c>
      <c r="R9" s="105">
        <v>1</v>
      </c>
      <c r="S9" s="17"/>
      <c r="T9" s="4"/>
    </row>
    <row r="10" spans="1:20" s="3" customFormat="1" ht="18" customHeight="1" x14ac:dyDescent="0.25">
      <c r="A10" s="9">
        <v>122</v>
      </c>
      <c r="B10" s="88"/>
      <c r="C10" s="88"/>
      <c r="D10" s="30">
        <v>42418</v>
      </c>
      <c r="E10" s="29">
        <v>42425</v>
      </c>
      <c r="F10" s="10" t="s">
        <v>515</v>
      </c>
      <c r="G10" s="8" t="s">
        <v>505</v>
      </c>
      <c r="H10" s="8" t="s">
        <v>508</v>
      </c>
      <c r="I10" s="8">
        <v>200</v>
      </c>
      <c r="J10" s="10" t="s">
        <v>543</v>
      </c>
      <c r="K10" s="13" t="s">
        <v>315</v>
      </c>
      <c r="L10" s="13" t="s">
        <v>622</v>
      </c>
      <c r="M10" s="32">
        <v>11</v>
      </c>
      <c r="N10" s="32">
        <f>M10*33</f>
        <v>363</v>
      </c>
      <c r="O10" s="102">
        <v>16</v>
      </c>
      <c r="P10" s="93" t="s">
        <v>624</v>
      </c>
      <c r="Q10" s="32" t="s">
        <v>415</v>
      </c>
      <c r="R10" s="105">
        <v>1</v>
      </c>
      <c r="S10" s="17"/>
      <c r="T10" s="4"/>
    </row>
    <row r="11" spans="1:20" s="3" customFormat="1" ht="18" customHeight="1" x14ac:dyDescent="0.25">
      <c r="A11" s="9">
        <v>123</v>
      </c>
      <c r="B11" s="88">
        <v>3</v>
      </c>
      <c r="C11" s="88">
        <v>200</v>
      </c>
      <c r="D11" s="30"/>
      <c r="E11" s="29"/>
      <c r="F11" s="10" t="s">
        <v>516</v>
      </c>
      <c r="G11" s="8" t="s">
        <v>504</v>
      </c>
      <c r="H11" s="8" t="s">
        <v>508</v>
      </c>
      <c r="I11" s="8">
        <v>200</v>
      </c>
      <c r="J11" s="10" t="s">
        <v>544</v>
      </c>
      <c r="K11" s="8"/>
      <c r="L11" s="8"/>
      <c r="M11" s="32">
        <v>11</v>
      </c>
      <c r="N11" s="32">
        <f>M11*33</f>
        <v>363</v>
      </c>
      <c r="O11" s="102">
        <f>8*3.5</f>
        <v>28</v>
      </c>
      <c r="P11" s="93"/>
      <c r="Q11" s="32" t="s">
        <v>415</v>
      </c>
      <c r="R11" s="105">
        <v>0</v>
      </c>
      <c r="S11" s="17"/>
      <c r="T11" s="4"/>
    </row>
  </sheetData>
  <autoFilter ref="A3:S11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  <pageSetUpPr fitToPage="1"/>
  </sheetPr>
  <dimension ref="A1:T23"/>
  <sheetViews>
    <sheetView zoomScaleNormal="100" zoomScaleSheetLayoutView="70" workbookViewId="0">
      <pane xSplit="10" ySplit="3" topLeftCell="L19" activePane="bottomRight" state="frozen"/>
      <selection activeCell="H20" sqref="H20"/>
      <selection pane="topRight" activeCell="H20" sqref="H20"/>
      <selection pane="bottomLeft" activeCell="H20" sqref="H20"/>
      <selection pane="bottomRight" activeCell="H20" sqref="H20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21.000735294117646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SUMPRODUCT(N4:N173,R4:R173)</f>
        <v>1837.5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SUM(M4:M23)</f>
        <v>321.5</v>
      </c>
      <c r="N3" s="19">
        <f>SUM(N4:N23)</f>
        <v>14280.5</v>
      </c>
      <c r="O3" s="19">
        <f>SUM(O4:O23)+S3</f>
        <v>680</v>
      </c>
      <c r="P3" s="37"/>
      <c r="Q3" s="15">
        <f>SUM(Q4:Q23)</f>
        <v>0</v>
      </c>
      <c r="R3" s="100">
        <f>S2/N3</f>
        <v>0.12867196526732258</v>
      </c>
      <c r="S3" s="15">
        <f>SUM(S4:S23)</f>
        <v>0</v>
      </c>
    </row>
    <row r="4" spans="1:20" s="3" customFormat="1" ht="18" customHeight="1" x14ac:dyDescent="0.25">
      <c r="A4" s="9">
        <v>120</v>
      </c>
      <c r="B4" s="88">
        <v>11</v>
      </c>
      <c r="C4" s="88">
        <v>500</v>
      </c>
      <c r="D4" s="30"/>
      <c r="E4" s="29"/>
      <c r="F4" s="8" t="s">
        <v>511</v>
      </c>
      <c r="G4" s="8" t="s">
        <v>506</v>
      </c>
      <c r="H4" s="8" t="s">
        <v>512</v>
      </c>
      <c r="I4" s="8">
        <v>500</v>
      </c>
      <c r="J4" s="10" t="s">
        <v>541</v>
      </c>
      <c r="K4" s="8"/>
      <c r="L4" s="8"/>
      <c r="M4" s="32">
        <v>32</v>
      </c>
      <c r="N4" s="32">
        <f>M4*92</f>
        <v>2944</v>
      </c>
      <c r="O4" s="102">
        <f>20*4</f>
        <v>80</v>
      </c>
      <c r="P4" s="93"/>
      <c r="Q4" s="32" t="s">
        <v>415</v>
      </c>
      <c r="R4" s="105">
        <v>0</v>
      </c>
      <c r="S4" s="17"/>
      <c r="T4" s="4"/>
    </row>
    <row r="5" spans="1:20" s="3" customFormat="1" ht="18" customHeight="1" x14ac:dyDescent="0.25">
      <c r="A5" s="9">
        <v>121</v>
      </c>
      <c r="B5" s="88"/>
      <c r="C5" s="88">
        <v>500</v>
      </c>
      <c r="D5" s="30"/>
      <c r="E5" s="29"/>
      <c r="F5" s="8" t="s">
        <v>513</v>
      </c>
      <c r="G5" s="8" t="s">
        <v>511</v>
      </c>
      <c r="H5" s="8" t="s">
        <v>514</v>
      </c>
      <c r="I5" s="8">
        <v>500</v>
      </c>
      <c r="J5" s="10" t="s">
        <v>542</v>
      </c>
      <c r="K5" s="8"/>
      <c r="L5" s="8"/>
      <c r="M5" s="32">
        <v>45</v>
      </c>
      <c r="N5" s="32">
        <f>M5*92</f>
        <v>4140</v>
      </c>
      <c r="O5" s="102">
        <f>20*5</f>
        <v>100</v>
      </c>
      <c r="P5" s="93"/>
      <c r="Q5" s="32" t="s">
        <v>415</v>
      </c>
      <c r="R5" s="105">
        <v>0</v>
      </c>
      <c r="S5" s="17"/>
      <c r="T5" s="4"/>
    </row>
    <row r="6" spans="1:20" s="3" customFormat="1" ht="18" customHeight="1" x14ac:dyDescent="0.25">
      <c r="A6" s="9">
        <v>124</v>
      </c>
      <c r="B6" s="88">
        <v>15</v>
      </c>
      <c r="C6" s="88">
        <v>200</v>
      </c>
      <c r="D6" s="30"/>
      <c r="E6" s="29"/>
      <c r="F6" s="8" t="s">
        <v>517</v>
      </c>
      <c r="G6" s="8" t="s">
        <v>510</v>
      </c>
      <c r="H6" s="8">
        <v>10</v>
      </c>
      <c r="I6" s="8">
        <v>200</v>
      </c>
      <c r="J6" s="10" t="s">
        <v>545</v>
      </c>
      <c r="K6" s="8"/>
      <c r="L6" s="8"/>
      <c r="M6" s="32">
        <v>5</v>
      </c>
      <c r="N6" s="32">
        <f>M6*33</f>
        <v>165</v>
      </c>
      <c r="O6" s="102">
        <v>16</v>
      </c>
      <c r="P6" s="93"/>
      <c r="Q6" s="32" t="s">
        <v>415</v>
      </c>
      <c r="R6" s="105">
        <v>0</v>
      </c>
      <c r="S6" s="17"/>
      <c r="T6" s="4"/>
    </row>
    <row r="7" spans="1:20" s="3" customFormat="1" ht="18" customHeight="1" x14ac:dyDescent="0.25">
      <c r="A7" s="9">
        <v>125</v>
      </c>
      <c r="B7" s="88">
        <v>1</v>
      </c>
      <c r="C7" s="88">
        <v>200</v>
      </c>
      <c r="D7" s="30">
        <v>42438</v>
      </c>
      <c r="E7" s="29"/>
      <c r="F7" s="8" t="s">
        <v>519</v>
      </c>
      <c r="G7" s="8" t="s">
        <v>510</v>
      </c>
      <c r="H7" s="8" t="s">
        <v>518</v>
      </c>
      <c r="I7" s="8">
        <v>200</v>
      </c>
      <c r="J7" s="10" t="s">
        <v>546</v>
      </c>
      <c r="K7" s="8"/>
      <c r="L7" s="8"/>
      <c r="M7" s="32">
        <v>39</v>
      </c>
      <c r="N7" s="32">
        <f>M7*33</f>
        <v>1287</v>
      </c>
      <c r="O7" s="102">
        <f>8*5</f>
        <v>40</v>
      </c>
      <c r="P7" s="93" t="s">
        <v>632</v>
      </c>
      <c r="Q7" s="32" t="s">
        <v>415</v>
      </c>
      <c r="R7" s="105">
        <v>1</v>
      </c>
      <c r="S7" s="17"/>
      <c r="T7" s="4"/>
    </row>
    <row r="8" spans="1:20" s="3" customFormat="1" ht="18" customHeight="1" x14ac:dyDescent="0.25">
      <c r="A8" s="9">
        <v>126</v>
      </c>
      <c r="B8" s="88">
        <v>11</v>
      </c>
      <c r="C8" s="88">
        <v>250</v>
      </c>
      <c r="D8" s="30"/>
      <c r="E8" s="29"/>
      <c r="F8" s="8" t="s">
        <v>520</v>
      </c>
      <c r="G8" s="8" t="s">
        <v>521</v>
      </c>
      <c r="H8" s="8">
        <v>10</v>
      </c>
      <c r="I8" s="8">
        <v>250</v>
      </c>
      <c r="J8" s="10" t="s">
        <v>547</v>
      </c>
      <c r="K8" s="8"/>
      <c r="L8" s="8"/>
      <c r="M8" s="32">
        <v>17</v>
      </c>
      <c r="N8" s="32">
        <f>M8*40</f>
        <v>680</v>
      </c>
      <c r="O8" s="102">
        <v>30</v>
      </c>
      <c r="P8" s="93"/>
      <c r="Q8" s="32" t="s">
        <v>415</v>
      </c>
      <c r="R8" s="105">
        <v>0</v>
      </c>
      <c r="S8" s="17"/>
      <c r="T8" s="4"/>
    </row>
    <row r="9" spans="1:20" s="3" customFormat="1" ht="18" customHeight="1" x14ac:dyDescent="0.25">
      <c r="A9" s="9">
        <v>127</v>
      </c>
      <c r="B9" s="88">
        <v>12</v>
      </c>
      <c r="C9" s="88">
        <v>250</v>
      </c>
      <c r="D9" s="30"/>
      <c r="E9" s="29"/>
      <c r="F9" s="8" t="s">
        <v>521</v>
      </c>
      <c r="G9" s="8" t="s">
        <v>522</v>
      </c>
      <c r="H9" s="8">
        <v>10</v>
      </c>
      <c r="I9" s="8">
        <v>250</v>
      </c>
      <c r="J9" s="10" t="s">
        <v>548</v>
      </c>
      <c r="K9" s="8"/>
      <c r="L9" s="8"/>
      <c r="M9" s="32">
        <v>9</v>
      </c>
      <c r="N9" s="32">
        <f>M9*40</f>
        <v>360</v>
      </c>
      <c r="O9" s="102">
        <v>20</v>
      </c>
      <c r="P9" s="93"/>
      <c r="Q9" s="32" t="s">
        <v>415</v>
      </c>
      <c r="R9" s="105">
        <v>0</v>
      </c>
      <c r="S9" s="17"/>
      <c r="T9" s="4"/>
    </row>
    <row r="10" spans="1:20" s="3" customFormat="1" ht="18" customHeight="1" x14ac:dyDescent="0.25">
      <c r="A10" s="9">
        <v>128</v>
      </c>
      <c r="B10" s="88"/>
      <c r="C10" s="88">
        <v>250</v>
      </c>
      <c r="D10" s="30"/>
      <c r="E10" s="29"/>
      <c r="F10" s="8" t="s">
        <v>522</v>
      </c>
      <c r="G10" s="8" t="s">
        <v>523</v>
      </c>
      <c r="H10" s="8" t="s">
        <v>514</v>
      </c>
      <c r="I10" s="8">
        <v>250</v>
      </c>
      <c r="J10" s="10" t="s">
        <v>549</v>
      </c>
      <c r="K10" s="8"/>
      <c r="L10" s="8"/>
      <c r="M10" s="32">
        <v>26</v>
      </c>
      <c r="N10" s="32">
        <f>M10*40</f>
        <v>1040</v>
      </c>
      <c r="O10" s="102">
        <f>10*5.5</f>
        <v>55</v>
      </c>
      <c r="P10" s="93"/>
      <c r="Q10" s="32" t="s">
        <v>415</v>
      </c>
      <c r="R10" s="105">
        <v>0</v>
      </c>
      <c r="S10" s="17"/>
      <c r="T10" s="4"/>
    </row>
    <row r="11" spans="1:20" s="3" customFormat="1" ht="18" customHeight="1" x14ac:dyDescent="0.25">
      <c r="A11" s="9">
        <v>129</v>
      </c>
      <c r="B11" s="88">
        <v>10</v>
      </c>
      <c r="C11" s="88">
        <v>200</v>
      </c>
      <c r="D11" s="30"/>
      <c r="E11" s="29"/>
      <c r="F11" s="8" t="s">
        <v>524</v>
      </c>
      <c r="G11" s="8" t="s">
        <v>525</v>
      </c>
      <c r="H11" s="8">
        <v>10</v>
      </c>
      <c r="I11" s="8">
        <v>200</v>
      </c>
      <c r="J11" s="10" t="s">
        <v>550</v>
      </c>
      <c r="K11" s="8"/>
      <c r="L11" s="8"/>
      <c r="M11" s="32">
        <v>14</v>
      </c>
      <c r="N11" s="32">
        <f>M11*33</f>
        <v>462</v>
      </c>
      <c r="O11" s="102">
        <v>24</v>
      </c>
      <c r="P11" s="93"/>
      <c r="Q11" s="32" t="s">
        <v>415</v>
      </c>
      <c r="R11" s="105">
        <v>0</v>
      </c>
      <c r="S11" s="17"/>
      <c r="T11" s="4"/>
    </row>
    <row r="12" spans="1:20" s="3" customFormat="1" ht="18" customHeight="1" x14ac:dyDescent="0.25">
      <c r="A12" s="9">
        <v>130</v>
      </c>
      <c r="B12" s="88">
        <v>14</v>
      </c>
      <c r="C12" s="88">
        <v>200</v>
      </c>
      <c r="D12" s="30"/>
      <c r="E12" s="29"/>
      <c r="F12" s="8" t="s">
        <v>526</v>
      </c>
      <c r="G12" s="8" t="s">
        <v>524</v>
      </c>
      <c r="H12" s="8">
        <v>10</v>
      </c>
      <c r="I12" s="8">
        <v>200</v>
      </c>
      <c r="J12" s="10" t="s">
        <v>551</v>
      </c>
      <c r="K12" s="8"/>
      <c r="L12" s="8"/>
      <c r="M12" s="32">
        <v>3</v>
      </c>
      <c r="N12" s="32">
        <f>M12*33</f>
        <v>99</v>
      </c>
      <c r="O12" s="102">
        <v>16</v>
      </c>
      <c r="P12" s="93"/>
      <c r="Q12" s="32" t="s">
        <v>415</v>
      </c>
      <c r="R12" s="105">
        <v>0</v>
      </c>
      <c r="S12" s="17"/>
      <c r="T12" s="4"/>
    </row>
    <row r="13" spans="1:20" s="3" customFormat="1" ht="18" customHeight="1" x14ac:dyDescent="0.25">
      <c r="A13" s="9">
        <v>131</v>
      </c>
      <c r="B13" s="88">
        <v>16</v>
      </c>
      <c r="C13" s="88">
        <v>200</v>
      </c>
      <c r="D13" s="30"/>
      <c r="E13" s="29"/>
      <c r="F13" s="8" t="s">
        <v>527</v>
      </c>
      <c r="G13" s="8" t="s">
        <v>525</v>
      </c>
      <c r="H13" s="8">
        <v>10</v>
      </c>
      <c r="I13" s="8">
        <v>200</v>
      </c>
      <c r="J13" s="10" t="s">
        <v>552</v>
      </c>
      <c r="K13" s="8"/>
      <c r="L13" s="8"/>
      <c r="M13" s="32">
        <v>3</v>
      </c>
      <c r="N13" s="32">
        <f>M13*33</f>
        <v>99</v>
      </c>
      <c r="O13" s="102">
        <v>24</v>
      </c>
      <c r="P13" s="93"/>
      <c r="Q13" s="32" t="s">
        <v>415</v>
      </c>
      <c r="R13" s="105">
        <v>0</v>
      </c>
      <c r="S13" s="17"/>
      <c r="T13" s="4"/>
    </row>
    <row r="14" spans="1:20" s="3" customFormat="1" ht="18" customHeight="1" x14ac:dyDescent="0.25">
      <c r="A14" s="9">
        <v>132</v>
      </c>
      <c r="B14" s="88"/>
      <c r="C14" s="88">
        <v>200</v>
      </c>
      <c r="D14" s="30"/>
      <c r="E14" s="29"/>
      <c r="F14" s="8" t="s">
        <v>525</v>
      </c>
      <c r="G14" s="8" t="s">
        <v>528</v>
      </c>
      <c r="H14" s="8" t="s">
        <v>514</v>
      </c>
      <c r="I14" s="8">
        <v>200</v>
      </c>
      <c r="J14" s="10" t="s">
        <v>553</v>
      </c>
      <c r="K14" s="8"/>
      <c r="L14" s="8"/>
      <c r="M14" s="32">
        <v>13</v>
      </c>
      <c r="N14" s="32">
        <f>M14*33</f>
        <v>429</v>
      </c>
      <c r="O14" s="102">
        <v>24</v>
      </c>
      <c r="P14" s="93"/>
      <c r="Q14" s="32" t="s">
        <v>415</v>
      </c>
      <c r="R14" s="105">
        <v>0</v>
      </c>
      <c r="S14" s="17"/>
      <c r="T14" s="4"/>
    </row>
    <row r="15" spans="1:20" s="3" customFormat="1" ht="18" customHeight="1" x14ac:dyDescent="0.25">
      <c r="A15" s="9">
        <v>133</v>
      </c>
      <c r="B15" s="88"/>
      <c r="C15" s="88"/>
      <c r="D15" s="30">
        <v>42432</v>
      </c>
      <c r="E15" s="29">
        <v>42433</v>
      </c>
      <c r="F15" s="8" t="s">
        <v>341</v>
      </c>
      <c r="G15" s="8" t="s">
        <v>454</v>
      </c>
      <c r="H15" s="8" t="s">
        <v>512</v>
      </c>
      <c r="I15" s="8">
        <v>100</v>
      </c>
      <c r="J15" s="10" t="s">
        <v>554</v>
      </c>
      <c r="K15" s="8"/>
      <c r="L15" s="8"/>
      <c r="M15" s="32">
        <v>7</v>
      </c>
      <c r="N15" s="32">
        <f t="shared" ref="N15:N21" si="0">M15*15</f>
        <v>105</v>
      </c>
      <c r="O15" s="102">
        <f>5.5*4</f>
        <v>22</v>
      </c>
      <c r="P15" s="93" t="s">
        <v>628</v>
      </c>
      <c r="Q15" s="32" t="s">
        <v>415</v>
      </c>
      <c r="R15" s="105">
        <v>1</v>
      </c>
      <c r="S15" s="17"/>
      <c r="T15" s="4"/>
    </row>
    <row r="16" spans="1:20" s="3" customFormat="1" ht="18" customHeight="1" x14ac:dyDescent="0.25">
      <c r="A16" s="9">
        <v>134</v>
      </c>
      <c r="B16" s="88"/>
      <c r="C16" s="88">
        <v>100</v>
      </c>
      <c r="D16" s="30"/>
      <c r="E16" s="29"/>
      <c r="F16" s="8" t="s">
        <v>341</v>
      </c>
      <c r="G16" s="8" t="s">
        <v>432</v>
      </c>
      <c r="H16" s="8" t="s">
        <v>512</v>
      </c>
      <c r="I16" s="8">
        <v>100</v>
      </c>
      <c r="J16" s="10" t="s">
        <v>555</v>
      </c>
      <c r="K16" s="8"/>
      <c r="L16" s="8"/>
      <c r="M16" s="32">
        <v>11</v>
      </c>
      <c r="N16" s="32">
        <f t="shared" si="0"/>
        <v>165</v>
      </c>
      <c r="O16" s="102">
        <v>28</v>
      </c>
      <c r="P16" s="93"/>
      <c r="Q16" s="32" t="s">
        <v>415</v>
      </c>
      <c r="R16" s="105">
        <v>0</v>
      </c>
      <c r="S16" s="17"/>
      <c r="T16" s="4"/>
    </row>
    <row r="17" spans="1:20" s="3" customFormat="1" ht="18" customHeight="1" x14ac:dyDescent="0.25">
      <c r="A17" s="9">
        <v>135</v>
      </c>
      <c r="B17" s="88"/>
      <c r="C17" s="88">
        <v>100</v>
      </c>
      <c r="D17" s="30"/>
      <c r="E17" s="29"/>
      <c r="F17" s="8" t="s">
        <v>341</v>
      </c>
      <c r="G17" s="8" t="s">
        <v>432</v>
      </c>
      <c r="H17" s="8" t="s">
        <v>512</v>
      </c>
      <c r="I17" s="8">
        <v>100</v>
      </c>
      <c r="J17" s="10" t="s">
        <v>556</v>
      </c>
      <c r="K17" s="8"/>
      <c r="L17" s="8"/>
      <c r="M17" s="32">
        <v>13</v>
      </c>
      <c r="N17" s="32">
        <f t="shared" si="0"/>
        <v>195</v>
      </c>
      <c r="O17" s="102">
        <v>28</v>
      </c>
      <c r="P17" s="93"/>
      <c r="Q17" s="32" t="s">
        <v>415</v>
      </c>
      <c r="R17" s="105">
        <v>0</v>
      </c>
      <c r="S17" s="17"/>
      <c r="T17" s="4"/>
    </row>
    <row r="18" spans="1:20" s="3" customFormat="1" ht="18" customHeight="1" x14ac:dyDescent="0.25">
      <c r="A18" s="9">
        <v>136</v>
      </c>
      <c r="B18" s="88"/>
      <c r="C18" s="88">
        <v>100</v>
      </c>
      <c r="D18" s="30"/>
      <c r="E18" s="29"/>
      <c r="F18" s="8" t="s">
        <v>341</v>
      </c>
      <c r="G18" s="8" t="s">
        <v>558</v>
      </c>
      <c r="H18" s="8" t="s">
        <v>512</v>
      </c>
      <c r="I18" s="8">
        <v>100</v>
      </c>
      <c r="J18" s="10" t="s">
        <v>557</v>
      </c>
      <c r="K18" s="8"/>
      <c r="L18" s="8"/>
      <c r="M18" s="32">
        <v>14</v>
      </c>
      <c r="N18" s="32">
        <f t="shared" si="0"/>
        <v>210</v>
      </c>
      <c r="O18" s="102">
        <v>28</v>
      </c>
      <c r="P18" s="93"/>
      <c r="Q18" s="32" t="s">
        <v>415</v>
      </c>
      <c r="R18" s="105">
        <v>0</v>
      </c>
      <c r="S18" s="17"/>
      <c r="T18" s="4"/>
    </row>
    <row r="19" spans="1:20" s="3" customFormat="1" ht="18" customHeight="1" x14ac:dyDescent="0.25">
      <c r="A19" s="9">
        <v>137</v>
      </c>
      <c r="B19" s="88"/>
      <c r="C19" s="88">
        <v>100</v>
      </c>
      <c r="D19" s="30"/>
      <c r="E19" s="29"/>
      <c r="F19" s="8" t="s">
        <v>341</v>
      </c>
      <c r="G19" s="8" t="s">
        <v>558</v>
      </c>
      <c r="H19" s="8" t="s">
        <v>512</v>
      </c>
      <c r="I19" s="8">
        <v>100</v>
      </c>
      <c r="J19" s="10" t="s">
        <v>559</v>
      </c>
      <c r="K19" s="8"/>
      <c r="L19" s="8"/>
      <c r="M19" s="32">
        <v>12</v>
      </c>
      <c r="N19" s="32">
        <f t="shared" si="0"/>
        <v>180</v>
      </c>
      <c r="O19" s="102">
        <v>28</v>
      </c>
      <c r="P19" s="93"/>
      <c r="Q19" s="32" t="s">
        <v>415</v>
      </c>
      <c r="R19" s="105">
        <v>0</v>
      </c>
      <c r="S19" s="17"/>
      <c r="T19" s="4"/>
    </row>
    <row r="20" spans="1:20" s="3" customFormat="1" ht="18" customHeight="1" x14ac:dyDescent="0.25">
      <c r="A20" s="9">
        <v>138</v>
      </c>
      <c r="B20" s="88"/>
      <c r="C20" s="88">
        <v>100</v>
      </c>
      <c r="D20" s="30"/>
      <c r="E20" s="29"/>
      <c r="F20" s="8" t="s">
        <v>341</v>
      </c>
      <c r="G20" s="8" t="s">
        <v>520</v>
      </c>
      <c r="H20" s="8">
        <v>10</v>
      </c>
      <c r="I20" s="8">
        <v>100</v>
      </c>
      <c r="J20" s="10" t="s">
        <v>560</v>
      </c>
      <c r="K20" s="8"/>
      <c r="L20" s="8"/>
      <c r="M20" s="32">
        <v>9</v>
      </c>
      <c r="N20" s="32">
        <f t="shared" si="0"/>
        <v>135</v>
      </c>
      <c r="O20" s="102">
        <f>5.5*4</f>
        <v>22</v>
      </c>
      <c r="P20" s="93"/>
      <c r="Q20" s="32" t="s">
        <v>415</v>
      </c>
      <c r="R20" s="105">
        <v>0</v>
      </c>
      <c r="S20" s="17"/>
      <c r="T20" s="4"/>
    </row>
    <row r="21" spans="1:20" s="3" customFormat="1" ht="18" customHeight="1" x14ac:dyDescent="0.25">
      <c r="A21" s="9">
        <v>139</v>
      </c>
      <c r="B21" s="88"/>
      <c r="C21" s="88">
        <v>100</v>
      </c>
      <c r="D21" s="30"/>
      <c r="E21" s="29"/>
      <c r="F21" s="8" t="s">
        <v>341</v>
      </c>
      <c r="G21" s="8" t="s">
        <v>520</v>
      </c>
      <c r="H21" s="8">
        <v>10</v>
      </c>
      <c r="I21" s="8">
        <v>100</v>
      </c>
      <c r="J21" s="10" t="s">
        <v>561</v>
      </c>
      <c r="K21" s="8"/>
      <c r="L21" s="8"/>
      <c r="M21" s="32">
        <v>12</v>
      </c>
      <c r="N21" s="32">
        <f t="shared" si="0"/>
        <v>180</v>
      </c>
      <c r="O21" s="102">
        <f>5.5*4</f>
        <v>22</v>
      </c>
      <c r="P21" s="93"/>
      <c r="Q21" s="32" t="s">
        <v>415</v>
      </c>
      <c r="R21" s="105">
        <v>0</v>
      </c>
      <c r="S21" s="17"/>
      <c r="T21" s="4"/>
    </row>
    <row r="22" spans="1:20" s="3" customFormat="1" ht="18" customHeight="1" x14ac:dyDescent="0.25">
      <c r="A22" s="9">
        <v>140</v>
      </c>
      <c r="B22" s="88">
        <v>2</v>
      </c>
      <c r="C22" s="88">
        <v>200</v>
      </c>
      <c r="D22" s="30">
        <v>42438</v>
      </c>
      <c r="E22" s="28"/>
      <c r="F22" s="8" t="s">
        <v>572</v>
      </c>
      <c r="G22" s="8" t="s">
        <v>573</v>
      </c>
      <c r="H22" s="8" t="s">
        <v>518</v>
      </c>
      <c r="I22" s="8">
        <v>200</v>
      </c>
      <c r="J22" s="10" t="s">
        <v>562</v>
      </c>
      <c r="K22" s="8"/>
      <c r="L22" s="8"/>
      <c r="M22" s="32">
        <v>13.5</v>
      </c>
      <c r="N22" s="32">
        <f>M22*33</f>
        <v>445.5</v>
      </c>
      <c r="O22" s="102">
        <v>28</v>
      </c>
      <c r="P22" s="93" t="s">
        <v>631</v>
      </c>
      <c r="Q22" s="32" t="s">
        <v>415</v>
      </c>
      <c r="R22" s="105">
        <v>1</v>
      </c>
      <c r="S22" s="17"/>
      <c r="T22" s="4"/>
    </row>
    <row r="23" spans="1:20" s="3" customFormat="1" ht="18" customHeight="1" x14ac:dyDescent="0.25">
      <c r="A23" s="9">
        <v>141</v>
      </c>
      <c r="B23" s="88">
        <v>3</v>
      </c>
      <c r="C23" s="88"/>
      <c r="D23" s="30"/>
      <c r="E23" s="28"/>
      <c r="F23" s="8" t="s">
        <v>574</v>
      </c>
      <c r="G23" s="8" t="s">
        <v>575</v>
      </c>
      <c r="H23" s="8" t="s">
        <v>518</v>
      </c>
      <c r="I23" s="8">
        <v>250</v>
      </c>
      <c r="J23" s="10" t="s">
        <v>563</v>
      </c>
      <c r="K23" s="8"/>
      <c r="L23" s="8"/>
      <c r="M23" s="32">
        <v>24</v>
      </c>
      <c r="N23" s="32">
        <f>M23*40</f>
        <v>960</v>
      </c>
      <c r="O23" s="102">
        <v>45</v>
      </c>
      <c r="P23" s="94"/>
      <c r="Q23" s="32" t="s">
        <v>415</v>
      </c>
      <c r="R23" s="105">
        <v>0</v>
      </c>
      <c r="S23" s="17"/>
      <c r="T23" s="4"/>
    </row>
  </sheetData>
  <autoFilter ref="A3:S23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T27"/>
  <sheetViews>
    <sheetView tabSelected="1" zoomScaleNormal="100" zoomScaleSheetLayoutView="70" workbookViewId="0">
      <pane xSplit="10" ySplit="3" topLeftCell="L16" activePane="bottomRight" state="frozen"/>
      <selection activeCell="H20" sqref="H20"/>
      <selection pane="topRight" activeCell="H20" sqref="H20"/>
      <selection pane="bottomLeft" activeCell="H20" sqref="H20"/>
      <selection pane="bottomRight" activeCell="H19" sqref="H19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7.42578125" style="33" bestFit="1" customWidth="1"/>
    <col min="14" max="14" width="14" style="33" customWidth="1"/>
    <col min="15" max="15" width="11.140625" style="1" bestFit="1" customWidth="1"/>
    <col min="16" max="16" width="12.7109375" style="92" customWidth="1"/>
    <col min="17" max="17" width="9.85546875" style="18" customWidth="1"/>
    <col min="18" max="18" width="13" style="18" customWidth="1"/>
    <col min="19" max="19" width="8" style="18" customWidth="1"/>
    <col min="20" max="20" width="17.140625" style="1" customWidth="1"/>
    <col min="21" max="16384" width="11.42578125" style="1"/>
  </cols>
  <sheetData>
    <row r="1" spans="1:20" ht="13.5" thickBot="1" x14ac:dyDescent="0.25">
      <c r="N1" s="33" t="s">
        <v>402</v>
      </c>
      <c r="O1" s="1">
        <f>N3/O3</f>
        <v>9.9860335195530734</v>
      </c>
    </row>
    <row r="2" spans="1:20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06" t="s">
        <v>1</v>
      </c>
      <c r="G2" s="107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97" t="s">
        <v>347</v>
      </c>
      <c r="N2" s="97" t="s">
        <v>401</v>
      </c>
      <c r="O2" s="97" t="s">
        <v>20</v>
      </c>
      <c r="P2" s="84" t="s">
        <v>620</v>
      </c>
      <c r="Q2" s="97" t="s">
        <v>414</v>
      </c>
      <c r="R2" s="97" t="s">
        <v>633</v>
      </c>
      <c r="S2" s="20">
        <f>SUMPRODUCT(N4:N177,R4:R177)</f>
        <v>0</v>
      </c>
    </row>
    <row r="3" spans="1:20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9">
        <f>SUM(M4:M8)</f>
        <v>53</v>
      </c>
      <c r="N3" s="19">
        <f>SUM(N4:N8)</f>
        <v>1787.5</v>
      </c>
      <c r="O3" s="19">
        <f>SUM(O4:O8)+S3</f>
        <v>179</v>
      </c>
      <c r="P3" s="37"/>
      <c r="Q3" s="15">
        <f>SUM(Q4:Q8)</f>
        <v>0</v>
      </c>
      <c r="R3" s="100">
        <f>S2/N3</f>
        <v>0</v>
      </c>
      <c r="S3" s="15">
        <f>SUM(S4:S8)</f>
        <v>0</v>
      </c>
    </row>
    <row r="4" spans="1:20" s="3" customFormat="1" ht="18" customHeight="1" x14ac:dyDescent="0.25">
      <c r="A4" s="9">
        <v>142</v>
      </c>
      <c r="B4" s="88">
        <v>15</v>
      </c>
      <c r="C4" s="88">
        <v>200</v>
      </c>
      <c r="D4" s="30"/>
      <c r="E4" s="28"/>
      <c r="F4" s="8" t="s">
        <v>572</v>
      </c>
      <c r="G4" s="8" t="s">
        <v>573</v>
      </c>
      <c r="H4" s="8">
        <v>11</v>
      </c>
      <c r="I4" s="8">
        <v>200</v>
      </c>
      <c r="J4" s="10" t="s">
        <v>595</v>
      </c>
      <c r="K4" s="8"/>
      <c r="L4" s="8"/>
      <c r="M4" s="32">
        <v>4</v>
      </c>
      <c r="N4" s="32">
        <f>M4*33</f>
        <v>132</v>
      </c>
      <c r="O4" s="102">
        <v>48</v>
      </c>
      <c r="P4" s="94"/>
      <c r="Q4" s="32" t="s">
        <v>415</v>
      </c>
      <c r="R4" s="105">
        <v>0</v>
      </c>
      <c r="S4" s="17"/>
      <c r="T4" s="4"/>
    </row>
    <row r="5" spans="1:20" s="3" customFormat="1" ht="18" customHeight="1" x14ac:dyDescent="0.25">
      <c r="A5" s="9">
        <v>143</v>
      </c>
      <c r="B5" s="88">
        <v>16</v>
      </c>
      <c r="C5" s="88">
        <v>200</v>
      </c>
      <c r="D5" s="30"/>
      <c r="E5" s="28"/>
      <c r="F5" s="8" t="s">
        <v>577</v>
      </c>
      <c r="G5" s="8" t="s">
        <v>576</v>
      </c>
      <c r="H5" s="8">
        <v>11</v>
      </c>
      <c r="I5" s="8">
        <v>200</v>
      </c>
      <c r="J5" s="10" t="s">
        <v>596</v>
      </c>
      <c r="K5" s="8"/>
      <c r="L5" s="8"/>
      <c r="M5" s="32">
        <v>27</v>
      </c>
      <c r="N5" s="32">
        <f>M5*33</f>
        <v>891</v>
      </c>
      <c r="O5" s="102">
        <v>24</v>
      </c>
      <c r="P5" s="94"/>
      <c r="Q5" s="32" t="s">
        <v>415</v>
      </c>
      <c r="R5" s="105">
        <v>0</v>
      </c>
      <c r="S5" s="17"/>
      <c r="T5" s="4"/>
    </row>
    <row r="6" spans="1:20" s="3" customFormat="1" ht="18" customHeight="1" x14ac:dyDescent="0.25">
      <c r="A6" s="9">
        <v>144</v>
      </c>
      <c r="B6" s="88"/>
      <c r="C6" s="88">
        <v>200</v>
      </c>
      <c r="D6" s="30"/>
      <c r="E6" s="28"/>
      <c r="F6" s="8" t="s">
        <v>572</v>
      </c>
      <c r="G6" s="8" t="s">
        <v>576</v>
      </c>
      <c r="H6" s="8">
        <v>11</v>
      </c>
      <c r="I6" s="8">
        <v>200</v>
      </c>
      <c r="J6" s="10" t="s">
        <v>597</v>
      </c>
      <c r="K6" s="8"/>
      <c r="L6" s="8"/>
      <c r="M6" s="32">
        <v>4</v>
      </c>
      <c r="N6" s="32">
        <f>M6*33</f>
        <v>132</v>
      </c>
      <c r="O6" s="102">
        <v>48</v>
      </c>
      <c r="P6" s="94"/>
      <c r="Q6" s="32" t="s">
        <v>415</v>
      </c>
      <c r="R6" s="105">
        <v>0</v>
      </c>
      <c r="S6" s="17"/>
      <c r="T6" s="4"/>
    </row>
    <row r="7" spans="1:20" s="3" customFormat="1" ht="18" customHeight="1" x14ac:dyDescent="0.25">
      <c r="A7" s="9">
        <v>145</v>
      </c>
      <c r="B7" s="88">
        <v>14</v>
      </c>
      <c r="C7" s="88">
        <v>200</v>
      </c>
      <c r="D7" s="30"/>
      <c r="E7" s="28"/>
      <c r="F7" s="8" t="s">
        <v>577</v>
      </c>
      <c r="G7" s="8" t="s">
        <v>578</v>
      </c>
      <c r="H7" s="8">
        <v>11</v>
      </c>
      <c r="I7" s="8">
        <v>200</v>
      </c>
      <c r="J7" s="10" t="s">
        <v>598</v>
      </c>
      <c r="K7" s="8"/>
      <c r="L7" s="8"/>
      <c r="M7" s="32">
        <v>12.5</v>
      </c>
      <c r="N7" s="32">
        <f>M7*33</f>
        <v>412.5</v>
      </c>
      <c r="O7" s="102">
        <v>24</v>
      </c>
      <c r="P7" s="94"/>
      <c r="Q7" s="32" t="s">
        <v>415</v>
      </c>
      <c r="R7" s="105">
        <v>0</v>
      </c>
      <c r="S7" s="17"/>
      <c r="T7" s="4"/>
    </row>
    <row r="8" spans="1:20" s="3" customFormat="1" ht="18" customHeight="1" x14ac:dyDescent="0.25">
      <c r="A8" s="9">
        <v>146</v>
      </c>
      <c r="B8" s="88">
        <v>5</v>
      </c>
      <c r="C8" s="88">
        <v>250</v>
      </c>
      <c r="D8" s="30"/>
      <c r="E8" s="28"/>
      <c r="F8" s="8" t="s">
        <v>580</v>
      </c>
      <c r="G8" s="8" t="s">
        <v>579</v>
      </c>
      <c r="H8" s="8">
        <v>11</v>
      </c>
      <c r="I8" s="8">
        <v>250</v>
      </c>
      <c r="J8" s="10" t="s">
        <v>599</v>
      </c>
      <c r="K8" s="8"/>
      <c r="L8" s="8"/>
      <c r="M8" s="32">
        <v>5.5</v>
      </c>
      <c r="N8" s="32">
        <f>M8*40</f>
        <v>220</v>
      </c>
      <c r="O8" s="102">
        <v>35</v>
      </c>
      <c r="P8" s="94"/>
      <c r="Q8" s="32" t="s">
        <v>415</v>
      </c>
      <c r="R8" s="105">
        <v>0</v>
      </c>
      <c r="S8" s="17"/>
      <c r="T8" s="4"/>
    </row>
    <row r="9" spans="1:20" s="3" customFormat="1" ht="18" customHeight="1" x14ac:dyDescent="0.25">
      <c r="A9" s="9">
        <v>147</v>
      </c>
      <c r="B9" s="88">
        <v>4</v>
      </c>
      <c r="C9" s="88">
        <v>250</v>
      </c>
      <c r="D9" s="30"/>
      <c r="E9" s="28"/>
      <c r="F9" s="8" t="s">
        <v>581</v>
      </c>
      <c r="G9" s="8" t="s">
        <v>579</v>
      </c>
      <c r="H9" s="8">
        <v>11</v>
      </c>
      <c r="I9" s="8">
        <v>250</v>
      </c>
      <c r="J9" s="10" t="s">
        <v>600</v>
      </c>
      <c r="K9" s="8"/>
      <c r="L9" s="8"/>
      <c r="M9" s="32">
        <v>5.5</v>
      </c>
      <c r="N9" s="32">
        <f>M9*40</f>
        <v>220</v>
      </c>
      <c r="O9" s="102">
        <v>35</v>
      </c>
      <c r="P9" s="94"/>
      <c r="Q9" s="32" t="s">
        <v>415</v>
      </c>
      <c r="R9" s="105">
        <v>0</v>
      </c>
      <c r="S9" s="17"/>
      <c r="T9" s="4"/>
    </row>
    <row r="10" spans="1:20" s="3" customFormat="1" ht="18" customHeight="1" x14ac:dyDescent="0.25">
      <c r="A10" s="9">
        <v>148</v>
      </c>
      <c r="B10" s="88">
        <v>6</v>
      </c>
      <c r="C10" s="88">
        <v>250</v>
      </c>
      <c r="D10" s="30"/>
      <c r="E10" s="28"/>
      <c r="F10" s="8" t="s">
        <v>582</v>
      </c>
      <c r="G10" s="8" t="s">
        <v>619</v>
      </c>
      <c r="H10" s="8">
        <v>11</v>
      </c>
      <c r="I10" s="8">
        <v>250</v>
      </c>
      <c r="J10" s="10" t="s">
        <v>601</v>
      </c>
      <c r="K10" s="8"/>
      <c r="L10" s="8"/>
      <c r="M10" s="32">
        <v>7</v>
      </c>
      <c r="N10" s="32">
        <f>M10*40</f>
        <v>280</v>
      </c>
      <c r="O10" s="102">
        <v>20</v>
      </c>
      <c r="P10" s="94"/>
      <c r="Q10" s="32" t="s">
        <v>415</v>
      </c>
      <c r="R10" s="105">
        <v>0</v>
      </c>
      <c r="S10" s="17"/>
      <c r="T10" s="4"/>
    </row>
    <row r="11" spans="1:20" s="3" customFormat="1" ht="18" customHeight="1" x14ac:dyDescent="0.25">
      <c r="A11" s="9">
        <v>149</v>
      </c>
      <c r="B11" s="88">
        <v>12</v>
      </c>
      <c r="C11" s="88">
        <v>200</v>
      </c>
      <c r="D11" s="30"/>
      <c r="E11" s="28"/>
      <c r="F11" s="8" t="s">
        <v>572</v>
      </c>
      <c r="G11" s="8" t="s">
        <v>583</v>
      </c>
      <c r="H11" s="8">
        <v>11</v>
      </c>
      <c r="I11" s="8">
        <v>200</v>
      </c>
      <c r="J11" s="10" t="s">
        <v>602</v>
      </c>
      <c r="K11" s="8"/>
      <c r="L11" s="8"/>
      <c r="M11" s="32">
        <v>3</v>
      </c>
      <c r="N11" s="32">
        <f>M11*33</f>
        <v>99</v>
      </c>
      <c r="O11" s="102">
        <v>28</v>
      </c>
      <c r="P11" s="94"/>
      <c r="Q11" s="32" t="s">
        <v>415</v>
      </c>
      <c r="R11" s="105">
        <v>0</v>
      </c>
      <c r="S11" s="17"/>
      <c r="T11" s="4"/>
    </row>
    <row r="12" spans="1:20" s="3" customFormat="1" ht="18" customHeight="1" x14ac:dyDescent="0.25">
      <c r="A12" s="9">
        <v>150</v>
      </c>
      <c r="B12" s="88">
        <v>13</v>
      </c>
      <c r="C12" s="88">
        <v>200</v>
      </c>
      <c r="D12" s="30"/>
      <c r="E12" s="28"/>
      <c r="F12" s="8" t="s">
        <v>572</v>
      </c>
      <c r="G12" s="8" t="s">
        <v>584</v>
      </c>
      <c r="H12" s="8">
        <v>11</v>
      </c>
      <c r="I12" s="8">
        <v>200</v>
      </c>
      <c r="J12" s="10" t="s">
        <v>603</v>
      </c>
      <c r="K12" s="8"/>
      <c r="L12" s="8"/>
      <c r="M12" s="32">
        <v>3</v>
      </c>
      <c r="N12" s="32">
        <f>M12*33</f>
        <v>99</v>
      </c>
      <c r="O12" s="102">
        <v>28</v>
      </c>
      <c r="P12" s="94"/>
      <c r="Q12" s="32" t="s">
        <v>415</v>
      </c>
      <c r="R12" s="105">
        <v>0</v>
      </c>
      <c r="S12" s="17"/>
      <c r="T12" s="4"/>
    </row>
    <row r="13" spans="1:20" s="3" customFormat="1" ht="18" customHeight="1" x14ac:dyDescent="0.25">
      <c r="A13" s="9">
        <v>151</v>
      </c>
      <c r="B13" s="88">
        <v>7</v>
      </c>
      <c r="C13" s="88">
        <v>200</v>
      </c>
      <c r="D13" s="30"/>
      <c r="E13" s="28"/>
      <c r="F13" s="8" t="s">
        <v>578</v>
      </c>
      <c r="G13" s="8" t="s">
        <v>585</v>
      </c>
      <c r="H13" s="8">
        <v>11</v>
      </c>
      <c r="I13" s="8">
        <v>200</v>
      </c>
      <c r="J13" s="10" t="s">
        <v>604</v>
      </c>
      <c r="K13" s="8"/>
      <c r="L13" s="8"/>
      <c r="M13" s="32">
        <v>27</v>
      </c>
      <c r="N13" s="32">
        <f>M13*33</f>
        <v>891</v>
      </c>
      <c r="O13" s="102">
        <v>24</v>
      </c>
      <c r="P13" s="94"/>
      <c r="Q13" s="32" t="s">
        <v>415</v>
      </c>
      <c r="R13" s="105">
        <v>0</v>
      </c>
      <c r="S13" s="17"/>
      <c r="T13" s="4"/>
    </row>
    <row r="14" spans="1:20" s="3" customFormat="1" ht="18" customHeight="1" x14ac:dyDescent="0.25">
      <c r="A14" s="9">
        <v>152</v>
      </c>
      <c r="B14" s="88">
        <v>8</v>
      </c>
      <c r="C14" s="88">
        <v>150</v>
      </c>
      <c r="D14" s="30"/>
      <c r="E14" s="28"/>
      <c r="F14" s="8" t="s">
        <v>572</v>
      </c>
      <c r="G14" s="8" t="s">
        <v>586</v>
      </c>
      <c r="H14" s="8">
        <v>11</v>
      </c>
      <c r="I14" s="8">
        <v>150</v>
      </c>
      <c r="J14" s="10" t="s">
        <v>605</v>
      </c>
      <c r="K14" s="8"/>
      <c r="L14" s="8"/>
      <c r="M14" s="32">
        <v>4</v>
      </c>
      <c r="N14" s="32">
        <f>M14*23</f>
        <v>92</v>
      </c>
      <c r="O14" s="102">
        <v>24</v>
      </c>
      <c r="P14" s="94"/>
      <c r="Q14" s="32" t="s">
        <v>415</v>
      </c>
      <c r="R14" s="105">
        <v>0</v>
      </c>
      <c r="S14" s="17"/>
      <c r="T14" s="4"/>
    </row>
    <row r="15" spans="1:20" s="3" customFormat="1" ht="18" customHeight="1" x14ac:dyDescent="0.25">
      <c r="A15" s="9">
        <v>153</v>
      </c>
      <c r="B15" s="88">
        <v>10</v>
      </c>
      <c r="C15" s="88">
        <v>250</v>
      </c>
      <c r="D15" s="30"/>
      <c r="E15" s="28"/>
      <c r="F15" s="8" t="s">
        <v>587</v>
      </c>
      <c r="G15" s="8" t="s">
        <v>586</v>
      </c>
      <c r="H15" s="8">
        <v>11</v>
      </c>
      <c r="I15" s="8">
        <v>250</v>
      </c>
      <c r="J15" s="10" t="s">
        <v>606</v>
      </c>
      <c r="K15" s="8"/>
      <c r="L15" s="8"/>
      <c r="M15" s="32">
        <v>2</v>
      </c>
      <c r="N15" s="32">
        <f>M15*40</f>
        <v>80</v>
      </c>
      <c r="O15" s="102">
        <v>35</v>
      </c>
      <c r="P15" s="94"/>
      <c r="Q15" s="32" t="s">
        <v>415</v>
      </c>
      <c r="R15" s="105">
        <v>0</v>
      </c>
      <c r="S15" s="17"/>
      <c r="T15" s="4"/>
    </row>
    <row r="16" spans="1:20" s="3" customFormat="1" ht="18" customHeight="1" x14ac:dyDescent="0.25">
      <c r="A16" s="9">
        <v>154</v>
      </c>
      <c r="B16" s="88">
        <v>9</v>
      </c>
      <c r="C16" s="88">
        <v>150</v>
      </c>
      <c r="D16" s="30"/>
      <c r="E16" s="28"/>
      <c r="F16" s="8" t="s">
        <v>572</v>
      </c>
      <c r="G16" s="8" t="s">
        <v>586</v>
      </c>
      <c r="H16" s="8">
        <v>11</v>
      </c>
      <c r="I16" s="8">
        <v>150</v>
      </c>
      <c r="J16" s="10" t="s">
        <v>607</v>
      </c>
      <c r="K16" s="8"/>
      <c r="L16" s="8"/>
      <c r="M16" s="32">
        <v>8</v>
      </c>
      <c r="N16" s="32">
        <f>M16*23</f>
        <v>184</v>
      </c>
      <c r="O16" s="102">
        <v>54</v>
      </c>
      <c r="P16" s="94"/>
      <c r="Q16" s="32" t="s">
        <v>415</v>
      </c>
      <c r="R16" s="105">
        <v>0</v>
      </c>
      <c r="S16" s="17"/>
      <c r="T16" s="4"/>
    </row>
    <row r="17" spans="1:20" s="3" customFormat="1" ht="18" customHeight="1" x14ac:dyDescent="0.25">
      <c r="A17" s="9">
        <v>155</v>
      </c>
      <c r="B17" s="88">
        <v>11</v>
      </c>
      <c r="C17" s="88">
        <v>250</v>
      </c>
      <c r="D17" s="30"/>
      <c r="E17" s="28"/>
      <c r="F17" s="8" t="s">
        <v>586</v>
      </c>
      <c r="G17" s="8" t="s">
        <v>575</v>
      </c>
      <c r="H17" s="8">
        <v>11</v>
      </c>
      <c r="I17" s="8">
        <v>250</v>
      </c>
      <c r="J17" s="10" t="s">
        <v>608</v>
      </c>
      <c r="K17" s="8"/>
      <c r="L17" s="8"/>
      <c r="M17" s="32">
        <v>10</v>
      </c>
      <c r="N17" s="32">
        <f>M17*40</f>
        <v>400</v>
      </c>
      <c r="O17" s="102">
        <v>20</v>
      </c>
      <c r="P17" s="94"/>
      <c r="Q17" s="32" t="s">
        <v>415</v>
      </c>
      <c r="R17" s="105">
        <v>0</v>
      </c>
      <c r="S17" s="17"/>
      <c r="T17" s="4"/>
    </row>
    <row r="18" spans="1:20" s="3" customFormat="1" ht="18" customHeight="1" x14ac:dyDescent="0.25">
      <c r="A18" s="9">
        <v>156</v>
      </c>
      <c r="B18" s="88">
        <v>17</v>
      </c>
      <c r="C18" s="88">
        <v>200</v>
      </c>
      <c r="D18" s="30"/>
      <c r="E18" s="28"/>
      <c r="F18" s="8" t="s">
        <v>588</v>
      </c>
      <c r="G18" s="8" t="s">
        <v>578</v>
      </c>
      <c r="H18" s="8">
        <v>11</v>
      </c>
      <c r="I18" s="8">
        <v>200</v>
      </c>
      <c r="J18" s="10" t="s">
        <v>609</v>
      </c>
      <c r="K18" s="8"/>
      <c r="L18" s="8"/>
      <c r="M18" s="32">
        <v>7.5</v>
      </c>
      <c r="N18" s="32">
        <f t="shared" ref="N18:N23" si="0">M18*33</f>
        <v>247.5</v>
      </c>
      <c r="O18" s="102">
        <v>16</v>
      </c>
      <c r="P18" s="94"/>
      <c r="Q18" s="32" t="s">
        <v>415</v>
      </c>
      <c r="R18" s="105">
        <v>0</v>
      </c>
      <c r="S18" s="17"/>
      <c r="T18" s="4"/>
    </row>
    <row r="19" spans="1:20" s="3" customFormat="1" ht="18" customHeight="1" x14ac:dyDescent="0.25">
      <c r="A19" s="9">
        <v>157</v>
      </c>
      <c r="B19" s="88">
        <v>22</v>
      </c>
      <c r="C19" s="88">
        <v>200</v>
      </c>
      <c r="D19" s="30"/>
      <c r="E19" s="28"/>
      <c r="F19" s="8" t="s">
        <v>588</v>
      </c>
      <c r="G19" s="8" t="s">
        <v>589</v>
      </c>
      <c r="H19" s="8">
        <v>11</v>
      </c>
      <c r="I19" s="8">
        <v>200</v>
      </c>
      <c r="J19" s="10" t="s">
        <v>610</v>
      </c>
      <c r="K19" s="8"/>
      <c r="L19" s="8"/>
      <c r="M19" s="32">
        <v>3</v>
      </c>
      <c r="N19" s="32">
        <f t="shared" si="0"/>
        <v>99</v>
      </c>
      <c r="O19" s="102">
        <v>16</v>
      </c>
      <c r="P19" s="94"/>
      <c r="Q19" s="32" t="s">
        <v>415</v>
      </c>
      <c r="R19" s="105">
        <v>0</v>
      </c>
      <c r="S19" s="17"/>
      <c r="T19" s="4"/>
    </row>
    <row r="20" spans="1:20" s="3" customFormat="1" ht="18" customHeight="1" x14ac:dyDescent="0.25">
      <c r="A20" s="9">
        <v>158</v>
      </c>
      <c r="B20" s="88">
        <v>19</v>
      </c>
      <c r="C20" s="88">
        <v>200</v>
      </c>
      <c r="D20" s="30"/>
      <c r="E20" s="28"/>
      <c r="F20" s="8" t="s">
        <v>572</v>
      </c>
      <c r="G20" s="8" t="s">
        <v>588</v>
      </c>
      <c r="H20" s="8">
        <v>11</v>
      </c>
      <c r="I20" s="8">
        <v>200</v>
      </c>
      <c r="J20" s="10" t="s">
        <v>611</v>
      </c>
      <c r="K20" s="8"/>
      <c r="L20" s="8"/>
      <c r="M20" s="32">
        <v>6.5</v>
      </c>
      <c r="N20" s="32">
        <f t="shared" si="0"/>
        <v>214.5</v>
      </c>
      <c r="O20" s="102">
        <v>28</v>
      </c>
      <c r="P20" s="94"/>
      <c r="Q20" s="32" t="s">
        <v>415</v>
      </c>
      <c r="R20" s="105">
        <v>0</v>
      </c>
      <c r="S20" s="17"/>
      <c r="T20" s="4"/>
    </row>
    <row r="21" spans="1:20" s="3" customFormat="1" ht="18" customHeight="1" x14ac:dyDescent="0.25">
      <c r="A21" s="9">
        <v>159</v>
      </c>
      <c r="B21" s="88">
        <v>20</v>
      </c>
      <c r="C21" s="88">
        <v>200</v>
      </c>
      <c r="D21" s="30"/>
      <c r="E21" s="28"/>
      <c r="F21" s="8" t="s">
        <v>572</v>
      </c>
      <c r="G21" s="8" t="s">
        <v>588</v>
      </c>
      <c r="H21" s="8">
        <v>11</v>
      </c>
      <c r="I21" s="8">
        <v>200</v>
      </c>
      <c r="J21" s="10" t="s">
        <v>612</v>
      </c>
      <c r="K21" s="8"/>
      <c r="L21" s="8"/>
      <c r="M21" s="32">
        <v>6.5</v>
      </c>
      <c r="N21" s="32">
        <f t="shared" si="0"/>
        <v>214.5</v>
      </c>
      <c r="O21" s="102">
        <v>28</v>
      </c>
      <c r="P21" s="94"/>
      <c r="Q21" s="32" t="s">
        <v>415</v>
      </c>
      <c r="R21" s="105">
        <v>0</v>
      </c>
      <c r="S21" s="17"/>
      <c r="T21" s="4"/>
    </row>
    <row r="22" spans="1:20" s="3" customFormat="1" ht="18" customHeight="1" x14ac:dyDescent="0.25">
      <c r="A22" s="9">
        <v>160</v>
      </c>
      <c r="B22" s="88">
        <v>21</v>
      </c>
      <c r="C22" s="88">
        <v>200</v>
      </c>
      <c r="D22" s="30"/>
      <c r="E22" s="28"/>
      <c r="F22" s="8" t="s">
        <v>590</v>
      </c>
      <c r="G22" s="8" t="s">
        <v>588</v>
      </c>
      <c r="H22" s="8">
        <v>11</v>
      </c>
      <c r="I22" s="8">
        <v>200</v>
      </c>
      <c r="J22" s="10" t="s">
        <v>613</v>
      </c>
      <c r="K22" s="8"/>
      <c r="L22" s="8"/>
      <c r="M22" s="32">
        <v>7</v>
      </c>
      <c r="N22" s="32">
        <f t="shared" si="0"/>
        <v>231</v>
      </c>
      <c r="O22" s="102">
        <v>16</v>
      </c>
      <c r="P22" s="94"/>
      <c r="Q22" s="32" t="s">
        <v>415</v>
      </c>
      <c r="R22" s="105">
        <v>0</v>
      </c>
      <c r="S22" s="17"/>
      <c r="T22" s="4"/>
    </row>
    <row r="23" spans="1:20" s="3" customFormat="1" ht="18" customHeight="1" x14ac:dyDescent="0.25">
      <c r="A23" s="9">
        <v>161</v>
      </c>
      <c r="B23" s="88"/>
      <c r="C23" s="88">
        <v>200</v>
      </c>
      <c r="D23" s="30"/>
      <c r="E23" s="28"/>
      <c r="F23" s="8" t="s">
        <v>591</v>
      </c>
      <c r="G23" s="8" t="s">
        <v>588</v>
      </c>
      <c r="H23" s="8">
        <v>11</v>
      </c>
      <c r="I23" s="8">
        <v>200</v>
      </c>
      <c r="J23" s="10" t="s">
        <v>614</v>
      </c>
      <c r="K23" s="8"/>
      <c r="L23" s="8"/>
      <c r="M23" s="32">
        <v>10.5</v>
      </c>
      <c r="N23" s="32">
        <f t="shared" si="0"/>
        <v>346.5</v>
      </c>
      <c r="O23" s="102">
        <v>16</v>
      </c>
      <c r="P23" s="94"/>
      <c r="Q23" s="32" t="s">
        <v>415</v>
      </c>
      <c r="R23" s="105">
        <v>0</v>
      </c>
      <c r="S23" s="17"/>
      <c r="T23" s="4"/>
    </row>
    <row r="24" spans="1:20" s="3" customFormat="1" ht="18" customHeight="1" x14ac:dyDescent="0.25">
      <c r="A24" s="9">
        <v>162</v>
      </c>
      <c r="B24" s="88">
        <v>18</v>
      </c>
      <c r="C24" s="88">
        <v>250</v>
      </c>
      <c r="D24" s="30"/>
      <c r="E24" s="28"/>
      <c r="F24" s="8" t="s">
        <v>592</v>
      </c>
      <c r="G24" s="8" t="s">
        <v>619</v>
      </c>
      <c r="H24" s="8">
        <v>11</v>
      </c>
      <c r="I24" s="8">
        <v>250</v>
      </c>
      <c r="J24" s="10" t="s">
        <v>615</v>
      </c>
      <c r="K24" s="8"/>
      <c r="L24" s="8"/>
      <c r="M24" s="32">
        <v>7.5</v>
      </c>
      <c r="N24" s="32">
        <f>M24*40</f>
        <v>300</v>
      </c>
      <c r="O24" s="102">
        <v>16</v>
      </c>
      <c r="P24" s="94"/>
      <c r="Q24" s="32" t="s">
        <v>415</v>
      </c>
      <c r="R24" s="105">
        <v>0</v>
      </c>
      <c r="S24" s="17"/>
      <c r="T24" s="4"/>
    </row>
    <row r="25" spans="1:20" s="3" customFormat="1" ht="18" customHeight="1" x14ac:dyDescent="0.25">
      <c r="A25" s="9">
        <v>163</v>
      </c>
      <c r="B25" s="88"/>
      <c r="C25" s="88">
        <v>200</v>
      </c>
      <c r="D25" s="30"/>
      <c r="E25" s="28"/>
      <c r="F25" s="8" t="s">
        <v>593</v>
      </c>
      <c r="G25" s="8" t="s">
        <v>585</v>
      </c>
      <c r="H25" s="8">
        <v>11</v>
      </c>
      <c r="I25" s="8">
        <v>200</v>
      </c>
      <c r="J25" s="10" t="s">
        <v>616</v>
      </c>
      <c r="K25" s="8"/>
      <c r="L25" s="8"/>
      <c r="M25" s="32">
        <v>20</v>
      </c>
      <c r="N25" s="32">
        <f>M25*33</f>
        <v>660</v>
      </c>
      <c r="O25" s="102">
        <v>24</v>
      </c>
      <c r="P25" s="94"/>
      <c r="Q25" s="32" t="s">
        <v>415</v>
      </c>
      <c r="R25" s="105">
        <v>0</v>
      </c>
      <c r="S25" s="17"/>
      <c r="T25" s="4"/>
    </row>
    <row r="26" spans="1:20" s="3" customFormat="1" ht="18" customHeight="1" x14ac:dyDescent="0.25">
      <c r="A26" s="9">
        <v>164</v>
      </c>
      <c r="B26" s="88"/>
      <c r="C26" s="88">
        <v>100</v>
      </c>
      <c r="D26" s="30"/>
      <c r="E26" s="28"/>
      <c r="F26" s="8" t="s">
        <v>341</v>
      </c>
      <c r="G26" s="8" t="s">
        <v>594</v>
      </c>
      <c r="H26" s="8">
        <v>11</v>
      </c>
      <c r="I26" s="8">
        <v>100</v>
      </c>
      <c r="J26" s="10" t="s">
        <v>617</v>
      </c>
      <c r="K26" s="8"/>
      <c r="L26" s="8"/>
      <c r="M26" s="32">
        <v>16.5</v>
      </c>
      <c r="N26" s="32">
        <f>M26*15</f>
        <v>247.5</v>
      </c>
      <c r="O26" s="102">
        <v>22</v>
      </c>
      <c r="P26" s="94"/>
      <c r="Q26" s="32" t="s">
        <v>415</v>
      </c>
      <c r="R26" s="105">
        <v>0</v>
      </c>
      <c r="S26" s="17"/>
      <c r="T26" s="4"/>
    </row>
    <row r="27" spans="1:20" s="3" customFormat="1" ht="18" customHeight="1" x14ac:dyDescent="0.25">
      <c r="A27" s="9">
        <v>165</v>
      </c>
      <c r="B27" s="88"/>
      <c r="C27" s="88">
        <v>100</v>
      </c>
      <c r="D27" s="30"/>
      <c r="E27" s="28"/>
      <c r="F27" s="8" t="s">
        <v>341</v>
      </c>
      <c r="G27" s="8" t="s">
        <v>586</v>
      </c>
      <c r="H27" s="8">
        <v>11</v>
      </c>
      <c r="I27" s="8">
        <v>100</v>
      </c>
      <c r="J27" s="10" t="s">
        <v>618</v>
      </c>
      <c r="K27" s="8"/>
      <c r="L27" s="8"/>
      <c r="M27" s="32">
        <v>6</v>
      </c>
      <c r="N27" s="32">
        <f>M27*15</f>
        <v>90</v>
      </c>
      <c r="O27" s="102">
        <v>16</v>
      </c>
      <c r="P27" s="94"/>
      <c r="Q27" s="32" t="s">
        <v>415</v>
      </c>
      <c r="R27" s="105">
        <v>0</v>
      </c>
      <c r="S27" s="17"/>
      <c r="T27" s="4"/>
    </row>
  </sheetData>
  <autoFilter ref="A3:S27">
    <sortState ref="A5:AC176">
      <sortCondition ref="A3:A176"/>
    </sortState>
  </autoFilter>
  <mergeCells count="9">
    <mergeCell ref="I2:I3"/>
    <mergeCell ref="J2:J3"/>
    <mergeCell ref="K2:K3"/>
    <mergeCell ref="L2:L3"/>
    <mergeCell ref="A2:A3"/>
    <mergeCell ref="B2:B3"/>
    <mergeCell ref="D2:D3"/>
    <mergeCell ref="E2:E3"/>
    <mergeCell ref="H2:H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V250"/>
  <sheetViews>
    <sheetView zoomScaleNormal="100" zoomScaleSheetLayoutView="70" workbookViewId="0">
      <pane xSplit="10" ySplit="3" topLeftCell="L4" activePane="bottomRight" state="frozen"/>
      <selection pane="topRight" activeCell="G1" sqref="G1"/>
      <selection pane="bottomLeft" activeCell="A3" sqref="A3"/>
      <selection pane="bottomRight" activeCell="R7" sqref="R7"/>
    </sheetView>
  </sheetViews>
  <sheetFormatPr baseColWidth="10" defaultRowHeight="12.75" x14ac:dyDescent="0.2"/>
  <cols>
    <col min="1" max="1" width="9.28515625" style="2" customWidth="1"/>
    <col min="2" max="2" width="9.28515625" style="89" customWidth="1"/>
    <col min="3" max="3" width="6.140625" style="89" customWidth="1"/>
    <col min="4" max="4" width="11.85546875" style="2" customWidth="1"/>
    <col min="5" max="5" width="11" style="2" customWidth="1"/>
    <col min="6" max="7" width="12.5703125" style="2" customWidth="1"/>
    <col min="8" max="8" width="9.140625" style="2" customWidth="1"/>
    <col min="9" max="9" width="5" style="2" customWidth="1"/>
    <col min="10" max="10" width="13" style="2" customWidth="1"/>
    <col min="11" max="11" width="10.85546875" style="2" bestFit="1" customWidth="1"/>
    <col min="12" max="12" width="11.85546875" style="2" bestFit="1" customWidth="1"/>
    <col min="13" max="13" width="3.28515625" style="1" hidden="1" customWidth="1"/>
    <col min="14" max="14" width="3.42578125" style="1" hidden="1" customWidth="1"/>
    <col min="15" max="15" width="7.42578125" style="33" bestFit="1" customWidth="1"/>
    <col min="16" max="16" width="14" style="33" customWidth="1"/>
    <col min="17" max="17" width="11.140625" style="1" bestFit="1" customWidth="1"/>
    <col min="18" max="18" width="12.7109375" style="92" customWidth="1"/>
    <col min="19" max="19" width="9.85546875" style="18" customWidth="1"/>
    <col min="20" max="20" width="13" style="18" customWidth="1"/>
    <col min="21" max="21" width="8" style="18" customWidth="1"/>
    <col min="22" max="22" width="17.140625" style="1" customWidth="1"/>
    <col min="23" max="16384" width="11.42578125" style="1"/>
  </cols>
  <sheetData>
    <row r="1" spans="1:22" ht="13.5" thickBot="1" x14ac:dyDescent="0.25">
      <c r="P1" s="33" t="s">
        <v>402</v>
      </c>
      <c r="Q1" s="1">
        <f>P3/Q3</f>
        <v>14.0034788445891</v>
      </c>
    </row>
    <row r="2" spans="1:22" s="3" customFormat="1" ht="32.25" customHeight="1" x14ac:dyDescent="0.25">
      <c r="A2" s="144" t="s">
        <v>0</v>
      </c>
      <c r="B2" s="146" t="s">
        <v>310</v>
      </c>
      <c r="C2" s="95" t="s">
        <v>630</v>
      </c>
      <c r="D2" s="148" t="s">
        <v>349</v>
      </c>
      <c r="E2" s="142" t="s">
        <v>348</v>
      </c>
      <c r="F2" s="152" t="s">
        <v>1</v>
      </c>
      <c r="G2" s="153"/>
      <c r="H2" s="140" t="s">
        <v>2</v>
      </c>
      <c r="I2" s="140" t="s">
        <v>3</v>
      </c>
      <c r="J2" s="140" t="s">
        <v>4</v>
      </c>
      <c r="K2" s="140" t="s">
        <v>19</v>
      </c>
      <c r="L2" s="140" t="s">
        <v>18</v>
      </c>
      <c r="M2" s="150" t="s">
        <v>7</v>
      </c>
      <c r="N2" s="150" t="s">
        <v>8</v>
      </c>
      <c r="O2" s="97" t="s">
        <v>347</v>
      </c>
      <c r="P2" s="97" t="s">
        <v>401</v>
      </c>
      <c r="Q2" s="97" t="s">
        <v>20</v>
      </c>
      <c r="R2" s="84" t="s">
        <v>620</v>
      </c>
      <c r="S2" s="97" t="s">
        <v>414</v>
      </c>
      <c r="T2" s="97" t="s">
        <v>633</v>
      </c>
      <c r="U2" s="20">
        <f>SUMPRODUCT(P4:P400,T4:T400)</f>
        <v>41553.702000000005</v>
      </c>
    </row>
    <row r="3" spans="1:22" s="3" customFormat="1" ht="15.75" customHeight="1" thickBot="1" x14ac:dyDescent="0.3">
      <c r="A3" s="145"/>
      <c r="B3" s="147"/>
      <c r="C3" s="96"/>
      <c r="D3" s="149"/>
      <c r="E3" s="143"/>
      <c r="F3" s="98" t="s">
        <v>5</v>
      </c>
      <c r="G3" s="98" t="s">
        <v>6</v>
      </c>
      <c r="H3" s="141"/>
      <c r="I3" s="141"/>
      <c r="J3" s="141"/>
      <c r="K3" s="141"/>
      <c r="L3" s="141"/>
      <c r="M3" s="151"/>
      <c r="N3" s="151"/>
      <c r="O3" s="19">
        <f>SUM(O4:O150)</f>
        <v>1745.4160000000002</v>
      </c>
      <c r="P3" s="19">
        <f>SUM(P4:P150)</f>
        <v>68841.102000000014</v>
      </c>
      <c r="Q3" s="19">
        <f>SUM(Q4:Q150)+U3</f>
        <v>4916</v>
      </c>
      <c r="R3" s="37"/>
      <c r="S3" s="15">
        <f>SUM(S4:S150)</f>
        <v>0</v>
      </c>
      <c r="T3" s="100">
        <f>U2/P3</f>
        <v>0.60361761785858681</v>
      </c>
      <c r="U3" s="15">
        <f>SUM(U4:U150)</f>
        <v>0</v>
      </c>
    </row>
    <row r="4" spans="1:22" s="3" customFormat="1" ht="18" customHeight="1" x14ac:dyDescent="0.25">
      <c r="A4" s="14">
        <v>1</v>
      </c>
      <c r="B4" s="88" t="s">
        <v>436</v>
      </c>
      <c r="C4" s="88"/>
      <c r="D4" s="30">
        <v>42355</v>
      </c>
      <c r="E4" s="29">
        <v>42359</v>
      </c>
      <c r="F4" s="8" t="s">
        <v>327</v>
      </c>
      <c r="G4" s="8" t="s">
        <v>370</v>
      </c>
      <c r="H4" s="25">
        <v>2</v>
      </c>
      <c r="I4" s="11">
        <v>250</v>
      </c>
      <c r="J4" s="13" t="s">
        <v>23</v>
      </c>
      <c r="K4" s="13" t="s">
        <v>21</v>
      </c>
      <c r="L4" s="13" t="s">
        <v>22</v>
      </c>
      <c r="M4" s="27"/>
      <c r="N4" s="7"/>
      <c r="O4" s="32">
        <v>33</v>
      </c>
      <c r="P4" s="32">
        <f>O4*40</f>
        <v>1320</v>
      </c>
      <c r="Q4" s="102">
        <v>40</v>
      </c>
      <c r="R4" s="26"/>
      <c r="S4" s="17" t="s">
        <v>415</v>
      </c>
      <c r="T4" s="105">
        <v>1</v>
      </c>
      <c r="U4" s="17"/>
    </row>
    <row r="5" spans="1:22" s="3" customFormat="1" ht="18" customHeight="1" x14ac:dyDescent="0.25">
      <c r="A5" s="9">
        <v>2</v>
      </c>
      <c r="B5" s="88" t="s">
        <v>435</v>
      </c>
      <c r="C5" s="88"/>
      <c r="D5" s="31">
        <v>42354</v>
      </c>
      <c r="E5" s="29">
        <v>42354</v>
      </c>
      <c r="F5" s="8" t="s">
        <v>370</v>
      </c>
      <c r="G5" s="8" t="s">
        <v>371</v>
      </c>
      <c r="H5" s="22" t="s">
        <v>372</v>
      </c>
      <c r="I5" s="8">
        <v>200</v>
      </c>
      <c r="J5" s="10" t="s">
        <v>26</v>
      </c>
      <c r="K5" s="13" t="s">
        <v>24</v>
      </c>
      <c r="L5" s="13" t="s">
        <v>25</v>
      </c>
      <c r="M5" s="27"/>
      <c r="N5" s="12"/>
      <c r="O5" s="32">
        <v>47</v>
      </c>
      <c r="P5" s="32">
        <f>O5*33</f>
        <v>1551</v>
      </c>
      <c r="Q5" s="102">
        <v>40</v>
      </c>
      <c r="R5" s="26"/>
      <c r="S5" s="17" t="s">
        <v>415</v>
      </c>
      <c r="T5" s="105">
        <v>1</v>
      </c>
      <c r="U5" s="17"/>
    </row>
    <row r="6" spans="1:22" s="3" customFormat="1" ht="18" customHeight="1" x14ac:dyDescent="0.25">
      <c r="A6" s="9">
        <v>3</v>
      </c>
      <c r="B6" s="88" t="s">
        <v>323</v>
      </c>
      <c r="C6" s="88"/>
      <c r="D6" s="30">
        <v>42313</v>
      </c>
      <c r="E6" s="29">
        <v>42318</v>
      </c>
      <c r="F6" s="8" t="s">
        <v>326</v>
      </c>
      <c r="G6" s="8" t="s">
        <v>327</v>
      </c>
      <c r="H6" s="22">
        <v>2</v>
      </c>
      <c r="I6" s="8">
        <v>250</v>
      </c>
      <c r="J6" s="13" t="s">
        <v>27</v>
      </c>
      <c r="K6" s="13" t="s">
        <v>315</v>
      </c>
      <c r="L6" s="13" t="s">
        <v>28</v>
      </c>
      <c r="M6" s="27"/>
      <c r="N6" s="7"/>
      <c r="O6" s="32">
        <v>9</v>
      </c>
      <c r="P6" s="32">
        <f>O6*40</f>
        <v>360</v>
      </c>
      <c r="Q6" s="102">
        <v>20</v>
      </c>
      <c r="R6" s="26"/>
      <c r="S6" s="17" t="s">
        <v>415</v>
      </c>
      <c r="T6" s="105">
        <v>1</v>
      </c>
      <c r="U6" s="17"/>
    </row>
    <row r="7" spans="1:22" s="3" customFormat="1" ht="18" customHeight="1" x14ac:dyDescent="0.25">
      <c r="A7" s="9">
        <v>4</v>
      </c>
      <c r="B7" s="88" t="s">
        <v>323</v>
      </c>
      <c r="C7" s="88"/>
      <c r="D7" s="30">
        <v>42313</v>
      </c>
      <c r="E7" s="29">
        <v>42318</v>
      </c>
      <c r="F7" s="11" t="s">
        <v>328</v>
      </c>
      <c r="G7" s="8" t="s">
        <v>327</v>
      </c>
      <c r="H7" s="22">
        <v>2</v>
      </c>
      <c r="I7" s="8">
        <v>200</v>
      </c>
      <c r="J7" s="13" t="s">
        <v>29</v>
      </c>
      <c r="K7" s="13" t="s">
        <v>315</v>
      </c>
      <c r="L7" s="13" t="s">
        <v>30</v>
      </c>
      <c r="M7" s="6"/>
      <c r="N7" s="7"/>
      <c r="O7" s="32">
        <v>3.1309999999999998</v>
      </c>
      <c r="P7" s="32">
        <f>O7*33</f>
        <v>103.32299999999999</v>
      </c>
      <c r="Q7" s="102">
        <v>16</v>
      </c>
      <c r="R7" s="26"/>
      <c r="S7" s="17" t="s">
        <v>415</v>
      </c>
      <c r="T7" s="105">
        <v>1</v>
      </c>
      <c r="U7" s="17"/>
      <c r="V7" s="4"/>
    </row>
    <row r="8" spans="1:22" s="3" customFormat="1" ht="18" customHeight="1" x14ac:dyDescent="0.25">
      <c r="A8" s="9">
        <v>5</v>
      </c>
      <c r="B8" s="88" t="s">
        <v>323</v>
      </c>
      <c r="C8" s="88"/>
      <c r="D8" s="30">
        <v>42313</v>
      </c>
      <c r="E8" s="29">
        <v>42318</v>
      </c>
      <c r="F8" s="8" t="s">
        <v>329</v>
      </c>
      <c r="G8" s="8" t="s">
        <v>326</v>
      </c>
      <c r="H8" s="22">
        <v>2</v>
      </c>
      <c r="I8" s="8">
        <v>200</v>
      </c>
      <c r="J8" s="10" t="s">
        <v>31</v>
      </c>
      <c r="K8" s="13" t="s">
        <v>315</v>
      </c>
      <c r="L8" s="13" t="s">
        <v>32</v>
      </c>
      <c r="M8" s="6"/>
      <c r="N8" s="7"/>
      <c r="O8" s="32">
        <v>2.8210000000000002</v>
      </c>
      <c r="P8" s="32">
        <f>O8*33</f>
        <v>93.093000000000004</v>
      </c>
      <c r="Q8" s="102">
        <v>16</v>
      </c>
      <c r="R8" s="26"/>
      <c r="S8" s="17" t="s">
        <v>415</v>
      </c>
      <c r="T8" s="105">
        <v>1</v>
      </c>
      <c r="U8" s="17"/>
      <c r="V8" s="4"/>
    </row>
    <row r="9" spans="1:22" s="3" customFormat="1" ht="18" customHeight="1" x14ac:dyDescent="0.25">
      <c r="A9" s="9">
        <v>6</v>
      </c>
      <c r="B9" s="88" t="s">
        <v>323</v>
      </c>
      <c r="C9" s="88"/>
      <c r="D9" s="30">
        <v>42324</v>
      </c>
      <c r="E9" s="29">
        <v>42327</v>
      </c>
      <c r="F9" s="8" t="s">
        <v>336</v>
      </c>
      <c r="G9" s="8" t="s">
        <v>326</v>
      </c>
      <c r="H9" s="22">
        <v>2</v>
      </c>
      <c r="I9" s="8">
        <v>200</v>
      </c>
      <c r="J9" s="13" t="s">
        <v>33</v>
      </c>
      <c r="K9" s="13" t="s">
        <v>315</v>
      </c>
      <c r="L9" s="13" t="s">
        <v>34</v>
      </c>
      <c r="M9" s="6"/>
      <c r="N9" s="7"/>
      <c r="O9" s="32">
        <v>10.706</v>
      </c>
      <c r="P9" s="32">
        <f>O9*33</f>
        <v>353.298</v>
      </c>
      <c r="Q9" s="102">
        <f>8*2</f>
        <v>16</v>
      </c>
      <c r="R9" s="26"/>
      <c r="S9" s="17" t="s">
        <v>415</v>
      </c>
      <c r="T9" s="105">
        <v>1</v>
      </c>
      <c r="U9" s="17"/>
      <c r="V9" s="4"/>
    </row>
    <row r="10" spans="1:22" s="3" customFormat="1" ht="18" customHeight="1" x14ac:dyDescent="0.25">
      <c r="A10" s="9">
        <v>7</v>
      </c>
      <c r="B10" s="88">
        <v>2</v>
      </c>
      <c r="C10" s="88"/>
      <c r="D10" s="30">
        <v>42311</v>
      </c>
      <c r="E10" s="29">
        <v>42312</v>
      </c>
      <c r="F10" s="8" t="s">
        <v>313</v>
      </c>
      <c r="G10" s="8" t="s">
        <v>314</v>
      </c>
      <c r="H10" s="22">
        <v>2</v>
      </c>
      <c r="I10" s="8">
        <v>200</v>
      </c>
      <c r="J10" s="13" t="s">
        <v>35</v>
      </c>
      <c r="K10" s="13" t="s">
        <v>36</v>
      </c>
      <c r="L10" s="13" t="s">
        <v>37</v>
      </c>
      <c r="M10" s="6"/>
      <c r="N10" s="7"/>
      <c r="O10" s="32">
        <f>1.72+1.18</f>
        <v>2.9</v>
      </c>
      <c r="P10" s="32">
        <f>O10*33</f>
        <v>95.7</v>
      </c>
      <c r="Q10" s="102">
        <v>28</v>
      </c>
      <c r="R10" s="26"/>
      <c r="S10" s="17" t="s">
        <v>415</v>
      </c>
      <c r="T10" s="105">
        <v>1</v>
      </c>
      <c r="U10" s="17"/>
      <c r="V10" s="4"/>
    </row>
    <row r="11" spans="1:22" s="3" customFormat="1" ht="18" customHeight="1" x14ac:dyDescent="0.25">
      <c r="A11" s="9">
        <v>8</v>
      </c>
      <c r="B11" s="88">
        <v>2</v>
      </c>
      <c r="C11" s="88"/>
      <c r="D11" s="30">
        <v>42311</v>
      </c>
      <c r="E11" s="29">
        <v>42312</v>
      </c>
      <c r="F11" s="8" t="s">
        <v>316</v>
      </c>
      <c r="G11" s="8" t="s">
        <v>314</v>
      </c>
      <c r="H11" s="22">
        <v>2</v>
      </c>
      <c r="I11" s="8">
        <v>100</v>
      </c>
      <c r="J11" s="10" t="s">
        <v>38</v>
      </c>
      <c r="K11" s="13" t="s">
        <v>39</v>
      </c>
      <c r="L11" s="13" t="s">
        <v>40</v>
      </c>
      <c r="M11" s="6"/>
      <c r="N11" s="7"/>
      <c r="O11" s="32">
        <f>1.143+3.94+1.283</f>
        <v>6.3659999999999997</v>
      </c>
      <c r="P11" s="32">
        <f>O11*15</f>
        <v>95.49</v>
      </c>
      <c r="Q11" s="102">
        <v>20</v>
      </c>
      <c r="R11" s="26"/>
      <c r="S11" s="17" t="s">
        <v>415</v>
      </c>
      <c r="T11" s="105">
        <v>1</v>
      </c>
      <c r="U11" s="17"/>
      <c r="V11" s="4"/>
    </row>
    <row r="12" spans="1:22" s="3" customFormat="1" ht="18" customHeight="1" x14ac:dyDescent="0.25">
      <c r="A12" s="9">
        <v>9</v>
      </c>
      <c r="B12" s="88">
        <v>2</v>
      </c>
      <c r="C12" s="88"/>
      <c r="D12" s="30">
        <v>42311</v>
      </c>
      <c r="E12" s="29">
        <v>42312</v>
      </c>
      <c r="F12" s="8" t="s">
        <v>314</v>
      </c>
      <c r="G12" s="8" t="s">
        <v>317</v>
      </c>
      <c r="H12" s="22">
        <v>2</v>
      </c>
      <c r="I12" s="8">
        <v>200</v>
      </c>
      <c r="J12" s="13" t="s">
        <v>41</v>
      </c>
      <c r="K12" s="13" t="s">
        <v>42</v>
      </c>
      <c r="L12" s="13" t="s">
        <v>43</v>
      </c>
      <c r="M12" s="6"/>
      <c r="N12" s="7"/>
      <c r="O12" s="32">
        <f>4.02+1.15</f>
        <v>5.17</v>
      </c>
      <c r="P12" s="32">
        <f>O12*33</f>
        <v>170.60999999999999</v>
      </c>
      <c r="Q12" s="102">
        <v>28</v>
      </c>
      <c r="R12" s="26"/>
      <c r="S12" s="17" t="s">
        <v>415</v>
      </c>
      <c r="T12" s="105">
        <v>1</v>
      </c>
      <c r="U12" s="17"/>
      <c r="V12" s="4"/>
    </row>
    <row r="13" spans="1:22" s="3" customFormat="1" ht="18" customHeight="1" x14ac:dyDescent="0.25">
      <c r="A13" s="9">
        <v>10</v>
      </c>
      <c r="B13" s="88">
        <v>2</v>
      </c>
      <c r="C13" s="88"/>
      <c r="D13" s="30">
        <v>42306</v>
      </c>
      <c r="E13" s="29">
        <v>42312</v>
      </c>
      <c r="F13" s="8" t="s">
        <v>318</v>
      </c>
      <c r="G13" s="8" t="s">
        <v>314</v>
      </c>
      <c r="H13" s="22">
        <v>2</v>
      </c>
      <c r="I13" s="8">
        <v>150</v>
      </c>
      <c r="J13" s="13" t="s">
        <v>44</v>
      </c>
      <c r="K13" s="13" t="s">
        <v>45</v>
      </c>
      <c r="L13" s="13" t="s">
        <v>46</v>
      </c>
      <c r="M13" s="6"/>
      <c r="N13" s="7"/>
      <c r="O13" s="32">
        <f>1.18+3.73+0.94+3.6+2+0.763+1.46+0.424+1.77+1.193+((1.77+1.193+0.424)*3)</f>
        <v>27.220999999999997</v>
      </c>
      <c r="P13" s="32">
        <f>O13*23</f>
        <v>626.08299999999997</v>
      </c>
      <c r="Q13" s="102">
        <v>102</v>
      </c>
      <c r="R13" s="26"/>
      <c r="S13" s="17" t="s">
        <v>415</v>
      </c>
      <c r="T13" s="105">
        <v>1</v>
      </c>
      <c r="U13" s="17"/>
      <c r="V13" s="4"/>
    </row>
    <row r="14" spans="1:22" s="3" customFormat="1" ht="18" customHeight="1" x14ac:dyDescent="0.25">
      <c r="A14" s="9">
        <v>11</v>
      </c>
      <c r="B14" s="88">
        <v>1</v>
      </c>
      <c r="C14" s="88"/>
      <c r="D14" s="30">
        <v>42296</v>
      </c>
      <c r="E14" s="29">
        <v>42300</v>
      </c>
      <c r="F14" s="8" t="s">
        <v>306</v>
      </c>
      <c r="G14" s="8" t="s">
        <v>307</v>
      </c>
      <c r="H14" s="22">
        <v>2</v>
      </c>
      <c r="I14" s="8">
        <v>150</v>
      </c>
      <c r="J14" s="10" t="s">
        <v>47</v>
      </c>
      <c r="K14" s="13" t="s">
        <v>48</v>
      </c>
      <c r="L14" s="13" t="s">
        <v>49</v>
      </c>
      <c r="M14" s="6"/>
      <c r="N14" s="7"/>
      <c r="O14" s="32">
        <f>0.9+1.64+2.08+2.05+1.544+1.46+0.424*2+1.62*2+1.193*2+1.193+1.33+0.424</f>
        <v>19.094999999999999</v>
      </c>
      <c r="P14" s="32">
        <f>O14*23</f>
        <v>439.18499999999995</v>
      </c>
      <c r="Q14" s="102">
        <v>78</v>
      </c>
      <c r="R14" s="26"/>
      <c r="S14" s="17" t="s">
        <v>415</v>
      </c>
      <c r="T14" s="105">
        <v>1</v>
      </c>
      <c r="U14" s="16"/>
      <c r="V14" s="4"/>
    </row>
    <row r="15" spans="1:22" s="3" customFormat="1" ht="18" customHeight="1" x14ac:dyDescent="0.25">
      <c r="A15" s="9">
        <v>12</v>
      </c>
      <c r="B15" s="88">
        <v>1</v>
      </c>
      <c r="C15" s="88"/>
      <c r="D15" s="30">
        <v>42306</v>
      </c>
      <c r="E15" s="29">
        <v>42312</v>
      </c>
      <c r="F15" s="8" t="s">
        <v>311</v>
      </c>
      <c r="G15" s="8" t="s">
        <v>307</v>
      </c>
      <c r="H15" s="22">
        <v>2</v>
      </c>
      <c r="I15" s="8">
        <v>150</v>
      </c>
      <c r="J15" s="13" t="s">
        <v>50</v>
      </c>
      <c r="K15" s="13" t="s">
        <v>51</v>
      </c>
      <c r="L15" s="13" t="s">
        <v>52</v>
      </c>
      <c r="M15" s="6"/>
      <c r="N15" s="7"/>
      <c r="O15" s="32">
        <f>1+1.275+1.63+0.43+1.12+0.418+1.46+1.555*2+1.32+0.82+1.193*4+1.33*2+0.425*2</f>
        <v>20.865000000000002</v>
      </c>
      <c r="P15" s="32">
        <f>O15*23</f>
        <v>479.89500000000004</v>
      </c>
      <c r="Q15" s="102">
        <v>96</v>
      </c>
      <c r="R15" s="26"/>
      <c r="S15" s="17" t="s">
        <v>415</v>
      </c>
      <c r="T15" s="105">
        <v>1</v>
      </c>
      <c r="U15" s="17"/>
      <c r="V15" s="4"/>
    </row>
    <row r="16" spans="1:22" s="3" customFormat="1" ht="18" customHeight="1" x14ac:dyDescent="0.25">
      <c r="A16" s="9">
        <v>13</v>
      </c>
      <c r="B16" s="88">
        <v>1</v>
      </c>
      <c r="C16" s="88"/>
      <c r="D16" s="30">
        <v>42296</v>
      </c>
      <c r="E16" s="29">
        <v>42300</v>
      </c>
      <c r="F16" s="8" t="s">
        <v>308</v>
      </c>
      <c r="G16" s="8" t="s">
        <v>307</v>
      </c>
      <c r="H16" s="22">
        <v>2</v>
      </c>
      <c r="I16" s="8">
        <v>100</v>
      </c>
      <c r="J16" s="13" t="s">
        <v>53</v>
      </c>
      <c r="K16" s="13" t="s">
        <v>54</v>
      </c>
      <c r="L16" s="13" t="s">
        <v>55</v>
      </c>
      <c r="M16" s="6"/>
      <c r="N16" s="7"/>
      <c r="O16" s="32">
        <f>0.237+1.48+1.193</f>
        <v>2.91</v>
      </c>
      <c r="P16" s="32">
        <f>O16*15</f>
        <v>43.650000000000006</v>
      </c>
      <c r="Q16" s="102">
        <v>22</v>
      </c>
      <c r="R16" s="26"/>
      <c r="S16" s="17" t="s">
        <v>415</v>
      </c>
      <c r="T16" s="105">
        <v>1</v>
      </c>
      <c r="U16" s="16"/>
      <c r="V16" s="4"/>
    </row>
    <row r="17" spans="1:22" s="3" customFormat="1" ht="18" customHeight="1" x14ac:dyDescent="0.25">
      <c r="A17" s="9">
        <v>14</v>
      </c>
      <c r="B17" s="88">
        <v>1</v>
      </c>
      <c r="C17" s="88"/>
      <c r="D17" s="30">
        <v>42306</v>
      </c>
      <c r="E17" s="29">
        <v>42307</v>
      </c>
      <c r="F17" s="8" t="s">
        <v>312</v>
      </c>
      <c r="G17" s="8" t="s">
        <v>307</v>
      </c>
      <c r="H17" s="22">
        <v>2</v>
      </c>
      <c r="I17" s="8">
        <v>100</v>
      </c>
      <c r="J17" s="10" t="s">
        <v>56</v>
      </c>
      <c r="K17" s="13" t="s">
        <v>57</v>
      </c>
      <c r="L17" s="13" t="s">
        <v>58</v>
      </c>
      <c r="M17" s="6"/>
      <c r="N17" s="7"/>
      <c r="O17" s="32">
        <f>1.193+0.877+0.95+1.484+0.58+0.58+1.193</f>
        <v>6.8570000000000011</v>
      </c>
      <c r="P17" s="32">
        <f>O17*15</f>
        <v>102.85500000000002</v>
      </c>
      <c r="Q17" s="102">
        <v>40</v>
      </c>
      <c r="R17" s="26"/>
      <c r="S17" s="17" t="s">
        <v>415</v>
      </c>
      <c r="T17" s="105">
        <v>1</v>
      </c>
      <c r="U17" s="17"/>
      <c r="V17" s="4"/>
    </row>
    <row r="18" spans="1:22" s="3" customFormat="1" ht="18" customHeight="1" x14ac:dyDescent="0.25">
      <c r="A18" s="9">
        <v>15</v>
      </c>
      <c r="B18" s="88">
        <v>1</v>
      </c>
      <c r="C18" s="88"/>
      <c r="D18" s="30">
        <v>42296</v>
      </c>
      <c r="E18" s="29">
        <v>42300</v>
      </c>
      <c r="F18" s="8" t="s">
        <v>309</v>
      </c>
      <c r="G18" s="8" t="s">
        <v>307</v>
      </c>
      <c r="H18" s="22">
        <v>2</v>
      </c>
      <c r="I18" s="8">
        <v>100</v>
      </c>
      <c r="J18" s="13" t="s">
        <v>59</v>
      </c>
      <c r="K18" s="13" t="s">
        <v>60</v>
      </c>
      <c r="L18" s="13" t="s">
        <v>61</v>
      </c>
      <c r="M18" s="6"/>
      <c r="N18" s="7"/>
      <c r="O18" s="32">
        <f>0.93+2.204+1.145+1.443</f>
        <v>5.7219999999999995</v>
      </c>
      <c r="P18" s="32">
        <f>O18*15</f>
        <v>85.83</v>
      </c>
      <c r="Q18" s="102">
        <v>24</v>
      </c>
      <c r="R18" s="26"/>
      <c r="S18" s="17" t="s">
        <v>415</v>
      </c>
      <c r="T18" s="105">
        <v>1</v>
      </c>
      <c r="U18" s="16"/>
      <c r="V18" s="4"/>
    </row>
    <row r="19" spans="1:22" s="3" customFormat="1" ht="18" customHeight="1" x14ac:dyDescent="0.25">
      <c r="A19" s="9">
        <v>16</v>
      </c>
      <c r="B19" s="88">
        <v>2</v>
      </c>
      <c r="C19" s="88"/>
      <c r="D19" s="30">
        <v>42311</v>
      </c>
      <c r="E19" s="29">
        <v>42312</v>
      </c>
      <c r="F19" s="8" t="s">
        <v>307</v>
      </c>
      <c r="G19" s="8" t="s">
        <v>317</v>
      </c>
      <c r="H19" s="22">
        <v>2</v>
      </c>
      <c r="I19" s="8">
        <v>200</v>
      </c>
      <c r="J19" s="13" t="s">
        <v>62</v>
      </c>
      <c r="K19" s="13" t="s">
        <v>63</v>
      </c>
      <c r="L19" s="13" t="s">
        <v>64</v>
      </c>
      <c r="M19" s="6"/>
      <c r="N19" s="7"/>
      <c r="O19" s="32">
        <f>3.47+1.07</f>
        <v>4.54</v>
      </c>
      <c r="P19" s="32">
        <f>O19*33</f>
        <v>149.82</v>
      </c>
      <c r="Q19" s="102">
        <v>28</v>
      </c>
      <c r="R19" s="26"/>
      <c r="S19" s="17" t="s">
        <v>415</v>
      </c>
      <c r="T19" s="105">
        <v>1</v>
      </c>
      <c r="U19" s="17"/>
      <c r="V19" s="4"/>
    </row>
    <row r="20" spans="1:22" s="3" customFormat="1" ht="18" customHeight="1" x14ac:dyDescent="0.25">
      <c r="A20" s="9">
        <v>17</v>
      </c>
      <c r="B20" s="88">
        <v>2</v>
      </c>
      <c r="C20" s="88"/>
      <c r="D20" s="30">
        <v>42313</v>
      </c>
      <c r="E20" s="29">
        <v>42318</v>
      </c>
      <c r="F20" s="8" t="s">
        <v>330</v>
      </c>
      <c r="G20" s="8" t="s">
        <v>317</v>
      </c>
      <c r="H20" s="22">
        <v>2</v>
      </c>
      <c r="I20" s="8">
        <v>150</v>
      </c>
      <c r="J20" s="10" t="s">
        <v>65</v>
      </c>
      <c r="K20" s="13" t="s">
        <v>66</v>
      </c>
      <c r="L20" s="13" t="s">
        <v>67</v>
      </c>
      <c r="M20" s="6"/>
      <c r="N20" s="7"/>
      <c r="O20" s="32">
        <f>1.17+10.7+1.1+1.22+1.22+0.424+0.424+1.193+1.193</f>
        <v>18.644000000000002</v>
      </c>
      <c r="P20" s="32">
        <f>O20*23</f>
        <v>428.81200000000007</v>
      </c>
      <c r="Q20" s="102">
        <v>66</v>
      </c>
      <c r="R20" s="26"/>
      <c r="S20" s="17" t="s">
        <v>415</v>
      </c>
      <c r="T20" s="105">
        <v>1</v>
      </c>
      <c r="U20" s="17"/>
      <c r="V20" s="4"/>
    </row>
    <row r="21" spans="1:22" s="3" customFormat="1" ht="18" customHeight="1" x14ac:dyDescent="0.25">
      <c r="A21" s="9">
        <v>18</v>
      </c>
      <c r="B21" s="88">
        <v>2</v>
      </c>
      <c r="C21" s="88"/>
      <c r="D21" s="30">
        <v>42311</v>
      </c>
      <c r="E21" s="29">
        <v>42312</v>
      </c>
      <c r="F21" s="8" t="s">
        <v>317</v>
      </c>
      <c r="G21" s="8" t="s">
        <v>319</v>
      </c>
      <c r="H21" s="22">
        <v>2</v>
      </c>
      <c r="I21" s="8">
        <v>200</v>
      </c>
      <c r="J21" s="13" t="s">
        <v>68</v>
      </c>
      <c r="K21" s="13" t="s">
        <v>315</v>
      </c>
      <c r="L21" s="13" t="s">
        <v>69</v>
      </c>
      <c r="M21" s="6"/>
      <c r="N21" s="7"/>
      <c r="O21" s="32">
        <f>4.02</f>
        <v>4.0199999999999996</v>
      </c>
      <c r="P21" s="32">
        <f>O21*33</f>
        <v>132.66</v>
      </c>
      <c r="Q21" s="102">
        <v>16</v>
      </c>
      <c r="R21" s="26"/>
      <c r="S21" s="17" t="s">
        <v>415</v>
      </c>
      <c r="T21" s="105">
        <v>1</v>
      </c>
      <c r="U21" s="17"/>
      <c r="V21" s="4"/>
    </row>
    <row r="22" spans="1:22" s="3" customFormat="1" ht="18" customHeight="1" x14ac:dyDescent="0.25">
      <c r="A22" s="9">
        <v>19</v>
      </c>
      <c r="B22" s="88">
        <v>2</v>
      </c>
      <c r="C22" s="88"/>
      <c r="D22" s="30">
        <v>42311</v>
      </c>
      <c r="E22" s="29">
        <v>42312</v>
      </c>
      <c r="F22" s="8" t="s">
        <v>320</v>
      </c>
      <c r="G22" s="8" t="s">
        <v>321</v>
      </c>
      <c r="H22" s="22">
        <v>2</v>
      </c>
      <c r="I22" s="8">
        <v>200</v>
      </c>
      <c r="J22" s="13" t="s">
        <v>70</v>
      </c>
      <c r="K22" s="13" t="s">
        <v>71</v>
      </c>
      <c r="L22" s="13" t="s">
        <v>72</v>
      </c>
      <c r="M22" s="6"/>
      <c r="N22" s="7"/>
      <c r="O22" s="32">
        <f>6.757+1.2</f>
        <v>7.9569999999999999</v>
      </c>
      <c r="P22" s="32">
        <f>O22*33</f>
        <v>262.58100000000002</v>
      </c>
      <c r="Q22" s="102">
        <v>28</v>
      </c>
      <c r="R22" s="26"/>
      <c r="S22" s="17" t="s">
        <v>415</v>
      </c>
      <c r="T22" s="105">
        <v>1</v>
      </c>
      <c r="U22" s="17"/>
      <c r="V22" s="4"/>
    </row>
    <row r="23" spans="1:22" s="3" customFormat="1" ht="18" customHeight="1" x14ac:dyDescent="0.25">
      <c r="A23" s="9">
        <v>20</v>
      </c>
      <c r="B23" s="88">
        <v>2</v>
      </c>
      <c r="C23" s="88"/>
      <c r="D23" s="30">
        <v>42312</v>
      </c>
      <c r="E23" s="29">
        <v>42312</v>
      </c>
      <c r="F23" s="8" t="s">
        <v>319</v>
      </c>
      <c r="G23" s="10" t="s">
        <v>322</v>
      </c>
      <c r="H23" s="22">
        <v>2</v>
      </c>
      <c r="I23" s="8">
        <v>250</v>
      </c>
      <c r="J23" s="10" t="s">
        <v>73</v>
      </c>
      <c r="K23" s="13" t="s">
        <v>74</v>
      </c>
      <c r="L23" s="13" t="s">
        <v>75</v>
      </c>
      <c r="M23" s="6"/>
      <c r="N23" s="7"/>
      <c r="O23" s="32">
        <f>13.43+1.189</f>
        <v>14.619</v>
      </c>
      <c r="P23" s="32">
        <f>O23*40</f>
        <v>584.76</v>
      </c>
      <c r="Q23" s="102">
        <v>35</v>
      </c>
      <c r="R23" s="26"/>
      <c r="S23" s="17" t="s">
        <v>415</v>
      </c>
      <c r="T23" s="105">
        <v>1</v>
      </c>
      <c r="U23" s="17"/>
      <c r="V23" s="4"/>
    </row>
    <row r="24" spans="1:22" s="3" customFormat="1" ht="18" customHeight="1" x14ac:dyDescent="0.25">
      <c r="A24" s="9">
        <v>21</v>
      </c>
      <c r="B24" s="88" t="s">
        <v>325</v>
      </c>
      <c r="C24" s="88"/>
      <c r="D24" s="30">
        <v>42328</v>
      </c>
      <c r="E24" s="29">
        <v>42335</v>
      </c>
      <c r="F24" s="8" t="s">
        <v>355</v>
      </c>
      <c r="G24" s="8" t="s">
        <v>331</v>
      </c>
      <c r="H24" s="22">
        <v>3</v>
      </c>
      <c r="I24" s="8">
        <v>200</v>
      </c>
      <c r="J24" s="13" t="s">
        <v>76</v>
      </c>
      <c r="K24" s="13" t="s">
        <v>77</v>
      </c>
      <c r="L24" s="13" t="s">
        <v>78</v>
      </c>
      <c r="M24" s="6"/>
      <c r="N24" s="7"/>
      <c r="O24" s="32">
        <f>6.5+1.6</f>
        <v>8.1</v>
      </c>
      <c r="P24" s="32">
        <f>O24*33</f>
        <v>267.3</v>
      </c>
      <c r="Q24" s="102">
        <v>28</v>
      </c>
      <c r="R24" s="26"/>
      <c r="S24" s="17" t="s">
        <v>415</v>
      </c>
      <c r="T24" s="105">
        <v>1</v>
      </c>
      <c r="U24" s="17"/>
      <c r="V24" s="4" t="s">
        <v>17</v>
      </c>
    </row>
    <row r="25" spans="1:22" s="3" customFormat="1" ht="18" customHeight="1" x14ac:dyDescent="0.25">
      <c r="A25" s="9">
        <v>22</v>
      </c>
      <c r="B25" s="88" t="s">
        <v>323</v>
      </c>
      <c r="C25" s="88"/>
      <c r="D25" s="30">
        <v>42317</v>
      </c>
      <c r="E25" s="29">
        <v>42318</v>
      </c>
      <c r="F25" s="8" t="s">
        <v>331</v>
      </c>
      <c r="G25" s="8" t="s">
        <v>319</v>
      </c>
      <c r="H25" s="23" t="s">
        <v>332</v>
      </c>
      <c r="I25" s="8">
        <v>250</v>
      </c>
      <c r="J25" s="13" t="s">
        <v>79</v>
      </c>
      <c r="K25" s="13" t="s">
        <v>315</v>
      </c>
      <c r="L25" s="13" t="s">
        <v>80</v>
      </c>
      <c r="M25" s="6"/>
      <c r="N25" s="7"/>
      <c r="O25" s="32">
        <v>3.88</v>
      </c>
      <c r="P25" s="32">
        <f>O25*40</f>
        <v>155.19999999999999</v>
      </c>
      <c r="Q25" s="102">
        <v>20</v>
      </c>
      <c r="R25" s="26"/>
      <c r="S25" s="17" t="s">
        <v>415</v>
      </c>
      <c r="T25" s="105">
        <v>1</v>
      </c>
      <c r="U25" s="16"/>
      <c r="V25" s="4" t="s">
        <v>16</v>
      </c>
    </row>
    <row r="26" spans="1:22" s="3" customFormat="1" ht="18" customHeight="1" x14ac:dyDescent="0.25">
      <c r="A26" s="9">
        <v>23</v>
      </c>
      <c r="B26" s="88" t="s">
        <v>323</v>
      </c>
      <c r="C26" s="88"/>
      <c r="D26" s="30">
        <v>42317</v>
      </c>
      <c r="E26" s="29">
        <v>42318</v>
      </c>
      <c r="F26" s="8" t="s">
        <v>333</v>
      </c>
      <c r="G26" s="8" t="s">
        <v>322</v>
      </c>
      <c r="H26" s="22">
        <v>2</v>
      </c>
      <c r="I26" s="8">
        <v>250</v>
      </c>
      <c r="J26" s="10" t="s">
        <v>81</v>
      </c>
      <c r="K26" s="13" t="s">
        <v>82</v>
      </c>
      <c r="L26" s="13" t="s">
        <v>83</v>
      </c>
      <c r="M26" s="6"/>
      <c r="N26" s="7"/>
      <c r="O26" s="32">
        <f>4.69+1.97</f>
        <v>6.66</v>
      </c>
      <c r="P26" s="32">
        <f>O26*40</f>
        <v>266.39999999999998</v>
      </c>
      <c r="Q26" s="102">
        <v>35</v>
      </c>
      <c r="R26" s="26"/>
      <c r="S26" s="17" t="s">
        <v>415</v>
      </c>
      <c r="T26" s="105">
        <v>1</v>
      </c>
      <c r="U26" s="17"/>
      <c r="V26" s="4"/>
    </row>
    <row r="27" spans="1:22" s="3" customFormat="1" ht="18" customHeight="1" x14ac:dyDescent="0.25">
      <c r="A27" s="9">
        <v>24</v>
      </c>
      <c r="B27" s="88" t="s">
        <v>323</v>
      </c>
      <c r="C27" s="88"/>
      <c r="D27" s="30">
        <v>42317</v>
      </c>
      <c r="E27" s="29">
        <v>42318</v>
      </c>
      <c r="F27" s="8" t="s">
        <v>334</v>
      </c>
      <c r="G27" s="8" t="s">
        <v>331</v>
      </c>
      <c r="H27" s="22">
        <v>3</v>
      </c>
      <c r="I27" s="8">
        <v>150</v>
      </c>
      <c r="J27" s="13" t="s">
        <v>84</v>
      </c>
      <c r="K27" s="13" t="s">
        <v>85</v>
      </c>
      <c r="L27" s="13" t="s">
        <v>86</v>
      </c>
      <c r="M27" s="6"/>
      <c r="N27" s="7"/>
      <c r="O27" s="32">
        <f>0.434+0.774+3.34+2.3+3.78+1.15+0.39+1.25+1.697+1.104+1.193*5+1.624*2+2.005+0.792</f>
        <v>28.229000000000003</v>
      </c>
      <c r="P27" s="32">
        <f>O27*23</f>
        <v>649.26700000000005</v>
      </c>
      <c r="Q27" s="102">
        <v>108</v>
      </c>
      <c r="R27" s="26"/>
      <c r="S27" s="17" t="s">
        <v>415</v>
      </c>
      <c r="T27" s="105">
        <v>1</v>
      </c>
      <c r="U27" s="17"/>
      <c r="V27" s="4" t="s">
        <v>15</v>
      </c>
    </row>
    <row r="28" spans="1:22" s="3" customFormat="1" ht="18" customHeight="1" x14ac:dyDescent="0.25">
      <c r="A28" s="9">
        <v>25</v>
      </c>
      <c r="B28" s="88" t="s">
        <v>323</v>
      </c>
      <c r="C28" s="88"/>
      <c r="D28" s="30">
        <v>42318</v>
      </c>
      <c r="E28" s="29">
        <v>42327</v>
      </c>
      <c r="F28" s="8" t="s">
        <v>337</v>
      </c>
      <c r="G28" s="8" t="s">
        <v>331</v>
      </c>
      <c r="H28" s="22">
        <v>3</v>
      </c>
      <c r="I28" s="8">
        <v>200</v>
      </c>
      <c r="J28" s="13" t="s">
        <v>87</v>
      </c>
      <c r="K28" s="13" t="s">
        <v>88</v>
      </c>
      <c r="L28" s="13" t="s">
        <v>89</v>
      </c>
      <c r="M28" s="6"/>
      <c r="N28" s="7"/>
      <c r="O28" s="32">
        <f>4.627+1.97</f>
        <v>6.5969999999999995</v>
      </c>
      <c r="P28" s="32">
        <f>O28*33</f>
        <v>217.70099999999999</v>
      </c>
      <c r="Q28" s="102">
        <v>28</v>
      </c>
      <c r="R28" s="26"/>
      <c r="S28" s="17" t="s">
        <v>415</v>
      </c>
      <c r="T28" s="105">
        <v>1</v>
      </c>
      <c r="U28" s="17"/>
      <c r="V28" s="4" t="s">
        <v>14</v>
      </c>
    </row>
    <row r="29" spans="1:22" s="3" customFormat="1" ht="18" customHeight="1" x14ac:dyDescent="0.25">
      <c r="A29" s="9">
        <v>26</v>
      </c>
      <c r="B29" s="88" t="s">
        <v>323</v>
      </c>
      <c r="C29" s="88"/>
      <c r="D29" s="30">
        <v>42324</v>
      </c>
      <c r="E29" s="29">
        <v>42327</v>
      </c>
      <c r="F29" s="8" t="s">
        <v>338</v>
      </c>
      <c r="G29" s="8" t="s">
        <v>331</v>
      </c>
      <c r="H29" s="23" t="s">
        <v>332</v>
      </c>
      <c r="I29" s="8">
        <v>100</v>
      </c>
      <c r="J29" s="10" t="s">
        <v>90</v>
      </c>
      <c r="K29" s="13" t="s">
        <v>91</v>
      </c>
      <c r="L29" s="13" t="s">
        <v>92</v>
      </c>
      <c r="M29" s="6"/>
      <c r="N29" s="7"/>
      <c r="O29" s="32">
        <f>0.21+2.381+1.2</f>
        <v>3.7909999999999995</v>
      </c>
      <c r="P29" s="32">
        <f>O29*15</f>
        <v>56.864999999999995</v>
      </c>
      <c r="Q29" s="102">
        <v>20</v>
      </c>
      <c r="R29" s="26"/>
      <c r="S29" s="17" t="s">
        <v>415</v>
      </c>
      <c r="T29" s="105">
        <v>1</v>
      </c>
      <c r="U29" s="17"/>
      <c r="V29" s="4" t="s">
        <v>13</v>
      </c>
    </row>
    <row r="30" spans="1:22" s="3" customFormat="1" ht="18" customHeight="1" x14ac:dyDescent="0.25">
      <c r="A30" s="9">
        <v>27</v>
      </c>
      <c r="B30" s="88" t="s">
        <v>323</v>
      </c>
      <c r="C30" s="88"/>
      <c r="D30" s="30">
        <v>42325</v>
      </c>
      <c r="E30" s="29">
        <v>42327</v>
      </c>
      <c r="F30" s="8" t="s">
        <v>339</v>
      </c>
      <c r="G30" s="8" t="s">
        <v>335</v>
      </c>
      <c r="H30" s="22">
        <v>2</v>
      </c>
      <c r="I30" s="8">
        <v>100</v>
      </c>
      <c r="J30" s="13" t="s">
        <v>93</v>
      </c>
      <c r="K30" s="13" t="s">
        <v>94</v>
      </c>
      <c r="L30" s="13" t="s">
        <v>95</v>
      </c>
      <c r="M30" s="6"/>
      <c r="N30" s="7"/>
      <c r="O30" s="32">
        <f>0.21+2.381+1.2</f>
        <v>3.7909999999999995</v>
      </c>
      <c r="P30" s="32">
        <f>O30*15</f>
        <v>56.864999999999995</v>
      </c>
      <c r="Q30" s="102">
        <v>16</v>
      </c>
      <c r="R30" s="26"/>
      <c r="S30" s="17" t="s">
        <v>415</v>
      </c>
      <c r="T30" s="105">
        <v>1</v>
      </c>
      <c r="U30" s="17"/>
      <c r="V30" s="4"/>
    </row>
    <row r="31" spans="1:22" s="3" customFormat="1" ht="18" customHeight="1" x14ac:dyDescent="0.25">
      <c r="A31" s="9">
        <v>28</v>
      </c>
      <c r="B31" s="88" t="s">
        <v>325</v>
      </c>
      <c r="C31" s="88"/>
      <c r="D31" s="30">
        <v>42328</v>
      </c>
      <c r="E31" s="29">
        <v>42335</v>
      </c>
      <c r="F31" s="8" t="s">
        <v>356</v>
      </c>
      <c r="G31" s="10" t="s">
        <v>335</v>
      </c>
      <c r="H31" s="22">
        <v>2</v>
      </c>
      <c r="I31" s="8">
        <v>100</v>
      </c>
      <c r="J31" s="13" t="s">
        <v>96</v>
      </c>
      <c r="K31" s="13" t="s">
        <v>97</v>
      </c>
      <c r="L31" s="13" t="s">
        <v>98</v>
      </c>
      <c r="M31" s="6"/>
      <c r="N31" s="7"/>
      <c r="O31" s="32">
        <f>0.2+1.2+1.5</f>
        <v>2.9</v>
      </c>
      <c r="P31" s="32">
        <f>O31*15</f>
        <v>43.5</v>
      </c>
      <c r="Q31" s="102">
        <f>4*5</f>
        <v>20</v>
      </c>
      <c r="R31" s="26"/>
      <c r="S31" s="17" t="s">
        <v>415</v>
      </c>
      <c r="T31" s="105">
        <v>1</v>
      </c>
      <c r="U31" s="16"/>
      <c r="V31" s="4"/>
    </row>
    <row r="32" spans="1:22" s="3" customFormat="1" ht="18" customHeight="1" x14ac:dyDescent="0.25">
      <c r="A32" s="9">
        <v>29</v>
      </c>
      <c r="B32" s="88" t="s">
        <v>323</v>
      </c>
      <c r="C32" s="88"/>
      <c r="D32" s="30">
        <v>42317</v>
      </c>
      <c r="E32" s="29">
        <v>42318</v>
      </c>
      <c r="F32" s="8" t="s">
        <v>335</v>
      </c>
      <c r="G32" s="10" t="s">
        <v>322</v>
      </c>
      <c r="H32" s="22">
        <v>2</v>
      </c>
      <c r="I32" s="8">
        <v>200</v>
      </c>
      <c r="J32" s="10" t="s">
        <v>99</v>
      </c>
      <c r="K32" s="13" t="s">
        <v>100</v>
      </c>
      <c r="L32" s="13" t="s">
        <v>101</v>
      </c>
      <c r="M32" s="6"/>
      <c r="N32" s="7"/>
      <c r="O32" s="32">
        <f>9.62+0.21</f>
        <v>9.83</v>
      </c>
      <c r="P32" s="32">
        <f>O32*33</f>
        <v>324.39</v>
      </c>
      <c r="Q32" s="102">
        <v>28</v>
      </c>
      <c r="R32" s="26"/>
      <c r="S32" s="17" t="s">
        <v>415</v>
      </c>
      <c r="T32" s="105">
        <v>1</v>
      </c>
      <c r="U32" s="16"/>
      <c r="V32" s="4"/>
    </row>
    <row r="33" spans="1:22" s="3" customFormat="1" ht="18" customHeight="1" x14ac:dyDescent="0.25">
      <c r="A33" s="9">
        <v>30</v>
      </c>
      <c r="B33" s="88" t="s">
        <v>325</v>
      </c>
      <c r="C33" s="88"/>
      <c r="D33" s="30">
        <v>42331</v>
      </c>
      <c r="E33" s="29">
        <v>42335</v>
      </c>
      <c r="F33" s="8" t="s">
        <v>357</v>
      </c>
      <c r="G33" s="10" t="s">
        <v>322</v>
      </c>
      <c r="H33" s="22">
        <v>2</v>
      </c>
      <c r="I33" s="8">
        <v>100</v>
      </c>
      <c r="J33" s="13" t="s">
        <v>102</v>
      </c>
      <c r="K33" s="13" t="s">
        <v>103</v>
      </c>
      <c r="L33" s="13" t="s">
        <v>104</v>
      </c>
      <c r="M33" s="6"/>
      <c r="N33" s="7"/>
      <c r="O33" s="32">
        <f>0.7+2.5+1.5</f>
        <v>4.7</v>
      </c>
      <c r="P33" s="32">
        <f>O33*15</f>
        <v>70.5</v>
      </c>
      <c r="Q33" s="102">
        <v>20</v>
      </c>
      <c r="R33" s="26"/>
      <c r="S33" s="17" t="s">
        <v>415</v>
      </c>
      <c r="T33" s="105">
        <v>1</v>
      </c>
      <c r="U33" s="17"/>
      <c r="V33" s="4"/>
    </row>
    <row r="34" spans="1:22" s="3" customFormat="1" ht="18" customHeight="1" x14ac:dyDescent="0.25">
      <c r="A34" s="9">
        <v>31</v>
      </c>
      <c r="B34" s="88" t="s">
        <v>323</v>
      </c>
      <c r="C34" s="88"/>
      <c r="D34" s="30">
        <v>42321</v>
      </c>
      <c r="E34" s="29">
        <v>42327</v>
      </c>
      <c r="F34" s="8" t="s">
        <v>340</v>
      </c>
      <c r="G34" s="10" t="s">
        <v>336</v>
      </c>
      <c r="H34" s="22">
        <v>2</v>
      </c>
      <c r="I34" s="8">
        <v>200</v>
      </c>
      <c r="J34" s="13" t="s">
        <v>105</v>
      </c>
      <c r="K34" s="13" t="s">
        <v>106</v>
      </c>
      <c r="L34" s="13" t="s">
        <v>107</v>
      </c>
      <c r="M34" s="6"/>
      <c r="N34" s="7"/>
      <c r="O34" s="32">
        <f>1.747+1.5</f>
        <v>3.2469999999999999</v>
      </c>
      <c r="P34" s="32">
        <f>O34*33</f>
        <v>107.151</v>
      </c>
      <c r="Q34" s="102">
        <v>28</v>
      </c>
      <c r="R34" s="26"/>
      <c r="S34" s="17" t="s">
        <v>415</v>
      </c>
      <c r="T34" s="105">
        <v>1</v>
      </c>
      <c r="U34" s="16"/>
      <c r="V34" s="4"/>
    </row>
    <row r="35" spans="1:22" s="3" customFormat="1" ht="18" customHeight="1" x14ac:dyDescent="0.25">
      <c r="A35" s="9">
        <v>32</v>
      </c>
      <c r="B35" s="88" t="s">
        <v>325</v>
      </c>
      <c r="C35" s="88"/>
      <c r="D35" s="30">
        <v>42328</v>
      </c>
      <c r="E35" s="29">
        <v>42335</v>
      </c>
      <c r="F35" s="10" t="s">
        <v>358</v>
      </c>
      <c r="G35" s="8" t="s">
        <v>331</v>
      </c>
      <c r="H35" s="22">
        <v>3</v>
      </c>
      <c r="I35" s="8">
        <v>200</v>
      </c>
      <c r="J35" s="10" t="s">
        <v>108</v>
      </c>
      <c r="K35" s="13" t="s">
        <v>109</v>
      </c>
      <c r="L35" s="13" t="s">
        <v>110</v>
      </c>
      <c r="M35" s="6"/>
      <c r="N35" s="7"/>
      <c r="O35" s="32">
        <f>21.5+1.2</f>
        <v>22.7</v>
      </c>
      <c r="P35" s="32">
        <f>O35*33</f>
        <v>749.1</v>
      </c>
      <c r="Q35" s="102">
        <v>42</v>
      </c>
      <c r="R35" s="26"/>
      <c r="S35" s="17" t="s">
        <v>415</v>
      </c>
      <c r="T35" s="105">
        <v>1</v>
      </c>
      <c r="U35" s="17"/>
      <c r="V35" s="4" t="s">
        <v>12</v>
      </c>
    </row>
    <row r="36" spans="1:22" s="3" customFormat="1" ht="18" customHeight="1" x14ac:dyDescent="0.25">
      <c r="A36" s="9">
        <v>33</v>
      </c>
      <c r="B36" s="88" t="s">
        <v>324</v>
      </c>
      <c r="C36" s="88"/>
      <c r="D36" s="30">
        <v>42324</v>
      </c>
      <c r="E36" s="29">
        <v>42327</v>
      </c>
      <c r="F36" s="8" t="s">
        <v>341</v>
      </c>
      <c r="G36" s="8" t="s">
        <v>307</v>
      </c>
      <c r="H36" s="22">
        <v>2</v>
      </c>
      <c r="I36" s="8">
        <v>100</v>
      </c>
      <c r="J36" s="13" t="s">
        <v>111</v>
      </c>
      <c r="K36" s="13" t="s">
        <v>112</v>
      </c>
      <c r="L36" s="13" t="s">
        <v>113</v>
      </c>
      <c r="M36" s="6"/>
      <c r="N36" s="6"/>
      <c r="O36" s="32">
        <f>0.55+1.926+3.68</f>
        <v>6.1560000000000006</v>
      </c>
      <c r="P36" s="32">
        <f>O36*15</f>
        <v>92.34</v>
      </c>
      <c r="Q36" s="102">
        <f>4*3</f>
        <v>12</v>
      </c>
      <c r="R36" s="26"/>
      <c r="S36" s="17" t="s">
        <v>415</v>
      </c>
      <c r="T36" s="105">
        <v>1</v>
      </c>
      <c r="U36" s="16"/>
      <c r="V36" s="4"/>
    </row>
    <row r="37" spans="1:22" s="3" customFormat="1" ht="18" customHeight="1" x14ac:dyDescent="0.25">
      <c r="A37" s="9">
        <v>34</v>
      </c>
      <c r="B37" s="88" t="s">
        <v>324</v>
      </c>
      <c r="C37" s="88"/>
      <c r="D37" s="30">
        <v>42325</v>
      </c>
      <c r="E37" s="29">
        <v>42327</v>
      </c>
      <c r="F37" s="8" t="s">
        <v>341</v>
      </c>
      <c r="G37" s="8" t="s">
        <v>317</v>
      </c>
      <c r="H37" s="22">
        <v>2</v>
      </c>
      <c r="I37" s="8">
        <v>100</v>
      </c>
      <c r="J37" s="13" t="s">
        <v>114</v>
      </c>
      <c r="K37" s="13" t="s">
        <v>115</v>
      </c>
      <c r="L37" s="13" t="s">
        <v>116</v>
      </c>
      <c r="M37" s="6"/>
      <c r="N37" s="6"/>
      <c r="O37" s="32">
        <f>0.55+0.247+3.446+1.097+4.033+1.791</f>
        <v>11.164000000000001</v>
      </c>
      <c r="P37" s="32">
        <f>O37*15</f>
        <v>167.46000000000004</v>
      </c>
      <c r="Q37" s="102">
        <f>4*7.5</f>
        <v>30</v>
      </c>
      <c r="R37" s="26"/>
      <c r="S37" s="17" t="s">
        <v>415</v>
      </c>
      <c r="T37" s="105">
        <v>1</v>
      </c>
      <c r="U37" s="16"/>
      <c r="V37" s="4"/>
    </row>
    <row r="38" spans="1:22" s="3" customFormat="1" ht="18" customHeight="1" x14ac:dyDescent="0.25">
      <c r="A38" s="9">
        <v>35</v>
      </c>
      <c r="B38" s="88" t="s">
        <v>325</v>
      </c>
      <c r="C38" s="88"/>
      <c r="D38" s="30">
        <v>42296</v>
      </c>
      <c r="E38" s="29">
        <v>42335</v>
      </c>
      <c r="F38" s="8" t="s">
        <v>341</v>
      </c>
      <c r="G38" s="8" t="s">
        <v>314</v>
      </c>
      <c r="H38" s="22">
        <v>2</v>
      </c>
      <c r="I38" s="8">
        <v>100</v>
      </c>
      <c r="J38" s="10" t="s">
        <v>117</v>
      </c>
      <c r="K38" s="13" t="s">
        <v>118</v>
      </c>
      <c r="L38" s="13" t="s">
        <v>119</v>
      </c>
      <c r="M38" s="6"/>
      <c r="N38" s="7"/>
      <c r="O38" s="32">
        <f>0.6+0.5+6.6+8.1+1.8</f>
        <v>17.599999999999998</v>
      </c>
      <c r="P38" s="32">
        <f>O38*15</f>
        <v>263.99999999999994</v>
      </c>
      <c r="Q38" s="102">
        <f>4*6</f>
        <v>24</v>
      </c>
      <c r="R38" s="26"/>
      <c r="S38" s="17" t="s">
        <v>415</v>
      </c>
      <c r="T38" s="105">
        <v>1</v>
      </c>
      <c r="U38" s="16"/>
      <c r="V38" s="4" t="s">
        <v>11</v>
      </c>
    </row>
    <row r="39" spans="1:22" s="3" customFormat="1" ht="18" customHeight="1" x14ac:dyDescent="0.25">
      <c r="A39" s="9">
        <v>36</v>
      </c>
      <c r="B39" s="88" t="s">
        <v>426</v>
      </c>
      <c r="C39" s="88"/>
      <c r="D39" s="31">
        <v>42347</v>
      </c>
      <c r="E39" s="29">
        <v>42348</v>
      </c>
      <c r="F39" s="8" t="s">
        <v>341</v>
      </c>
      <c r="G39" s="8" t="s">
        <v>331</v>
      </c>
      <c r="H39" s="23" t="s">
        <v>332</v>
      </c>
      <c r="I39" s="8">
        <v>100</v>
      </c>
      <c r="J39" s="13" t="s">
        <v>120</v>
      </c>
      <c r="K39" s="13" t="s">
        <v>121</v>
      </c>
      <c r="L39" s="13" t="s">
        <v>122</v>
      </c>
      <c r="M39" s="6"/>
      <c r="N39" s="7"/>
      <c r="O39" s="87">
        <f>0.6+7.1+8.9</f>
        <v>16.600000000000001</v>
      </c>
      <c r="P39" s="32">
        <f>O39*15</f>
        <v>249.00000000000003</v>
      </c>
      <c r="Q39" s="102">
        <f>4*3</f>
        <v>12</v>
      </c>
      <c r="R39" s="26"/>
      <c r="S39" s="17" t="s">
        <v>415</v>
      </c>
      <c r="T39" s="105">
        <v>1</v>
      </c>
      <c r="U39" s="16"/>
      <c r="V39" s="4" t="s">
        <v>10</v>
      </c>
    </row>
    <row r="40" spans="1:22" s="3" customFormat="1" ht="18" customHeight="1" x14ac:dyDescent="0.25">
      <c r="A40" s="9">
        <v>37</v>
      </c>
      <c r="B40" s="88" t="s">
        <v>323</v>
      </c>
      <c r="C40" s="88"/>
      <c r="D40" s="30">
        <v>42321</v>
      </c>
      <c r="E40" s="29">
        <v>42327</v>
      </c>
      <c r="F40" s="8" t="s">
        <v>342</v>
      </c>
      <c r="G40" s="8" t="s">
        <v>335</v>
      </c>
      <c r="H40" s="22">
        <v>2</v>
      </c>
      <c r="I40" s="8">
        <v>200</v>
      </c>
      <c r="J40" s="13" t="s">
        <v>123</v>
      </c>
      <c r="K40" s="13" t="s">
        <v>124</v>
      </c>
      <c r="L40" s="13" t="s">
        <v>125</v>
      </c>
      <c r="M40" s="6"/>
      <c r="N40" s="7"/>
      <c r="O40" s="32">
        <f>0.2+0.232+1.36+0.745+0.7</f>
        <v>3.2370000000000001</v>
      </c>
      <c r="P40" s="32">
        <f>O40*33</f>
        <v>106.821</v>
      </c>
      <c r="Q40" s="102">
        <f>8*6.5</f>
        <v>52</v>
      </c>
      <c r="R40" s="26"/>
      <c r="S40" s="17" t="s">
        <v>415</v>
      </c>
      <c r="T40" s="105">
        <v>1</v>
      </c>
      <c r="U40" s="17"/>
      <c r="V40" s="4"/>
    </row>
    <row r="41" spans="1:22" s="3" customFormat="1" ht="18" customHeight="1" x14ac:dyDescent="0.25">
      <c r="A41" s="9">
        <v>38</v>
      </c>
      <c r="B41" s="88" t="s">
        <v>323</v>
      </c>
      <c r="C41" s="88"/>
      <c r="D41" s="30">
        <v>42318</v>
      </c>
      <c r="E41" s="29">
        <v>42327</v>
      </c>
      <c r="F41" s="8" t="s">
        <v>343</v>
      </c>
      <c r="G41" s="10" t="s">
        <v>344</v>
      </c>
      <c r="H41" s="23" t="s">
        <v>332</v>
      </c>
      <c r="I41" s="8">
        <v>250</v>
      </c>
      <c r="J41" s="10" t="s">
        <v>126</v>
      </c>
      <c r="K41" s="13" t="s">
        <v>315</v>
      </c>
      <c r="L41" s="13" t="s">
        <v>127</v>
      </c>
      <c r="M41" s="6"/>
      <c r="N41" s="7"/>
      <c r="O41" s="32">
        <v>16.850000000000001</v>
      </c>
      <c r="P41" s="32">
        <f>O41*40</f>
        <v>674</v>
      </c>
      <c r="Q41" s="102">
        <v>30</v>
      </c>
      <c r="R41" s="26"/>
      <c r="S41" s="17" t="s">
        <v>415</v>
      </c>
      <c r="T41" s="105">
        <v>1</v>
      </c>
      <c r="U41" s="17"/>
      <c r="V41" s="4" t="s">
        <v>9</v>
      </c>
    </row>
    <row r="42" spans="1:22" s="3" customFormat="1" ht="18" customHeight="1" x14ac:dyDescent="0.25">
      <c r="A42" s="9">
        <v>39</v>
      </c>
      <c r="B42" s="88" t="s">
        <v>323</v>
      </c>
      <c r="C42" s="88"/>
      <c r="D42" s="30">
        <v>42318</v>
      </c>
      <c r="E42" s="29">
        <v>42327</v>
      </c>
      <c r="F42" s="8" t="s">
        <v>345</v>
      </c>
      <c r="G42" s="10" t="s">
        <v>346</v>
      </c>
      <c r="H42" s="22">
        <v>2</v>
      </c>
      <c r="I42" s="8">
        <v>250</v>
      </c>
      <c r="J42" s="13" t="s">
        <v>128</v>
      </c>
      <c r="K42" s="13" t="s">
        <v>315</v>
      </c>
      <c r="L42" s="13" t="s">
        <v>129</v>
      </c>
      <c r="M42" s="6"/>
      <c r="N42" s="7"/>
      <c r="O42" s="32">
        <v>10.656000000000001</v>
      </c>
      <c r="P42" s="32">
        <f>O42*40</f>
        <v>426.24</v>
      </c>
      <c r="Q42" s="102">
        <v>20</v>
      </c>
      <c r="R42" s="26"/>
      <c r="S42" s="17" t="s">
        <v>415</v>
      </c>
      <c r="T42" s="105">
        <v>1</v>
      </c>
      <c r="U42" s="16"/>
      <c r="V42" s="4"/>
    </row>
    <row r="43" spans="1:22" s="3" customFormat="1" ht="18" customHeight="1" x14ac:dyDescent="0.25">
      <c r="A43" s="9">
        <v>40</v>
      </c>
      <c r="B43" s="88" t="s">
        <v>325</v>
      </c>
      <c r="C43" s="88"/>
      <c r="D43" s="30">
        <v>42296</v>
      </c>
      <c r="E43" s="29">
        <v>42335</v>
      </c>
      <c r="F43" s="8" t="s">
        <v>425</v>
      </c>
      <c r="G43" s="10" t="s">
        <v>345</v>
      </c>
      <c r="H43" s="22">
        <v>2</v>
      </c>
      <c r="I43" s="8">
        <v>250</v>
      </c>
      <c r="J43" s="13" t="s">
        <v>130</v>
      </c>
      <c r="K43" s="13" t="s">
        <v>131</v>
      </c>
      <c r="L43" s="13" t="s">
        <v>132</v>
      </c>
      <c r="M43" s="6"/>
      <c r="N43" s="7"/>
      <c r="O43" s="32">
        <f>1.3+0.8</f>
        <v>2.1</v>
      </c>
      <c r="P43" s="32">
        <f>O43*40</f>
        <v>84</v>
      </c>
      <c r="Q43" s="102">
        <v>35</v>
      </c>
      <c r="R43" s="26"/>
      <c r="S43" s="17" t="s">
        <v>415</v>
      </c>
      <c r="T43" s="105">
        <v>1</v>
      </c>
      <c r="U43" s="16"/>
      <c r="V43" s="4"/>
    </row>
    <row r="44" spans="1:22" s="3" customFormat="1" ht="18" customHeight="1" x14ac:dyDescent="0.25">
      <c r="A44" s="9">
        <v>41</v>
      </c>
      <c r="B44" s="88" t="s">
        <v>323</v>
      </c>
      <c r="C44" s="88"/>
      <c r="D44" s="30">
        <v>42325</v>
      </c>
      <c r="E44" s="29">
        <v>42327</v>
      </c>
      <c r="F44" s="8" t="s">
        <v>350</v>
      </c>
      <c r="G44" s="10" t="s">
        <v>336</v>
      </c>
      <c r="H44" s="22">
        <v>2</v>
      </c>
      <c r="I44" s="8">
        <v>200</v>
      </c>
      <c r="J44" s="10" t="s">
        <v>133</v>
      </c>
      <c r="K44" s="13" t="s">
        <v>134</v>
      </c>
      <c r="L44" s="13" t="s">
        <v>135</v>
      </c>
      <c r="M44" s="6"/>
      <c r="N44" s="7"/>
      <c r="O44" s="32">
        <f>4.919+1.71</f>
        <v>6.6289999999999996</v>
      </c>
      <c r="P44" s="32">
        <f>O44*33</f>
        <v>218.75699999999998</v>
      </c>
      <c r="Q44" s="102">
        <f>8*3.5</f>
        <v>28</v>
      </c>
      <c r="R44" s="26"/>
      <c r="S44" s="17" t="s">
        <v>415</v>
      </c>
      <c r="T44" s="105">
        <v>1</v>
      </c>
      <c r="U44" s="16"/>
      <c r="V44" s="4"/>
    </row>
    <row r="45" spans="1:22" s="3" customFormat="1" ht="18" customHeight="1" x14ac:dyDescent="0.25">
      <c r="A45" s="9">
        <v>42</v>
      </c>
      <c r="B45" s="88" t="s">
        <v>323</v>
      </c>
      <c r="C45" s="88"/>
      <c r="D45" s="30">
        <v>42320</v>
      </c>
      <c r="E45" s="29">
        <v>42327</v>
      </c>
      <c r="F45" s="8" t="s">
        <v>322</v>
      </c>
      <c r="G45" s="8" t="s">
        <v>345</v>
      </c>
      <c r="H45" s="22">
        <v>2</v>
      </c>
      <c r="I45" s="8">
        <v>250</v>
      </c>
      <c r="J45" s="13" t="s">
        <v>136</v>
      </c>
      <c r="K45" s="13" t="s">
        <v>137</v>
      </c>
      <c r="L45" s="13" t="s">
        <v>138</v>
      </c>
      <c r="M45" s="6"/>
      <c r="N45" s="7"/>
      <c r="O45" s="32">
        <f>0.25+0.125+2.18</f>
        <v>2.5550000000000002</v>
      </c>
      <c r="P45" s="32">
        <f>O45*40</f>
        <v>102.2</v>
      </c>
      <c r="Q45" s="102">
        <v>35</v>
      </c>
      <c r="R45" s="26"/>
      <c r="S45" s="17" t="s">
        <v>415</v>
      </c>
      <c r="T45" s="105">
        <v>1</v>
      </c>
      <c r="U45" s="17"/>
      <c r="V45" s="4"/>
    </row>
    <row r="46" spans="1:22" s="3" customFormat="1" ht="18" customHeight="1" x14ac:dyDescent="0.25">
      <c r="A46" s="9">
        <v>42</v>
      </c>
      <c r="B46" s="90" t="s">
        <v>478</v>
      </c>
      <c r="C46" s="90"/>
      <c r="D46" s="82">
        <v>42396</v>
      </c>
      <c r="E46" s="29">
        <v>42425</v>
      </c>
      <c r="F46" s="8"/>
      <c r="G46" s="8"/>
      <c r="H46" s="22">
        <v>2</v>
      </c>
      <c r="I46" s="8"/>
      <c r="J46" s="13"/>
      <c r="K46" s="13"/>
      <c r="L46" s="13"/>
      <c r="M46" s="6"/>
      <c r="N46" s="7"/>
      <c r="O46" s="32"/>
      <c r="P46" s="32"/>
      <c r="Q46" s="102"/>
      <c r="R46" s="93"/>
      <c r="S46" s="17"/>
      <c r="T46" s="105">
        <v>1</v>
      </c>
      <c r="U46" s="17"/>
      <c r="V46" s="4"/>
    </row>
    <row r="47" spans="1:22" s="3" customFormat="1" ht="18" customHeight="1" x14ac:dyDescent="0.25">
      <c r="A47" s="9">
        <v>43</v>
      </c>
      <c r="B47" s="88" t="s">
        <v>435</v>
      </c>
      <c r="C47" s="88"/>
      <c r="D47" s="29">
        <v>42354</v>
      </c>
      <c r="E47" s="29">
        <v>42354</v>
      </c>
      <c r="F47" s="8" t="s">
        <v>341</v>
      </c>
      <c r="G47" s="8" t="s">
        <v>345</v>
      </c>
      <c r="H47" s="22">
        <v>2</v>
      </c>
      <c r="I47" s="8">
        <v>100</v>
      </c>
      <c r="J47" s="13" t="s">
        <v>139</v>
      </c>
      <c r="K47" s="13" t="s">
        <v>140</v>
      </c>
      <c r="L47" s="13" t="s">
        <v>141</v>
      </c>
      <c r="M47" s="6"/>
      <c r="N47" s="6"/>
      <c r="O47" s="32">
        <f>1.2+1.5+0.6</f>
        <v>3.3000000000000003</v>
      </c>
      <c r="P47" s="32">
        <f>O47*15</f>
        <v>49.500000000000007</v>
      </c>
      <c r="Q47" s="102">
        <v>12</v>
      </c>
      <c r="R47" s="26"/>
      <c r="S47" s="17" t="s">
        <v>415</v>
      </c>
      <c r="T47" s="105">
        <v>1</v>
      </c>
      <c r="U47" s="16"/>
      <c r="V47" s="4"/>
    </row>
    <row r="48" spans="1:22" s="3" customFormat="1" ht="18" customHeight="1" x14ac:dyDescent="0.25">
      <c r="A48" s="9">
        <v>44</v>
      </c>
      <c r="B48" s="88" t="s">
        <v>435</v>
      </c>
      <c r="C48" s="88"/>
      <c r="D48" s="29">
        <v>42354</v>
      </c>
      <c r="E48" s="29">
        <v>42354</v>
      </c>
      <c r="F48" s="8" t="s">
        <v>341</v>
      </c>
      <c r="G48" s="8" t="s">
        <v>345</v>
      </c>
      <c r="H48" s="22">
        <v>2</v>
      </c>
      <c r="I48" s="8">
        <v>100</v>
      </c>
      <c r="J48" s="10" t="s">
        <v>142</v>
      </c>
      <c r="K48" s="13" t="s">
        <v>143</v>
      </c>
      <c r="L48" s="13" t="s">
        <v>144</v>
      </c>
      <c r="M48" s="6"/>
      <c r="N48" s="6"/>
      <c r="O48" s="32">
        <f>1.9+0.5+0.6</f>
        <v>3</v>
      </c>
      <c r="P48" s="32">
        <f>O48*15</f>
        <v>45</v>
      </c>
      <c r="Q48" s="102">
        <v>12</v>
      </c>
      <c r="R48" s="26"/>
      <c r="S48" s="17" t="s">
        <v>415</v>
      </c>
      <c r="T48" s="105">
        <v>1</v>
      </c>
      <c r="U48" s="16"/>
      <c r="V48" s="4"/>
    </row>
    <row r="49" spans="1:22" s="3" customFormat="1" ht="18" customHeight="1" x14ac:dyDescent="0.25">
      <c r="A49" s="9">
        <v>45</v>
      </c>
      <c r="B49" s="88" t="s">
        <v>325</v>
      </c>
      <c r="C49" s="88"/>
      <c r="D49" s="31">
        <v>42347</v>
      </c>
      <c r="E49" s="29">
        <v>42348</v>
      </c>
      <c r="F49" s="8" t="s">
        <v>341</v>
      </c>
      <c r="G49" s="8" t="s">
        <v>335</v>
      </c>
      <c r="H49" s="22">
        <v>2</v>
      </c>
      <c r="I49" s="8">
        <v>100</v>
      </c>
      <c r="J49" s="13" t="s">
        <v>145</v>
      </c>
      <c r="K49" s="13" t="s">
        <v>146</v>
      </c>
      <c r="L49" s="13" t="s">
        <v>147</v>
      </c>
      <c r="M49" s="6"/>
      <c r="N49" s="6"/>
      <c r="O49" s="32">
        <f>1.5+3.4+9.1+0.6</f>
        <v>14.6</v>
      </c>
      <c r="P49" s="32">
        <f>O49*15</f>
        <v>219</v>
      </c>
      <c r="Q49" s="102">
        <v>18</v>
      </c>
      <c r="R49" s="26"/>
      <c r="S49" s="17" t="s">
        <v>415</v>
      </c>
      <c r="T49" s="105">
        <v>1</v>
      </c>
      <c r="U49" s="16"/>
      <c r="V49" s="4"/>
    </row>
    <row r="50" spans="1:22" s="3" customFormat="1" ht="18" customHeight="1" x14ac:dyDescent="0.25">
      <c r="A50" s="9">
        <v>46</v>
      </c>
      <c r="B50" s="88" t="s">
        <v>435</v>
      </c>
      <c r="C50" s="88"/>
      <c r="D50" s="31" t="s">
        <v>479</v>
      </c>
      <c r="E50" s="29">
        <v>42354</v>
      </c>
      <c r="F50" s="8" t="s">
        <v>341</v>
      </c>
      <c r="G50" s="8" t="s">
        <v>322</v>
      </c>
      <c r="H50" s="22">
        <v>2</v>
      </c>
      <c r="I50" s="8">
        <v>100</v>
      </c>
      <c r="J50" s="13" t="s">
        <v>148</v>
      </c>
      <c r="K50" s="13" t="s">
        <v>149</v>
      </c>
      <c r="L50" s="13" t="s">
        <v>150</v>
      </c>
      <c r="M50" s="6"/>
      <c r="N50" s="7"/>
      <c r="O50" s="32">
        <f>0.7+1.6+1.6+0.6</f>
        <v>4.5</v>
      </c>
      <c r="P50" s="32">
        <f>O50*15</f>
        <v>67.5</v>
      </c>
      <c r="Q50" s="102">
        <v>18</v>
      </c>
      <c r="R50" s="26"/>
      <c r="S50" s="17" t="s">
        <v>415</v>
      </c>
      <c r="T50" s="105">
        <v>1</v>
      </c>
      <c r="U50" s="16"/>
      <c r="V50" s="4"/>
    </row>
    <row r="51" spans="1:22" s="3" customFormat="1" ht="18" customHeight="1" x14ac:dyDescent="0.25">
      <c r="A51" s="9">
        <v>47</v>
      </c>
      <c r="B51" s="88" t="s">
        <v>435</v>
      </c>
      <c r="C51" s="88"/>
      <c r="D51" s="31">
        <v>42353</v>
      </c>
      <c r="E51" s="29">
        <v>42354</v>
      </c>
      <c r="F51" s="8" t="s">
        <v>341</v>
      </c>
      <c r="G51" s="8" t="s">
        <v>343</v>
      </c>
      <c r="H51" s="22" t="s">
        <v>372</v>
      </c>
      <c r="I51" s="8">
        <v>100</v>
      </c>
      <c r="J51" s="10" t="s">
        <v>151</v>
      </c>
      <c r="K51" s="13" t="s">
        <v>152</v>
      </c>
      <c r="L51" s="13" t="s">
        <v>153</v>
      </c>
      <c r="M51" s="6"/>
      <c r="N51" s="7"/>
      <c r="O51" s="32">
        <f>0.6+0.7+1.4+1.2</f>
        <v>3.8999999999999995</v>
      </c>
      <c r="P51" s="32">
        <f>O51*15</f>
        <v>58.499999999999993</v>
      </c>
      <c r="Q51" s="102">
        <v>18</v>
      </c>
      <c r="R51" s="26"/>
      <c r="S51" s="17" t="s">
        <v>415</v>
      </c>
      <c r="T51" s="105">
        <v>1</v>
      </c>
      <c r="U51" s="17"/>
      <c r="V51" s="4"/>
    </row>
    <row r="52" spans="1:22" s="3" customFormat="1" ht="18" customHeight="1" x14ac:dyDescent="0.25">
      <c r="A52" s="9">
        <v>48</v>
      </c>
      <c r="B52" s="88" t="s">
        <v>325</v>
      </c>
      <c r="C52" s="88"/>
      <c r="D52" s="30">
        <v>42331</v>
      </c>
      <c r="E52" s="29">
        <v>42335</v>
      </c>
      <c r="F52" s="8" t="s">
        <v>359</v>
      </c>
      <c r="G52" s="8" t="s">
        <v>343</v>
      </c>
      <c r="H52" s="22">
        <v>3</v>
      </c>
      <c r="I52" s="8">
        <v>250</v>
      </c>
      <c r="J52" s="13" t="s">
        <v>154</v>
      </c>
      <c r="K52" s="13" t="s">
        <v>155</v>
      </c>
      <c r="L52" s="13" t="s">
        <v>156</v>
      </c>
      <c r="M52" s="6"/>
      <c r="N52" s="7"/>
      <c r="O52" s="32">
        <f>7.9+2.6</f>
        <v>10.5</v>
      </c>
      <c r="P52" s="32">
        <f>O52*40</f>
        <v>420</v>
      </c>
      <c r="Q52" s="102">
        <v>35</v>
      </c>
      <c r="R52" s="26"/>
      <c r="S52" s="17" t="s">
        <v>415</v>
      </c>
      <c r="T52" s="105">
        <v>1</v>
      </c>
      <c r="U52" s="17"/>
      <c r="V52" s="4"/>
    </row>
    <row r="53" spans="1:22" s="3" customFormat="1" ht="18" customHeight="1" x14ac:dyDescent="0.25">
      <c r="A53" s="9">
        <v>49</v>
      </c>
      <c r="B53" s="88" t="s">
        <v>325</v>
      </c>
      <c r="C53" s="88"/>
      <c r="D53" s="30">
        <v>42331</v>
      </c>
      <c r="E53" s="29">
        <v>42335</v>
      </c>
      <c r="F53" s="8" t="s">
        <v>360</v>
      </c>
      <c r="G53" s="8" t="s">
        <v>343</v>
      </c>
      <c r="H53" s="22">
        <v>3</v>
      </c>
      <c r="I53" s="8">
        <v>200</v>
      </c>
      <c r="J53" s="13" t="s">
        <v>157</v>
      </c>
      <c r="K53" s="13" t="s">
        <v>158</v>
      </c>
      <c r="L53" s="13" t="s">
        <v>159</v>
      </c>
      <c r="M53" s="6"/>
      <c r="N53" s="6"/>
      <c r="O53" s="32">
        <f>7.8+2.6</f>
        <v>10.4</v>
      </c>
      <c r="P53" s="32">
        <f>O53*33</f>
        <v>343.2</v>
      </c>
      <c r="Q53" s="102">
        <f>8*3.5</f>
        <v>28</v>
      </c>
      <c r="R53" s="26"/>
      <c r="S53" s="17" t="s">
        <v>415</v>
      </c>
      <c r="T53" s="105">
        <v>1</v>
      </c>
      <c r="U53" s="17"/>
      <c r="V53" s="4"/>
    </row>
    <row r="54" spans="1:22" s="3" customFormat="1" ht="18" customHeight="1" x14ac:dyDescent="0.25">
      <c r="A54" s="9">
        <v>50</v>
      </c>
      <c r="B54" s="88" t="s">
        <v>325</v>
      </c>
      <c r="C54" s="88"/>
      <c r="D54" s="30">
        <v>42334</v>
      </c>
      <c r="E54" s="29">
        <v>42335</v>
      </c>
      <c r="F54" s="8" t="s">
        <v>362</v>
      </c>
      <c r="G54" s="8" t="s">
        <v>352</v>
      </c>
      <c r="H54" s="22">
        <v>3</v>
      </c>
      <c r="I54" s="8">
        <v>150</v>
      </c>
      <c r="J54" s="10" t="s">
        <v>160</v>
      </c>
      <c r="K54" s="13" t="s">
        <v>161</v>
      </c>
      <c r="L54" s="13" t="s">
        <v>162</v>
      </c>
      <c r="M54" s="6"/>
      <c r="N54" s="7"/>
      <c r="O54" s="32">
        <f>12+4.3+0.4+1.5</f>
        <v>18.2</v>
      </c>
      <c r="P54" s="32">
        <f>O54*23</f>
        <v>418.59999999999997</v>
      </c>
      <c r="Q54" s="102">
        <f>6*5+6</f>
        <v>36</v>
      </c>
      <c r="R54" s="26"/>
      <c r="S54" s="17" t="s">
        <v>415</v>
      </c>
      <c r="T54" s="105">
        <v>1</v>
      </c>
      <c r="U54" s="17"/>
      <c r="V54" s="4"/>
    </row>
    <row r="55" spans="1:22" s="3" customFormat="1" ht="18" customHeight="1" x14ac:dyDescent="0.25">
      <c r="A55" s="9">
        <v>51</v>
      </c>
      <c r="B55" s="88" t="s">
        <v>325</v>
      </c>
      <c r="C55" s="88"/>
      <c r="D55" s="30">
        <v>42333</v>
      </c>
      <c r="E55" s="29">
        <v>42335</v>
      </c>
      <c r="F55" s="8" t="s">
        <v>351</v>
      </c>
      <c r="G55" s="8" t="s">
        <v>352</v>
      </c>
      <c r="H55" s="22">
        <v>3</v>
      </c>
      <c r="I55" s="8">
        <v>150</v>
      </c>
      <c r="J55" s="13" t="s">
        <v>163</v>
      </c>
      <c r="K55" s="13" t="s">
        <v>164</v>
      </c>
      <c r="L55" s="13" t="s">
        <v>165</v>
      </c>
      <c r="M55" s="6"/>
      <c r="N55" s="7"/>
      <c r="O55" s="32">
        <v>25.5</v>
      </c>
      <c r="P55" s="32">
        <f>O55*23</f>
        <v>586.5</v>
      </c>
      <c r="Q55" s="102">
        <f>6*11.5+4*9</f>
        <v>105</v>
      </c>
      <c r="R55" s="26"/>
      <c r="S55" s="17" t="s">
        <v>415</v>
      </c>
      <c r="T55" s="105">
        <v>1</v>
      </c>
      <c r="U55" s="17"/>
      <c r="V55" s="4"/>
    </row>
    <row r="56" spans="1:22" s="3" customFormat="1" ht="18" customHeight="1" x14ac:dyDescent="0.25">
      <c r="A56" s="9">
        <v>52</v>
      </c>
      <c r="B56" s="88" t="s">
        <v>325</v>
      </c>
      <c r="C56" s="88"/>
      <c r="D56" s="30">
        <v>42331</v>
      </c>
      <c r="E56" s="29">
        <v>42335</v>
      </c>
      <c r="F56" s="8" t="s">
        <v>353</v>
      </c>
      <c r="G56" s="8" t="s">
        <v>352</v>
      </c>
      <c r="H56" s="22">
        <v>3</v>
      </c>
      <c r="I56" s="8">
        <v>150</v>
      </c>
      <c r="J56" s="13" t="s">
        <v>166</v>
      </c>
      <c r="K56" s="13" t="s">
        <v>167</v>
      </c>
      <c r="L56" s="13" t="s">
        <v>168</v>
      </c>
      <c r="M56" s="6"/>
      <c r="N56" s="7"/>
      <c r="O56" s="32">
        <f>14.5+2.2+1.9</f>
        <v>18.599999999999998</v>
      </c>
      <c r="P56" s="32">
        <f>O56*23</f>
        <v>427.79999999999995</v>
      </c>
      <c r="Q56" s="102">
        <f>6*6</f>
        <v>36</v>
      </c>
      <c r="R56" s="26"/>
      <c r="S56" s="17" t="s">
        <v>415</v>
      </c>
      <c r="T56" s="105">
        <v>1</v>
      </c>
      <c r="U56" s="17"/>
      <c r="V56" s="4"/>
    </row>
    <row r="57" spans="1:22" s="3" customFormat="1" ht="18" customHeight="1" x14ac:dyDescent="0.25">
      <c r="A57" s="9">
        <v>53</v>
      </c>
      <c r="B57" s="88" t="s">
        <v>325</v>
      </c>
      <c r="C57" s="88"/>
      <c r="D57" s="30">
        <v>42333</v>
      </c>
      <c r="E57" s="29">
        <v>42335</v>
      </c>
      <c r="F57" s="8" t="s">
        <v>354</v>
      </c>
      <c r="G57" s="8" t="s">
        <v>352</v>
      </c>
      <c r="H57" s="22">
        <v>3</v>
      </c>
      <c r="I57" s="8">
        <v>150</v>
      </c>
      <c r="J57" s="10" t="s">
        <v>169</v>
      </c>
      <c r="K57" s="13" t="s">
        <v>170</v>
      </c>
      <c r="L57" s="13" t="s">
        <v>171</v>
      </c>
      <c r="M57" s="6"/>
      <c r="N57" s="7"/>
      <c r="O57" s="32">
        <f>14.5+2.2+1.9</f>
        <v>18.599999999999998</v>
      </c>
      <c r="P57" s="32">
        <f>O57*23</f>
        <v>427.79999999999995</v>
      </c>
      <c r="Q57" s="102">
        <f>6*6</f>
        <v>36</v>
      </c>
      <c r="R57" s="26"/>
      <c r="S57" s="17" t="s">
        <v>415</v>
      </c>
      <c r="T57" s="105">
        <v>1</v>
      </c>
      <c r="U57" s="17"/>
      <c r="V57" s="4"/>
    </row>
    <row r="58" spans="1:22" s="3" customFormat="1" ht="18" customHeight="1" x14ac:dyDescent="0.25">
      <c r="A58" s="9">
        <v>54</v>
      </c>
      <c r="B58" s="88" t="s">
        <v>426</v>
      </c>
      <c r="C58" s="88"/>
      <c r="D58" s="31">
        <v>42342</v>
      </c>
      <c r="E58" s="29">
        <v>42348</v>
      </c>
      <c r="F58" s="8" t="s">
        <v>361</v>
      </c>
      <c r="G58" s="8" t="s">
        <v>352</v>
      </c>
      <c r="H58" s="22">
        <v>3</v>
      </c>
      <c r="I58" s="8">
        <v>200</v>
      </c>
      <c r="J58" s="13" t="s">
        <v>315</v>
      </c>
      <c r="K58" s="13" t="s">
        <v>172</v>
      </c>
      <c r="L58" s="13" t="s">
        <v>173</v>
      </c>
      <c r="M58" s="6"/>
      <c r="N58" s="7"/>
      <c r="O58" s="32">
        <v>11.2</v>
      </c>
      <c r="P58" s="32">
        <f>O58*33</f>
        <v>369.59999999999997</v>
      </c>
      <c r="Q58" s="102">
        <v>16</v>
      </c>
      <c r="R58" s="26"/>
      <c r="S58" s="17" t="s">
        <v>415</v>
      </c>
      <c r="T58" s="105">
        <v>1</v>
      </c>
      <c r="U58" s="17"/>
      <c r="V58" s="4"/>
    </row>
    <row r="59" spans="1:22" s="3" customFormat="1" ht="18" customHeight="1" x14ac:dyDescent="0.25">
      <c r="A59" s="9">
        <v>55</v>
      </c>
      <c r="B59" s="88" t="s">
        <v>426</v>
      </c>
      <c r="C59" s="88"/>
      <c r="D59" s="31">
        <v>42342</v>
      </c>
      <c r="E59" s="29">
        <v>42348</v>
      </c>
      <c r="F59" s="8" t="s">
        <v>362</v>
      </c>
      <c r="G59" s="8" t="s">
        <v>361</v>
      </c>
      <c r="H59" s="22">
        <v>3</v>
      </c>
      <c r="I59" s="8">
        <v>200</v>
      </c>
      <c r="J59" s="13" t="s">
        <v>174</v>
      </c>
      <c r="K59" s="13" t="s">
        <v>175</v>
      </c>
      <c r="L59" s="13" t="s">
        <v>176</v>
      </c>
      <c r="M59" s="6"/>
      <c r="N59" s="7"/>
      <c r="O59" s="32">
        <f>1.9+4.1+1.3</f>
        <v>7.3</v>
      </c>
      <c r="P59" s="32">
        <f>O59*33</f>
        <v>240.9</v>
      </c>
      <c r="Q59" s="102">
        <f>8*7.5</f>
        <v>60</v>
      </c>
      <c r="R59" s="26"/>
      <c r="S59" s="17" t="s">
        <v>415</v>
      </c>
      <c r="T59" s="105">
        <v>1</v>
      </c>
      <c r="U59" s="16"/>
      <c r="V59" s="4"/>
    </row>
    <row r="60" spans="1:22" s="3" customFormat="1" ht="18" customHeight="1" x14ac:dyDescent="0.25">
      <c r="A60" s="9">
        <v>56</v>
      </c>
      <c r="B60" s="88" t="s">
        <v>426</v>
      </c>
      <c r="C60" s="88"/>
      <c r="D60" s="31">
        <v>42342</v>
      </c>
      <c r="E60" s="29">
        <v>42348</v>
      </c>
      <c r="F60" s="8" t="s">
        <v>363</v>
      </c>
      <c r="G60" s="8" t="s">
        <v>358</v>
      </c>
      <c r="H60" s="22">
        <v>3</v>
      </c>
      <c r="I60" s="8">
        <v>200</v>
      </c>
      <c r="J60" s="10" t="s">
        <v>177</v>
      </c>
      <c r="K60" s="13" t="s">
        <v>178</v>
      </c>
      <c r="L60" s="13" t="s">
        <v>179</v>
      </c>
      <c r="M60" s="6"/>
      <c r="N60" s="7"/>
      <c r="O60" s="32">
        <f>4.7+1.4</f>
        <v>6.1</v>
      </c>
      <c r="P60" s="32">
        <f>O60*33</f>
        <v>201.29999999999998</v>
      </c>
      <c r="Q60" s="102">
        <f>8*4.5</f>
        <v>36</v>
      </c>
      <c r="R60" s="26"/>
      <c r="S60" s="17" t="s">
        <v>415</v>
      </c>
      <c r="T60" s="105">
        <v>1</v>
      </c>
      <c r="U60" s="16"/>
      <c r="V60" s="4"/>
    </row>
    <row r="61" spans="1:22" s="3" customFormat="1" ht="18" customHeight="1" x14ac:dyDescent="0.25">
      <c r="A61" s="9">
        <v>57</v>
      </c>
      <c r="B61" s="88" t="s">
        <v>426</v>
      </c>
      <c r="C61" s="88"/>
      <c r="D61" s="31">
        <v>42347</v>
      </c>
      <c r="E61" s="29">
        <v>42348</v>
      </c>
      <c r="F61" s="8" t="s">
        <v>364</v>
      </c>
      <c r="G61" s="8" t="s">
        <v>358</v>
      </c>
      <c r="H61" s="22">
        <v>3</v>
      </c>
      <c r="I61" s="8">
        <v>200</v>
      </c>
      <c r="J61" s="13" t="s">
        <v>180</v>
      </c>
      <c r="K61" s="13" t="s">
        <v>181</v>
      </c>
      <c r="L61" s="13" t="s">
        <v>182</v>
      </c>
      <c r="M61" s="6"/>
      <c r="N61" s="6"/>
      <c r="O61" s="32">
        <f>1.6+0.5</f>
        <v>2.1</v>
      </c>
      <c r="P61" s="32">
        <f>O61*33</f>
        <v>69.3</v>
      </c>
      <c r="Q61" s="102">
        <f>8*3.5</f>
        <v>28</v>
      </c>
      <c r="R61" s="26"/>
      <c r="S61" s="17" t="s">
        <v>415</v>
      </c>
      <c r="T61" s="105">
        <v>1</v>
      </c>
      <c r="U61" s="17"/>
      <c r="V61" s="4"/>
    </row>
    <row r="62" spans="1:22" s="3" customFormat="1" ht="18" customHeight="1" x14ac:dyDescent="0.25">
      <c r="A62" s="9">
        <v>58</v>
      </c>
      <c r="B62" s="88" t="s">
        <v>426</v>
      </c>
      <c r="C62" s="88"/>
      <c r="D62" s="30">
        <v>42342</v>
      </c>
      <c r="E62" s="29">
        <v>42348</v>
      </c>
      <c r="F62" s="8" t="s">
        <v>365</v>
      </c>
      <c r="G62" s="8" t="s">
        <v>358</v>
      </c>
      <c r="H62" s="22">
        <v>3</v>
      </c>
      <c r="I62" s="8">
        <v>250</v>
      </c>
      <c r="J62" s="13" t="s">
        <v>183</v>
      </c>
      <c r="K62" s="13" t="s">
        <v>184</v>
      </c>
      <c r="L62" s="13" t="s">
        <v>185</v>
      </c>
      <c r="M62" s="6"/>
      <c r="N62" s="7"/>
      <c r="O62" s="32">
        <f>7.4+1.2</f>
        <v>8.6</v>
      </c>
      <c r="P62" s="32">
        <f>O62*40</f>
        <v>344</v>
      </c>
      <c r="Q62" s="102">
        <f>10*3.5</f>
        <v>35</v>
      </c>
      <c r="R62" s="26"/>
      <c r="S62" s="17" t="s">
        <v>415</v>
      </c>
      <c r="T62" s="105">
        <v>1</v>
      </c>
      <c r="U62" s="16"/>
      <c r="V62" s="4"/>
    </row>
    <row r="63" spans="1:22" s="3" customFormat="1" ht="18" customHeight="1" x14ac:dyDescent="0.25">
      <c r="A63" s="9">
        <v>59</v>
      </c>
      <c r="B63" s="88" t="s">
        <v>426</v>
      </c>
      <c r="C63" s="88"/>
      <c r="D63" s="31">
        <v>42342</v>
      </c>
      <c r="E63" s="29">
        <v>42348</v>
      </c>
      <c r="F63" s="8" t="s">
        <v>366</v>
      </c>
      <c r="G63" s="8" t="s">
        <v>361</v>
      </c>
      <c r="H63" s="22">
        <v>3</v>
      </c>
      <c r="I63" s="8">
        <v>200</v>
      </c>
      <c r="J63" s="10" t="s">
        <v>186</v>
      </c>
      <c r="K63" s="13" t="s">
        <v>187</v>
      </c>
      <c r="L63" s="13" t="s">
        <v>188</v>
      </c>
      <c r="M63" s="6"/>
      <c r="N63" s="7"/>
      <c r="O63" s="32">
        <f>15.1+2.2</f>
        <v>17.3</v>
      </c>
      <c r="P63" s="32">
        <f>O63*33</f>
        <v>570.9</v>
      </c>
      <c r="Q63" s="102">
        <f>10*4.5</f>
        <v>45</v>
      </c>
      <c r="R63" s="26"/>
      <c r="S63" s="17" t="s">
        <v>415</v>
      </c>
      <c r="T63" s="105">
        <v>1</v>
      </c>
      <c r="U63" s="16"/>
      <c r="V63" s="4"/>
    </row>
    <row r="64" spans="1:22" s="3" customFormat="1" ht="18" customHeight="1" x14ac:dyDescent="0.25">
      <c r="A64" s="9">
        <v>60</v>
      </c>
      <c r="B64" s="88" t="s">
        <v>435</v>
      </c>
      <c r="C64" s="88"/>
      <c r="D64" s="31">
        <v>42353</v>
      </c>
      <c r="E64" s="29">
        <v>42354</v>
      </c>
      <c r="F64" s="8" t="s">
        <v>367</v>
      </c>
      <c r="G64" s="8" t="s">
        <v>365</v>
      </c>
      <c r="H64" s="22">
        <v>3</v>
      </c>
      <c r="I64" s="8">
        <v>250</v>
      </c>
      <c r="J64" s="13" t="s">
        <v>189</v>
      </c>
      <c r="K64" s="13" t="s">
        <v>190</v>
      </c>
      <c r="L64" s="13" t="s">
        <v>191</v>
      </c>
      <c r="M64" s="6"/>
      <c r="N64" s="6"/>
      <c r="O64" s="32">
        <f>1.1+0.5</f>
        <v>1.6</v>
      </c>
      <c r="P64" s="32">
        <f>O64*40</f>
        <v>64</v>
      </c>
      <c r="Q64" s="102">
        <v>35</v>
      </c>
      <c r="R64" s="26"/>
      <c r="S64" s="17" t="s">
        <v>415</v>
      </c>
      <c r="T64" s="105">
        <v>1</v>
      </c>
      <c r="U64" s="17"/>
      <c r="V64" s="4"/>
    </row>
    <row r="65" spans="1:22" s="3" customFormat="1" ht="18" customHeight="1" x14ac:dyDescent="0.25">
      <c r="A65" s="9">
        <v>61</v>
      </c>
      <c r="B65" s="88" t="s">
        <v>426</v>
      </c>
      <c r="C65" s="88"/>
      <c r="D65" s="7">
        <v>42339</v>
      </c>
      <c r="E65" s="29">
        <v>42348</v>
      </c>
      <c r="F65" s="8" t="s">
        <v>368</v>
      </c>
      <c r="G65" s="8" t="s">
        <v>365</v>
      </c>
      <c r="H65" s="22">
        <v>3</v>
      </c>
      <c r="I65" s="8">
        <v>100</v>
      </c>
      <c r="J65" s="13" t="s">
        <v>192</v>
      </c>
      <c r="K65" s="13" t="s">
        <v>193</v>
      </c>
      <c r="L65" s="13" t="s">
        <v>194</v>
      </c>
      <c r="M65" s="6"/>
      <c r="N65" s="6"/>
      <c r="O65" s="32">
        <f>0.4+0.7+1.2</f>
        <v>2.2999999999999998</v>
      </c>
      <c r="P65" s="32">
        <f>O65*15</f>
        <v>34.5</v>
      </c>
      <c r="Q65" s="102">
        <v>16</v>
      </c>
      <c r="R65" s="26"/>
      <c r="S65" s="17" t="s">
        <v>415</v>
      </c>
      <c r="T65" s="105">
        <v>1</v>
      </c>
      <c r="U65" s="16"/>
      <c r="V65" s="4"/>
    </row>
    <row r="66" spans="1:22" s="3" customFormat="1" ht="18" customHeight="1" x14ac:dyDescent="0.25">
      <c r="A66" s="9">
        <v>62</v>
      </c>
      <c r="B66" s="88" t="s">
        <v>435</v>
      </c>
      <c r="C66" s="88"/>
      <c r="D66" s="7">
        <v>42353</v>
      </c>
      <c r="E66" s="29">
        <v>42354</v>
      </c>
      <c r="F66" s="8" t="s">
        <v>369</v>
      </c>
      <c r="G66" s="8" t="s">
        <v>365</v>
      </c>
      <c r="H66" s="22">
        <v>3</v>
      </c>
      <c r="I66" s="8">
        <v>250</v>
      </c>
      <c r="J66" s="10" t="s">
        <v>195</v>
      </c>
      <c r="K66" s="13" t="s">
        <v>196</v>
      </c>
      <c r="L66" s="13" t="s">
        <v>197</v>
      </c>
      <c r="M66" s="6"/>
      <c r="N66" s="7"/>
      <c r="O66" s="32">
        <f>1.2+11.2+0.8+1.2</f>
        <v>14.399999999999999</v>
      </c>
      <c r="P66" s="32">
        <f>O66*40</f>
        <v>576</v>
      </c>
      <c r="Q66" s="102">
        <f>10*3.5+4*3</f>
        <v>47</v>
      </c>
      <c r="R66" s="26"/>
      <c r="S66" s="17" t="s">
        <v>415</v>
      </c>
      <c r="T66" s="105">
        <v>1</v>
      </c>
      <c r="U66" s="16"/>
      <c r="V66" s="4"/>
    </row>
    <row r="67" spans="1:22" s="3" customFormat="1" ht="18.75" customHeight="1" x14ac:dyDescent="0.25">
      <c r="A67" s="9">
        <v>63</v>
      </c>
      <c r="B67" s="88" t="s">
        <v>436</v>
      </c>
      <c r="C67" s="88"/>
      <c r="D67" s="30">
        <v>42356</v>
      </c>
      <c r="E67" s="29">
        <v>42359</v>
      </c>
      <c r="F67" s="8" t="s">
        <v>341</v>
      </c>
      <c r="G67" s="8" t="s">
        <v>358</v>
      </c>
      <c r="H67" s="22">
        <v>3</v>
      </c>
      <c r="I67" s="8">
        <v>100</v>
      </c>
      <c r="J67" s="13" t="s">
        <v>198</v>
      </c>
      <c r="K67" s="13" t="s">
        <v>199</v>
      </c>
      <c r="L67" s="13" t="s">
        <v>200</v>
      </c>
      <c r="M67" s="6"/>
      <c r="N67" s="7"/>
      <c r="O67" s="32">
        <f>2.8+7.1+0.6</f>
        <v>10.499999999999998</v>
      </c>
      <c r="P67" s="32">
        <f>O67*15</f>
        <v>157.49999999999997</v>
      </c>
      <c r="Q67" s="102">
        <f>4*4</f>
        <v>16</v>
      </c>
      <c r="R67" s="26"/>
      <c r="S67" s="17" t="s">
        <v>415</v>
      </c>
      <c r="T67" s="105">
        <v>1</v>
      </c>
      <c r="U67" s="16"/>
      <c r="V67" s="4"/>
    </row>
    <row r="68" spans="1:22" s="3" customFormat="1" ht="18" customHeight="1" x14ac:dyDescent="0.25">
      <c r="A68" s="9">
        <v>64</v>
      </c>
      <c r="B68" s="88" t="s">
        <v>436</v>
      </c>
      <c r="C68" s="88"/>
      <c r="D68" s="30">
        <v>42355</v>
      </c>
      <c r="E68" s="29">
        <v>42359</v>
      </c>
      <c r="F68" s="8" t="s">
        <v>341</v>
      </c>
      <c r="G68" s="8" t="s">
        <v>365</v>
      </c>
      <c r="H68" s="22">
        <v>3</v>
      </c>
      <c r="I68" s="8">
        <v>100</v>
      </c>
      <c r="J68" s="13" t="s">
        <v>201</v>
      </c>
      <c r="K68" s="13" t="s">
        <v>202</v>
      </c>
      <c r="L68" s="13" t="s">
        <v>203</v>
      </c>
      <c r="M68" s="6"/>
      <c r="N68" s="7"/>
      <c r="O68" s="32">
        <f>0.6+0.5+5.7</f>
        <v>6.8000000000000007</v>
      </c>
      <c r="P68" s="32">
        <f>O68*15</f>
        <v>102.00000000000001</v>
      </c>
      <c r="Q68" s="102">
        <v>12</v>
      </c>
      <c r="R68" s="26"/>
      <c r="S68" s="17" t="s">
        <v>415</v>
      </c>
      <c r="T68" s="105">
        <v>1</v>
      </c>
      <c r="U68" s="17"/>
      <c r="V68" s="4"/>
    </row>
    <row r="69" spans="1:22" s="3" customFormat="1" ht="18" customHeight="1" x14ac:dyDescent="0.25">
      <c r="A69" s="9">
        <v>65</v>
      </c>
      <c r="B69" s="88" t="s">
        <v>436</v>
      </c>
      <c r="C69" s="88"/>
      <c r="D69" s="30">
        <v>42356</v>
      </c>
      <c r="E69" s="29">
        <v>42359</v>
      </c>
      <c r="F69" s="8" t="s">
        <v>341</v>
      </c>
      <c r="G69" s="8" t="s">
        <v>366</v>
      </c>
      <c r="H69" s="22">
        <v>3</v>
      </c>
      <c r="I69" s="8">
        <v>100</v>
      </c>
      <c r="J69" s="10" t="s">
        <v>204</v>
      </c>
      <c r="K69" s="13" t="s">
        <v>205</v>
      </c>
      <c r="L69" s="13" t="s">
        <v>206</v>
      </c>
      <c r="M69" s="6"/>
      <c r="N69" s="7"/>
      <c r="O69" s="32">
        <f>0.6+8.3+2.5</f>
        <v>11.4</v>
      </c>
      <c r="P69" s="32">
        <f>O69*15</f>
        <v>171</v>
      </c>
      <c r="Q69" s="102">
        <v>12</v>
      </c>
      <c r="R69" s="26"/>
      <c r="S69" s="17" t="s">
        <v>415</v>
      </c>
      <c r="T69" s="105">
        <v>1</v>
      </c>
      <c r="U69" s="17"/>
      <c r="V69" s="4"/>
    </row>
    <row r="70" spans="1:22" s="3" customFormat="1" ht="18" customHeight="1" x14ac:dyDescent="0.25">
      <c r="A70" s="9">
        <v>66</v>
      </c>
      <c r="B70" s="88"/>
      <c r="C70" s="88"/>
      <c r="D70" s="7"/>
      <c r="E70" s="29"/>
      <c r="F70" s="35" t="s">
        <v>346</v>
      </c>
      <c r="G70" s="34" t="s">
        <v>373</v>
      </c>
      <c r="H70" s="22" t="s">
        <v>374</v>
      </c>
      <c r="I70" s="8">
        <v>250</v>
      </c>
      <c r="J70" s="13" t="s">
        <v>207</v>
      </c>
      <c r="K70" s="13" t="s">
        <v>208</v>
      </c>
      <c r="L70" s="13" t="s">
        <v>209</v>
      </c>
      <c r="M70" s="6"/>
      <c r="N70" s="7"/>
      <c r="O70" s="32">
        <v>22</v>
      </c>
      <c r="P70" s="32">
        <f>O70*40</f>
        <v>880</v>
      </c>
      <c r="Q70" s="102">
        <f>10*4.5</f>
        <v>45</v>
      </c>
      <c r="R70" s="93"/>
      <c r="S70" s="36" t="s">
        <v>375</v>
      </c>
      <c r="T70" s="105">
        <v>0</v>
      </c>
      <c r="U70" s="16"/>
      <c r="V70" s="4"/>
    </row>
    <row r="71" spans="1:22" s="3" customFormat="1" ht="18" customHeight="1" x14ac:dyDescent="0.25">
      <c r="A71" s="9">
        <v>67</v>
      </c>
      <c r="B71" s="88"/>
      <c r="C71" s="88"/>
      <c r="D71" s="7">
        <v>42366</v>
      </c>
      <c r="E71" s="29">
        <v>42375</v>
      </c>
      <c r="F71" s="8" t="s">
        <v>370</v>
      </c>
      <c r="G71" s="8" t="s">
        <v>376</v>
      </c>
      <c r="H71" s="22" t="s">
        <v>377</v>
      </c>
      <c r="I71" s="8">
        <v>250</v>
      </c>
      <c r="J71" s="13" t="s">
        <v>210</v>
      </c>
      <c r="K71" s="13" t="s">
        <v>315</v>
      </c>
      <c r="L71" s="13" t="s">
        <v>211</v>
      </c>
      <c r="M71" s="6"/>
      <c r="N71" s="7"/>
      <c r="O71" s="32">
        <v>8.6999999999999993</v>
      </c>
      <c r="P71" s="32">
        <f>O71*40</f>
        <v>348</v>
      </c>
      <c r="Q71" s="102">
        <v>35</v>
      </c>
      <c r="R71" s="93"/>
      <c r="S71" s="17" t="s">
        <v>415</v>
      </c>
      <c r="T71" s="105">
        <v>1</v>
      </c>
      <c r="U71" s="16"/>
      <c r="V71" s="4"/>
    </row>
    <row r="72" spans="1:22" s="3" customFormat="1" ht="18" customHeight="1" x14ac:dyDescent="0.25">
      <c r="A72" s="9">
        <v>68</v>
      </c>
      <c r="B72" s="88"/>
      <c r="C72" s="88"/>
      <c r="D72" s="7">
        <v>42359</v>
      </c>
      <c r="E72" s="29">
        <v>42375</v>
      </c>
      <c r="F72" s="8" t="s">
        <v>450</v>
      </c>
      <c r="G72" s="8" t="s">
        <v>370</v>
      </c>
      <c r="H72" s="22" t="s">
        <v>377</v>
      </c>
      <c r="I72" s="8">
        <v>200</v>
      </c>
      <c r="J72" s="10" t="s">
        <v>212</v>
      </c>
      <c r="K72" s="13" t="s">
        <v>315</v>
      </c>
      <c r="L72" s="13" t="s">
        <v>213</v>
      </c>
      <c r="M72" s="6"/>
      <c r="N72" s="7"/>
      <c r="O72" s="32">
        <v>4.7</v>
      </c>
      <c r="P72" s="32">
        <f>O72*33</f>
        <v>155.1</v>
      </c>
      <c r="Q72" s="102">
        <f>8*3.5</f>
        <v>28</v>
      </c>
      <c r="R72" s="93"/>
      <c r="S72" s="17" t="s">
        <v>415</v>
      </c>
      <c r="T72" s="105">
        <v>1</v>
      </c>
      <c r="U72" s="17"/>
      <c r="V72" s="4"/>
    </row>
    <row r="73" spans="1:22" s="3" customFormat="1" ht="18" customHeight="1" x14ac:dyDescent="0.25">
      <c r="A73" s="9">
        <v>69</v>
      </c>
      <c r="B73" s="88"/>
      <c r="C73" s="88"/>
      <c r="D73" s="7">
        <v>42366</v>
      </c>
      <c r="E73" s="29">
        <v>42375</v>
      </c>
      <c r="F73" s="8" t="s">
        <v>376</v>
      </c>
      <c r="G73" s="8" t="s">
        <v>378</v>
      </c>
      <c r="H73" s="22" t="s">
        <v>379</v>
      </c>
      <c r="I73" s="8">
        <v>250</v>
      </c>
      <c r="J73" s="13" t="s">
        <v>214</v>
      </c>
      <c r="K73" s="13" t="s">
        <v>315</v>
      </c>
      <c r="L73" s="13" t="s">
        <v>215</v>
      </c>
      <c r="M73" s="6"/>
      <c r="N73" s="7"/>
      <c r="O73" s="32">
        <v>14.5</v>
      </c>
      <c r="P73" s="32">
        <f>O73*40</f>
        <v>580</v>
      </c>
      <c r="Q73" s="102">
        <v>45</v>
      </c>
      <c r="R73" s="93"/>
      <c r="S73" s="17" t="s">
        <v>415</v>
      </c>
      <c r="T73" s="105">
        <v>1</v>
      </c>
      <c r="U73" s="17"/>
      <c r="V73" s="4"/>
    </row>
    <row r="74" spans="1:22" s="3" customFormat="1" ht="18" customHeight="1" x14ac:dyDescent="0.25">
      <c r="A74" s="9">
        <v>70</v>
      </c>
      <c r="B74" s="88"/>
      <c r="C74" s="88"/>
      <c r="D74" s="7">
        <v>42367</v>
      </c>
      <c r="E74" s="29">
        <v>42375</v>
      </c>
      <c r="F74" s="8" t="s">
        <v>380</v>
      </c>
      <c r="G74" s="8" t="s">
        <v>381</v>
      </c>
      <c r="H74" s="22" t="s">
        <v>379</v>
      </c>
      <c r="I74" s="8">
        <v>250</v>
      </c>
      <c r="J74" s="13" t="s">
        <v>216</v>
      </c>
      <c r="K74" s="13" t="s">
        <v>217</v>
      </c>
      <c r="L74" s="13" t="s">
        <v>218</v>
      </c>
      <c r="M74" s="6"/>
      <c r="N74" s="7"/>
      <c r="O74" s="32">
        <v>6</v>
      </c>
      <c r="P74" s="32">
        <f>O74*40</f>
        <v>240</v>
      </c>
      <c r="Q74" s="102">
        <f>10*6.5</f>
        <v>65</v>
      </c>
      <c r="R74" s="93"/>
      <c r="S74" s="17" t="s">
        <v>415</v>
      </c>
      <c r="T74" s="105">
        <v>1</v>
      </c>
      <c r="U74" s="16"/>
      <c r="V74" s="4"/>
    </row>
    <row r="75" spans="1:22" s="3" customFormat="1" ht="18" customHeight="1" x14ac:dyDescent="0.25">
      <c r="A75" s="21">
        <v>71</v>
      </c>
      <c r="B75" s="88"/>
      <c r="C75" s="88"/>
      <c r="D75" s="7">
        <v>42367</v>
      </c>
      <c r="E75" s="29">
        <v>42375</v>
      </c>
      <c r="F75" s="8" t="s">
        <v>382</v>
      </c>
      <c r="G75" s="8" t="s">
        <v>383</v>
      </c>
      <c r="H75" s="22" t="s">
        <v>379</v>
      </c>
      <c r="I75" s="22">
        <v>250</v>
      </c>
      <c r="J75" s="10" t="s">
        <v>219</v>
      </c>
      <c r="K75" s="13" t="s">
        <v>220</v>
      </c>
      <c r="L75" s="13" t="s">
        <v>221</v>
      </c>
      <c r="M75" s="6"/>
      <c r="N75" s="6"/>
      <c r="O75" s="32">
        <v>16.5</v>
      </c>
      <c r="P75" s="32">
        <f>O75*40</f>
        <v>660</v>
      </c>
      <c r="Q75" s="102">
        <v>45</v>
      </c>
      <c r="R75" s="93"/>
      <c r="S75" s="17" t="s">
        <v>415</v>
      </c>
      <c r="T75" s="105">
        <v>1</v>
      </c>
      <c r="U75" s="16"/>
      <c r="V75" s="4"/>
    </row>
    <row r="76" spans="1:22" s="3" customFormat="1" ht="18" customHeight="1" x14ac:dyDescent="0.25">
      <c r="A76" s="9">
        <v>72</v>
      </c>
      <c r="B76" s="88"/>
      <c r="C76" s="88"/>
      <c r="D76" s="7">
        <v>42410</v>
      </c>
      <c r="E76" s="29">
        <v>42425</v>
      </c>
      <c r="F76" s="8" t="s">
        <v>384</v>
      </c>
      <c r="G76" s="8" t="s">
        <v>385</v>
      </c>
      <c r="H76" s="22" t="s">
        <v>377</v>
      </c>
      <c r="I76" s="8">
        <v>500</v>
      </c>
      <c r="J76" s="13" t="s">
        <v>222</v>
      </c>
      <c r="K76" s="13" t="s">
        <v>223</v>
      </c>
      <c r="L76" s="13" t="s">
        <v>224</v>
      </c>
      <c r="M76" s="6"/>
      <c r="N76" s="7"/>
      <c r="O76" s="32">
        <v>45.5</v>
      </c>
      <c r="P76" s="32">
        <f>O76*92</f>
        <v>4186</v>
      </c>
      <c r="Q76" s="102">
        <f>20*5</f>
        <v>100</v>
      </c>
      <c r="R76" s="93" t="s">
        <v>627</v>
      </c>
      <c r="S76" s="17" t="s">
        <v>415</v>
      </c>
      <c r="T76" s="105">
        <v>1</v>
      </c>
      <c r="U76" s="17"/>
      <c r="V76" s="4"/>
    </row>
    <row r="77" spans="1:22" s="3" customFormat="1" ht="18" customHeight="1" x14ac:dyDescent="0.25">
      <c r="A77" s="9">
        <v>73</v>
      </c>
      <c r="B77" s="88"/>
      <c r="C77" s="88"/>
      <c r="D77" s="7">
        <v>42415</v>
      </c>
      <c r="E77" s="29">
        <v>42425</v>
      </c>
      <c r="F77" s="8" t="s">
        <v>386</v>
      </c>
      <c r="G77" s="8" t="s">
        <v>384</v>
      </c>
      <c r="H77" s="22" t="s">
        <v>387</v>
      </c>
      <c r="I77" s="8">
        <v>500</v>
      </c>
      <c r="J77" s="13" t="s">
        <v>225</v>
      </c>
      <c r="K77" s="13" t="s">
        <v>226</v>
      </c>
      <c r="L77" s="13" t="s">
        <v>227</v>
      </c>
      <c r="M77" s="6"/>
      <c r="N77" s="7"/>
      <c r="O77" s="32">
        <v>47.5</v>
      </c>
      <c r="P77" s="32">
        <f>O77*92</f>
        <v>4370</v>
      </c>
      <c r="Q77" s="102">
        <v>100</v>
      </c>
      <c r="R77" s="93" t="s">
        <v>627</v>
      </c>
      <c r="S77" s="17" t="s">
        <v>415</v>
      </c>
      <c r="T77" s="105">
        <v>1</v>
      </c>
      <c r="U77" s="16"/>
      <c r="V77" s="4"/>
    </row>
    <row r="78" spans="1:22" s="3" customFormat="1" ht="18" customHeight="1" x14ac:dyDescent="0.25">
      <c r="A78" s="9">
        <v>74</v>
      </c>
      <c r="B78" s="88"/>
      <c r="C78" s="88"/>
      <c r="D78" s="7"/>
      <c r="E78" s="29"/>
      <c r="F78" s="34" t="s">
        <v>388</v>
      </c>
      <c r="G78" s="34" t="s">
        <v>389</v>
      </c>
      <c r="H78" s="22" t="s">
        <v>387</v>
      </c>
      <c r="I78" s="8">
        <v>200</v>
      </c>
      <c r="J78" s="10" t="s">
        <v>228</v>
      </c>
      <c r="K78" s="13" t="s">
        <v>229</v>
      </c>
      <c r="L78" s="13" t="s">
        <v>230</v>
      </c>
      <c r="M78" s="6"/>
      <c r="N78" s="7"/>
      <c r="O78" s="32">
        <v>7.4</v>
      </c>
      <c r="P78" s="32">
        <f t="shared" ref="P78:P83" si="0">O78*33</f>
        <v>244.20000000000002</v>
      </c>
      <c r="Q78" s="102">
        <f>8*2</f>
        <v>16</v>
      </c>
      <c r="R78" s="93"/>
      <c r="S78" s="36" t="s">
        <v>375</v>
      </c>
      <c r="T78" s="105">
        <v>0</v>
      </c>
      <c r="U78" s="17"/>
      <c r="V78" s="4"/>
    </row>
    <row r="79" spans="1:22" s="3" customFormat="1" ht="18" customHeight="1" x14ac:dyDescent="0.25">
      <c r="A79" s="9">
        <v>75</v>
      </c>
      <c r="B79" s="88"/>
      <c r="C79" s="88"/>
      <c r="D79" s="7">
        <v>42359</v>
      </c>
      <c r="E79" s="29">
        <v>42375</v>
      </c>
      <c r="F79" s="8" t="s">
        <v>389</v>
      </c>
      <c r="G79" s="8" t="s">
        <v>336</v>
      </c>
      <c r="H79" s="22" t="s">
        <v>387</v>
      </c>
      <c r="I79" s="8">
        <v>200</v>
      </c>
      <c r="J79" s="13" t="s">
        <v>231</v>
      </c>
      <c r="K79" s="13" t="s">
        <v>232</v>
      </c>
      <c r="L79" s="13" t="s">
        <v>233</v>
      </c>
      <c r="M79" s="6"/>
      <c r="N79" s="6"/>
      <c r="O79" s="32">
        <v>15.2</v>
      </c>
      <c r="P79" s="32">
        <f t="shared" si="0"/>
        <v>501.59999999999997</v>
      </c>
      <c r="Q79" s="102">
        <f>8*3</f>
        <v>24</v>
      </c>
      <c r="R79" s="93"/>
      <c r="S79" s="17" t="s">
        <v>415</v>
      </c>
      <c r="T79" s="105">
        <v>1</v>
      </c>
      <c r="U79" s="16"/>
      <c r="V79" s="4"/>
    </row>
    <row r="80" spans="1:22" s="3" customFormat="1" ht="18" customHeight="1" x14ac:dyDescent="0.25">
      <c r="A80" s="9">
        <v>76</v>
      </c>
      <c r="B80" s="88"/>
      <c r="C80" s="88"/>
      <c r="D80" s="7">
        <v>42359</v>
      </c>
      <c r="E80" s="29">
        <v>42375</v>
      </c>
      <c r="F80" s="8" t="s">
        <v>390</v>
      </c>
      <c r="G80" s="8" t="s">
        <v>392</v>
      </c>
      <c r="H80" s="22" t="s">
        <v>391</v>
      </c>
      <c r="I80" s="8">
        <v>200</v>
      </c>
      <c r="J80" s="13" t="s">
        <v>234</v>
      </c>
      <c r="K80" s="13" t="s">
        <v>235</v>
      </c>
      <c r="L80" s="13" t="s">
        <v>236</v>
      </c>
      <c r="M80" s="6"/>
      <c r="N80" s="7"/>
      <c r="O80" s="32">
        <v>7.5</v>
      </c>
      <c r="P80" s="32">
        <f t="shared" si="0"/>
        <v>247.5</v>
      </c>
      <c r="Q80" s="102">
        <v>16</v>
      </c>
      <c r="R80" s="93"/>
      <c r="S80" s="17" t="s">
        <v>415</v>
      </c>
      <c r="T80" s="105">
        <v>1</v>
      </c>
      <c r="U80" s="17"/>
      <c r="V80" s="4"/>
    </row>
    <row r="81" spans="1:22" s="3" customFormat="1" ht="18" customHeight="1" x14ac:dyDescent="0.25">
      <c r="A81" s="9">
        <v>77</v>
      </c>
      <c r="B81" s="88"/>
      <c r="C81" s="88"/>
      <c r="D81" s="7"/>
      <c r="E81" s="29"/>
      <c r="F81" s="34" t="s">
        <v>393</v>
      </c>
      <c r="G81" s="34" t="s">
        <v>390</v>
      </c>
      <c r="H81" s="22" t="s">
        <v>391</v>
      </c>
      <c r="I81" s="8">
        <v>200</v>
      </c>
      <c r="J81" s="10" t="s">
        <v>237</v>
      </c>
      <c r="K81" s="13" t="s">
        <v>238</v>
      </c>
      <c r="L81" s="13" t="s">
        <v>239</v>
      </c>
      <c r="M81" s="6"/>
      <c r="N81" s="7"/>
      <c r="O81" s="32">
        <v>2.5</v>
      </c>
      <c r="P81" s="32">
        <f t="shared" si="0"/>
        <v>82.5</v>
      </c>
      <c r="Q81" s="102">
        <v>16</v>
      </c>
      <c r="R81" s="93"/>
      <c r="S81" s="36" t="s">
        <v>375</v>
      </c>
      <c r="T81" s="105">
        <v>0</v>
      </c>
      <c r="U81" s="17"/>
      <c r="V81" s="4"/>
    </row>
    <row r="82" spans="1:22" s="3" customFormat="1" ht="18" customHeight="1" x14ac:dyDescent="0.25">
      <c r="A82" s="9">
        <v>78</v>
      </c>
      <c r="B82" s="88"/>
      <c r="C82" s="88"/>
      <c r="D82" s="7"/>
      <c r="E82" s="29"/>
      <c r="F82" s="38" t="s">
        <v>394</v>
      </c>
      <c r="G82" s="38" t="s">
        <v>396</v>
      </c>
      <c r="H82" s="22" t="s">
        <v>395</v>
      </c>
      <c r="I82" s="8">
        <v>200</v>
      </c>
      <c r="J82" s="13" t="s">
        <v>240</v>
      </c>
      <c r="K82" s="13" t="s">
        <v>241</v>
      </c>
      <c r="L82" s="13" t="s">
        <v>242</v>
      </c>
      <c r="M82" s="6"/>
      <c r="N82" s="6"/>
      <c r="O82" s="32">
        <v>7.7</v>
      </c>
      <c r="P82" s="32">
        <f t="shared" si="0"/>
        <v>254.1</v>
      </c>
      <c r="Q82" s="102">
        <v>16</v>
      </c>
      <c r="R82" s="93"/>
      <c r="S82" s="36" t="s">
        <v>375</v>
      </c>
      <c r="T82" s="105">
        <v>0</v>
      </c>
      <c r="U82" s="17"/>
      <c r="V82" s="4"/>
    </row>
    <row r="83" spans="1:22" s="3" customFormat="1" ht="18" customHeight="1" x14ac:dyDescent="0.25">
      <c r="A83" s="9">
        <v>79</v>
      </c>
      <c r="B83" s="88"/>
      <c r="C83" s="88"/>
      <c r="D83" s="7"/>
      <c r="E83" s="29"/>
      <c r="F83" s="38" t="s">
        <v>397</v>
      </c>
      <c r="G83" s="38" t="s">
        <v>371</v>
      </c>
      <c r="H83" s="22" t="s">
        <v>398</v>
      </c>
      <c r="I83" s="8">
        <v>200</v>
      </c>
      <c r="J83" s="13" t="s">
        <v>243</v>
      </c>
      <c r="K83" s="13" t="s">
        <v>244</v>
      </c>
      <c r="L83" s="13" t="s">
        <v>245</v>
      </c>
      <c r="M83" s="6"/>
      <c r="N83" s="6"/>
      <c r="O83" s="32">
        <v>4.7</v>
      </c>
      <c r="P83" s="32">
        <f t="shared" si="0"/>
        <v>155.1</v>
      </c>
      <c r="Q83" s="102">
        <v>16</v>
      </c>
      <c r="R83" s="93"/>
      <c r="S83" s="36" t="s">
        <v>375</v>
      </c>
      <c r="T83" s="105">
        <v>0</v>
      </c>
      <c r="U83" s="17"/>
      <c r="V83" s="4"/>
    </row>
    <row r="84" spans="1:22" s="3" customFormat="1" ht="18" customHeight="1" x14ac:dyDescent="0.25">
      <c r="A84" s="9">
        <v>80</v>
      </c>
      <c r="B84" s="88"/>
      <c r="C84" s="88"/>
      <c r="D84" s="7">
        <v>42432</v>
      </c>
      <c r="E84" s="29"/>
      <c r="F84" s="8" t="s">
        <v>399</v>
      </c>
      <c r="G84" s="8" t="s">
        <v>400</v>
      </c>
      <c r="H84" s="22">
        <v>3</v>
      </c>
      <c r="I84" s="8">
        <v>100</v>
      </c>
      <c r="J84" s="10" t="s">
        <v>246</v>
      </c>
      <c r="K84" s="13" t="s">
        <v>247</v>
      </c>
      <c r="L84" s="13" t="s">
        <v>248</v>
      </c>
      <c r="M84" s="6"/>
      <c r="N84" s="7"/>
      <c r="O84" s="32">
        <v>10</v>
      </c>
      <c r="P84" s="32">
        <f>O84*15</f>
        <v>150</v>
      </c>
      <c r="Q84" s="102">
        <v>10</v>
      </c>
      <c r="R84" s="37" t="s">
        <v>623</v>
      </c>
      <c r="S84" s="36"/>
      <c r="T84" s="105">
        <v>1</v>
      </c>
      <c r="U84" s="17"/>
      <c r="V84" s="4"/>
    </row>
    <row r="85" spans="1:22" s="3" customFormat="1" ht="18" customHeight="1" x14ac:dyDescent="0.25">
      <c r="A85" s="9">
        <v>81</v>
      </c>
      <c r="B85" s="88"/>
      <c r="C85" s="88"/>
      <c r="D85" s="7"/>
      <c r="E85" s="29"/>
      <c r="F85" s="38" t="s">
        <v>399</v>
      </c>
      <c r="G85" s="38" t="s">
        <v>400</v>
      </c>
      <c r="H85" s="22">
        <v>3</v>
      </c>
      <c r="I85" s="8">
        <v>100</v>
      </c>
      <c r="J85" s="13" t="s">
        <v>249</v>
      </c>
      <c r="K85" s="13" t="s">
        <v>250</v>
      </c>
      <c r="L85" s="13" t="s">
        <v>251</v>
      </c>
      <c r="M85" s="6"/>
      <c r="N85" s="7"/>
      <c r="O85" s="32">
        <v>2</v>
      </c>
      <c r="P85" s="32">
        <f>O85*15</f>
        <v>30</v>
      </c>
      <c r="Q85" s="102"/>
      <c r="R85" s="37"/>
      <c r="S85" s="36" t="s">
        <v>375</v>
      </c>
      <c r="T85" s="105">
        <v>0</v>
      </c>
      <c r="U85" s="17"/>
      <c r="V85" s="4"/>
    </row>
    <row r="86" spans="1:22" s="3" customFormat="1" ht="18" customHeight="1" x14ac:dyDescent="0.25">
      <c r="A86" s="21">
        <v>82</v>
      </c>
      <c r="B86" s="88" t="s">
        <v>436</v>
      </c>
      <c r="C86" s="88"/>
      <c r="D86" s="7">
        <v>42354</v>
      </c>
      <c r="E86" s="29">
        <v>42359</v>
      </c>
      <c r="F86" s="10" t="s">
        <v>412</v>
      </c>
      <c r="G86" s="10" t="s">
        <v>390</v>
      </c>
      <c r="H86" s="22">
        <v>3</v>
      </c>
      <c r="I86" s="8">
        <v>200</v>
      </c>
      <c r="J86" s="13" t="s">
        <v>252</v>
      </c>
      <c r="K86" s="13" t="s">
        <v>253</v>
      </c>
      <c r="L86" s="13" t="s">
        <v>254</v>
      </c>
      <c r="M86" s="6"/>
      <c r="N86" s="7"/>
      <c r="O86" s="32">
        <f>1.5+2.6</f>
        <v>4.0999999999999996</v>
      </c>
      <c r="P86" s="32">
        <f>O86*33</f>
        <v>135.29999999999998</v>
      </c>
      <c r="Q86" s="102">
        <f>8*3.5</f>
        <v>28</v>
      </c>
      <c r="R86" s="26"/>
      <c r="S86" s="32" t="s">
        <v>415</v>
      </c>
      <c r="T86" s="105">
        <v>1</v>
      </c>
      <c r="U86" s="17"/>
      <c r="V86" s="4"/>
    </row>
    <row r="87" spans="1:22" s="3" customFormat="1" ht="18" customHeight="1" x14ac:dyDescent="0.25">
      <c r="A87" s="9">
        <v>83</v>
      </c>
      <c r="B87" s="88" t="s">
        <v>436</v>
      </c>
      <c r="C87" s="88"/>
      <c r="D87" s="7">
        <v>42354</v>
      </c>
      <c r="E87" s="29">
        <v>42359</v>
      </c>
      <c r="F87" s="10" t="s">
        <v>413</v>
      </c>
      <c r="G87" s="10" t="s">
        <v>366</v>
      </c>
      <c r="H87" s="22">
        <v>3</v>
      </c>
      <c r="I87" s="8">
        <v>100</v>
      </c>
      <c r="J87" s="10" t="s">
        <v>255</v>
      </c>
      <c r="K87" s="13" t="s">
        <v>256</v>
      </c>
      <c r="L87" s="13" t="s">
        <v>257</v>
      </c>
      <c r="M87" s="6"/>
      <c r="N87" s="7"/>
      <c r="O87" s="32">
        <f>1.2+0.7+0.9</f>
        <v>2.8</v>
      </c>
      <c r="P87" s="32">
        <f>O87*15</f>
        <v>42</v>
      </c>
      <c r="Q87" s="102">
        <f>4*6</f>
        <v>24</v>
      </c>
      <c r="R87" s="26"/>
      <c r="S87" s="32" t="s">
        <v>415</v>
      </c>
      <c r="T87" s="105">
        <v>1</v>
      </c>
      <c r="U87" s="16"/>
      <c r="V87" s="4"/>
    </row>
    <row r="88" spans="1:22" s="3" customFormat="1" ht="18" customHeight="1" x14ac:dyDescent="0.25">
      <c r="A88" s="9">
        <v>84</v>
      </c>
      <c r="B88" s="88"/>
      <c r="C88" s="88"/>
      <c r="D88" s="7">
        <v>42348</v>
      </c>
      <c r="E88" s="29">
        <v>42353</v>
      </c>
      <c r="F88" s="10" t="s">
        <v>399</v>
      </c>
      <c r="G88" s="10" t="s">
        <v>427</v>
      </c>
      <c r="H88" s="22">
        <v>2</v>
      </c>
      <c r="I88" s="8">
        <v>100</v>
      </c>
      <c r="J88" s="13" t="s">
        <v>258</v>
      </c>
      <c r="K88" s="13" t="s">
        <v>259</v>
      </c>
      <c r="L88" s="13" t="s">
        <v>260</v>
      </c>
      <c r="M88" s="6"/>
      <c r="N88" s="7"/>
      <c r="O88" s="32">
        <f>3.1+1.8+5.1+2.2</f>
        <v>12.2</v>
      </c>
      <c r="P88" s="32">
        <f>O88*15</f>
        <v>183</v>
      </c>
      <c r="Q88" s="102">
        <v>32</v>
      </c>
      <c r="R88" s="26"/>
      <c r="S88" s="32" t="s">
        <v>415</v>
      </c>
      <c r="T88" s="105">
        <v>1</v>
      </c>
      <c r="U88" s="16"/>
      <c r="V88" s="4"/>
    </row>
    <row r="89" spans="1:22" s="3" customFormat="1" ht="18" customHeight="1" x14ac:dyDescent="0.25">
      <c r="A89" s="9">
        <v>85</v>
      </c>
      <c r="B89" s="88"/>
      <c r="C89" s="88"/>
      <c r="D89" s="30">
        <v>42361</v>
      </c>
      <c r="E89" s="29">
        <v>42375</v>
      </c>
      <c r="F89" s="10" t="s">
        <v>428</v>
      </c>
      <c r="G89" s="10" t="s">
        <v>429</v>
      </c>
      <c r="H89" s="22">
        <v>6</v>
      </c>
      <c r="I89" s="8">
        <v>200</v>
      </c>
      <c r="J89" s="13" t="s">
        <v>261</v>
      </c>
      <c r="K89" s="13" t="s">
        <v>262</v>
      </c>
      <c r="L89" s="13" t="s">
        <v>263</v>
      </c>
      <c r="M89" s="6"/>
      <c r="N89" s="7"/>
      <c r="O89" s="32">
        <v>2.4</v>
      </c>
      <c r="P89" s="32">
        <f>O89*33</f>
        <v>79.2</v>
      </c>
      <c r="Q89" s="102">
        <v>28</v>
      </c>
      <c r="R89" s="93"/>
      <c r="S89" s="32" t="s">
        <v>415</v>
      </c>
      <c r="T89" s="105">
        <v>1</v>
      </c>
      <c r="U89" s="16"/>
      <c r="V89" s="4"/>
    </row>
    <row r="90" spans="1:22" s="3" customFormat="1" ht="18" customHeight="1" x14ac:dyDescent="0.25">
      <c r="A90" s="9">
        <v>86</v>
      </c>
      <c r="B90" s="88"/>
      <c r="C90" s="88"/>
      <c r="D90" s="30">
        <v>42361</v>
      </c>
      <c r="E90" s="29">
        <v>42375</v>
      </c>
      <c r="F90" s="10" t="s">
        <v>430</v>
      </c>
      <c r="G90" s="10" t="s">
        <v>431</v>
      </c>
      <c r="H90" s="22">
        <v>6</v>
      </c>
      <c r="I90" s="8">
        <v>200</v>
      </c>
      <c r="J90" s="10" t="s">
        <v>264</v>
      </c>
      <c r="K90" s="13" t="s">
        <v>265</v>
      </c>
      <c r="L90" s="13" t="s">
        <v>266</v>
      </c>
      <c r="M90" s="6"/>
      <c r="N90" s="7"/>
      <c r="O90" s="32">
        <v>12.7</v>
      </c>
      <c r="P90" s="32">
        <f>O90*33</f>
        <v>419.09999999999997</v>
      </c>
      <c r="Q90" s="102">
        <v>28</v>
      </c>
      <c r="R90" s="93"/>
      <c r="S90" s="32" t="s">
        <v>415</v>
      </c>
      <c r="T90" s="105">
        <v>1</v>
      </c>
      <c r="U90" s="16"/>
      <c r="V90" s="4"/>
    </row>
    <row r="91" spans="1:22" s="3" customFormat="1" ht="18" customHeight="1" x14ac:dyDescent="0.25">
      <c r="A91" s="9">
        <v>87</v>
      </c>
      <c r="B91" s="88" t="s">
        <v>436</v>
      </c>
      <c r="C91" s="88"/>
      <c r="D91" s="30">
        <v>42355</v>
      </c>
      <c r="E91" s="29">
        <v>42359</v>
      </c>
      <c r="F91" s="10" t="s">
        <v>432</v>
      </c>
      <c r="G91" s="10" t="s">
        <v>433</v>
      </c>
      <c r="H91" s="22" t="s">
        <v>434</v>
      </c>
      <c r="I91" s="8">
        <v>250</v>
      </c>
      <c r="J91" s="13" t="s">
        <v>267</v>
      </c>
      <c r="K91" s="13" t="s">
        <v>268</v>
      </c>
      <c r="L91" s="13" t="s">
        <v>269</v>
      </c>
      <c r="M91" s="6"/>
      <c r="N91" s="7"/>
      <c r="O91" s="32">
        <v>32</v>
      </c>
      <c r="P91" s="32">
        <f>O91*40</f>
        <v>1280</v>
      </c>
      <c r="Q91" s="102">
        <f>5.5*10</f>
        <v>55</v>
      </c>
      <c r="R91" s="26"/>
      <c r="S91" s="32" t="s">
        <v>415</v>
      </c>
      <c r="T91" s="105">
        <v>1</v>
      </c>
      <c r="U91" s="16"/>
      <c r="V91" s="4"/>
    </row>
    <row r="92" spans="1:22" s="3" customFormat="1" ht="18" customHeight="1" x14ac:dyDescent="0.25">
      <c r="A92" s="9">
        <v>88</v>
      </c>
      <c r="B92" s="88"/>
      <c r="C92" s="88"/>
      <c r="D92" s="29">
        <v>42387</v>
      </c>
      <c r="E92" s="29">
        <v>42395</v>
      </c>
      <c r="F92" s="10" t="s">
        <v>437</v>
      </c>
      <c r="G92" s="10" t="s">
        <v>438</v>
      </c>
      <c r="H92" s="22" t="s">
        <v>439</v>
      </c>
      <c r="I92" s="8">
        <v>200</v>
      </c>
      <c r="J92" s="13" t="s">
        <v>270</v>
      </c>
      <c r="K92" s="13" t="s">
        <v>271</v>
      </c>
      <c r="L92" s="13" t="s">
        <v>272</v>
      </c>
      <c r="M92" s="6"/>
      <c r="N92" s="7"/>
      <c r="O92" s="32">
        <v>15.3</v>
      </c>
      <c r="P92" s="32">
        <f>O92*33</f>
        <v>504.90000000000003</v>
      </c>
      <c r="Q92" s="102">
        <v>24</v>
      </c>
      <c r="R92" s="93"/>
      <c r="S92" s="32" t="s">
        <v>415</v>
      </c>
      <c r="T92" s="105">
        <v>1</v>
      </c>
      <c r="U92" s="16"/>
      <c r="V92" s="4"/>
    </row>
    <row r="93" spans="1:22" s="3" customFormat="1" ht="18" customHeight="1" x14ac:dyDescent="0.25">
      <c r="A93" s="9">
        <v>89</v>
      </c>
      <c r="B93" s="88"/>
      <c r="C93" s="88"/>
      <c r="D93" s="7">
        <v>42373</v>
      </c>
      <c r="E93" s="29">
        <v>42375</v>
      </c>
      <c r="F93" s="10" t="s">
        <v>440</v>
      </c>
      <c r="G93" s="10" t="s">
        <v>431</v>
      </c>
      <c r="H93" s="22" t="s">
        <v>439</v>
      </c>
      <c r="I93" s="8">
        <v>250</v>
      </c>
      <c r="J93" s="10" t="s">
        <v>273</v>
      </c>
      <c r="K93" s="13" t="s">
        <v>274</v>
      </c>
      <c r="L93" s="13" t="s">
        <v>275</v>
      </c>
      <c r="M93" s="6"/>
      <c r="N93" s="7"/>
      <c r="O93" s="32">
        <f>1.7+5.1+1.6</f>
        <v>8.4</v>
      </c>
      <c r="P93" s="32">
        <f>O93*40</f>
        <v>336</v>
      </c>
      <c r="Q93" s="102">
        <v>75</v>
      </c>
      <c r="R93" s="93"/>
      <c r="S93" s="32" t="s">
        <v>415</v>
      </c>
      <c r="T93" s="105">
        <v>1</v>
      </c>
      <c r="U93" s="16"/>
      <c r="V93" s="4"/>
    </row>
    <row r="94" spans="1:22" s="3" customFormat="1" ht="18" customHeight="1" x14ac:dyDescent="0.25">
      <c r="A94" s="9">
        <v>90</v>
      </c>
      <c r="B94" s="88"/>
      <c r="C94" s="88"/>
      <c r="D94" s="29">
        <v>42383</v>
      </c>
      <c r="E94" s="29">
        <v>42395</v>
      </c>
      <c r="F94" s="10" t="s">
        <v>441</v>
      </c>
      <c r="G94" s="10" t="s">
        <v>429</v>
      </c>
      <c r="H94" s="22" t="s">
        <v>439</v>
      </c>
      <c r="I94" s="8">
        <v>200</v>
      </c>
      <c r="J94" s="13" t="s">
        <v>276</v>
      </c>
      <c r="K94" s="13" t="s">
        <v>277</v>
      </c>
      <c r="L94" s="13" t="s">
        <v>278</v>
      </c>
      <c r="M94" s="6"/>
      <c r="N94" s="7"/>
      <c r="O94" s="32">
        <v>24.1</v>
      </c>
      <c r="P94" s="32">
        <f>O94*33</f>
        <v>795.30000000000007</v>
      </c>
      <c r="Q94" s="102">
        <v>24</v>
      </c>
      <c r="R94" s="93"/>
      <c r="S94" s="32" t="s">
        <v>415</v>
      </c>
      <c r="T94" s="105">
        <v>1</v>
      </c>
      <c r="U94" s="16"/>
      <c r="V94" s="4"/>
    </row>
    <row r="95" spans="1:22" s="3" customFormat="1" ht="18" customHeight="1" x14ac:dyDescent="0.25">
      <c r="A95" s="21">
        <v>91</v>
      </c>
      <c r="B95" s="91"/>
      <c r="C95" s="91"/>
      <c r="D95" s="29">
        <v>42387</v>
      </c>
      <c r="E95" s="29">
        <v>42395</v>
      </c>
      <c r="F95" s="10" t="s">
        <v>442</v>
      </c>
      <c r="G95" s="10" t="s">
        <v>429</v>
      </c>
      <c r="H95" s="22" t="s">
        <v>439</v>
      </c>
      <c r="I95" s="8">
        <v>200</v>
      </c>
      <c r="J95" s="13" t="s">
        <v>279</v>
      </c>
      <c r="K95" s="13" t="s">
        <v>280</v>
      </c>
      <c r="L95" s="13" t="s">
        <v>281</v>
      </c>
      <c r="M95" s="6"/>
      <c r="N95" s="7"/>
      <c r="O95" s="32">
        <f>9.9+1.4</f>
        <v>11.3</v>
      </c>
      <c r="P95" s="32">
        <f>O95*33</f>
        <v>372.90000000000003</v>
      </c>
      <c r="Q95" s="102">
        <v>28</v>
      </c>
      <c r="R95" s="93"/>
      <c r="S95" s="32" t="s">
        <v>415</v>
      </c>
      <c r="T95" s="105">
        <v>1</v>
      </c>
      <c r="U95" s="16"/>
      <c r="V95" s="4"/>
    </row>
    <row r="96" spans="1:22" s="3" customFormat="1" ht="18" customHeight="1" x14ac:dyDescent="0.25">
      <c r="A96" s="21">
        <v>92</v>
      </c>
      <c r="B96" s="91"/>
      <c r="C96" s="91"/>
      <c r="D96" s="29">
        <v>42387</v>
      </c>
      <c r="E96" s="29">
        <v>42395</v>
      </c>
      <c r="F96" s="24" t="s">
        <v>443</v>
      </c>
      <c r="G96" s="24" t="s">
        <v>437</v>
      </c>
      <c r="H96" s="22">
        <v>7</v>
      </c>
      <c r="I96" s="22">
        <v>150</v>
      </c>
      <c r="J96" s="10" t="s">
        <v>282</v>
      </c>
      <c r="K96" s="13" t="s">
        <v>283</v>
      </c>
      <c r="L96" s="13" t="s">
        <v>284</v>
      </c>
      <c r="M96" s="6"/>
      <c r="N96" s="7"/>
      <c r="O96" s="32">
        <f>1.1+1.4+0.5+0.6+1.3+1.3+0.6+0.5+2.2+1</f>
        <v>10.5</v>
      </c>
      <c r="P96" s="32">
        <f>O96*23</f>
        <v>241.5</v>
      </c>
      <c r="Q96" s="102">
        <f>6*11.5</f>
        <v>69</v>
      </c>
      <c r="R96" s="93"/>
      <c r="S96" s="32" t="s">
        <v>415</v>
      </c>
      <c r="T96" s="105">
        <v>1</v>
      </c>
      <c r="U96" s="16"/>
      <c r="V96" s="4"/>
    </row>
    <row r="97" spans="1:22" s="3" customFormat="1" ht="18" customHeight="1" x14ac:dyDescent="0.25">
      <c r="A97" s="21">
        <v>93</v>
      </c>
      <c r="B97" s="91"/>
      <c r="C97" s="91"/>
      <c r="D97" s="7">
        <v>42373</v>
      </c>
      <c r="E97" s="29">
        <v>42376</v>
      </c>
      <c r="F97" s="24" t="s">
        <v>341</v>
      </c>
      <c r="G97" s="24" t="s">
        <v>437</v>
      </c>
      <c r="H97" s="22">
        <v>7</v>
      </c>
      <c r="I97" s="22">
        <v>100</v>
      </c>
      <c r="J97" s="13" t="s">
        <v>285</v>
      </c>
      <c r="K97" s="13" t="s">
        <v>286</v>
      </c>
      <c r="L97" s="13" t="s">
        <v>287</v>
      </c>
      <c r="M97" s="6"/>
      <c r="N97" s="7"/>
      <c r="O97" s="32">
        <f>0.6+0.5+0.6</f>
        <v>1.7000000000000002</v>
      </c>
      <c r="P97" s="32">
        <f>O97*15</f>
        <v>25.500000000000004</v>
      </c>
      <c r="Q97" s="102">
        <f>4*3+4</f>
        <v>16</v>
      </c>
      <c r="R97" s="93"/>
      <c r="S97" s="32" t="s">
        <v>415</v>
      </c>
      <c r="T97" s="105">
        <v>1</v>
      </c>
      <c r="U97" s="16"/>
      <c r="V97" s="4"/>
    </row>
    <row r="98" spans="1:22" s="3" customFormat="1" ht="18" customHeight="1" x14ac:dyDescent="0.25">
      <c r="A98" s="21">
        <v>94</v>
      </c>
      <c r="B98" s="91"/>
      <c r="C98" s="91"/>
      <c r="D98" s="7">
        <v>42373</v>
      </c>
      <c r="E98" s="29">
        <v>42375</v>
      </c>
      <c r="F98" s="29">
        <v>42377</v>
      </c>
      <c r="G98" s="24" t="s">
        <v>444</v>
      </c>
      <c r="H98" s="22">
        <v>7</v>
      </c>
      <c r="I98" s="22">
        <v>200</v>
      </c>
      <c r="J98" s="13" t="s">
        <v>288</v>
      </c>
      <c r="K98" s="13" t="s">
        <v>289</v>
      </c>
      <c r="L98" s="13" t="s">
        <v>290</v>
      </c>
      <c r="M98" s="6"/>
      <c r="N98" s="7"/>
      <c r="O98" s="32">
        <f>1.4+0.3</f>
        <v>1.7</v>
      </c>
      <c r="P98" s="32">
        <f>O98*33</f>
        <v>56.1</v>
      </c>
      <c r="Q98" s="102">
        <f>8*3.5</f>
        <v>28</v>
      </c>
      <c r="R98" s="93"/>
      <c r="S98" s="32" t="s">
        <v>415</v>
      </c>
      <c r="T98" s="105">
        <v>1</v>
      </c>
      <c r="U98" s="16"/>
      <c r="V98" s="4"/>
    </row>
    <row r="99" spans="1:22" s="3" customFormat="1" ht="18" customHeight="1" x14ac:dyDescent="0.25">
      <c r="A99" s="21">
        <v>95</v>
      </c>
      <c r="B99" s="91"/>
      <c r="C99" s="91"/>
      <c r="D99" s="7">
        <v>42374</v>
      </c>
      <c r="E99" s="29">
        <v>42375</v>
      </c>
      <c r="F99" s="10" t="s">
        <v>447</v>
      </c>
      <c r="G99" s="24" t="s">
        <v>444</v>
      </c>
      <c r="H99" s="22">
        <v>7</v>
      </c>
      <c r="I99" s="8">
        <v>150</v>
      </c>
      <c r="J99" s="10" t="s">
        <v>291</v>
      </c>
      <c r="K99" s="13" t="s">
        <v>292</v>
      </c>
      <c r="L99" s="13" t="s">
        <v>293</v>
      </c>
      <c r="M99" s="6"/>
      <c r="N99" s="7"/>
      <c r="O99" s="32">
        <f>0.9+0.5+1.2</f>
        <v>2.5999999999999996</v>
      </c>
      <c r="P99" s="32">
        <f>O99*23</f>
        <v>59.79999999999999</v>
      </c>
      <c r="Q99" s="102">
        <f>6*4</f>
        <v>24</v>
      </c>
      <c r="R99" s="93"/>
      <c r="S99" s="32" t="s">
        <v>415</v>
      </c>
      <c r="T99" s="105">
        <v>1</v>
      </c>
      <c r="U99" s="16"/>
      <c r="V99" s="4"/>
    </row>
    <row r="100" spans="1:22" s="3" customFormat="1" ht="18" customHeight="1" x14ac:dyDescent="0.25">
      <c r="A100" s="21">
        <v>96</v>
      </c>
      <c r="B100" s="91"/>
      <c r="C100" s="91"/>
      <c r="D100" s="7">
        <v>42424</v>
      </c>
      <c r="E100" s="29">
        <v>42425</v>
      </c>
      <c r="F100" s="10" t="s">
        <v>448</v>
      </c>
      <c r="G100" s="24" t="s">
        <v>444</v>
      </c>
      <c r="H100" s="22">
        <v>7</v>
      </c>
      <c r="I100" s="8">
        <v>150</v>
      </c>
      <c r="J100" s="13" t="s">
        <v>294</v>
      </c>
      <c r="K100" s="13" t="s">
        <v>295</v>
      </c>
      <c r="L100" s="13" t="s">
        <v>296</v>
      </c>
      <c r="M100" s="6"/>
      <c r="N100" s="7"/>
      <c r="O100" s="32">
        <f>1.1+0.6+1.8+3.9+1.5+1+1.1+0.5+1.2+0.5+1+1.2+0.5+1+1.2</f>
        <v>18.099999999999998</v>
      </c>
      <c r="P100" s="32">
        <f>O100*23</f>
        <v>416.29999999999995</v>
      </c>
      <c r="Q100" s="102">
        <f>6*17.5</f>
        <v>105</v>
      </c>
      <c r="R100" s="93" t="s">
        <v>629</v>
      </c>
      <c r="S100" s="32" t="s">
        <v>415</v>
      </c>
      <c r="T100" s="105">
        <v>1</v>
      </c>
      <c r="U100" s="16"/>
      <c r="V100" s="4"/>
    </row>
    <row r="101" spans="1:22" s="3" customFormat="1" ht="18" customHeight="1" x14ac:dyDescent="0.25">
      <c r="A101" s="9">
        <v>97</v>
      </c>
      <c r="B101" s="88"/>
      <c r="C101" s="88"/>
      <c r="D101" s="29">
        <v>42384</v>
      </c>
      <c r="E101" s="29">
        <v>42395</v>
      </c>
      <c r="F101" s="10" t="s">
        <v>449</v>
      </c>
      <c r="G101" s="10" t="s">
        <v>441</v>
      </c>
      <c r="H101" s="22">
        <v>7</v>
      </c>
      <c r="I101" s="8">
        <v>200</v>
      </c>
      <c r="J101" s="13" t="s">
        <v>297</v>
      </c>
      <c r="K101" s="13" t="s">
        <v>298</v>
      </c>
      <c r="L101" s="13" t="s">
        <v>299</v>
      </c>
      <c r="M101" s="6"/>
      <c r="N101" s="7"/>
      <c r="O101" s="32">
        <f>8+1.4</f>
        <v>9.4</v>
      </c>
      <c r="P101" s="32">
        <f>O101*40</f>
        <v>376</v>
      </c>
      <c r="Q101" s="102">
        <f>8*3.5</f>
        <v>28</v>
      </c>
      <c r="R101" s="93"/>
      <c r="S101" s="32" t="s">
        <v>415</v>
      </c>
      <c r="T101" s="105">
        <v>1</v>
      </c>
      <c r="U101" s="17"/>
      <c r="V101" s="4"/>
    </row>
    <row r="102" spans="1:22" s="3" customFormat="1" ht="18" customHeight="1" x14ac:dyDescent="0.25">
      <c r="A102" s="9">
        <v>98</v>
      </c>
      <c r="B102" s="88"/>
      <c r="C102" s="88"/>
      <c r="D102" s="29">
        <v>42375</v>
      </c>
      <c r="E102" s="29">
        <v>42376</v>
      </c>
      <c r="F102" s="86" t="s">
        <v>451</v>
      </c>
      <c r="G102" s="85"/>
      <c r="H102" s="22">
        <v>2</v>
      </c>
      <c r="I102" s="8">
        <v>25</v>
      </c>
      <c r="J102" s="10" t="s">
        <v>300</v>
      </c>
      <c r="K102" s="13" t="s">
        <v>301</v>
      </c>
      <c r="L102" s="13" t="s">
        <v>302</v>
      </c>
      <c r="M102" s="6"/>
      <c r="N102" s="7"/>
      <c r="O102" s="32"/>
      <c r="P102" s="32"/>
      <c r="Q102" s="102"/>
      <c r="R102" s="93"/>
      <c r="S102" s="32" t="s">
        <v>415</v>
      </c>
      <c r="T102" s="105">
        <v>1</v>
      </c>
      <c r="U102" s="17"/>
      <c r="V102" s="4"/>
    </row>
    <row r="103" spans="1:22" s="3" customFormat="1" ht="18" customHeight="1" x14ac:dyDescent="0.25">
      <c r="A103" s="9">
        <v>99</v>
      </c>
      <c r="B103" s="88"/>
      <c r="C103" s="88"/>
      <c r="D103" s="29">
        <v>42375</v>
      </c>
      <c r="E103" s="29">
        <v>42376</v>
      </c>
      <c r="F103" s="86" t="s">
        <v>452</v>
      </c>
      <c r="G103" s="85"/>
      <c r="H103" s="22">
        <v>2</v>
      </c>
      <c r="I103" s="8">
        <v>40</v>
      </c>
      <c r="J103" s="13" t="s">
        <v>303</v>
      </c>
      <c r="K103" s="13" t="s">
        <v>304</v>
      </c>
      <c r="L103" s="13" t="s">
        <v>305</v>
      </c>
      <c r="M103" s="6"/>
      <c r="N103" s="7"/>
      <c r="O103" s="32"/>
      <c r="P103" s="32"/>
      <c r="Q103" s="102"/>
      <c r="R103" s="93"/>
      <c r="S103" s="32" t="s">
        <v>415</v>
      </c>
      <c r="T103" s="105">
        <v>1</v>
      </c>
      <c r="U103" s="17"/>
      <c r="V103" s="4"/>
    </row>
    <row r="104" spans="1:22" s="3" customFormat="1" ht="18" customHeight="1" x14ac:dyDescent="0.25">
      <c r="A104" s="9">
        <v>100</v>
      </c>
      <c r="B104" s="88"/>
      <c r="C104" s="88"/>
      <c r="D104" s="29">
        <v>42384</v>
      </c>
      <c r="E104" s="29">
        <v>42395</v>
      </c>
      <c r="F104" s="10" t="s">
        <v>453</v>
      </c>
      <c r="G104" s="10" t="s">
        <v>454</v>
      </c>
      <c r="H104" s="22">
        <v>6</v>
      </c>
      <c r="I104" s="8">
        <v>250</v>
      </c>
      <c r="J104" s="10" t="s">
        <v>455</v>
      </c>
      <c r="K104" s="13" t="s">
        <v>456</v>
      </c>
      <c r="L104" s="13" t="s">
        <v>457</v>
      </c>
      <c r="M104" s="6"/>
      <c r="N104" s="7"/>
      <c r="O104" s="32">
        <v>6</v>
      </c>
      <c r="P104" s="32">
        <f>O104*40</f>
        <v>240</v>
      </c>
      <c r="Q104" s="102">
        <v>24</v>
      </c>
      <c r="R104" s="93"/>
      <c r="S104" s="32" t="s">
        <v>415</v>
      </c>
      <c r="T104" s="105">
        <v>1</v>
      </c>
      <c r="U104" s="17"/>
      <c r="V104" s="4"/>
    </row>
    <row r="105" spans="1:22" s="3" customFormat="1" ht="18" customHeight="1" x14ac:dyDescent="0.25">
      <c r="A105" s="9">
        <v>101</v>
      </c>
      <c r="B105" s="88"/>
      <c r="C105" s="88"/>
      <c r="D105" s="29">
        <v>42384</v>
      </c>
      <c r="E105" s="29">
        <v>42395</v>
      </c>
      <c r="F105" s="10" t="s">
        <v>461</v>
      </c>
      <c r="G105" s="10" t="s">
        <v>454</v>
      </c>
      <c r="H105" s="22">
        <v>6</v>
      </c>
      <c r="I105" s="8">
        <v>200</v>
      </c>
      <c r="J105" s="10" t="s">
        <v>458</v>
      </c>
      <c r="K105" s="13" t="s">
        <v>459</v>
      </c>
      <c r="L105" s="13" t="s">
        <v>460</v>
      </c>
      <c r="M105" s="6"/>
      <c r="N105" s="7"/>
      <c r="O105" s="32">
        <v>8</v>
      </c>
      <c r="P105" s="32">
        <f>O105*33</f>
        <v>264</v>
      </c>
      <c r="Q105" s="102">
        <v>50</v>
      </c>
      <c r="R105" s="93"/>
      <c r="S105" s="32" t="s">
        <v>415</v>
      </c>
      <c r="T105" s="105">
        <v>1</v>
      </c>
      <c r="U105" s="17"/>
      <c r="V105" s="4"/>
    </row>
    <row r="106" spans="1:22" s="3" customFormat="1" ht="18" customHeight="1" x14ac:dyDescent="0.25">
      <c r="A106" s="9">
        <v>102</v>
      </c>
      <c r="B106" s="88"/>
      <c r="C106" s="88"/>
      <c r="D106" s="29">
        <v>42387</v>
      </c>
      <c r="E106" s="29">
        <v>42395</v>
      </c>
      <c r="F106" s="10" t="s">
        <v>462</v>
      </c>
      <c r="G106" s="10" t="s">
        <v>454</v>
      </c>
      <c r="H106" s="22">
        <v>6</v>
      </c>
      <c r="I106" s="8">
        <v>150</v>
      </c>
      <c r="J106" s="10" t="s">
        <v>482</v>
      </c>
      <c r="K106" s="13" t="s">
        <v>488</v>
      </c>
      <c r="L106" s="13" t="s">
        <v>491</v>
      </c>
      <c r="M106" s="6"/>
      <c r="N106" s="7"/>
      <c r="O106" s="32">
        <v>4</v>
      </c>
      <c r="P106" s="32">
        <f>O106*23</f>
        <v>92</v>
      </c>
      <c r="Q106" s="102">
        <v>24</v>
      </c>
      <c r="R106" s="93"/>
      <c r="S106" s="32" t="s">
        <v>415</v>
      </c>
      <c r="T106" s="105">
        <v>1</v>
      </c>
      <c r="U106" s="17"/>
      <c r="V106" s="4"/>
    </row>
    <row r="107" spans="1:22" s="3" customFormat="1" ht="18" customHeight="1" x14ac:dyDescent="0.25">
      <c r="A107" s="9">
        <v>103</v>
      </c>
      <c r="B107" s="88"/>
      <c r="C107" s="88"/>
      <c r="D107" s="29">
        <v>42384</v>
      </c>
      <c r="E107" s="29">
        <v>42395</v>
      </c>
      <c r="F107" s="10" t="s">
        <v>454</v>
      </c>
      <c r="G107" s="8" t="s">
        <v>463</v>
      </c>
      <c r="H107" s="22">
        <v>6</v>
      </c>
      <c r="I107" s="8">
        <v>250</v>
      </c>
      <c r="J107" s="10" t="s">
        <v>483</v>
      </c>
      <c r="K107" s="13" t="s">
        <v>489</v>
      </c>
      <c r="L107" s="13" t="s">
        <v>492</v>
      </c>
      <c r="M107" s="6"/>
      <c r="N107" s="7"/>
      <c r="O107" s="32">
        <v>4</v>
      </c>
      <c r="P107" s="32">
        <f>O107*40</f>
        <v>160</v>
      </c>
      <c r="Q107" s="102">
        <v>16</v>
      </c>
      <c r="R107" s="93"/>
      <c r="S107" s="32" t="s">
        <v>415</v>
      </c>
      <c r="T107" s="105">
        <v>1</v>
      </c>
      <c r="U107" s="17"/>
      <c r="V107" s="4"/>
    </row>
    <row r="108" spans="1:22" s="3" customFormat="1" ht="18" customHeight="1" x14ac:dyDescent="0.25">
      <c r="A108" s="9">
        <v>104</v>
      </c>
      <c r="B108" s="88"/>
      <c r="C108" s="88"/>
      <c r="D108" s="29">
        <v>42384</v>
      </c>
      <c r="E108" s="29">
        <v>42395</v>
      </c>
      <c r="F108" s="8" t="s">
        <v>431</v>
      </c>
      <c r="G108" s="8" t="s">
        <v>463</v>
      </c>
      <c r="H108" s="8">
        <v>6</v>
      </c>
      <c r="I108" s="8">
        <v>250</v>
      </c>
      <c r="J108" s="10" t="s">
        <v>484</v>
      </c>
      <c r="K108" s="13" t="s">
        <v>490</v>
      </c>
      <c r="L108" s="13" t="s">
        <v>493</v>
      </c>
      <c r="M108" s="6"/>
      <c r="N108" s="7"/>
      <c r="O108" s="32">
        <v>12</v>
      </c>
      <c r="P108" s="32">
        <f>O108*40</f>
        <v>480</v>
      </c>
      <c r="Q108" s="102">
        <v>16</v>
      </c>
      <c r="R108" s="93"/>
      <c r="S108" s="32" t="s">
        <v>415</v>
      </c>
      <c r="T108" s="105">
        <v>1</v>
      </c>
      <c r="U108" s="17"/>
      <c r="V108" s="4"/>
    </row>
    <row r="109" spans="1:22" s="3" customFormat="1" ht="18" customHeight="1" x14ac:dyDescent="0.25">
      <c r="A109" s="9">
        <v>105</v>
      </c>
      <c r="B109" s="88"/>
      <c r="C109" s="88"/>
      <c r="D109" s="29">
        <v>42383</v>
      </c>
      <c r="E109" s="29">
        <v>42395</v>
      </c>
      <c r="F109" s="8" t="s">
        <v>464</v>
      </c>
      <c r="G109" s="8" t="s">
        <v>389</v>
      </c>
      <c r="H109" s="8">
        <v>6</v>
      </c>
      <c r="I109" s="8">
        <v>200</v>
      </c>
      <c r="J109" s="10" t="s">
        <v>485</v>
      </c>
      <c r="K109" s="13" t="s">
        <v>315</v>
      </c>
      <c r="L109" s="13" t="s">
        <v>494</v>
      </c>
      <c r="M109" s="6"/>
      <c r="N109" s="7"/>
      <c r="O109" s="32">
        <v>18</v>
      </c>
      <c r="P109" s="32">
        <f>O109*33</f>
        <v>594</v>
      </c>
      <c r="Q109" s="102">
        <v>24</v>
      </c>
      <c r="R109" s="93"/>
      <c r="S109" s="32" t="s">
        <v>415</v>
      </c>
      <c r="T109" s="105">
        <v>1</v>
      </c>
      <c r="U109" s="17"/>
      <c r="V109" s="4"/>
    </row>
    <row r="110" spans="1:22" s="3" customFormat="1" ht="18" customHeight="1" x14ac:dyDescent="0.25">
      <c r="A110" s="9">
        <v>106</v>
      </c>
      <c r="B110" s="88"/>
      <c r="C110" s="88"/>
      <c r="D110" s="29">
        <v>42397</v>
      </c>
      <c r="E110" s="29">
        <v>42425</v>
      </c>
      <c r="F110" s="8" t="s">
        <v>499</v>
      </c>
      <c r="G110" s="8" t="s">
        <v>481</v>
      </c>
      <c r="H110" s="8">
        <v>6</v>
      </c>
      <c r="I110" s="8">
        <v>150</v>
      </c>
      <c r="J110" s="10" t="s">
        <v>486</v>
      </c>
      <c r="K110" s="13" t="s">
        <v>498</v>
      </c>
      <c r="L110" s="13" t="s">
        <v>495</v>
      </c>
      <c r="M110" s="6"/>
      <c r="N110" s="7"/>
      <c r="O110" s="32">
        <v>2.5</v>
      </c>
      <c r="P110" s="32">
        <f>O110*23</f>
        <v>57.5</v>
      </c>
      <c r="Q110" s="102">
        <v>24</v>
      </c>
      <c r="R110" s="93" t="s">
        <v>626</v>
      </c>
      <c r="S110" s="32" t="s">
        <v>415</v>
      </c>
      <c r="T110" s="105">
        <v>1</v>
      </c>
      <c r="U110" s="17"/>
      <c r="V110" s="4"/>
    </row>
    <row r="111" spans="1:22" s="3" customFormat="1" ht="18" customHeight="1" x14ac:dyDescent="0.25">
      <c r="A111" s="9">
        <v>107</v>
      </c>
      <c r="B111" s="88"/>
      <c r="C111" s="88"/>
      <c r="D111" s="29">
        <v>42396</v>
      </c>
      <c r="E111" s="29">
        <v>42425</v>
      </c>
      <c r="F111" s="8" t="s">
        <v>481</v>
      </c>
      <c r="G111" s="8" t="s">
        <v>480</v>
      </c>
      <c r="H111" s="83" t="s">
        <v>497</v>
      </c>
      <c r="I111" s="8">
        <v>200</v>
      </c>
      <c r="J111" s="10" t="s">
        <v>487</v>
      </c>
      <c r="K111" s="13" t="s">
        <v>315</v>
      </c>
      <c r="L111" s="13" t="s">
        <v>496</v>
      </c>
      <c r="M111" s="6"/>
      <c r="N111" s="7"/>
      <c r="O111" s="32">
        <v>11.5</v>
      </c>
      <c r="P111" s="32">
        <f>O111*33</f>
        <v>379.5</v>
      </c>
      <c r="Q111" s="102">
        <v>16</v>
      </c>
      <c r="R111" s="93" t="s">
        <v>624</v>
      </c>
      <c r="S111" s="32" t="s">
        <v>415</v>
      </c>
      <c r="T111" s="105">
        <v>1</v>
      </c>
      <c r="U111" s="17"/>
      <c r="V111" s="4"/>
    </row>
    <row r="112" spans="1:22" s="3" customFormat="1" ht="18" customHeight="1" x14ac:dyDescent="0.25">
      <c r="A112" s="9">
        <v>108</v>
      </c>
      <c r="B112" s="88"/>
      <c r="C112" s="88">
        <v>400</v>
      </c>
      <c r="D112" s="30"/>
      <c r="E112" s="29"/>
      <c r="F112" s="8" t="s">
        <v>564</v>
      </c>
      <c r="G112" s="8" t="s">
        <v>433</v>
      </c>
      <c r="H112" s="8">
        <v>5</v>
      </c>
      <c r="I112" s="8">
        <v>450</v>
      </c>
      <c r="J112" s="10" t="s">
        <v>529</v>
      </c>
      <c r="K112" s="13" t="s">
        <v>498</v>
      </c>
      <c r="L112" s="13" t="s">
        <v>565</v>
      </c>
      <c r="M112" s="6"/>
      <c r="N112" s="7"/>
      <c r="O112" s="32">
        <v>25</v>
      </c>
      <c r="P112" s="32">
        <f>O112*85</f>
        <v>2125</v>
      </c>
      <c r="Q112" s="102">
        <v>72</v>
      </c>
      <c r="R112" s="93"/>
      <c r="S112" s="32" t="s">
        <v>415</v>
      </c>
      <c r="T112" s="105">
        <v>0</v>
      </c>
      <c r="U112" s="17"/>
      <c r="V112" s="4"/>
    </row>
    <row r="113" spans="1:22" s="3" customFormat="1" ht="18" customHeight="1" x14ac:dyDescent="0.25">
      <c r="A113" s="9">
        <v>109</v>
      </c>
      <c r="B113" s="88"/>
      <c r="C113" s="88">
        <v>400</v>
      </c>
      <c r="D113" s="30"/>
      <c r="E113" s="29"/>
      <c r="F113" s="8" t="s">
        <v>433</v>
      </c>
      <c r="G113" s="8" t="s">
        <v>503</v>
      </c>
      <c r="H113" s="8">
        <v>5</v>
      </c>
      <c r="I113" s="8">
        <v>450</v>
      </c>
      <c r="J113" s="10" t="s">
        <v>530</v>
      </c>
      <c r="K113" s="13" t="s">
        <v>498</v>
      </c>
      <c r="L113" s="13" t="s">
        <v>566</v>
      </c>
      <c r="M113" s="6"/>
      <c r="N113" s="7"/>
      <c r="O113" s="32">
        <v>9</v>
      </c>
      <c r="P113" s="32">
        <f>O113*85</f>
        <v>765</v>
      </c>
      <c r="Q113" s="102">
        <v>32</v>
      </c>
      <c r="R113" s="93"/>
      <c r="S113" s="32" t="s">
        <v>415</v>
      </c>
      <c r="T113" s="105">
        <v>0</v>
      </c>
      <c r="U113" s="17"/>
      <c r="V113" s="4"/>
    </row>
    <row r="114" spans="1:22" s="3" customFormat="1" ht="18" customHeight="1" x14ac:dyDescent="0.25">
      <c r="A114" s="9">
        <v>110</v>
      </c>
      <c r="B114" s="88"/>
      <c r="C114" s="88">
        <v>400</v>
      </c>
      <c r="D114" s="30"/>
      <c r="E114" s="29"/>
      <c r="F114" s="8" t="s">
        <v>373</v>
      </c>
      <c r="G114" s="8" t="s">
        <v>564</v>
      </c>
      <c r="H114" s="8">
        <v>5</v>
      </c>
      <c r="I114" s="8">
        <v>450</v>
      </c>
      <c r="J114" s="10" t="s">
        <v>531</v>
      </c>
      <c r="K114" s="13" t="s">
        <v>498</v>
      </c>
      <c r="L114" s="13" t="s">
        <v>567</v>
      </c>
      <c r="M114" s="6"/>
      <c r="N114" s="7"/>
      <c r="O114" s="32">
        <v>14</v>
      </c>
      <c r="P114" s="32">
        <f>O114*85</f>
        <v>1190</v>
      </c>
      <c r="Q114" s="102">
        <v>48</v>
      </c>
      <c r="R114" s="93"/>
      <c r="S114" s="32" t="s">
        <v>415</v>
      </c>
      <c r="T114" s="105">
        <v>0</v>
      </c>
      <c r="U114" s="17"/>
      <c r="V114" s="4"/>
    </row>
    <row r="115" spans="1:22" s="3" customFormat="1" ht="18" customHeight="1" x14ac:dyDescent="0.25">
      <c r="A115" s="9">
        <v>111</v>
      </c>
      <c r="B115" s="88"/>
      <c r="C115" s="88">
        <v>300</v>
      </c>
      <c r="D115" s="30"/>
      <c r="E115" s="29"/>
      <c r="F115" s="8" t="s">
        <v>570</v>
      </c>
      <c r="G115" s="8" t="s">
        <v>373</v>
      </c>
      <c r="H115" s="8">
        <v>5</v>
      </c>
      <c r="I115" s="8">
        <v>300</v>
      </c>
      <c r="J115" s="10" t="s">
        <v>532</v>
      </c>
      <c r="K115" s="13" t="s">
        <v>498</v>
      </c>
      <c r="L115" s="13" t="s">
        <v>568</v>
      </c>
      <c r="M115" s="6"/>
      <c r="N115" s="7"/>
      <c r="O115" s="32">
        <v>28</v>
      </c>
      <c r="P115" s="32">
        <f>O115*45</f>
        <v>1260</v>
      </c>
      <c r="Q115" s="102">
        <v>48</v>
      </c>
      <c r="R115" s="93"/>
      <c r="S115" s="32" t="s">
        <v>415</v>
      </c>
      <c r="T115" s="105">
        <v>0</v>
      </c>
      <c r="U115" s="17"/>
      <c r="V115" s="4"/>
    </row>
    <row r="116" spans="1:22" s="3" customFormat="1" ht="18" customHeight="1" x14ac:dyDescent="0.25">
      <c r="A116" s="9">
        <v>112</v>
      </c>
      <c r="B116" s="88"/>
      <c r="C116" s="88">
        <v>300</v>
      </c>
      <c r="D116" s="30"/>
      <c r="E116" s="29"/>
      <c r="F116" s="8" t="s">
        <v>571</v>
      </c>
      <c r="G116" s="8" t="s">
        <v>570</v>
      </c>
      <c r="H116" s="8">
        <v>1</v>
      </c>
      <c r="I116" s="8">
        <v>300</v>
      </c>
      <c r="J116" s="10" t="s">
        <v>533</v>
      </c>
      <c r="K116" s="13" t="s">
        <v>498</v>
      </c>
      <c r="L116" s="13" t="s">
        <v>569</v>
      </c>
      <c r="M116" s="6"/>
      <c r="N116" s="7"/>
      <c r="O116" s="32">
        <v>36</v>
      </c>
      <c r="P116" s="32">
        <f>O116*45</f>
        <v>1620</v>
      </c>
      <c r="Q116" s="102">
        <v>48</v>
      </c>
      <c r="R116" s="93"/>
      <c r="S116" s="32" t="s">
        <v>415</v>
      </c>
      <c r="T116" s="105">
        <v>0</v>
      </c>
      <c r="U116" s="17"/>
      <c r="V116" s="4"/>
    </row>
    <row r="117" spans="1:22" s="3" customFormat="1" ht="18" customHeight="1" x14ac:dyDescent="0.25">
      <c r="A117" s="9">
        <v>113</v>
      </c>
      <c r="B117" s="88">
        <v>3</v>
      </c>
      <c r="C117" s="88"/>
      <c r="D117" s="30">
        <v>42436</v>
      </c>
      <c r="E117" s="29"/>
      <c r="F117" s="8" t="s">
        <v>500</v>
      </c>
      <c r="G117" s="8" t="s">
        <v>392</v>
      </c>
      <c r="H117" s="8">
        <v>7</v>
      </c>
      <c r="I117" s="8">
        <v>200</v>
      </c>
      <c r="J117" s="10" t="s">
        <v>534</v>
      </c>
      <c r="K117" s="8"/>
      <c r="L117" s="8"/>
      <c r="M117" s="6"/>
      <c r="N117" s="7"/>
      <c r="O117" s="32">
        <v>10</v>
      </c>
      <c r="P117" s="32">
        <f>O117*40</f>
        <v>400</v>
      </c>
      <c r="Q117" s="102">
        <v>20</v>
      </c>
      <c r="R117" s="93" t="s">
        <v>625</v>
      </c>
      <c r="S117" s="32" t="s">
        <v>415</v>
      </c>
      <c r="T117" s="105">
        <v>1</v>
      </c>
      <c r="U117" s="17"/>
      <c r="V117" s="4"/>
    </row>
    <row r="118" spans="1:22" s="3" customFormat="1" ht="18" customHeight="1" x14ac:dyDescent="0.25">
      <c r="A118" s="9">
        <v>114</v>
      </c>
      <c r="B118" s="88">
        <v>4</v>
      </c>
      <c r="C118" s="88"/>
      <c r="D118" s="30">
        <v>42436</v>
      </c>
      <c r="E118" s="29"/>
      <c r="F118" s="8" t="s">
        <v>501</v>
      </c>
      <c r="G118" s="8" t="s">
        <v>389</v>
      </c>
      <c r="H118" s="8" t="s">
        <v>502</v>
      </c>
      <c r="I118" s="8">
        <v>200</v>
      </c>
      <c r="J118" s="10" t="s">
        <v>535</v>
      </c>
      <c r="K118" s="8"/>
      <c r="L118" s="8"/>
      <c r="M118" s="6"/>
      <c r="N118" s="7"/>
      <c r="O118" s="32">
        <v>11</v>
      </c>
      <c r="P118" s="32">
        <f>O118*40</f>
        <v>440</v>
      </c>
      <c r="Q118" s="102">
        <v>20</v>
      </c>
      <c r="R118" s="93" t="s">
        <v>625</v>
      </c>
      <c r="S118" s="32" t="s">
        <v>415</v>
      </c>
      <c r="T118" s="105">
        <v>1</v>
      </c>
      <c r="U118" s="17"/>
      <c r="V118" s="4"/>
    </row>
    <row r="119" spans="1:22" s="3" customFormat="1" ht="18" customHeight="1" x14ac:dyDescent="0.25">
      <c r="A119" s="9">
        <v>115</v>
      </c>
      <c r="B119" s="88"/>
      <c r="C119" s="88">
        <v>400</v>
      </c>
      <c r="D119" s="30"/>
      <c r="E119" s="29"/>
      <c r="F119" s="8" t="s">
        <v>503</v>
      </c>
      <c r="G119" s="8" t="s">
        <v>504</v>
      </c>
      <c r="H119" s="8">
        <v>9</v>
      </c>
      <c r="I119" s="8">
        <v>400</v>
      </c>
      <c r="J119" s="10" t="s">
        <v>536</v>
      </c>
      <c r="K119" s="8"/>
      <c r="L119" s="8"/>
      <c r="M119" s="6"/>
      <c r="N119" s="7"/>
      <c r="O119" s="32">
        <v>21</v>
      </c>
      <c r="P119" s="32">
        <f>O119*73</f>
        <v>1533</v>
      </c>
      <c r="Q119" s="102">
        <f>16*4.5</f>
        <v>72</v>
      </c>
      <c r="R119" s="93"/>
      <c r="S119" s="32" t="s">
        <v>415</v>
      </c>
      <c r="T119" s="105">
        <v>0</v>
      </c>
      <c r="U119" s="17"/>
      <c r="V119" s="4"/>
    </row>
    <row r="120" spans="1:22" s="3" customFormat="1" ht="18" customHeight="1" x14ac:dyDescent="0.25">
      <c r="A120" s="9">
        <v>116</v>
      </c>
      <c r="B120" s="88"/>
      <c r="C120" s="88">
        <v>400</v>
      </c>
      <c r="D120" s="30"/>
      <c r="E120" s="29"/>
      <c r="F120" s="8" t="s">
        <v>504</v>
      </c>
      <c r="G120" s="8" t="s">
        <v>505</v>
      </c>
      <c r="H120" s="8">
        <v>9</v>
      </c>
      <c r="I120" s="8">
        <v>400</v>
      </c>
      <c r="J120" s="10" t="s">
        <v>537</v>
      </c>
      <c r="K120" s="8"/>
      <c r="L120" s="8"/>
      <c r="M120" s="6"/>
      <c r="N120" s="7"/>
      <c r="O120" s="32">
        <v>11</v>
      </c>
      <c r="P120" s="32">
        <f>O120*73</f>
        <v>803</v>
      </c>
      <c r="Q120" s="102">
        <v>32</v>
      </c>
      <c r="R120" s="93"/>
      <c r="S120" s="32" t="s">
        <v>415</v>
      </c>
      <c r="T120" s="105">
        <v>0</v>
      </c>
      <c r="U120" s="17"/>
      <c r="V120" s="4"/>
    </row>
    <row r="121" spans="1:22" s="3" customFormat="1" ht="18" customHeight="1" x14ac:dyDescent="0.25">
      <c r="A121" s="9">
        <v>117</v>
      </c>
      <c r="B121" s="88"/>
      <c r="C121" s="88">
        <v>400</v>
      </c>
      <c r="D121" s="30"/>
      <c r="E121" s="29"/>
      <c r="F121" s="8" t="s">
        <v>505</v>
      </c>
      <c r="G121" s="8" t="s">
        <v>506</v>
      </c>
      <c r="H121" s="8">
        <v>9</v>
      </c>
      <c r="I121" s="8">
        <v>400</v>
      </c>
      <c r="J121" s="10" t="s">
        <v>538</v>
      </c>
      <c r="K121" s="8"/>
      <c r="L121" s="8"/>
      <c r="M121" s="6"/>
      <c r="N121" s="7"/>
      <c r="O121" s="32">
        <v>24</v>
      </c>
      <c r="P121" s="32">
        <f>O121*73</f>
        <v>1752</v>
      </c>
      <c r="Q121" s="102">
        <f>16*3</f>
        <v>48</v>
      </c>
      <c r="R121" s="93"/>
      <c r="S121" s="32" t="s">
        <v>415</v>
      </c>
      <c r="T121" s="105">
        <v>0</v>
      </c>
      <c r="U121" s="17"/>
      <c r="V121" s="4"/>
    </row>
    <row r="122" spans="1:22" s="3" customFormat="1" ht="18" customHeight="1" x14ac:dyDescent="0.25">
      <c r="A122" s="9">
        <v>118</v>
      </c>
      <c r="B122" s="88"/>
      <c r="C122" s="88"/>
      <c r="D122" s="30">
        <v>42418</v>
      </c>
      <c r="E122" s="29">
        <v>42425</v>
      </c>
      <c r="F122" s="10" t="s">
        <v>507</v>
      </c>
      <c r="G122" s="8" t="s">
        <v>503</v>
      </c>
      <c r="H122" s="8" t="s">
        <v>508</v>
      </c>
      <c r="I122" s="8">
        <v>200</v>
      </c>
      <c r="J122" s="10" t="s">
        <v>539</v>
      </c>
      <c r="K122" s="13" t="s">
        <v>315</v>
      </c>
      <c r="L122" s="13" t="s">
        <v>621</v>
      </c>
      <c r="M122" s="6"/>
      <c r="N122" s="7"/>
      <c r="O122" s="32">
        <v>14</v>
      </c>
      <c r="P122" s="32">
        <f>O122*33</f>
        <v>462</v>
      </c>
      <c r="Q122" s="102">
        <v>24</v>
      </c>
      <c r="R122" s="93" t="s">
        <v>626</v>
      </c>
      <c r="S122" s="32" t="s">
        <v>415</v>
      </c>
      <c r="T122" s="105">
        <v>1</v>
      </c>
      <c r="U122" s="17"/>
      <c r="V122" s="4"/>
    </row>
    <row r="123" spans="1:22" s="3" customFormat="1" ht="18" customHeight="1" x14ac:dyDescent="0.25">
      <c r="A123" s="9">
        <v>119</v>
      </c>
      <c r="B123" s="88"/>
      <c r="C123" s="88"/>
      <c r="D123" s="30">
        <v>42436</v>
      </c>
      <c r="E123" s="29"/>
      <c r="F123" s="8" t="s">
        <v>509</v>
      </c>
      <c r="G123" s="8" t="s">
        <v>510</v>
      </c>
      <c r="H123" s="8" t="s">
        <v>508</v>
      </c>
      <c r="I123" s="8">
        <v>200</v>
      </c>
      <c r="J123" s="10" t="s">
        <v>540</v>
      </c>
      <c r="K123" s="8"/>
      <c r="L123" s="8"/>
      <c r="M123" s="6"/>
      <c r="N123" s="7"/>
      <c r="O123" s="32">
        <v>7</v>
      </c>
      <c r="P123" s="32">
        <f>O123*33</f>
        <v>231</v>
      </c>
      <c r="Q123" s="102">
        <v>20</v>
      </c>
      <c r="R123" s="93" t="s">
        <v>625</v>
      </c>
      <c r="S123" s="32" t="s">
        <v>415</v>
      </c>
      <c r="T123" s="105">
        <v>1</v>
      </c>
      <c r="U123" s="17"/>
      <c r="V123" s="4"/>
    </row>
    <row r="124" spans="1:22" s="3" customFormat="1" ht="18" customHeight="1" x14ac:dyDescent="0.25">
      <c r="A124" s="9">
        <v>120</v>
      </c>
      <c r="B124" s="88">
        <v>11</v>
      </c>
      <c r="C124" s="88">
        <v>500</v>
      </c>
      <c r="D124" s="30"/>
      <c r="E124" s="29"/>
      <c r="F124" s="8" t="s">
        <v>511</v>
      </c>
      <c r="G124" s="8" t="s">
        <v>506</v>
      </c>
      <c r="H124" s="8" t="s">
        <v>512</v>
      </c>
      <c r="I124" s="8">
        <v>500</v>
      </c>
      <c r="J124" s="10" t="s">
        <v>541</v>
      </c>
      <c r="K124" s="8"/>
      <c r="L124" s="8"/>
      <c r="M124" s="6"/>
      <c r="N124" s="7"/>
      <c r="O124" s="32">
        <v>32</v>
      </c>
      <c r="P124" s="32">
        <f>O124*92</f>
        <v>2944</v>
      </c>
      <c r="Q124" s="102">
        <f>20*4</f>
        <v>80</v>
      </c>
      <c r="R124" s="93"/>
      <c r="S124" s="32" t="s">
        <v>415</v>
      </c>
      <c r="T124" s="105">
        <v>0</v>
      </c>
      <c r="U124" s="17"/>
      <c r="V124" s="4"/>
    </row>
    <row r="125" spans="1:22" s="3" customFormat="1" ht="18" customHeight="1" x14ac:dyDescent="0.25">
      <c r="A125" s="9">
        <v>121</v>
      </c>
      <c r="B125" s="88"/>
      <c r="C125" s="88">
        <v>500</v>
      </c>
      <c r="D125" s="30"/>
      <c r="E125" s="29"/>
      <c r="F125" s="8" t="s">
        <v>513</v>
      </c>
      <c r="G125" s="8" t="s">
        <v>511</v>
      </c>
      <c r="H125" s="8" t="s">
        <v>514</v>
      </c>
      <c r="I125" s="8">
        <v>500</v>
      </c>
      <c r="J125" s="10" t="s">
        <v>542</v>
      </c>
      <c r="K125" s="8"/>
      <c r="L125" s="8"/>
      <c r="M125" s="6"/>
      <c r="N125" s="7"/>
      <c r="O125" s="32">
        <v>45</v>
      </c>
      <c r="P125" s="32">
        <f>O125*92</f>
        <v>4140</v>
      </c>
      <c r="Q125" s="102">
        <f>20*5</f>
        <v>100</v>
      </c>
      <c r="R125" s="93"/>
      <c r="S125" s="32" t="s">
        <v>415</v>
      </c>
      <c r="T125" s="105">
        <v>0</v>
      </c>
      <c r="U125" s="17"/>
      <c r="V125" s="4"/>
    </row>
    <row r="126" spans="1:22" s="3" customFormat="1" ht="18" customHeight="1" x14ac:dyDescent="0.25">
      <c r="A126" s="9">
        <v>122</v>
      </c>
      <c r="B126" s="88"/>
      <c r="C126" s="88"/>
      <c r="D126" s="30">
        <v>42418</v>
      </c>
      <c r="E126" s="29">
        <v>42425</v>
      </c>
      <c r="F126" s="10" t="s">
        <v>515</v>
      </c>
      <c r="G126" s="8" t="s">
        <v>505</v>
      </c>
      <c r="H126" s="8" t="s">
        <v>508</v>
      </c>
      <c r="I126" s="8">
        <v>200</v>
      </c>
      <c r="J126" s="10" t="s">
        <v>543</v>
      </c>
      <c r="K126" s="13" t="s">
        <v>315</v>
      </c>
      <c r="L126" s="13" t="s">
        <v>622</v>
      </c>
      <c r="M126" s="6"/>
      <c r="N126" s="7"/>
      <c r="O126" s="32">
        <v>11</v>
      </c>
      <c r="P126" s="32">
        <f>O126*33</f>
        <v>363</v>
      </c>
      <c r="Q126" s="102">
        <v>16</v>
      </c>
      <c r="R126" s="93" t="s">
        <v>624</v>
      </c>
      <c r="S126" s="32" t="s">
        <v>415</v>
      </c>
      <c r="T126" s="105">
        <v>1</v>
      </c>
      <c r="U126" s="17"/>
      <c r="V126" s="4"/>
    </row>
    <row r="127" spans="1:22" s="3" customFormat="1" ht="18" customHeight="1" x14ac:dyDescent="0.25">
      <c r="A127" s="9">
        <v>123</v>
      </c>
      <c r="B127" s="88">
        <v>3</v>
      </c>
      <c r="C127" s="88">
        <v>200</v>
      </c>
      <c r="D127" s="30"/>
      <c r="E127" s="29"/>
      <c r="F127" s="10" t="s">
        <v>516</v>
      </c>
      <c r="G127" s="8" t="s">
        <v>504</v>
      </c>
      <c r="H127" s="8" t="s">
        <v>508</v>
      </c>
      <c r="I127" s="8">
        <v>200</v>
      </c>
      <c r="J127" s="10" t="s">
        <v>544</v>
      </c>
      <c r="K127" s="8"/>
      <c r="L127" s="8"/>
      <c r="M127" s="6"/>
      <c r="N127" s="7"/>
      <c r="O127" s="32">
        <v>11</v>
      </c>
      <c r="P127" s="32">
        <f>O127*33</f>
        <v>363</v>
      </c>
      <c r="Q127" s="102">
        <f>8*3.5</f>
        <v>28</v>
      </c>
      <c r="R127" s="93"/>
      <c r="S127" s="32" t="s">
        <v>415</v>
      </c>
      <c r="T127" s="105">
        <v>0</v>
      </c>
      <c r="U127" s="17"/>
      <c r="V127" s="4"/>
    </row>
    <row r="128" spans="1:22" s="3" customFormat="1" ht="18" customHeight="1" x14ac:dyDescent="0.25">
      <c r="A128" s="9">
        <v>124</v>
      </c>
      <c r="B128" s="88">
        <v>15</v>
      </c>
      <c r="C128" s="88">
        <v>200</v>
      </c>
      <c r="D128" s="30"/>
      <c r="E128" s="29"/>
      <c r="F128" s="8" t="s">
        <v>517</v>
      </c>
      <c r="G128" s="8" t="s">
        <v>510</v>
      </c>
      <c r="H128" s="8">
        <v>10</v>
      </c>
      <c r="I128" s="8">
        <v>200</v>
      </c>
      <c r="J128" s="10" t="s">
        <v>545</v>
      </c>
      <c r="K128" s="8"/>
      <c r="L128" s="8"/>
      <c r="M128" s="6"/>
      <c r="N128" s="7"/>
      <c r="O128" s="32">
        <v>5</v>
      </c>
      <c r="P128" s="32">
        <f>O128*33</f>
        <v>165</v>
      </c>
      <c r="Q128" s="102">
        <v>16</v>
      </c>
      <c r="R128" s="93"/>
      <c r="S128" s="32" t="s">
        <v>415</v>
      </c>
      <c r="T128" s="105">
        <v>0</v>
      </c>
      <c r="U128" s="17"/>
      <c r="V128" s="4"/>
    </row>
    <row r="129" spans="1:22" s="3" customFormat="1" ht="18" customHeight="1" x14ac:dyDescent="0.25">
      <c r="A129" s="9">
        <v>125</v>
      </c>
      <c r="B129" s="88">
        <v>1</v>
      </c>
      <c r="C129" s="88">
        <v>200</v>
      </c>
      <c r="D129" s="30">
        <v>42438</v>
      </c>
      <c r="E129" s="29"/>
      <c r="F129" s="8" t="s">
        <v>519</v>
      </c>
      <c r="G129" s="8" t="s">
        <v>510</v>
      </c>
      <c r="H129" s="8" t="s">
        <v>518</v>
      </c>
      <c r="I129" s="8">
        <v>200</v>
      </c>
      <c r="J129" s="10" t="s">
        <v>546</v>
      </c>
      <c r="K129" s="8"/>
      <c r="L129" s="8"/>
      <c r="M129" s="6"/>
      <c r="N129" s="7"/>
      <c r="O129" s="32">
        <v>39</v>
      </c>
      <c r="P129" s="32">
        <f>O129*33</f>
        <v>1287</v>
      </c>
      <c r="Q129" s="102">
        <f>8*5</f>
        <v>40</v>
      </c>
      <c r="R129" s="93" t="s">
        <v>632</v>
      </c>
      <c r="S129" s="32" t="s">
        <v>415</v>
      </c>
      <c r="T129" s="105">
        <v>1</v>
      </c>
      <c r="U129" s="17"/>
      <c r="V129" s="4"/>
    </row>
    <row r="130" spans="1:22" s="3" customFormat="1" ht="18" customHeight="1" x14ac:dyDescent="0.25">
      <c r="A130" s="9">
        <v>126</v>
      </c>
      <c r="B130" s="88">
        <v>11</v>
      </c>
      <c r="C130" s="88">
        <v>250</v>
      </c>
      <c r="D130" s="30"/>
      <c r="E130" s="29"/>
      <c r="F130" s="8" t="s">
        <v>520</v>
      </c>
      <c r="G130" s="8" t="s">
        <v>521</v>
      </c>
      <c r="H130" s="8">
        <v>10</v>
      </c>
      <c r="I130" s="8">
        <v>250</v>
      </c>
      <c r="J130" s="10" t="s">
        <v>547</v>
      </c>
      <c r="K130" s="8"/>
      <c r="L130" s="8"/>
      <c r="M130" s="6"/>
      <c r="N130" s="7"/>
      <c r="O130" s="32">
        <v>17</v>
      </c>
      <c r="P130" s="32">
        <f>O130*40</f>
        <v>680</v>
      </c>
      <c r="Q130" s="102">
        <v>30</v>
      </c>
      <c r="R130" s="93"/>
      <c r="S130" s="32" t="s">
        <v>415</v>
      </c>
      <c r="T130" s="105">
        <v>0</v>
      </c>
      <c r="U130" s="17"/>
      <c r="V130" s="4"/>
    </row>
    <row r="131" spans="1:22" s="3" customFormat="1" ht="18" customHeight="1" x14ac:dyDescent="0.25">
      <c r="A131" s="9">
        <v>127</v>
      </c>
      <c r="B131" s="88">
        <v>12</v>
      </c>
      <c r="C131" s="88">
        <v>250</v>
      </c>
      <c r="D131" s="30"/>
      <c r="E131" s="29"/>
      <c r="F131" s="8" t="s">
        <v>521</v>
      </c>
      <c r="G131" s="8" t="s">
        <v>522</v>
      </c>
      <c r="H131" s="8">
        <v>10</v>
      </c>
      <c r="I131" s="8">
        <v>250</v>
      </c>
      <c r="J131" s="10" t="s">
        <v>548</v>
      </c>
      <c r="K131" s="8"/>
      <c r="L131" s="8"/>
      <c r="M131" s="6"/>
      <c r="N131" s="7"/>
      <c r="O131" s="32">
        <v>9</v>
      </c>
      <c r="P131" s="32">
        <f>O131*40</f>
        <v>360</v>
      </c>
      <c r="Q131" s="102">
        <v>20</v>
      </c>
      <c r="R131" s="93"/>
      <c r="S131" s="32" t="s">
        <v>415</v>
      </c>
      <c r="T131" s="105">
        <v>0</v>
      </c>
      <c r="U131" s="17"/>
      <c r="V131" s="4"/>
    </row>
    <row r="132" spans="1:22" s="3" customFormat="1" ht="18" customHeight="1" x14ac:dyDescent="0.25">
      <c r="A132" s="9">
        <v>128</v>
      </c>
      <c r="B132" s="88"/>
      <c r="C132" s="88">
        <v>250</v>
      </c>
      <c r="D132" s="30"/>
      <c r="E132" s="29"/>
      <c r="F132" s="8" t="s">
        <v>522</v>
      </c>
      <c r="G132" s="8" t="s">
        <v>523</v>
      </c>
      <c r="H132" s="8" t="s">
        <v>514</v>
      </c>
      <c r="I132" s="8">
        <v>250</v>
      </c>
      <c r="J132" s="10" t="s">
        <v>549</v>
      </c>
      <c r="K132" s="8"/>
      <c r="L132" s="8"/>
      <c r="M132" s="6"/>
      <c r="N132" s="7"/>
      <c r="O132" s="32">
        <v>26</v>
      </c>
      <c r="P132" s="32">
        <f>O132*40</f>
        <v>1040</v>
      </c>
      <c r="Q132" s="102">
        <f>10*5.5</f>
        <v>55</v>
      </c>
      <c r="R132" s="93"/>
      <c r="S132" s="32" t="s">
        <v>415</v>
      </c>
      <c r="T132" s="105">
        <v>0</v>
      </c>
      <c r="U132" s="17"/>
      <c r="V132" s="4"/>
    </row>
    <row r="133" spans="1:22" s="3" customFormat="1" ht="18" customHeight="1" x14ac:dyDescent="0.25">
      <c r="A133" s="9">
        <v>129</v>
      </c>
      <c r="B133" s="88">
        <v>10</v>
      </c>
      <c r="C133" s="88">
        <v>200</v>
      </c>
      <c r="D133" s="30"/>
      <c r="E133" s="29"/>
      <c r="F133" s="8" t="s">
        <v>524</v>
      </c>
      <c r="G133" s="8" t="s">
        <v>525</v>
      </c>
      <c r="H133" s="8">
        <v>10</v>
      </c>
      <c r="I133" s="8">
        <v>200</v>
      </c>
      <c r="J133" s="10" t="s">
        <v>550</v>
      </c>
      <c r="K133" s="8"/>
      <c r="L133" s="8"/>
      <c r="M133" s="6"/>
      <c r="N133" s="7"/>
      <c r="O133" s="32">
        <v>14</v>
      </c>
      <c r="P133" s="32">
        <f>O133*33</f>
        <v>462</v>
      </c>
      <c r="Q133" s="102">
        <v>24</v>
      </c>
      <c r="R133" s="93"/>
      <c r="S133" s="32" t="s">
        <v>415</v>
      </c>
      <c r="T133" s="105">
        <v>0</v>
      </c>
      <c r="U133" s="17"/>
      <c r="V133" s="4"/>
    </row>
    <row r="134" spans="1:22" s="3" customFormat="1" ht="18" customHeight="1" x14ac:dyDescent="0.25">
      <c r="A134" s="9">
        <v>130</v>
      </c>
      <c r="B134" s="88">
        <v>14</v>
      </c>
      <c r="C134" s="88">
        <v>200</v>
      </c>
      <c r="D134" s="30"/>
      <c r="E134" s="29"/>
      <c r="F134" s="8" t="s">
        <v>526</v>
      </c>
      <c r="G134" s="8" t="s">
        <v>524</v>
      </c>
      <c r="H134" s="8">
        <v>10</v>
      </c>
      <c r="I134" s="8">
        <v>200</v>
      </c>
      <c r="J134" s="10" t="s">
        <v>551</v>
      </c>
      <c r="K134" s="8"/>
      <c r="L134" s="8"/>
      <c r="M134" s="6"/>
      <c r="N134" s="7"/>
      <c r="O134" s="32">
        <v>3</v>
      </c>
      <c r="P134" s="32">
        <f>O134*33</f>
        <v>99</v>
      </c>
      <c r="Q134" s="102">
        <v>16</v>
      </c>
      <c r="R134" s="93"/>
      <c r="S134" s="32" t="s">
        <v>415</v>
      </c>
      <c r="T134" s="105">
        <v>0</v>
      </c>
      <c r="U134" s="17"/>
      <c r="V134" s="4"/>
    </row>
    <row r="135" spans="1:22" s="3" customFormat="1" ht="18" customHeight="1" x14ac:dyDescent="0.25">
      <c r="A135" s="9">
        <v>131</v>
      </c>
      <c r="B135" s="88">
        <v>16</v>
      </c>
      <c r="C135" s="88">
        <v>200</v>
      </c>
      <c r="D135" s="30"/>
      <c r="E135" s="29"/>
      <c r="F135" s="8" t="s">
        <v>527</v>
      </c>
      <c r="G135" s="8" t="s">
        <v>525</v>
      </c>
      <c r="H135" s="8">
        <v>10</v>
      </c>
      <c r="I135" s="8">
        <v>200</v>
      </c>
      <c r="J135" s="10" t="s">
        <v>552</v>
      </c>
      <c r="K135" s="8"/>
      <c r="L135" s="8"/>
      <c r="M135" s="6"/>
      <c r="N135" s="7"/>
      <c r="O135" s="32">
        <v>3</v>
      </c>
      <c r="P135" s="32">
        <f>O135*33</f>
        <v>99</v>
      </c>
      <c r="Q135" s="102">
        <v>24</v>
      </c>
      <c r="R135" s="93"/>
      <c r="S135" s="32" t="s">
        <v>415</v>
      </c>
      <c r="T135" s="105">
        <v>0</v>
      </c>
      <c r="U135" s="17"/>
      <c r="V135" s="4"/>
    </row>
    <row r="136" spans="1:22" s="3" customFormat="1" ht="18" customHeight="1" x14ac:dyDescent="0.25">
      <c r="A136" s="9">
        <v>132</v>
      </c>
      <c r="B136" s="88"/>
      <c r="C136" s="88">
        <v>200</v>
      </c>
      <c r="D136" s="30"/>
      <c r="E136" s="29"/>
      <c r="F136" s="8" t="s">
        <v>525</v>
      </c>
      <c r="G136" s="8" t="s">
        <v>528</v>
      </c>
      <c r="H136" s="8" t="s">
        <v>514</v>
      </c>
      <c r="I136" s="8">
        <v>200</v>
      </c>
      <c r="J136" s="10" t="s">
        <v>553</v>
      </c>
      <c r="K136" s="8"/>
      <c r="L136" s="8"/>
      <c r="M136" s="6"/>
      <c r="N136" s="7"/>
      <c r="O136" s="32">
        <v>13</v>
      </c>
      <c r="P136" s="32">
        <f>O136*33</f>
        <v>429</v>
      </c>
      <c r="Q136" s="102">
        <v>24</v>
      </c>
      <c r="R136" s="93"/>
      <c r="S136" s="32" t="s">
        <v>415</v>
      </c>
      <c r="T136" s="105">
        <v>0</v>
      </c>
      <c r="U136" s="17"/>
      <c r="V136" s="4"/>
    </row>
    <row r="137" spans="1:22" s="3" customFormat="1" ht="18" customHeight="1" x14ac:dyDescent="0.25">
      <c r="A137" s="9">
        <v>133</v>
      </c>
      <c r="B137" s="88"/>
      <c r="C137" s="88"/>
      <c r="D137" s="30">
        <v>42432</v>
      </c>
      <c r="E137" s="29">
        <v>42433</v>
      </c>
      <c r="F137" s="8" t="s">
        <v>341</v>
      </c>
      <c r="G137" s="8" t="s">
        <v>454</v>
      </c>
      <c r="H137" s="8" t="s">
        <v>512</v>
      </c>
      <c r="I137" s="8">
        <v>100</v>
      </c>
      <c r="J137" s="10" t="s">
        <v>554</v>
      </c>
      <c r="K137" s="8"/>
      <c r="L137" s="8"/>
      <c r="M137" s="6"/>
      <c r="N137" s="7"/>
      <c r="O137" s="32">
        <v>7</v>
      </c>
      <c r="P137" s="32">
        <f t="shared" ref="P137:P143" si="1">O137*15</f>
        <v>105</v>
      </c>
      <c r="Q137" s="102">
        <f>5.5*4</f>
        <v>22</v>
      </c>
      <c r="R137" s="93" t="s">
        <v>628</v>
      </c>
      <c r="S137" s="32" t="s">
        <v>415</v>
      </c>
      <c r="T137" s="105">
        <v>1</v>
      </c>
      <c r="U137" s="17"/>
      <c r="V137" s="4"/>
    </row>
    <row r="138" spans="1:22" s="3" customFormat="1" ht="18" customHeight="1" x14ac:dyDescent="0.25">
      <c r="A138" s="9">
        <v>134</v>
      </c>
      <c r="B138" s="88"/>
      <c r="C138" s="88">
        <v>100</v>
      </c>
      <c r="D138" s="30"/>
      <c r="E138" s="29"/>
      <c r="F138" s="8" t="s">
        <v>341</v>
      </c>
      <c r="G138" s="8" t="s">
        <v>432</v>
      </c>
      <c r="H138" s="8" t="s">
        <v>512</v>
      </c>
      <c r="I138" s="8">
        <v>100</v>
      </c>
      <c r="J138" s="10" t="s">
        <v>555</v>
      </c>
      <c r="K138" s="8"/>
      <c r="L138" s="8"/>
      <c r="M138" s="6"/>
      <c r="N138" s="7"/>
      <c r="O138" s="32">
        <v>11</v>
      </c>
      <c r="P138" s="32">
        <f t="shared" si="1"/>
        <v>165</v>
      </c>
      <c r="Q138" s="102">
        <v>28</v>
      </c>
      <c r="R138" s="93"/>
      <c r="S138" s="32" t="s">
        <v>415</v>
      </c>
      <c r="T138" s="105">
        <v>0</v>
      </c>
      <c r="U138" s="17"/>
      <c r="V138" s="4"/>
    </row>
    <row r="139" spans="1:22" s="3" customFormat="1" ht="18" customHeight="1" x14ac:dyDescent="0.25">
      <c r="A139" s="9">
        <v>135</v>
      </c>
      <c r="B139" s="88"/>
      <c r="C139" s="88">
        <v>100</v>
      </c>
      <c r="D139" s="30"/>
      <c r="E139" s="29"/>
      <c r="F139" s="8" t="s">
        <v>341</v>
      </c>
      <c r="G139" s="8" t="s">
        <v>432</v>
      </c>
      <c r="H139" s="8" t="s">
        <v>512</v>
      </c>
      <c r="I139" s="8">
        <v>100</v>
      </c>
      <c r="J139" s="10" t="s">
        <v>556</v>
      </c>
      <c r="K139" s="8"/>
      <c r="L139" s="8"/>
      <c r="M139" s="6"/>
      <c r="N139" s="7"/>
      <c r="O139" s="32">
        <v>13</v>
      </c>
      <c r="P139" s="32">
        <f t="shared" si="1"/>
        <v>195</v>
      </c>
      <c r="Q139" s="102">
        <v>28</v>
      </c>
      <c r="R139" s="93"/>
      <c r="S139" s="32" t="s">
        <v>415</v>
      </c>
      <c r="T139" s="105">
        <v>0</v>
      </c>
      <c r="U139" s="17"/>
      <c r="V139" s="4"/>
    </row>
    <row r="140" spans="1:22" s="3" customFormat="1" ht="18" customHeight="1" x14ac:dyDescent="0.25">
      <c r="A140" s="9">
        <v>136</v>
      </c>
      <c r="B140" s="88"/>
      <c r="C140" s="88">
        <v>100</v>
      </c>
      <c r="D140" s="30"/>
      <c r="E140" s="29"/>
      <c r="F140" s="8" t="s">
        <v>341</v>
      </c>
      <c r="G140" s="8" t="s">
        <v>558</v>
      </c>
      <c r="H140" s="8" t="s">
        <v>512</v>
      </c>
      <c r="I140" s="8">
        <v>100</v>
      </c>
      <c r="J140" s="10" t="s">
        <v>557</v>
      </c>
      <c r="K140" s="8"/>
      <c r="L140" s="8"/>
      <c r="M140" s="6"/>
      <c r="N140" s="7"/>
      <c r="O140" s="32">
        <v>14</v>
      </c>
      <c r="P140" s="32">
        <f t="shared" si="1"/>
        <v>210</v>
      </c>
      <c r="Q140" s="102">
        <v>28</v>
      </c>
      <c r="R140" s="93"/>
      <c r="S140" s="32" t="s">
        <v>415</v>
      </c>
      <c r="T140" s="105">
        <v>0</v>
      </c>
      <c r="U140" s="17"/>
      <c r="V140" s="4"/>
    </row>
    <row r="141" spans="1:22" s="3" customFormat="1" ht="18" customHeight="1" x14ac:dyDescent="0.25">
      <c r="A141" s="9">
        <v>137</v>
      </c>
      <c r="B141" s="88"/>
      <c r="C141" s="88">
        <v>100</v>
      </c>
      <c r="D141" s="30"/>
      <c r="E141" s="29"/>
      <c r="F141" s="8" t="s">
        <v>341</v>
      </c>
      <c r="G141" s="8" t="s">
        <v>558</v>
      </c>
      <c r="H141" s="8" t="s">
        <v>512</v>
      </c>
      <c r="I141" s="8">
        <v>100</v>
      </c>
      <c r="J141" s="10" t="s">
        <v>559</v>
      </c>
      <c r="K141" s="8"/>
      <c r="L141" s="8"/>
      <c r="M141" s="6"/>
      <c r="N141" s="7"/>
      <c r="O141" s="32">
        <v>12</v>
      </c>
      <c r="P141" s="32">
        <f t="shared" si="1"/>
        <v>180</v>
      </c>
      <c r="Q141" s="102">
        <v>28</v>
      </c>
      <c r="R141" s="93"/>
      <c r="S141" s="32" t="s">
        <v>415</v>
      </c>
      <c r="T141" s="105">
        <v>0</v>
      </c>
      <c r="U141" s="17"/>
      <c r="V141" s="4"/>
    </row>
    <row r="142" spans="1:22" s="3" customFormat="1" ht="18" customHeight="1" x14ac:dyDescent="0.25">
      <c r="A142" s="9">
        <v>138</v>
      </c>
      <c r="B142" s="88"/>
      <c r="C142" s="88">
        <v>100</v>
      </c>
      <c r="D142" s="30"/>
      <c r="E142" s="29"/>
      <c r="F142" s="8" t="s">
        <v>341</v>
      </c>
      <c r="G142" s="8" t="s">
        <v>520</v>
      </c>
      <c r="H142" s="8">
        <v>10</v>
      </c>
      <c r="I142" s="8">
        <v>100</v>
      </c>
      <c r="J142" s="10" t="s">
        <v>560</v>
      </c>
      <c r="K142" s="8"/>
      <c r="L142" s="8"/>
      <c r="M142" s="6"/>
      <c r="N142" s="7"/>
      <c r="O142" s="32">
        <v>9</v>
      </c>
      <c r="P142" s="32">
        <f t="shared" si="1"/>
        <v>135</v>
      </c>
      <c r="Q142" s="102">
        <f>5.5*4</f>
        <v>22</v>
      </c>
      <c r="R142" s="93"/>
      <c r="S142" s="32" t="s">
        <v>415</v>
      </c>
      <c r="T142" s="105">
        <v>0</v>
      </c>
      <c r="U142" s="17"/>
      <c r="V142" s="4"/>
    </row>
    <row r="143" spans="1:22" s="3" customFormat="1" ht="18" customHeight="1" x14ac:dyDescent="0.25">
      <c r="A143" s="9">
        <v>139</v>
      </c>
      <c r="B143" s="88"/>
      <c r="C143" s="88">
        <v>100</v>
      </c>
      <c r="D143" s="30"/>
      <c r="E143" s="29"/>
      <c r="F143" s="8" t="s">
        <v>341</v>
      </c>
      <c r="G143" s="8" t="s">
        <v>520</v>
      </c>
      <c r="H143" s="8">
        <v>10</v>
      </c>
      <c r="I143" s="8">
        <v>100</v>
      </c>
      <c r="J143" s="10" t="s">
        <v>561</v>
      </c>
      <c r="K143" s="8"/>
      <c r="L143" s="8"/>
      <c r="M143" s="6"/>
      <c r="N143" s="7"/>
      <c r="O143" s="32">
        <v>12</v>
      </c>
      <c r="P143" s="32">
        <f t="shared" si="1"/>
        <v>180</v>
      </c>
      <c r="Q143" s="102">
        <f>5.5*4</f>
        <v>22</v>
      </c>
      <c r="R143" s="93"/>
      <c r="S143" s="32" t="s">
        <v>415</v>
      </c>
      <c r="T143" s="105">
        <v>0</v>
      </c>
      <c r="U143" s="17"/>
      <c r="V143" s="4"/>
    </row>
    <row r="144" spans="1:22" s="3" customFormat="1" ht="18" customHeight="1" x14ac:dyDescent="0.25">
      <c r="A144" s="9">
        <v>140</v>
      </c>
      <c r="B144" s="88">
        <v>2</v>
      </c>
      <c r="C144" s="88">
        <v>200</v>
      </c>
      <c r="D144" s="30">
        <v>42438</v>
      </c>
      <c r="E144" s="28"/>
      <c r="F144" s="8" t="s">
        <v>572</v>
      </c>
      <c r="G144" s="8" t="s">
        <v>573</v>
      </c>
      <c r="H144" s="8" t="s">
        <v>518</v>
      </c>
      <c r="I144" s="8">
        <v>200</v>
      </c>
      <c r="J144" s="10" t="s">
        <v>562</v>
      </c>
      <c r="K144" s="8"/>
      <c r="L144" s="8"/>
      <c r="M144" s="6"/>
      <c r="N144" s="7"/>
      <c r="O144" s="32">
        <v>13.5</v>
      </c>
      <c r="P144" s="32">
        <f>O144*33</f>
        <v>445.5</v>
      </c>
      <c r="Q144" s="102">
        <v>28</v>
      </c>
      <c r="R144" s="93" t="s">
        <v>631</v>
      </c>
      <c r="S144" s="32" t="s">
        <v>415</v>
      </c>
      <c r="T144" s="105">
        <v>1</v>
      </c>
      <c r="U144" s="17"/>
      <c r="V144" s="4"/>
    </row>
    <row r="145" spans="1:22" s="3" customFormat="1" ht="18" customHeight="1" x14ac:dyDescent="0.25">
      <c r="A145" s="9">
        <v>141</v>
      </c>
      <c r="B145" s="88">
        <v>3</v>
      </c>
      <c r="C145" s="88"/>
      <c r="D145" s="30"/>
      <c r="E145" s="28"/>
      <c r="F145" s="8" t="s">
        <v>574</v>
      </c>
      <c r="G145" s="8" t="s">
        <v>575</v>
      </c>
      <c r="H145" s="8" t="s">
        <v>518</v>
      </c>
      <c r="I145" s="8">
        <v>250</v>
      </c>
      <c r="J145" s="10" t="s">
        <v>563</v>
      </c>
      <c r="K145" s="8"/>
      <c r="L145" s="8"/>
      <c r="M145" s="6"/>
      <c r="N145" s="7"/>
      <c r="O145" s="32">
        <v>24</v>
      </c>
      <c r="P145" s="32">
        <f>O145*40</f>
        <v>960</v>
      </c>
      <c r="Q145" s="102">
        <v>45</v>
      </c>
      <c r="R145" s="94"/>
      <c r="S145" s="32" t="s">
        <v>415</v>
      </c>
      <c r="T145" s="105">
        <v>0</v>
      </c>
      <c r="U145" s="17"/>
      <c r="V145" s="4"/>
    </row>
    <row r="146" spans="1:22" s="3" customFormat="1" ht="18" customHeight="1" x14ac:dyDescent="0.25">
      <c r="A146" s="9">
        <v>142</v>
      </c>
      <c r="B146" s="88">
        <v>15</v>
      </c>
      <c r="C146" s="88">
        <v>200</v>
      </c>
      <c r="D146" s="30"/>
      <c r="E146" s="28"/>
      <c r="F146" s="8" t="s">
        <v>572</v>
      </c>
      <c r="G146" s="8" t="s">
        <v>573</v>
      </c>
      <c r="H146" s="8">
        <v>11</v>
      </c>
      <c r="I146" s="8">
        <v>200</v>
      </c>
      <c r="J146" s="10" t="s">
        <v>595</v>
      </c>
      <c r="K146" s="8"/>
      <c r="L146" s="8"/>
      <c r="M146" s="6"/>
      <c r="N146" s="7"/>
      <c r="O146" s="32">
        <v>4</v>
      </c>
      <c r="P146" s="32">
        <f>O146*33</f>
        <v>132</v>
      </c>
      <c r="Q146" s="102">
        <v>48</v>
      </c>
      <c r="R146" s="94"/>
      <c r="S146" s="32" t="s">
        <v>415</v>
      </c>
      <c r="T146" s="105">
        <v>0</v>
      </c>
      <c r="U146" s="17"/>
      <c r="V146" s="4"/>
    </row>
    <row r="147" spans="1:22" s="3" customFormat="1" ht="18" customHeight="1" x14ac:dyDescent="0.25">
      <c r="A147" s="9">
        <v>143</v>
      </c>
      <c r="B147" s="88">
        <v>16</v>
      </c>
      <c r="C147" s="88">
        <v>200</v>
      </c>
      <c r="D147" s="30"/>
      <c r="E147" s="28"/>
      <c r="F147" s="8" t="s">
        <v>577</v>
      </c>
      <c r="G147" s="8" t="s">
        <v>576</v>
      </c>
      <c r="H147" s="8">
        <v>11</v>
      </c>
      <c r="I147" s="8">
        <v>200</v>
      </c>
      <c r="J147" s="10" t="s">
        <v>596</v>
      </c>
      <c r="K147" s="8"/>
      <c r="L147" s="8"/>
      <c r="M147" s="6"/>
      <c r="N147" s="7"/>
      <c r="O147" s="32">
        <v>27</v>
      </c>
      <c r="P147" s="32">
        <f>O147*33</f>
        <v>891</v>
      </c>
      <c r="Q147" s="102">
        <v>24</v>
      </c>
      <c r="R147" s="94"/>
      <c r="S147" s="32" t="s">
        <v>415</v>
      </c>
      <c r="T147" s="105">
        <v>0</v>
      </c>
      <c r="U147" s="17"/>
      <c r="V147" s="4"/>
    </row>
    <row r="148" spans="1:22" s="3" customFormat="1" ht="18" customHeight="1" x14ac:dyDescent="0.25">
      <c r="A148" s="9">
        <v>144</v>
      </c>
      <c r="B148" s="88"/>
      <c r="C148" s="88">
        <v>200</v>
      </c>
      <c r="D148" s="30"/>
      <c r="E148" s="28"/>
      <c r="F148" s="8" t="s">
        <v>572</v>
      </c>
      <c r="G148" s="8" t="s">
        <v>576</v>
      </c>
      <c r="H148" s="8">
        <v>11</v>
      </c>
      <c r="I148" s="8">
        <v>200</v>
      </c>
      <c r="J148" s="10" t="s">
        <v>597</v>
      </c>
      <c r="K148" s="8"/>
      <c r="L148" s="8"/>
      <c r="M148" s="6"/>
      <c r="N148" s="7"/>
      <c r="O148" s="32">
        <v>4</v>
      </c>
      <c r="P148" s="32">
        <f>O148*33</f>
        <v>132</v>
      </c>
      <c r="Q148" s="102">
        <v>48</v>
      </c>
      <c r="R148" s="94"/>
      <c r="S148" s="32" t="s">
        <v>415</v>
      </c>
      <c r="T148" s="105">
        <v>0</v>
      </c>
      <c r="U148" s="17"/>
      <c r="V148" s="4"/>
    </row>
    <row r="149" spans="1:22" s="3" customFormat="1" ht="18" customHeight="1" x14ac:dyDescent="0.25">
      <c r="A149" s="9">
        <v>145</v>
      </c>
      <c r="B149" s="88">
        <v>14</v>
      </c>
      <c r="C149" s="88">
        <v>200</v>
      </c>
      <c r="D149" s="30"/>
      <c r="E149" s="28"/>
      <c r="F149" s="8" t="s">
        <v>577</v>
      </c>
      <c r="G149" s="8" t="s">
        <v>578</v>
      </c>
      <c r="H149" s="8">
        <v>11</v>
      </c>
      <c r="I149" s="8">
        <v>200</v>
      </c>
      <c r="J149" s="10" t="s">
        <v>598</v>
      </c>
      <c r="K149" s="8"/>
      <c r="L149" s="8"/>
      <c r="M149" s="6"/>
      <c r="N149" s="7"/>
      <c r="O149" s="32">
        <v>12.5</v>
      </c>
      <c r="P149" s="32">
        <f>O149*33</f>
        <v>412.5</v>
      </c>
      <c r="Q149" s="102">
        <v>24</v>
      </c>
      <c r="R149" s="94"/>
      <c r="S149" s="32" t="s">
        <v>415</v>
      </c>
      <c r="T149" s="105">
        <v>0</v>
      </c>
      <c r="U149" s="17"/>
      <c r="V149" s="4"/>
    </row>
    <row r="150" spans="1:22" s="3" customFormat="1" ht="18" customHeight="1" x14ac:dyDescent="0.25">
      <c r="A150" s="9">
        <v>146</v>
      </c>
      <c r="B150" s="88">
        <v>5</v>
      </c>
      <c r="C150" s="88">
        <v>250</v>
      </c>
      <c r="D150" s="30"/>
      <c r="E150" s="28"/>
      <c r="F150" s="8" t="s">
        <v>580</v>
      </c>
      <c r="G150" s="8" t="s">
        <v>579</v>
      </c>
      <c r="H150" s="8">
        <v>11</v>
      </c>
      <c r="I150" s="8">
        <v>250</v>
      </c>
      <c r="J150" s="10" t="s">
        <v>599</v>
      </c>
      <c r="K150" s="8"/>
      <c r="L150" s="8"/>
      <c r="M150" s="6"/>
      <c r="N150" s="7"/>
      <c r="O150" s="32">
        <v>5.5</v>
      </c>
      <c r="P150" s="32">
        <f>O150*40</f>
        <v>220</v>
      </c>
      <c r="Q150" s="102">
        <v>35</v>
      </c>
      <c r="R150" s="94"/>
      <c r="S150" s="32" t="s">
        <v>415</v>
      </c>
      <c r="T150" s="105">
        <v>0</v>
      </c>
      <c r="U150" s="17"/>
      <c r="V150" s="4"/>
    </row>
    <row r="151" spans="1:22" s="3" customFormat="1" ht="18" customHeight="1" x14ac:dyDescent="0.25">
      <c r="A151" s="9">
        <v>147</v>
      </c>
      <c r="B151" s="88">
        <v>4</v>
      </c>
      <c r="C151" s="88">
        <v>250</v>
      </c>
      <c r="D151" s="30"/>
      <c r="E151" s="28"/>
      <c r="F151" s="8" t="s">
        <v>581</v>
      </c>
      <c r="G151" s="8" t="s">
        <v>579</v>
      </c>
      <c r="H151" s="8">
        <v>11</v>
      </c>
      <c r="I151" s="8">
        <v>250</v>
      </c>
      <c r="J151" s="10" t="s">
        <v>600</v>
      </c>
      <c r="K151" s="8"/>
      <c r="L151" s="8"/>
      <c r="M151" s="6"/>
      <c r="N151" s="7"/>
      <c r="O151" s="32">
        <v>5.5</v>
      </c>
      <c r="P151" s="32">
        <f>O151*40</f>
        <v>220</v>
      </c>
      <c r="Q151" s="102">
        <v>35</v>
      </c>
      <c r="R151" s="94"/>
      <c r="S151" s="32" t="s">
        <v>415</v>
      </c>
      <c r="T151" s="105">
        <v>0</v>
      </c>
      <c r="U151" s="17"/>
      <c r="V151" s="4"/>
    </row>
    <row r="152" spans="1:22" s="3" customFormat="1" ht="18" customHeight="1" x14ac:dyDescent="0.25">
      <c r="A152" s="9">
        <v>148</v>
      </c>
      <c r="B152" s="88">
        <v>6</v>
      </c>
      <c r="C152" s="88">
        <v>250</v>
      </c>
      <c r="D152" s="30"/>
      <c r="E152" s="28"/>
      <c r="F152" s="8" t="s">
        <v>582</v>
      </c>
      <c r="G152" s="8" t="s">
        <v>619</v>
      </c>
      <c r="H152" s="8">
        <v>11</v>
      </c>
      <c r="I152" s="8">
        <v>250</v>
      </c>
      <c r="J152" s="10" t="s">
        <v>601</v>
      </c>
      <c r="K152" s="8"/>
      <c r="L152" s="8"/>
      <c r="M152" s="6"/>
      <c r="N152" s="7"/>
      <c r="O152" s="32">
        <v>7</v>
      </c>
      <c r="P152" s="32">
        <f>O152*40</f>
        <v>280</v>
      </c>
      <c r="Q152" s="102">
        <v>20</v>
      </c>
      <c r="R152" s="94"/>
      <c r="S152" s="32" t="s">
        <v>415</v>
      </c>
      <c r="T152" s="105">
        <v>0</v>
      </c>
      <c r="U152" s="17"/>
      <c r="V152" s="4"/>
    </row>
    <row r="153" spans="1:22" s="3" customFormat="1" ht="18" customHeight="1" x14ac:dyDescent="0.25">
      <c r="A153" s="9">
        <v>149</v>
      </c>
      <c r="B153" s="88">
        <v>12</v>
      </c>
      <c r="C153" s="88">
        <v>200</v>
      </c>
      <c r="D153" s="30"/>
      <c r="E153" s="28"/>
      <c r="F153" s="8" t="s">
        <v>572</v>
      </c>
      <c r="G153" s="8" t="s">
        <v>583</v>
      </c>
      <c r="H153" s="8">
        <v>11</v>
      </c>
      <c r="I153" s="8">
        <v>200</v>
      </c>
      <c r="J153" s="10" t="s">
        <v>602</v>
      </c>
      <c r="K153" s="8"/>
      <c r="L153" s="8"/>
      <c r="M153" s="6"/>
      <c r="N153" s="7"/>
      <c r="O153" s="32">
        <v>3</v>
      </c>
      <c r="P153" s="32">
        <f>O153*33</f>
        <v>99</v>
      </c>
      <c r="Q153" s="102">
        <v>28</v>
      </c>
      <c r="R153" s="94"/>
      <c r="S153" s="32" t="s">
        <v>415</v>
      </c>
      <c r="T153" s="105">
        <v>0</v>
      </c>
      <c r="U153" s="17"/>
      <c r="V153" s="4"/>
    </row>
    <row r="154" spans="1:22" s="3" customFormat="1" ht="18" customHeight="1" x14ac:dyDescent="0.25">
      <c r="A154" s="9">
        <v>150</v>
      </c>
      <c r="B154" s="88">
        <v>13</v>
      </c>
      <c r="C154" s="88">
        <v>200</v>
      </c>
      <c r="D154" s="30"/>
      <c r="E154" s="28"/>
      <c r="F154" s="8" t="s">
        <v>572</v>
      </c>
      <c r="G154" s="8" t="s">
        <v>584</v>
      </c>
      <c r="H154" s="8">
        <v>11</v>
      </c>
      <c r="I154" s="8">
        <v>200</v>
      </c>
      <c r="J154" s="10" t="s">
        <v>603</v>
      </c>
      <c r="K154" s="8"/>
      <c r="L154" s="8"/>
      <c r="M154" s="6"/>
      <c r="N154" s="7"/>
      <c r="O154" s="32">
        <v>3</v>
      </c>
      <c r="P154" s="32">
        <f>O154*33</f>
        <v>99</v>
      </c>
      <c r="Q154" s="102">
        <v>28</v>
      </c>
      <c r="R154" s="94"/>
      <c r="S154" s="32" t="s">
        <v>415</v>
      </c>
      <c r="T154" s="105">
        <v>0</v>
      </c>
      <c r="U154" s="17"/>
      <c r="V154" s="4"/>
    </row>
    <row r="155" spans="1:22" s="3" customFormat="1" ht="18" customHeight="1" x14ac:dyDescent="0.25">
      <c r="A155" s="9">
        <v>151</v>
      </c>
      <c r="B155" s="88">
        <v>7</v>
      </c>
      <c r="C155" s="88">
        <v>200</v>
      </c>
      <c r="D155" s="30"/>
      <c r="E155" s="28"/>
      <c r="F155" s="8" t="s">
        <v>578</v>
      </c>
      <c r="G155" s="8" t="s">
        <v>585</v>
      </c>
      <c r="H155" s="8">
        <v>11</v>
      </c>
      <c r="I155" s="8">
        <v>200</v>
      </c>
      <c r="J155" s="10" t="s">
        <v>604</v>
      </c>
      <c r="K155" s="8"/>
      <c r="L155" s="8"/>
      <c r="M155" s="6"/>
      <c r="N155" s="7"/>
      <c r="O155" s="32">
        <v>27</v>
      </c>
      <c r="P155" s="32">
        <f>O155*33</f>
        <v>891</v>
      </c>
      <c r="Q155" s="102">
        <v>24</v>
      </c>
      <c r="R155" s="94"/>
      <c r="S155" s="32" t="s">
        <v>415</v>
      </c>
      <c r="T155" s="105">
        <v>0</v>
      </c>
      <c r="U155" s="17"/>
      <c r="V155" s="4"/>
    </row>
    <row r="156" spans="1:22" s="3" customFormat="1" ht="18" customHeight="1" x14ac:dyDescent="0.25">
      <c r="A156" s="9">
        <v>152</v>
      </c>
      <c r="B156" s="88">
        <v>8</v>
      </c>
      <c r="C156" s="88">
        <v>150</v>
      </c>
      <c r="D156" s="30"/>
      <c r="E156" s="28"/>
      <c r="F156" s="8" t="s">
        <v>572</v>
      </c>
      <c r="G156" s="8" t="s">
        <v>586</v>
      </c>
      <c r="H156" s="8">
        <v>11</v>
      </c>
      <c r="I156" s="8">
        <v>150</v>
      </c>
      <c r="J156" s="10" t="s">
        <v>605</v>
      </c>
      <c r="K156" s="8"/>
      <c r="L156" s="8"/>
      <c r="M156" s="6"/>
      <c r="N156" s="7"/>
      <c r="O156" s="32">
        <v>4</v>
      </c>
      <c r="P156" s="32">
        <f>O156*23</f>
        <v>92</v>
      </c>
      <c r="Q156" s="102">
        <v>24</v>
      </c>
      <c r="R156" s="94"/>
      <c r="S156" s="32" t="s">
        <v>415</v>
      </c>
      <c r="T156" s="105">
        <v>0</v>
      </c>
      <c r="U156" s="17"/>
      <c r="V156" s="4"/>
    </row>
    <row r="157" spans="1:22" s="3" customFormat="1" ht="18" customHeight="1" x14ac:dyDescent="0.25">
      <c r="A157" s="9">
        <v>153</v>
      </c>
      <c r="B157" s="88">
        <v>10</v>
      </c>
      <c r="C157" s="88">
        <v>250</v>
      </c>
      <c r="D157" s="30"/>
      <c r="E157" s="28"/>
      <c r="F157" s="8" t="s">
        <v>587</v>
      </c>
      <c r="G157" s="8" t="s">
        <v>586</v>
      </c>
      <c r="H157" s="8">
        <v>11</v>
      </c>
      <c r="I157" s="8">
        <v>250</v>
      </c>
      <c r="J157" s="10" t="s">
        <v>606</v>
      </c>
      <c r="K157" s="8"/>
      <c r="L157" s="8"/>
      <c r="M157" s="6"/>
      <c r="N157" s="7"/>
      <c r="O157" s="32">
        <v>2</v>
      </c>
      <c r="P157" s="32">
        <f>O157*40</f>
        <v>80</v>
      </c>
      <c r="Q157" s="102">
        <v>35</v>
      </c>
      <c r="R157" s="94"/>
      <c r="S157" s="32" t="s">
        <v>415</v>
      </c>
      <c r="T157" s="105">
        <v>0</v>
      </c>
      <c r="U157" s="17"/>
      <c r="V157" s="4"/>
    </row>
    <row r="158" spans="1:22" s="3" customFormat="1" ht="18" customHeight="1" x14ac:dyDescent="0.25">
      <c r="A158" s="9">
        <v>154</v>
      </c>
      <c r="B158" s="88">
        <v>9</v>
      </c>
      <c r="C158" s="88">
        <v>150</v>
      </c>
      <c r="D158" s="30"/>
      <c r="E158" s="28"/>
      <c r="F158" s="8" t="s">
        <v>572</v>
      </c>
      <c r="G158" s="8" t="s">
        <v>586</v>
      </c>
      <c r="H158" s="8">
        <v>11</v>
      </c>
      <c r="I158" s="8">
        <v>150</v>
      </c>
      <c r="J158" s="10" t="s">
        <v>607</v>
      </c>
      <c r="K158" s="8"/>
      <c r="L158" s="8"/>
      <c r="M158" s="6"/>
      <c r="N158" s="7"/>
      <c r="O158" s="32">
        <v>8</v>
      </c>
      <c r="P158" s="32">
        <f>O158*23</f>
        <v>184</v>
      </c>
      <c r="Q158" s="102">
        <v>54</v>
      </c>
      <c r="R158" s="94"/>
      <c r="S158" s="32" t="s">
        <v>415</v>
      </c>
      <c r="T158" s="105">
        <v>0</v>
      </c>
      <c r="U158" s="17"/>
      <c r="V158" s="4"/>
    </row>
    <row r="159" spans="1:22" s="3" customFormat="1" ht="18" customHeight="1" x14ac:dyDescent="0.25">
      <c r="A159" s="9">
        <v>155</v>
      </c>
      <c r="B159" s="88">
        <v>11</v>
      </c>
      <c r="C159" s="88">
        <v>250</v>
      </c>
      <c r="D159" s="30"/>
      <c r="E159" s="28"/>
      <c r="F159" s="8" t="s">
        <v>586</v>
      </c>
      <c r="G159" s="8" t="s">
        <v>575</v>
      </c>
      <c r="H159" s="8">
        <v>11</v>
      </c>
      <c r="I159" s="8">
        <v>250</v>
      </c>
      <c r="J159" s="10" t="s">
        <v>608</v>
      </c>
      <c r="K159" s="8"/>
      <c r="L159" s="8"/>
      <c r="M159" s="6"/>
      <c r="N159" s="7"/>
      <c r="O159" s="32">
        <v>10</v>
      </c>
      <c r="P159" s="32">
        <f>O159*40</f>
        <v>400</v>
      </c>
      <c r="Q159" s="102">
        <v>20</v>
      </c>
      <c r="R159" s="94"/>
      <c r="S159" s="32" t="s">
        <v>415</v>
      </c>
      <c r="T159" s="105">
        <v>0</v>
      </c>
      <c r="U159" s="17"/>
      <c r="V159" s="4"/>
    </row>
    <row r="160" spans="1:22" s="3" customFormat="1" ht="18" customHeight="1" x14ac:dyDescent="0.25">
      <c r="A160" s="9">
        <v>156</v>
      </c>
      <c r="B160" s="88">
        <v>17</v>
      </c>
      <c r="C160" s="88">
        <v>200</v>
      </c>
      <c r="D160" s="30"/>
      <c r="E160" s="28"/>
      <c r="F160" s="8" t="s">
        <v>588</v>
      </c>
      <c r="G160" s="8" t="s">
        <v>578</v>
      </c>
      <c r="H160" s="8">
        <v>11</v>
      </c>
      <c r="I160" s="8">
        <v>200</v>
      </c>
      <c r="J160" s="10" t="s">
        <v>609</v>
      </c>
      <c r="K160" s="8"/>
      <c r="L160" s="8"/>
      <c r="M160" s="6"/>
      <c r="N160" s="7"/>
      <c r="O160" s="32">
        <v>7.5</v>
      </c>
      <c r="P160" s="32">
        <f t="shared" ref="P160:P165" si="2">O160*33</f>
        <v>247.5</v>
      </c>
      <c r="Q160" s="102">
        <v>16</v>
      </c>
      <c r="R160" s="94"/>
      <c r="S160" s="32" t="s">
        <v>415</v>
      </c>
      <c r="T160" s="105">
        <v>0</v>
      </c>
      <c r="U160" s="17"/>
      <c r="V160" s="4"/>
    </row>
    <row r="161" spans="1:22" s="3" customFormat="1" ht="18" customHeight="1" x14ac:dyDescent="0.25">
      <c r="A161" s="9">
        <v>157</v>
      </c>
      <c r="B161" s="88">
        <v>22</v>
      </c>
      <c r="C161" s="88">
        <v>200</v>
      </c>
      <c r="D161" s="30"/>
      <c r="E161" s="28"/>
      <c r="F161" s="8" t="s">
        <v>588</v>
      </c>
      <c r="G161" s="8" t="s">
        <v>589</v>
      </c>
      <c r="H161" s="8">
        <v>11</v>
      </c>
      <c r="I161" s="8">
        <v>200</v>
      </c>
      <c r="J161" s="10" t="s">
        <v>610</v>
      </c>
      <c r="K161" s="8"/>
      <c r="L161" s="8"/>
      <c r="M161" s="6"/>
      <c r="N161" s="7"/>
      <c r="O161" s="32">
        <v>3</v>
      </c>
      <c r="P161" s="32">
        <f t="shared" si="2"/>
        <v>99</v>
      </c>
      <c r="Q161" s="102">
        <v>16</v>
      </c>
      <c r="R161" s="94"/>
      <c r="S161" s="32" t="s">
        <v>415</v>
      </c>
      <c r="T161" s="105">
        <v>0</v>
      </c>
      <c r="U161" s="17"/>
      <c r="V161" s="4"/>
    </row>
    <row r="162" spans="1:22" s="3" customFormat="1" ht="18" customHeight="1" x14ac:dyDescent="0.25">
      <c r="A162" s="9">
        <v>158</v>
      </c>
      <c r="B162" s="88">
        <v>19</v>
      </c>
      <c r="C162" s="88">
        <v>200</v>
      </c>
      <c r="D162" s="30"/>
      <c r="E162" s="28"/>
      <c r="F162" s="8" t="s">
        <v>572</v>
      </c>
      <c r="G162" s="8" t="s">
        <v>588</v>
      </c>
      <c r="H162" s="8">
        <v>11</v>
      </c>
      <c r="I162" s="8">
        <v>200</v>
      </c>
      <c r="J162" s="10" t="s">
        <v>611</v>
      </c>
      <c r="K162" s="8"/>
      <c r="L162" s="8"/>
      <c r="M162" s="6"/>
      <c r="N162" s="7"/>
      <c r="O162" s="32">
        <v>6.5</v>
      </c>
      <c r="P162" s="32">
        <f t="shared" si="2"/>
        <v>214.5</v>
      </c>
      <c r="Q162" s="102">
        <v>28</v>
      </c>
      <c r="R162" s="94"/>
      <c r="S162" s="32" t="s">
        <v>415</v>
      </c>
      <c r="T162" s="105">
        <v>0</v>
      </c>
      <c r="U162" s="17"/>
      <c r="V162" s="4"/>
    </row>
    <row r="163" spans="1:22" s="3" customFormat="1" ht="18" customHeight="1" x14ac:dyDescent="0.25">
      <c r="A163" s="9">
        <v>159</v>
      </c>
      <c r="B163" s="88">
        <v>20</v>
      </c>
      <c r="C163" s="88">
        <v>200</v>
      </c>
      <c r="D163" s="30"/>
      <c r="E163" s="28"/>
      <c r="F163" s="8" t="s">
        <v>572</v>
      </c>
      <c r="G163" s="8" t="s">
        <v>588</v>
      </c>
      <c r="H163" s="8">
        <v>11</v>
      </c>
      <c r="I163" s="8">
        <v>200</v>
      </c>
      <c r="J163" s="10" t="s">
        <v>612</v>
      </c>
      <c r="K163" s="8"/>
      <c r="L163" s="8"/>
      <c r="M163" s="6"/>
      <c r="N163" s="7"/>
      <c r="O163" s="32">
        <v>6.5</v>
      </c>
      <c r="P163" s="32">
        <f t="shared" si="2"/>
        <v>214.5</v>
      </c>
      <c r="Q163" s="102">
        <v>28</v>
      </c>
      <c r="R163" s="94"/>
      <c r="S163" s="32" t="s">
        <v>415</v>
      </c>
      <c r="T163" s="105">
        <v>0</v>
      </c>
      <c r="U163" s="17"/>
      <c r="V163" s="4"/>
    </row>
    <row r="164" spans="1:22" s="3" customFormat="1" ht="18" customHeight="1" x14ac:dyDescent="0.25">
      <c r="A164" s="9">
        <v>160</v>
      </c>
      <c r="B164" s="88">
        <v>21</v>
      </c>
      <c r="C164" s="88">
        <v>200</v>
      </c>
      <c r="D164" s="30"/>
      <c r="E164" s="28"/>
      <c r="F164" s="8" t="s">
        <v>590</v>
      </c>
      <c r="G164" s="8" t="s">
        <v>588</v>
      </c>
      <c r="H164" s="8">
        <v>11</v>
      </c>
      <c r="I164" s="8">
        <v>200</v>
      </c>
      <c r="J164" s="10" t="s">
        <v>613</v>
      </c>
      <c r="K164" s="8"/>
      <c r="L164" s="8"/>
      <c r="M164" s="6"/>
      <c r="N164" s="7"/>
      <c r="O164" s="32">
        <v>7</v>
      </c>
      <c r="P164" s="32">
        <f t="shared" si="2"/>
        <v>231</v>
      </c>
      <c r="Q164" s="102">
        <v>16</v>
      </c>
      <c r="R164" s="94"/>
      <c r="S164" s="32" t="s">
        <v>415</v>
      </c>
      <c r="T164" s="105">
        <v>0</v>
      </c>
      <c r="U164" s="17"/>
      <c r="V164" s="4"/>
    </row>
    <row r="165" spans="1:22" s="3" customFormat="1" ht="18" customHeight="1" x14ac:dyDescent="0.25">
      <c r="A165" s="9">
        <v>161</v>
      </c>
      <c r="B165" s="88"/>
      <c r="C165" s="88">
        <v>200</v>
      </c>
      <c r="D165" s="30"/>
      <c r="E165" s="28"/>
      <c r="F165" s="8" t="s">
        <v>591</v>
      </c>
      <c r="G165" s="8" t="s">
        <v>588</v>
      </c>
      <c r="H165" s="8">
        <v>11</v>
      </c>
      <c r="I165" s="8">
        <v>200</v>
      </c>
      <c r="J165" s="10" t="s">
        <v>614</v>
      </c>
      <c r="K165" s="8"/>
      <c r="L165" s="8"/>
      <c r="M165" s="6"/>
      <c r="N165" s="7"/>
      <c r="O165" s="32">
        <v>10.5</v>
      </c>
      <c r="P165" s="32">
        <f t="shared" si="2"/>
        <v>346.5</v>
      </c>
      <c r="Q165" s="102">
        <v>16</v>
      </c>
      <c r="R165" s="94"/>
      <c r="S165" s="32" t="s">
        <v>415</v>
      </c>
      <c r="T165" s="105">
        <v>0</v>
      </c>
      <c r="U165" s="17"/>
      <c r="V165" s="4"/>
    </row>
    <row r="166" spans="1:22" s="3" customFormat="1" ht="18" customHeight="1" x14ac:dyDescent="0.25">
      <c r="A166" s="9">
        <v>162</v>
      </c>
      <c r="B166" s="88">
        <v>18</v>
      </c>
      <c r="C166" s="88">
        <v>250</v>
      </c>
      <c r="D166" s="30"/>
      <c r="E166" s="28"/>
      <c r="F166" s="8" t="s">
        <v>592</v>
      </c>
      <c r="G166" s="8" t="s">
        <v>619</v>
      </c>
      <c r="H166" s="8">
        <v>11</v>
      </c>
      <c r="I166" s="8">
        <v>250</v>
      </c>
      <c r="J166" s="10" t="s">
        <v>615</v>
      </c>
      <c r="K166" s="8"/>
      <c r="L166" s="8"/>
      <c r="M166" s="6"/>
      <c r="N166" s="7"/>
      <c r="O166" s="32">
        <v>7.5</v>
      </c>
      <c r="P166" s="32">
        <f>O166*40</f>
        <v>300</v>
      </c>
      <c r="Q166" s="102">
        <v>16</v>
      </c>
      <c r="R166" s="94"/>
      <c r="S166" s="32" t="s">
        <v>415</v>
      </c>
      <c r="T166" s="105">
        <v>0</v>
      </c>
      <c r="U166" s="17"/>
      <c r="V166" s="4"/>
    </row>
    <row r="167" spans="1:22" s="3" customFormat="1" ht="18" customHeight="1" x14ac:dyDescent="0.25">
      <c r="A167" s="9">
        <v>163</v>
      </c>
      <c r="B167" s="88"/>
      <c r="C167" s="88">
        <v>200</v>
      </c>
      <c r="D167" s="30"/>
      <c r="E167" s="28"/>
      <c r="F167" s="8" t="s">
        <v>593</v>
      </c>
      <c r="G167" s="8" t="s">
        <v>585</v>
      </c>
      <c r="H167" s="8">
        <v>11</v>
      </c>
      <c r="I167" s="8">
        <v>200</v>
      </c>
      <c r="J167" s="10" t="s">
        <v>616</v>
      </c>
      <c r="K167" s="8"/>
      <c r="L167" s="8"/>
      <c r="M167" s="6"/>
      <c r="N167" s="7"/>
      <c r="O167" s="32">
        <v>20</v>
      </c>
      <c r="P167" s="32">
        <f>O167*33</f>
        <v>660</v>
      </c>
      <c r="Q167" s="102">
        <v>24</v>
      </c>
      <c r="R167" s="94"/>
      <c r="S167" s="32" t="s">
        <v>415</v>
      </c>
      <c r="T167" s="105">
        <v>0</v>
      </c>
      <c r="U167" s="17"/>
      <c r="V167" s="4"/>
    </row>
    <row r="168" spans="1:22" s="3" customFormat="1" ht="18" customHeight="1" x14ac:dyDescent="0.25">
      <c r="A168" s="9">
        <v>164</v>
      </c>
      <c r="B168" s="88"/>
      <c r="C168" s="88">
        <v>100</v>
      </c>
      <c r="D168" s="30"/>
      <c r="E168" s="28"/>
      <c r="F168" s="8" t="s">
        <v>341</v>
      </c>
      <c r="G168" s="8" t="s">
        <v>594</v>
      </c>
      <c r="H168" s="8">
        <v>11</v>
      </c>
      <c r="I168" s="8">
        <v>100</v>
      </c>
      <c r="J168" s="10" t="s">
        <v>617</v>
      </c>
      <c r="K168" s="8"/>
      <c r="L168" s="8"/>
      <c r="M168" s="6"/>
      <c r="N168" s="7"/>
      <c r="O168" s="32">
        <v>16.5</v>
      </c>
      <c r="P168" s="32">
        <f>O168*15</f>
        <v>247.5</v>
      </c>
      <c r="Q168" s="102">
        <v>22</v>
      </c>
      <c r="R168" s="94"/>
      <c r="S168" s="32" t="s">
        <v>415</v>
      </c>
      <c r="T168" s="105">
        <v>0</v>
      </c>
      <c r="U168" s="17"/>
      <c r="V168" s="4"/>
    </row>
    <row r="169" spans="1:22" s="3" customFormat="1" ht="18" customHeight="1" x14ac:dyDescent="0.25">
      <c r="A169" s="9">
        <v>165</v>
      </c>
      <c r="B169" s="88"/>
      <c r="C169" s="88">
        <v>100</v>
      </c>
      <c r="D169" s="30"/>
      <c r="E169" s="28"/>
      <c r="F169" s="8" t="s">
        <v>341</v>
      </c>
      <c r="G169" s="8" t="s">
        <v>586</v>
      </c>
      <c r="H169" s="8">
        <v>11</v>
      </c>
      <c r="I169" s="8">
        <v>100</v>
      </c>
      <c r="J169" s="10" t="s">
        <v>618</v>
      </c>
      <c r="K169" s="8"/>
      <c r="L169" s="8"/>
      <c r="M169" s="6"/>
      <c r="N169" s="7"/>
      <c r="O169" s="32">
        <v>6</v>
      </c>
      <c r="P169" s="32">
        <f>O169*15</f>
        <v>90</v>
      </c>
      <c r="Q169" s="102">
        <v>16</v>
      </c>
      <c r="R169" s="94"/>
      <c r="S169" s="32" t="s">
        <v>415</v>
      </c>
      <c r="T169" s="105">
        <v>0</v>
      </c>
      <c r="U169" s="17"/>
      <c r="V169" s="4"/>
    </row>
    <row r="170" spans="1:22" s="3" customFormat="1" ht="18" customHeight="1" x14ac:dyDescent="0.25">
      <c r="A170" s="9">
        <v>166</v>
      </c>
      <c r="B170" s="88">
        <v>5</v>
      </c>
      <c r="C170" s="88">
        <v>200</v>
      </c>
      <c r="D170" s="30"/>
      <c r="E170" s="28"/>
      <c r="F170" s="8"/>
      <c r="G170" s="8"/>
      <c r="H170" s="8"/>
      <c r="I170" s="8"/>
      <c r="J170" s="8"/>
      <c r="K170" s="8"/>
      <c r="L170" s="8"/>
      <c r="M170" s="6"/>
      <c r="N170" s="7"/>
      <c r="O170" s="32"/>
      <c r="P170" s="32"/>
      <c r="Q170" s="102"/>
      <c r="R170" s="94"/>
      <c r="S170" s="17"/>
      <c r="T170" s="105">
        <v>0</v>
      </c>
      <c r="U170" s="17"/>
      <c r="V170" s="4"/>
    </row>
    <row r="171" spans="1:22" s="3" customFormat="1" ht="18" customHeight="1" x14ac:dyDescent="0.25">
      <c r="A171" s="9">
        <v>167</v>
      </c>
      <c r="B171" s="88"/>
      <c r="C171" s="88"/>
      <c r="D171" s="30"/>
      <c r="E171" s="28"/>
      <c r="F171" s="8"/>
      <c r="G171" s="8"/>
      <c r="H171" s="8"/>
      <c r="I171" s="8"/>
      <c r="J171" s="8"/>
      <c r="K171" s="8"/>
      <c r="L171" s="8"/>
      <c r="M171" s="6"/>
      <c r="N171" s="7"/>
      <c r="O171" s="32"/>
      <c r="P171" s="32"/>
      <c r="Q171" s="102"/>
      <c r="R171" s="94"/>
      <c r="S171" s="17"/>
      <c r="T171" s="105">
        <v>0</v>
      </c>
      <c r="U171" s="17"/>
      <c r="V171" s="4"/>
    </row>
    <row r="172" spans="1:22" s="3" customFormat="1" ht="18" customHeight="1" x14ac:dyDescent="0.25">
      <c r="A172" s="9">
        <v>168</v>
      </c>
      <c r="B172" s="88"/>
      <c r="C172" s="88"/>
      <c r="D172" s="30"/>
      <c r="E172" s="28"/>
      <c r="F172" s="8"/>
      <c r="G172" s="8"/>
      <c r="H172" s="8"/>
      <c r="I172" s="8"/>
      <c r="J172" s="8"/>
      <c r="K172" s="8"/>
      <c r="L172" s="8"/>
      <c r="M172" s="6"/>
      <c r="N172" s="7"/>
      <c r="O172" s="32"/>
      <c r="P172" s="32"/>
      <c r="Q172" s="102"/>
      <c r="R172" s="94"/>
      <c r="S172" s="17"/>
      <c r="T172" s="105">
        <v>0</v>
      </c>
      <c r="U172" s="17"/>
      <c r="V172" s="4"/>
    </row>
    <row r="173" spans="1:22" s="3" customFormat="1" ht="18" customHeight="1" x14ac:dyDescent="0.25">
      <c r="A173" s="9">
        <v>169</v>
      </c>
      <c r="B173" s="88"/>
      <c r="C173" s="88"/>
      <c r="D173" s="30"/>
      <c r="E173" s="28"/>
      <c r="F173" s="8"/>
      <c r="G173" s="8"/>
      <c r="H173" s="8"/>
      <c r="I173" s="8"/>
      <c r="J173" s="8"/>
      <c r="K173" s="8"/>
      <c r="L173" s="8"/>
      <c r="M173" s="6"/>
      <c r="N173" s="7"/>
      <c r="O173" s="32"/>
      <c r="P173" s="32"/>
      <c r="Q173" s="102"/>
      <c r="R173" s="94"/>
      <c r="S173" s="17"/>
      <c r="T173" s="105">
        <v>0</v>
      </c>
      <c r="U173" s="17"/>
      <c r="V173" s="4"/>
    </row>
    <row r="174" spans="1:22" s="3" customFormat="1" ht="18" customHeight="1" x14ac:dyDescent="0.25">
      <c r="A174" s="9">
        <v>170</v>
      </c>
      <c r="B174" s="88"/>
      <c r="C174" s="88"/>
      <c r="D174" s="30"/>
      <c r="E174" s="28"/>
      <c r="F174" s="8"/>
      <c r="G174" s="8"/>
      <c r="H174" s="8"/>
      <c r="I174" s="8"/>
      <c r="J174" s="8"/>
      <c r="K174" s="8"/>
      <c r="L174" s="8"/>
      <c r="M174" s="6"/>
      <c r="N174" s="7"/>
      <c r="O174" s="32"/>
      <c r="P174" s="32"/>
      <c r="Q174" s="102"/>
      <c r="R174" s="94"/>
      <c r="S174" s="17"/>
      <c r="T174" s="105">
        <v>0</v>
      </c>
      <c r="U174" s="17"/>
      <c r="V174" s="4"/>
    </row>
    <row r="175" spans="1:22" s="3" customFormat="1" ht="18" customHeight="1" x14ac:dyDescent="0.25">
      <c r="A175" s="9">
        <v>171</v>
      </c>
      <c r="B175" s="88"/>
      <c r="C175" s="88"/>
      <c r="D175" s="30"/>
      <c r="E175" s="28"/>
      <c r="F175" s="8"/>
      <c r="G175" s="8"/>
      <c r="H175" s="8"/>
      <c r="I175" s="8"/>
      <c r="J175" s="8"/>
      <c r="K175" s="8"/>
      <c r="L175" s="8"/>
      <c r="M175" s="6"/>
      <c r="N175" s="7"/>
      <c r="O175" s="32"/>
      <c r="P175" s="32"/>
      <c r="Q175" s="102"/>
      <c r="R175" s="94"/>
      <c r="S175" s="17"/>
      <c r="T175" s="105">
        <v>0</v>
      </c>
      <c r="U175" s="17"/>
      <c r="V175" s="4"/>
    </row>
    <row r="176" spans="1:22" s="3" customFormat="1" ht="18" customHeight="1" x14ac:dyDescent="0.25">
      <c r="A176" s="9">
        <v>172</v>
      </c>
      <c r="B176" s="88"/>
      <c r="C176" s="88"/>
      <c r="D176" s="30"/>
      <c r="E176" s="28"/>
      <c r="F176" s="8"/>
      <c r="G176" s="8"/>
      <c r="H176" s="8"/>
      <c r="I176" s="8"/>
      <c r="J176" s="8"/>
      <c r="K176" s="8"/>
      <c r="L176" s="8"/>
      <c r="M176" s="6"/>
      <c r="N176" s="7"/>
      <c r="O176" s="32"/>
      <c r="P176" s="32"/>
      <c r="Q176" s="102"/>
      <c r="R176" s="94"/>
      <c r="S176" s="17"/>
      <c r="T176" s="105">
        <v>0</v>
      </c>
      <c r="U176" s="17"/>
      <c r="V176" s="4"/>
    </row>
    <row r="177" spans="1:22" s="3" customFormat="1" ht="18" customHeight="1" x14ac:dyDescent="0.25">
      <c r="A177" s="9"/>
      <c r="B177" s="88"/>
      <c r="C177" s="88"/>
      <c r="D177" s="30"/>
      <c r="E177" s="28"/>
      <c r="F177" s="8"/>
      <c r="G177" s="8"/>
      <c r="H177" s="8"/>
      <c r="I177" s="8"/>
      <c r="J177" s="8"/>
      <c r="K177" s="8"/>
      <c r="L177" s="8"/>
      <c r="M177" s="6"/>
      <c r="N177" s="7"/>
      <c r="O177" s="32"/>
      <c r="P177" s="32"/>
      <c r="Q177" s="102"/>
      <c r="R177" s="94"/>
      <c r="S177" s="17"/>
      <c r="T177" s="105">
        <v>0</v>
      </c>
      <c r="U177" s="17"/>
      <c r="V177" s="4"/>
    </row>
    <row r="178" spans="1:22" s="3" customFormat="1" ht="18" customHeight="1" x14ac:dyDescent="0.25">
      <c r="A178" s="9"/>
      <c r="B178" s="88"/>
      <c r="C178" s="88"/>
      <c r="D178" s="30"/>
      <c r="E178" s="28"/>
      <c r="F178" s="8"/>
      <c r="G178" s="8"/>
      <c r="H178" s="8"/>
      <c r="I178" s="8"/>
      <c r="J178" s="8"/>
      <c r="K178" s="8"/>
      <c r="L178" s="8"/>
      <c r="M178" s="6"/>
      <c r="N178" s="7"/>
      <c r="O178" s="32"/>
      <c r="P178" s="32"/>
      <c r="Q178" s="102"/>
      <c r="R178" s="94"/>
      <c r="S178" s="17"/>
      <c r="T178" s="105">
        <v>0</v>
      </c>
      <c r="U178" s="17"/>
      <c r="V178" s="4"/>
    </row>
    <row r="179" spans="1:22" s="3" customFormat="1" ht="18" customHeight="1" x14ac:dyDescent="0.25">
      <c r="A179" s="9"/>
      <c r="B179" s="88"/>
      <c r="C179" s="88"/>
      <c r="D179" s="30"/>
      <c r="E179" s="28"/>
      <c r="F179" s="8"/>
      <c r="G179" s="8"/>
      <c r="H179" s="8"/>
      <c r="I179" s="8"/>
      <c r="J179" s="8"/>
      <c r="K179" s="8"/>
      <c r="L179" s="8"/>
      <c r="M179" s="6"/>
      <c r="N179" s="7"/>
      <c r="O179" s="32"/>
      <c r="P179" s="32"/>
      <c r="Q179" s="102"/>
      <c r="R179" s="94"/>
      <c r="S179" s="17"/>
      <c r="T179" s="105">
        <v>0</v>
      </c>
      <c r="U179" s="17"/>
      <c r="V179" s="4"/>
    </row>
    <row r="180" spans="1:22" s="3" customFormat="1" ht="18" customHeight="1" x14ac:dyDescent="0.25">
      <c r="A180" s="9"/>
      <c r="B180" s="88"/>
      <c r="C180" s="88"/>
      <c r="D180" s="30"/>
      <c r="E180" s="28"/>
      <c r="F180" s="8"/>
      <c r="G180" s="8"/>
      <c r="H180" s="8"/>
      <c r="I180" s="8"/>
      <c r="J180" s="8"/>
      <c r="K180" s="8"/>
      <c r="L180" s="8"/>
      <c r="M180" s="6"/>
      <c r="N180" s="7"/>
      <c r="O180" s="32"/>
      <c r="P180" s="32"/>
      <c r="Q180" s="102"/>
      <c r="R180" s="94"/>
      <c r="S180" s="17"/>
      <c r="T180" s="105">
        <v>0</v>
      </c>
      <c r="U180" s="17"/>
      <c r="V180" s="4"/>
    </row>
    <row r="181" spans="1:22" s="3" customFormat="1" ht="18" customHeight="1" x14ac:dyDescent="0.25">
      <c r="A181" s="9"/>
      <c r="B181" s="88"/>
      <c r="C181" s="88"/>
      <c r="D181" s="30"/>
      <c r="E181" s="28"/>
      <c r="F181" s="8"/>
      <c r="G181" s="8"/>
      <c r="H181" s="8"/>
      <c r="I181" s="8"/>
      <c r="J181" s="8"/>
      <c r="K181" s="8"/>
      <c r="L181" s="8"/>
      <c r="M181" s="6"/>
      <c r="N181" s="7"/>
      <c r="O181" s="32"/>
      <c r="P181" s="32"/>
      <c r="Q181" s="102"/>
      <c r="R181" s="94"/>
      <c r="S181" s="17"/>
      <c r="T181" s="105">
        <v>0</v>
      </c>
      <c r="U181" s="17"/>
      <c r="V181" s="4"/>
    </row>
    <row r="182" spans="1:22" s="3" customFormat="1" ht="18" customHeight="1" x14ac:dyDescent="0.25">
      <c r="A182" s="9"/>
      <c r="B182" s="88"/>
      <c r="C182" s="88"/>
      <c r="D182" s="30"/>
      <c r="E182" s="28"/>
      <c r="F182" s="8"/>
      <c r="G182" s="8"/>
      <c r="H182" s="8"/>
      <c r="I182" s="8"/>
      <c r="J182" s="8"/>
      <c r="K182" s="8"/>
      <c r="L182" s="8"/>
      <c r="M182" s="6"/>
      <c r="N182" s="7"/>
      <c r="O182" s="32"/>
      <c r="P182" s="32"/>
      <c r="Q182" s="102"/>
      <c r="R182" s="94"/>
      <c r="S182" s="17"/>
      <c r="T182" s="105">
        <v>0</v>
      </c>
      <c r="U182" s="17"/>
      <c r="V182" s="4"/>
    </row>
    <row r="183" spans="1:22" s="3" customFormat="1" ht="18" customHeight="1" x14ac:dyDescent="0.25">
      <c r="A183" s="9"/>
      <c r="B183" s="88"/>
      <c r="C183" s="88"/>
      <c r="D183" s="30"/>
      <c r="E183" s="28"/>
      <c r="F183" s="8"/>
      <c r="G183" s="8"/>
      <c r="H183" s="8"/>
      <c r="I183" s="8"/>
      <c r="J183" s="8"/>
      <c r="K183" s="8"/>
      <c r="L183" s="8"/>
      <c r="M183" s="6"/>
      <c r="N183" s="7"/>
      <c r="O183" s="32"/>
      <c r="P183" s="32"/>
      <c r="Q183" s="102"/>
      <c r="R183" s="94"/>
      <c r="S183" s="17"/>
      <c r="T183" s="105">
        <v>0</v>
      </c>
      <c r="U183" s="17"/>
      <c r="V183" s="4"/>
    </row>
    <row r="184" spans="1:22" s="3" customFormat="1" ht="18" customHeight="1" x14ac:dyDescent="0.25">
      <c r="A184" s="9"/>
      <c r="B184" s="88"/>
      <c r="C184" s="88"/>
      <c r="D184" s="30"/>
      <c r="E184" s="28"/>
      <c r="F184" s="8"/>
      <c r="G184" s="8"/>
      <c r="H184" s="8"/>
      <c r="I184" s="8"/>
      <c r="J184" s="8"/>
      <c r="K184" s="8"/>
      <c r="L184" s="8"/>
      <c r="M184" s="6"/>
      <c r="N184" s="7"/>
      <c r="O184" s="32"/>
      <c r="P184" s="32"/>
      <c r="Q184" s="102"/>
      <c r="R184" s="94"/>
      <c r="S184" s="17"/>
      <c r="T184" s="105">
        <v>0</v>
      </c>
      <c r="U184" s="17"/>
      <c r="V184" s="4"/>
    </row>
    <row r="185" spans="1:22" s="3" customFormat="1" ht="18" customHeight="1" x14ac:dyDescent="0.25">
      <c r="A185" s="9"/>
      <c r="B185" s="88"/>
      <c r="C185" s="88"/>
      <c r="D185" s="30"/>
      <c r="E185" s="28"/>
      <c r="F185" s="8"/>
      <c r="G185" s="8"/>
      <c r="H185" s="8"/>
      <c r="I185" s="8"/>
      <c r="J185" s="8"/>
      <c r="K185" s="8"/>
      <c r="L185" s="8"/>
      <c r="M185" s="6"/>
      <c r="N185" s="7"/>
      <c r="O185" s="32"/>
      <c r="P185" s="32"/>
      <c r="Q185" s="102"/>
      <c r="R185" s="94"/>
      <c r="S185" s="17"/>
      <c r="T185" s="105">
        <v>0</v>
      </c>
      <c r="U185" s="17"/>
      <c r="V185" s="4"/>
    </row>
    <row r="186" spans="1:22" s="3" customFormat="1" ht="18" customHeight="1" x14ac:dyDescent="0.25">
      <c r="A186" s="9"/>
      <c r="B186" s="88"/>
      <c r="C186" s="88"/>
      <c r="D186" s="30"/>
      <c r="E186" s="28"/>
      <c r="F186" s="8"/>
      <c r="G186" s="8"/>
      <c r="H186" s="8"/>
      <c r="I186" s="8"/>
      <c r="J186" s="8"/>
      <c r="K186" s="8"/>
      <c r="L186" s="8"/>
      <c r="M186" s="6"/>
      <c r="N186" s="7"/>
      <c r="O186" s="32"/>
      <c r="P186" s="32"/>
      <c r="Q186" s="102"/>
      <c r="R186" s="94"/>
      <c r="S186" s="17"/>
      <c r="T186" s="105">
        <v>0</v>
      </c>
      <c r="U186" s="17"/>
      <c r="V186" s="4"/>
    </row>
    <row r="187" spans="1:22" s="3" customFormat="1" ht="18" customHeight="1" x14ac:dyDescent="0.25">
      <c r="A187" s="9"/>
      <c r="B187" s="88"/>
      <c r="C187" s="88"/>
      <c r="D187" s="30"/>
      <c r="E187" s="28"/>
      <c r="F187" s="8"/>
      <c r="G187" s="8"/>
      <c r="H187" s="8"/>
      <c r="I187" s="8"/>
      <c r="J187" s="8"/>
      <c r="K187" s="8"/>
      <c r="L187" s="8"/>
      <c r="M187" s="6"/>
      <c r="N187" s="7"/>
      <c r="O187" s="32"/>
      <c r="P187" s="32"/>
      <c r="Q187" s="102"/>
      <c r="R187" s="94"/>
      <c r="S187" s="17"/>
      <c r="T187" s="105">
        <v>0</v>
      </c>
      <c r="U187" s="17"/>
      <c r="V187" s="4"/>
    </row>
    <row r="188" spans="1:22" s="3" customFormat="1" ht="18" customHeight="1" x14ac:dyDescent="0.25">
      <c r="A188" s="9"/>
      <c r="B188" s="88"/>
      <c r="C188" s="88"/>
      <c r="D188" s="30"/>
      <c r="E188" s="28"/>
      <c r="F188" s="8"/>
      <c r="G188" s="8"/>
      <c r="H188" s="8"/>
      <c r="I188" s="8"/>
      <c r="J188" s="8"/>
      <c r="K188" s="8"/>
      <c r="L188" s="8"/>
      <c r="M188" s="6"/>
      <c r="N188" s="7"/>
      <c r="O188" s="32"/>
      <c r="P188" s="32"/>
      <c r="Q188" s="102"/>
      <c r="R188" s="94"/>
      <c r="S188" s="17"/>
      <c r="T188" s="105">
        <v>0</v>
      </c>
      <c r="U188" s="17"/>
      <c r="V188" s="4"/>
    </row>
    <row r="189" spans="1:22" s="3" customFormat="1" ht="18" customHeight="1" x14ac:dyDescent="0.25">
      <c r="A189" s="9"/>
      <c r="B189" s="88"/>
      <c r="C189" s="88"/>
      <c r="D189" s="30"/>
      <c r="E189" s="28"/>
      <c r="F189" s="8"/>
      <c r="G189" s="8"/>
      <c r="H189" s="8"/>
      <c r="I189" s="8"/>
      <c r="J189" s="8"/>
      <c r="K189" s="8"/>
      <c r="L189" s="8"/>
      <c r="M189" s="6"/>
      <c r="N189" s="7"/>
      <c r="O189" s="32"/>
      <c r="P189" s="32"/>
      <c r="Q189" s="102"/>
      <c r="R189" s="94"/>
      <c r="S189" s="17"/>
      <c r="T189" s="105">
        <v>0</v>
      </c>
      <c r="U189" s="17"/>
      <c r="V189" s="4"/>
    </row>
    <row r="190" spans="1:22" s="3" customFormat="1" ht="18" customHeight="1" x14ac:dyDescent="0.25">
      <c r="A190" s="9"/>
      <c r="B190" s="88"/>
      <c r="C190" s="88"/>
      <c r="D190" s="30"/>
      <c r="E190" s="28"/>
      <c r="F190" s="8"/>
      <c r="G190" s="8"/>
      <c r="H190" s="8"/>
      <c r="I190" s="8"/>
      <c r="J190" s="8"/>
      <c r="K190" s="8"/>
      <c r="L190" s="8"/>
      <c r="M190" s="6"/>
      <c r="N190" s="7"/>
      <c r="O190" s="32"/>
      <c r="P190" s="32"/>
      <c r="Q190" s="102"/>
      <c r="R190" s="94"/>
      <c r="S190" s="17"/>
      <c r="T190" s="105">
        <v>0</v>
      </c>
      <c r="U190" s="17"/>
      <c r="V190" s="4"/>
    </row>
    <row r="191" spans="1:22" s="3" customFormat="1" ht="18" customHeight="1" x14ac:dyDescent="0.25">
      <c r="A191" s="9"/>
      <c r="B191" s="88"/>
      <c r="C191" s="88"/>
      <c r="D191" s="30"/>
      <c r="E191" s="28"/>
      <c r="F191" s="8"/>
      <c r="G191" s="8"/>
      <c r="H191" s="8"/>
      <c r="I191" s="8"/>
      <c r="J191" s="8"/>
      <c r="K191" s="8"/>
      <c r="L191" s="8"/>
      <c r="M191" s="6"/>
      <c r="N191" s="7"/>
      <c r="O191" s="32"/>
      <c r="P191" s="32"/>
      <c r="Q191" s="102"/>
      <c r="R191" s="94"/>
      <c r="S191" s="17"/>
      <c r="T191" s="105">
        <v>0</v>
      </c>
      <c r="U191" s="17"/>
      <c r="V191" s="4"/>
    </row>
    <row r="192" spans="1:22" s="3" customFormat="1" ht="18" customHeight="1" x14ac:dyDescent="0.25">
      <c r="A192" s="9"/>
      <c r="B192" s="88"/>
      <c r="C192" s="88"/>
      <c r="D192" s="30"/>
      <c r="E192" s="28"/>
      <c r="F192" s="8"/>
      <c r="G192" s="8"/>
      <c r="H192" s="8"/>
      <c r="I192" s="8"/>
      <c r="J192" s="8"/>
      <c r="K192" s="8"/>
      <c r="L192" s="8"/>
      <c r="M192" s="6"/>
      <c r="N192" s="7"/>
      <c r="O192" s="32"/>
      <c r="P192" s="32"/>
      <c r="Q192" s="102"/>
      <c r="R192" s="94"/>
      <c r="S192" s="17"/>
      <c r="T192" s="105">
        <v>0</v>
      </c>
      <c r="U192" s="17"/>
      <c r="V192" s="4"/>
    </row>
    <row r="193" spans="1:22" s="3" customFormat="1" ht="18" customHeight="1" x14ac:dyDescent="0.25">
      <c r="A193" s="9"/>
      <c r="B193" s="88"/>
      <c r="C193" s="88"/>
      <c r="D193" s="30"/>
      <c r="E193" s="28"/>
      <c r="F193" s="8"/>
      <c r="G193" s="8"/>
      <c r="H193" s="8"/>
      <c r="I193" s="8"/>
      <c r="J193" s="8"/>
      <c r="K193" s="8"/>
      <c r="L193" s="8"/>
      <c r="M193" s="6"/>
      <c r="N193" s="7"/>
      <c r="O193" s="32"/>
      <c r="P193" s="32"/>
      <c r="Q193" s="102"/>
      <c r="R193" s="94"/>
      <c r="S193" s="17"/>
      <c r="T193" s="105">
        <v>0</v>
      </c>
      <c r="U193" s="17"/>
      <c r="V193" s="4"/>
    </row>
    <row r="194" spans="1:22" s="3" customFormat="1" ht="18" customHeight="1" x14ac:dyDescent="0.25">
      <c r="A194" s="9"/>
      <c r="B194" s="88"/>
      <c r="C194" s="88"/>
      <c r="D194" s="30"/>
      <c r="E194" s="28"/>
      <c r="F194" s="8"/>
      <c r="G194" s="8"/>
      <c r="H194" s="8"/>
      <c r="I194" s="8"/>
      <c r="J194" s="8"/>
      <c r="K194" s="8"/>
      <c r="L194" s="8"/>
      <c r="M194" s="6"/>
      <c r="N194" s="7"/>
      <c r="O194" s="32"/>
      <c r="P194" s="32"/>
      <c r="Q194" s="102"/>
      <c r="R194" s="94"/>
      <c r="S194" s="17"/>
      <c r="T194" s="105">
        <v>0</v>
      </c>
      <c r="U194" s="17"/>
      <c r="V194" s="4"/>
    </row>
    <row r="195" spans="1:22" s="3" customFormat="1" ht="18" customHeight="1" x14ac:dyDescent="0.25">
      <c r="A195" s="9"/>
      <c r="B195" s="88"/>
      <c r="C195" s="88"/>
      <c r="D195" s="30"/>
      <c r="E195" s="28"/>
      <c r="F195" s="8"/>
      <c r="G195" s="8"/>
      <c r="H195" s="8"/>
      <c r="I195" s="8"/>
      <c r="J195" s="8"/>
      <c r="K195" s="8"/>
      <c r="L195" s="8"/>
      <c r="M195" s="6"/>
      <c r="N195" s="7"/>
      <c r="O195" s="32"/>
      <c r="P195" s="32"/>
      <c r="Q195" s="102"/>
      <c r="R195" s="94"/>
      <c r="S195" s="17"/>
      <c r="T195" s="105">
        <v>0</v>
      </c>
      <c r="U195" s="17"/>
      <c r="V195" s="4"/>
    </row>
    <row r="196" spans="1:22" s="3" customFormat="1" ht="18" customHeight="1" x14ac:dyDescent="0.25">
      <c r="A196" s="9"/>
      <c r="B196" s="88"/>
      <c r="C196" s="88"/>
      <c r="D196" s="30"/>
      <c r="E196" s="28"/>
      <c r="F196" s="8"/>
      <c r="G196" s="8"/>
      <c r="H196" s="8"/>
      <c r="I196" s="8"/>
      <c r="J196" s="8"/>
      <c r="K196" s="8"/>
      <c r="L196" s="8"/>
      <c r="M196" s="6"/>
      <c r="N196" s="7"/>
      <c r="O196" s="32"/>
      <c r="P196" s="32"/>
      <c r="Q196" s="102"/>
      <c r="R196" s="94"/>
      <c r="S196" s="17"/>
      <c r="T196" s="105">
        <v>0</v>
      </c>
      <c r="U196" s="17"/>
      <c r="V196" s="4"/>
    </row>
    <row r="197" spans="1:22" s="3" customFormat="1" ht="18" customHeight="1" x14ac:dyDescent="0.25">
      <c r="A197" s="9"/>
      <c r="B197" s="88"/>
      <c r="C197" s="88"/>
      <c r="D197" s="30"/>
      <c r="E197" s="28"/>
      <c r="F197" s="8"/>
      <c r="G197" s="8"/>
      <c r="H197" s="8"/>
      <c r="I197" s="8"/>
      <c r="J197" s="8"/>
      <c r="K197" s="8"/>
      <c r="L197" s="8"/>
      <c r="M197" s="6"/>
      <c r="N197" s="7"/>
      <c r="O197" s="32"/>
      <c r="P197" s="32"/>
      <c r="Q197" s="102"/>
      <c r="R197" s="94"/>
      <c r="S197" s="17"/>
      <c r="T197" s="105">
        <v>0</v>
      </c>
      <c r="U197" s="17"/>
      <c r="V197" s="4"/>
    </row>
    <row r="198" spans="1:22" s="3" customFormat="1" ht="18" customHeight="1" x14ac:dyDescent="0.25">
      <c r="A198" s="9"/>
      <c r="B198" s="88"/>
      <c r="C198" s="88"/>
      <c r="D198" s="30"/>
      <c r="E198" s="28"/>
      <c r="F198" s="8"/>
      <c r="G198" s="8"/>
      <c r="H198" s="8"/>
      <c r="I198" s="8"/>
      <c r="J198" s="8"/>
      <c r="K198" s="8"/>
      <c r="L198" s="8"/>
      <c r="M198" s="6"/>
      <c r="N198" s="7"/>
      <c r="O198" s="32"/>
      <c r="P198" s="32"/>
      <c r="Q198" s="102"/>
      <c r="R198" s="94"/>
      <c r="S198" s="17"/>
      <c r="T198" s="105">
        <v>0</v>
      </c>
      <c r="U198" s="17"/>
      <c r="V198" s="4"/>
    </row>
    <row r="199" spans="1:22" s="3" customFormat="1" ht="18" customHeight="1" x14ac:dyDescent="0.25">
      <c r="A199" s="9"/>
      <c r="B199" s="88"/>
      <c r="C199" s="88"/>
      <c r="D199" s="30"/>
      <c r="E199" s="28"/>
      <c r="F199" s="8"/>
      <c r="G199" s="8"/>
      <c r="H199" s="8"/>
      <c r="I199" s="8"/>
      <c r="J199" s="8"/>
      <c r="K199" s="8"/>
      <c r="L199" s="8"/>
      <c r="M199" s="6"/>
      <c r="N199" s="7"/>
      <c r="O199" s="32"/>
      <c r="P199" s="32"/>
      <c r="Q199" s="102"/>
      <c r="R199" s="94"/>
      <c r="S199" s="17"/>
      <c r="T199" s="105">
        <v>0</v>
      </c>
      <c r="U199" s="17"/>
      <c r="V199" s="4"/>
    </row>
    <row r="200" spans="1:22" s="3" customFormat="1" ht="18" customHeight="1" x14ac:dyDescent="0.25">
      <c r="A200" s="9"/>
      <c r="B200" s="88"/>
      <c r="C200" s="88"/>
      <c r="D200" s="30"/>
      <c r="E200" s="28"/>
      <c r="F200" s="8"/>
      <c r="G200" s="8"/>
      <c r="H200" s="8"/>
      <c r="I200" s="8"/>
      <c r="J200" s="8"/>
      <c r="K200" s="8"/>
      <c r="L200" s="8"/>
      <c r="M200" s="6"/>
      <c r="N200" s="7"/>
      <c r="O200" s="32"/>
      <c r="P200" s="32"/>
      <c r="Q200" s="102"/>
      <c r="R200" s="94"/>
      <c r="S200" s="17"/>
      <c r="T200" s="105">
        <v>0</v>
      </c>
      <c r="U200" s="17"/>
      <c r="V200" s="4"/>
    </row>
    <row r="201" spans="1:22" s="3" customFormat="1" ht="18" customHeight="1" x14ac:dyDescent="0.25">
      <c r="A201" s="9"/>
      <c r="B201" s="88"/>
      <c r="C201" s="88"/>
      <c r="D201" s="30"/>
      <c r="E201" s="28"/>
      <c r="F201" s="8"/>
      <c r="G201" s="8"/>
      <c r="H201" s="8"/>
      <c r="I201" s="8"/>
      <c r="J201" s="8"/>
      <c r="K201" s="8"/>
      <c r="L201" s="8"/>
      <c r="M201" s="6"/>
      <c r="N201" s="7"/>
      <c r="O201" s="32"/>
      <c r="P201" s="32"/>
      <c r="Q201" s="102"/>
      <c r="R201" s="94"/>
      <c r="S201" s="17"/>
      <c r="T201" s="105">
        <v>0</v>
      </c>
      <c r="U201" s="17"/>
      <c r="V201" s="4"/>
    </row>
    <row r="202" spans="1:22" s="3" customFormat="1" ht="18" customHeight="1" x14ac:dyDescent="0.25">
      <c r="A202" s="9"/>
      <c r="B202" s="88"/>
      <c r="C202" s="88"/>
      <c r="D202" s="30"/>
      <c r="E202" s="28"/>
      <c r="F202" s="8"/>
      <c r="G202" s="8"/>
      <c r="H202" s="8"/>
      <c r="I202" s="8"/>
      <c r="J202" s="8"/>
      <c r="K202" s="8"/>
      <c r="L202" s="8"/>
      <c r="M202" s="6"/>
      <c r="N202" s="7"/>
      <c r="O202" s="32"/>
      <c r="P202" s="32"/>
      <c r="Q202" s="102"/>
      <c r="R202" s="94"/>
      <c r="S202" s="17"/>
      <c r="T202" s="105">
        <v>0</v>
      </c>
      <c r="U202" s="17"/>
      <c r="V202" s="4"/>
    </row>
    <row r="203" spans="1:22" s="3" customFormat="1" ht="18" customHeight="1" x14ac:dyDescent="0.25">
      <c r="A203" s="9"/>
      <c r="B203" s="88"/>
      <c r="C203" s="88"/>
      <c r="D203" s="30"/>
      <c r="E203" s="28"/>
      <c r="F203" s="8"/>
      <c r="G203" s="8"/>
      <c r="H203" s="8"/>
      <c r="I203" s="8"/>
      <c r="J203" s="8"/>
      <c r="K203" s="8"/>
      <c r="L203" s="8"/>
      <c r="M203" s="6"/>
      <c r="N203" s="7"/>
      <c r="O203" s="32"/>
      <c r="P203" s="32"/>
      <c r="Q203" s="102"/>
      <c r="R203" s="94"/>
      <c r="S203" s="17"/>
      <c r="T203" s="105">
        <v>0</v>
      </c>
      <c r="U203" s="17"/>
      <c r="V203" s="4"/>
    </row>
    <row r="204" spans="1:22" s="3" customFormat="1" ht="18" customHeight="1" x14ac:dyDescent="0.25">
      <c r="A204" s="9"/>
      <c r="B204" s="88"/>
      <c r="C204" s="88"/>
      <c r="D204" s="30"/>
      <c r="E204" s="28"/>
      <c r="F204" s="8"/>
      <c r="G204" s="8"/>
      <c r="H204" s="8"/>
      <c r="I204" s="8"/>
      <c r="J204" s="8"/>
      <c r="K204" s="8"/>
      <c r="L204" s="8"/>
      <c r="M204" s="6"/>
      <c r="N204" s="7"/>
      <c r="O204" s="32"/>
      <c r="P204" s="32"/>
      <c r="Q204" s="5"/>
      <c r="R204" s="94"/>
      <c r="S204" s="17"/>
      <c r="T204" s="105">
        <v>0</v>
      </c>
      <c r="U204" s="17"/>
      <c r="V204" s="4"/>
    </row>
    <row r="205" spans="1:22" s="3" customFormat="1" ht="18" customHeight="1" x14ac:dyDescent="0.25">
      <c r="A205" s="9"/>
      <c r="B205" s="88"/>
      <c r="C205" s="88"/>
      <c r="D205" s="30"/>
      <c r="E205" s="28"/>
      <c r="F205" s="8"/>
      <c r="G205" s="8"/>
      <c r="H205" s="8"/>
      <c r="I205" s="8"/>
      <c r="J205" s="8"/>
      <c r="K205" s="8"/>
      <c r="L205" s="8"/>
      <c r="M205" s="6"/>
      <c r="N205" s="7"/>
      <c r="O205" s="32"/>
      <c r="P205" s="32"/>
      <c r="Q205" s="5"/>
      <c r="R205" s="94"/>
      <c r="S205" s="17"/>
      <c r="T205" s="105">
        <v>0</v>
      </c>
      <c r="U205" s="17"/>
      <c r="V205" s="4"/>
    </row>
    <row r="206" spans="1:22" s="3" customFormat="1" ht="18" customHeight="1" x14ac:dyDescent="0.25">
      <c r="A206" s="9"/>
      <c r="B206" s="88"/>
      <c r="C206" s="88"/>
      <c r="D206" s="30"/>
      <c r="E206" s="28"/>
      <c r="F206" s="8"/>
      <c r="G206" s="8"/>
      <c r="H206" s="8"/>
      <c r="I206" s="8"/>
      <c r="J206" s="8"/>
      <c r="K206" s="8"/>
      <c r="L206" s="8"/>
      <c r="M206" s="6"/>
      <c r="N206" s="7"/>
      <c r="O206" s="32"/>
      <c r="P206" s="32"/>
      <c r="Q206" s="5"/>
      <c r="R206" s="94"/>
      <c r="S206" s="17"/>
      <c r="T206" s="105">
        <v>0</v>
      </c>
      <c r="U206" s="17"/>
      <c r="V206" s="4"/>
    </row>
    <row r="207" spans="1:22" s="3" customFormat="1" ht="18" customHeight="1" x14ac:dyDescent="0.25">
      <c r="A207" s="9"/>
      <c r="B207" s="88"/>
      <c r="C207" s="88"/>
      <c r="D207" s="30"/>
      <c r="E207" s="28"/>
      <c r="F207" s="8"/>
      <c r="G207" s="8"/>
      <c r="H207" s="8"/>
      <c r="I207" s="8"/>
      <c r="J207" s="8"/>
      <c r="K207" s="8"/>
      <c r="L207" s="8"/>
      <c r="M207" s="6"/>
      <c r="N207" s="7"/>
      <c r="O207" s="32"/>
      <c r="P207" s="32"/>
      <c r="Q207" s="5"/>
      <c r="R207" s="94"/>
      <c r="S207" s="17"/>
      <c r="T207" s="105">
        <v>0</v>
      </c>
      <c r="U207" s="17"/>
      <c r="V207" s="4"/>
    </row>
    <row r="208" spans="1:22" s="3" customFormat="1" ht="18" customHeight="1" x14ac:dyDescent="0.25">
      <c r="A208" s="9"/>
      <c r="B208" s="88"/>
      <c r="C208" s="88"/>
      <c r="D208" s="30"/>
      <c r="E208" s="28"/>
      <c r="F208" s="8"/>
      <c r="G208" s="8"/>
      <c r="H208" s="8"/>
      <c r="I208" s="8"/>
      <c r="J208" s="8"/>
      <c r="K208" s="8"/>
      <c r="L208" s="8"/>
      <c r="M208" s="6"/>
      <c r="N208" s="7"/>
      <c r="O208" s="32"/>
      <c r="P208" s="32"/>
      <c r="Q208" s="5"/>
      <c r="R208" s="94"/>
      <c r="S208" s="17"/>
      <c r="T208" s="105">
        <v>0</v>
      </c>
      <c r="U208" s="17"/>
      <c r="V208" s="4"/>
    </row>
    <row r="209" spans="1:22" s="3" customFormat="1" ht="18" customHeight="1" x14ac:dyDescent="0.25">
      <c r="A209" s="9"/>
      <c r="B209" s="88"/>
      <c r="C209" s="88"/>
      <c r="D209" s="30"/>
      <c r="E209" s="28"/>
      <c r="F209" s="8"/>
      <c r="G209" s="8"/>
      <c r="H209" s="8"/>
      <c r="I209" s="8"/>
      <c r="J209" s="8"/>
      <c r="K209" s="8"/>
      <c r="L209" s="8"/>
      <c r="M209" s="6"/>
      <c r="N209" s="7"/>
      <c r="O209" s="32"/>
      <c r="P209" s="32"/>
      <c r="Q209" s="5"/>
      <c r="R209" s="94"/>
      <c r="S209" s="17"/>
      <c r="T209" s="105">
        <v>0</v>
      </c>
      <c r="U209" s="17"/>
      <c r="V209" s="4"/>
    </row>
    <row r="210" spans="1:22" s="3" customFormat="1" ht="18" customHeight="1" x14ac:dyDescent="0.25">
      <c r="A210" s="9"/>
      <c r="B210" s="88"/>
      <c r="C210" s="88"/>
      <c r="D210" s="30"/>
      <c r="E210" s="28"/>
      <c r="F210" s="8"/>
      <c r="G210" s="8"/>
      <c r="H210" s="8"/>
      <c r="I210" s="8"/>
      <c r="J210" s="8"/>
      <c r="K210" s="8"/>
      <c r="L210" s="8"/>
      <c r="M210" s="6"/>
      <c r="N210" s="7"/>
      <c r="O210" s="32"/>
      <c r="P210" s="32"/>
      <c r="Q210" s="5"/>
      <c r="R210" s="94"/>
      <c r="S210" s="17"/>
      <c r="T210" s="105">
        <v>0</v>
      </c>
      <c r="U210" s="17"/>
      <c r="V210" s="4"/>
    </row>
    <row r="211" spans="1:22" s="3" customFormat="1" ht="18" customHeight="1" x14ac:dyDescent="0.25">
      <c r="A211" s="9"/>
      <c r="B211" s="88"/>
      <c r="C211" s="88"/>
      <c r="D211" s="30"/>
      <c r="E211" s="28"/>
      <c r="F211" s="8"/>
      <c r="G211" s="8"/>
      <c r="H211" s="8"/>
      <c r="I211" s="8"/>
      <c r="J211" s="8"/>
      <c r="K211" s="8"/>
      <c r="L211" s="8"/>
      <c r="M211" s="6"/>
      <c r="N211" s="7"/>
      <c r="O211" s="32"/>
      <c r="P211" s="32"/>
      <c r="Q211" s="5"/>
      <c r="R211" s="94"/>
      <c r="S211" s="17"/>
      <c r="T211" s="105">
        <v>0</v>
      </c>
      <c r="U211" s="17"/>
      <c r="V211" s="4"/>
    </row>
    <row r="212" spans="1:22" s="3" customFormat="1" ht="18" customHeight="1" x14ac:dyDescent="0.25">
      <c r="A212" s="9"/>
      <c r="B212" s="88"/>
      <c r="C212" s="88"/>
      <c r="D212" s="30"/>
      <c r="E212" s="28"/>
      <c r="F212" s="8"/>
      <c r="G212" s="8"/>
      <c r="H212" s="8"/>
      <c r="I212" s="8"/>
      <c r="J212" s="8"/>
      <c r="K212" s="8"/>
      <c r="L212" s="8"/>
      <c r="M212" s="6"/>
      <c r="N212" s="7"/>
      <c r="O212" s="32"/>
      <c r="P212" s="32"/>
      <c r="Q212" s="5"/>
      <c r="R212" s="94"/>
      <c r="S212" s="17"/>
      <c r="T212" s="105">
        <v>0</v>
      </c>
      <c r="U212" s="17"/>
      <c r="V212" s="4"/>
    </row>
    <row r="213" spans="1:22" s="3" customFormat="1" ht="18" customHeight="1" x14ac:dyDescent="0.25">
      <c r="A213" s="9"/>
      <c r="B213" s="88"/>
      <c r="C213" s="88"/>
      <c r="D213" s="30"/>
      <c r="E213" s="28"/>
      <c r="F213" s="8"/>
      <c r="G213" s="8"/>
      <c r="H213" s="8"/>
      <c r="I213" s="8"/>
      <c r="J213" s="8"/>
      <c r="K213" s="8"/>
      <c r="L213" s="8"/>
      <c r="M213" s="6"/>
      <c r="N213" s="7"/>
      <c r="O213" s="32"/>
      <c r="P213" s="32"/>
      <c r="Q213" s="5"/>
      <c r="R213" s="94"/>
      <c r="S213" s="17"/>
      <c r="T213" s="105">
        <v>0</v>
      </c>
      <c r="U213" s="17"/>
      <c r="V213" s="4"/>
    </row>
    <row r="214" spans="1:22" s="3" customFormat="1" ht="18" customHeight="1" x14ac:dyDescent="0.25">
      <c r="A214" s="9"/>
      <c r="B214" s="88"/>
      <c r="C214" s="88"/>
      <c r="D214" s="30"/>
      <c r="E214" s="28"/>
      <c r="F214" s="8"/>
      <c r="G214" s="8"/>
      <c r="H214" s="8"/>
      <c r="I214" s="8"/>
      <c r="J214" s="8"/>
      <c r="K214" s="8"/>
      <c r="L214" s="8"/>
      <c r="M214" s="6"/>
      <c r="N214" s="7"/>
      <c r="O214" s="32"/>
      <c r="P214" s="32"/>
      <c r="Q214" s="5"/>
      <c r="R214" s="94"/>
      <c r="S214" s="17"/>
      <c r="T214" s="105">
        <v>0</v>
      </c>
      <c r="U214" s="17"/>
      <c r="V214" s="4"/>
    </row>
    <row r="215" spans="1:22" s="3" customFormat="1" ht="18" customHeight="1" x14ac:dyDescent="0.25">
      <c r="A215" s="9"/>
      <c r="B215" s="88"/>
      <c r="C215" s="88"/>
      <c r="D215" s="30"/>
      <c r="E215" s="28"/>
      <c r="F215" s="8"/>
      <c r="G215" s="8"/>
      <c r="H215" s="8"/>
      <c r="I215" s="8"/>
      <c r="J215" s="8"/>
      <c r="K215" s="8"/>
      <c r="L215" s="8"/>
      <c r="M215" s="6"/>
      <c r="N215" s="7"/>
      <c r="O215" s="32"/>
      <c r="P215" s="32"/>
      <c r="Q215" s="5"/>
      <c r="R215" s="94"/>
      <c r="S215" s="17"/>
      <c r="T215" s="105">
        <v>0</v>
      </c>
      <c r="U215" s="17"/>
      <c r="V215" s="4"/>
    </row>
    <row r="216" spans="1:22" s="3" customFormat="1" ht="18" customHeight="1" x14ac:dyDescent="0.25">
      <c r="A216" s="9"/>
      <c r="B216" s="88"/>
      <c r="C216" s="88"/>
      <c r="D216" s="30"/>
      <c r="E216" s="28"/>
      <c r="F216" s="8"/>
      <c r="G216" s="8"/>
      <c r="H216" s="8"/>
      <c r="I216" s="8"/>
      <c r="J216" s="8"/>
      <c r="K216" s="8"/>
      <c r="L216" s="8"/>
      <c r="M216" s="6"/>
      <c r="N216" s="7"/>
      <c r="O216" s="32"/>
      <c r="P216" s="32"/>
      <c r="Q216" s="5"/>
      <c r="R216" s="94"/>
      <c r="S216" s="17"/>
      <c r="T216" s="105">
        <v>0</v>
      </c>
      <c r="U216" s="17"/>
      <c r="V216" s="4"/>
    </row>
    <row r="217" spans="1:22" s="3" customFormat="1" ht="18" customHeight="1" x14ac:dyDescent="0.25">
      <c r="A217" s="9"/>
      <c r="B217" s="88"/>
      <c r="C217" s="88"/>
      <c r="D217" s="30"/>
      <c r="E217" s="28"/>
      <c r="F217" s="8"/>
      <c r="G217" s="8"/>
      <c r="H217" s="8"/>
      <c r="I217" s="8"/>
      <c r="J217" s="8"/>
      <c r="K217" s="8"/>
      <c r="L217" s="8"/>
      <c r="M217" s="6"/>
      <c r="N217" s="7"/>
      <c r="O217" s="32"/>
      <c r="P217" s="32"/>
      <c r="Q217" s="5"/>
      <c r="R217" s="94"/>
      <c r="S217" s="17"/>
      <c r="T217" s="105">
        <v>0</v>
      </c>
      <c r="U217" s="17"/>
      <c r="V217" s="4"/>
    </row>
    <row r="218" spans="1:22" s="3" customFormat="1" ht="18" customHeight="1" x14ac:dyDescent="0.25">
      <c r="A218" s="9"/>
      <c r="B218" s="88"/>
      <c r="C218" s="88"/>
      <c r="D218" s="30"/>
      <c r="E218" s="28"/>
      <c r="F218" s="8"/>
      <c r="G218" s="8"/>
      <c r="H218" s="8"/>
      <c r="I218" s="8"/>
      <c r="J218" s="8"/>
      <c r="K218" s="8"/>
      <c r="L218" s="8"/>
      <c r="M218" s="6"/>
      <c r="N218" s="7"/>
      <c r="O218" s="32"/>
      <c r="P218" s="32"/>
      <c r="Q218" s="5"/>
      <c r="R218" s="94"/>
      <c r="S218" s="17"/>
      <c r="T218" s="105">
        <v>0</v>
      </c>
      <c r="U218" s="17"/>
      <c r="V218" s="4"/>
    </row>
    <row r="219" spans="1:22" s="3" customFormat="1" ht="18" customHeight="1" x14ac:dyDescent="0.25">
      <c r="A219" s="9"/>
      <c r="B219" s="88"/>
      <c r="C219" s="88"/>
      <c r="D219" s="30"/>
      <c r="E219" s="28"/>
      <c r="F219" s="8"/>
      <c r="G219" s="8"/>
      <c r="H219" s="8"/>
      <c r="I219" s="8"/>
      <c r="J219" s="8"/>
      <c r="K219" s="8"/>
      <c r="L219" s="8"/>
      <c r="M219" s="6"/>
      <c r="N219" s="7"/>
      <c r="O219" s="32"/>
      <c r="P219" s="32"/>
      <c r="Q219" s="5"/>
      <c r="R219" s="94"/>
      <c r="S219" s="17"/>
      <c r="T219" s="105">
        <v>0</v>
      </c>
      <c r="U219" s="17"/>
      <c r="V219" s="4"/>
    </row>
    <row r="220" spans="1:22" s="3" customFormat="1" ht="18" customHeight="1" x14ac:dyDescent="0.25">
      <c r="A220" s="9"/>
      <c r="B220" s="88"/>
      <c r="C220" s="88"/>
      <c r="D220" s="30"/>
      <c r="E220" s="28"/>
      <c r="F220" s="8"/>
      <c r="G220" s="8"/>
      <c r="H220" s="8"/>
      <c r="I220" s="8"/>
      <c r="J220" s="8"/>
      <c r="K220" s="8"/>
      <c r="L220" s="8"/>
      <c r="M220" s="6"/>
      <c r="N220" s="7"/>
      <c r="O220" s="32"/>
      <c r="P220" s="32"/>
      <c r="Q220" s="5"/>
      <c r="R220" s="94"/>
      <c r="S220" s="17"/>
      <c r="T220" s="105">
        <v>0</v>
      </c>
      <c r="U220" s="17"/>
      <c r="V220" s="4"/>
    </row>
    <row r="221" spans="1:22" s="3" customFormat="1" ht="18" customHeight="1" x14ac:dyDescent="0.25">
      <c r="A221" s="9"/>
      <c r="B221" s="88"/>
      <c r="C221" s="88"/>
      <c r="D221" s="30"/>
      <c r="E221" s="28"/>
      <c r="F221" s="8"/>
      <c r="G221" s="8"/>
      <c r="H221" s="8"/>
      <c r="I221" s="8"/>
      <c r="J221" s="8"/>
      <c r="K221" s="8"/>
      <c r="L221" s="8"/>
      <c r="M221" s="6"/>
      <c r="N221" s="7"/>
      <c r="O221" s="32"/>
      <c r="P221" s="32"/>
      <c r="Q221" s="5"/>
      <c r="R221" s="94"/>
      <c r="S221" s="17"/>
      <c r="T221" s="105">
        <v>0</v>
      </c>
      <c r="U221" s="17"/>
      <c r="V221" s="4"/>
    </row>
    <row r="222" spans="1:22" s="3" customFormat="1" ht="18" customHeight="1" x14ac:dyDescent="0.25">
      <c r="A222" s="9"/>
      <c r="B222" s="88"/>
      <c r="C222" s="88"/>
      <c r="D222" s="30"/>
      <c r="E222" s="28"/>
      <c r="F222" s="8"/>
      <c r="G222" s="8"/>
      <c r="H222" s="8"/>
      <c r="I222" s="8"/>
      <c r="J222" s="8"/>
      <c r="K222" s="8"/>
      <c r="L222" s="8"/>
      <c r="M222" s="6"/>
      <c r="N222" s="7"/>
      <c r="O222" s="32"/>
      <c r="P222" s="32"/>
      <c r="Q222" s="5"/>
      <c r="R222" s="94"/>
      <c r="S222" s="17"/>
      <c r="T222" s="105">
        <v>0</v>
      </c>
      <c r="U222" s="17"/>
      <c r="V222" s="4"/>
    </row>
    <row r="223" spans="1:22" s="3" customFormat="1" ht="18" customHeight="1" x14ac:dyDescent="0.25">
      <c r="A223" s="9"/>
      <c r="B223" s="88"/>
      <c r="C223" s="88"/>
      <c r="D223" s="30"/>
      <c r="E223" s="28"/>
      <c r="F223" s="8"/>
      <c r="G223" s="8"/>
      <c r="H223" s="8"/>
      <c r="I223" s="8"/>
      <c r="J223" s="8"/>
      <c r="K223" s="8"/>
      <c r="L223" s="8"/>
      <c r="M223" s="6"/>
      <c r="N223" s="7"/>
      <c r="O223" s="32"/>
      <c r="P223" s="32"/>
      <c r="Q223" s="5"/>
      <c r="R223" s="94"/>
      <c r="S223" s="17"/>
      <c r="T223" s="105">
        <v>0</v>
      </c>
      <c r="U223" s="17"/>
      <c r="V223" s="4"/>
    </row>
    <row r="224" spans="1:22" s="3" customFormat="1" ht="18" customHeight="1" x14ac:dyDescent="0.25">
      <c r="A224" s="9"/>
      <c r="B224" s="88"/>
      <c r="C224" s="88"/>
      <c r="D224" s="30"/>
      <c r="E224" s="28"/>
      <c r="F224" s="8"/>
      <c r="G224" s="8"/>
      <c r="H224" s="8"/>
      <c r="I224" s="8"/>
      <c r="J224" s="8"/>
      <c r="K224" s="8"/>
      <c r="L224" s="8"/>
      <c r="M224" s="6"/>
      <c r="N224" s="7"/>
      <c r="O224" s="32"/>
      <c r="P224" s="32"/>
      <c r="Q224" s="5"/>
      <c r="R224" s="94"/>
      <c r="S224" s="17"/>
      <c r="T224" s="105">
        <v>0</v>
      </c>
      <c r="U224" s="17"/>
      <c r="V224" s="4"/>
    </row>
    <row r="225" spans="1:22" s="3" customFormat="1" ht="18" customHeight="1" x14ac:dyDescent="0.25">
      <c r="A225" s="9"/>
      <c r="B225" s="88"/>
      <c r="C225" s="88"/>
      <c r="D225" s="30"/>
      <c r="E225" s="28"/>
      <c r="F225" s="8"/>
      <c r="G225" s="8"/>
      <c r="H225" s="8"/>
      <c r="I225" s="8"/>
      <c r="J225" s="8"/>
      <c r="K225" s="8"/>
      <c r="L225" s="8"/>
      <c r="M225" s="6"/>
      <c r="N225" s="7"/>
      <c r="O225" s="32"/>
      <c r="P225" s="32"/>
      <c r="Q225" s="5"/>
      <c r="R225" s="94"/>
      <c r="S225" s="17"/>
      <c r="T225" s="105">
        <v>0</v>
      </c>
      <c r="U225" s="17"/>
      <c r="V225" s="4"/>
    </row>
    <row r="226" spans="1:22" s="3" customFormat="1" ht="18" customHeight="1" x14ac:dyDescent="0.25">
      <c r="A226" s="9"/>
      <c r="B226" s="88"/>
      <c r="C226" s="88"/>
      <c r="D226" s="30"/>
      <c r="E226" s="28"/>
      <c r="F226" s="8"/>
      <c r="G226" s="8"/>
      <c r="H226" s="8"/>
      <c r="I226" s="8"/>
      <c r="J226" s="8"/>
      <c r="K226" s="8"/>
      <c r="L226" s="8"/>
      <c r="M226" s="6"/>
      <c r="N226" s="7"/>
      <c r="O226" s="32"/>
      <c r="P226" s="32"/>
      <c r="Q226" s="5"/>
      <c r="R226" s="94"/>
      <c r="S226" s="17"/>
      <c r="T226" s="105">
        <v>0</v>
      </c>
      <c r="U226" s="17"/>
      <c r="V226" s="4"/>
    </row>
    <row r="227" spans="1:22" s="3" customFormat="1" ht="18" customHeight="1" x14ac:dyDescent="0.25">
      <c r="A227" s="9"/>
      <c r="B227" s="88"/>
      <c r="C227" s="88"/>
      <c r="D227" s="30"/>
      <c r="E227" s="28"/>
      <c r="F227" s="8"/>
      <c r="G227" s="8"/>
      <c r="H227" s="8"/>
      <c r="I227" s="8"/>
      <c r="J227" s="8"/>
      <c r="K227" s="8"/>
      <c r="L227" s="8"/>
      <c r="M227" s="6"/>
      <c r="N227" s="7"/>
      <c r="O227" s="32"/>
      <c r="P227" s="32"/>
      <c r="Q227" s="5"/>
      <c r="R227" s="94"/>
      <c r="S227" s="17"/>
      <c r="T227" s="105">
        <v>0</v>
      </c>
      <c r="U227" s="17"/>
      <c r="V227" s="4"/>
    </row>
    <row r="228" spans="1:22" s="3" customFormat="1" ht="18" customHeight="1" x14ac:dyDescent="0.25">
      <c r="A228" s="9"/>
      <c r="B228" s="88"/>
      <c r="C228" s="88"/>
      <c r="D228" s="30"/>
      <c r="E228" s="28"/>
      <c r="F228" s="8"/>
      <c r="G228" s="8"/>
      <c r="H228" s="8"/>
      <c r="I228" s="8"/>
      <c r="J228" s="8"/>
      <c r="K228" s="8"/>
      <c r="L228" s="8"/>
      <c r="M228" s="6"/>
      <c r="N228" s="7"/>
      <c r="O228" s="32"/>
      <c r="P228" s="32"/>
      <c r="Q228" s="5"/>
      <c r="R228" s="94"/>
      <c r="S228" s="17"/>
      <c r="T228" s="105">
        <v>0</v>
      </c>
      <c r="U228" s="17"/>
      <c r="V228" s="4"/>
    </row>
    <row r="229" spans="1:22" s="3" customFormat="1" ht="18" customHeight="1" x14ac:dyDescent="0.25">
      <c r="A229" s="9"/>
      <c r="B229" s="88"/>
      <c r="C229" s="88"/>
      <c r="D229" s="30"/>
      <c r="E229" s="28"/>
      <c r="F229" s="8"/>
      <c r="G229" s="8"/>
      <c r="H229" s="8"/>
      <c r="I229" s="8"/>
      <c r="J229" s="8"/>
      <c r="K229" s="8"/>
      <c r="L229" s="8"/>
      <c r="M229" s="6"/>
      <c r="N229" s="7"/>
      <c r="O229" s="32"/>
      <c r="P229" s="32"/>
      <c r="Q229" s="5"/>
      <c r="R229" s="94"/>
      <c r="S229" s="17"/>
      <c r="T229" s="105">
        <v>0</v>
      </c>
      <c r="U229" s="17"/>
      <c r="V229" s="4"/>
    </row>
    <row r="230" spans="1:22" s="3" customFormat="1" ht="18" customHeight="1" x14ac:dyDescent="0.25">
      <c r="A230" s="9"/>
      <c r="B230" s="88"/>
      <c r="C230" s="88"/>
      <c r="D230" s="30"/>
      <c r="E230" s="28"/>
      <c r="F230" s="8"/>
      <c r="G230" s="8"/>
      <c r="H230" s="8"/>
      <c r="I230" s="8"/>
      <c r="J230" s="8"/>
      <c r="K230" s="8"/>
      <c r="L230" s="8"/>
      <c r="M230" s="6"/>
      <c r="N230" s="7"/>
      <c r="O230" s="32"/>
      <c r="P230" s="32"/>
      <c r="Q230" s="5"/>
      <c r="R230" s="94"/>
      <c r="S230" s="17"/>
      <c r="T230" s="105">
        <v>0</v>
      </c>
      <c r="U230" s="17"/>
      <c r="V230" s="4"/>
    </row>
    <row r="231" spans="1:22" s="3" customFormat="1" ht="18" customHeight="1" x14ac:dyDescent="0.25">
      <c r="A231" s="9"/>
      <c r="B231" s="88"/>
      <c r="C231" s="88"/>
      <c r="D231" s="30"/>
      <c r="E231" s="28"/>
      <c r="F231" s="8"/>
      <c r="G231" s="8"/>
      <c r="H231" s="8"/>
      <c r="I231" s="8"/>
      <c r="J231" s="8"/>
      <c r="K231" s="8"/>
      <c r="L231" s="8"/>
      <c r="M231" s="6"/>
      <c r="N231" s="7"/>
      <c r="O231" s="32"/>
      <c r="P231" s="32"/>
      <c r="Q231" s="5"/>
      <c r="R231" s="94"/>
      <c r="S231" s="17"/>
      <c r="T231" s="105">
        <v>0</v>
      </c>
      <c r="U231" s="17"/>
      <c r="V231" s="4"/>
    </row>
    <row r="232" spans="1:22" s="3" customFormat="1" ht="18" customHeight="1" x14ac:dyDescent="0.25">
      <c r="A232" s="9"/>
      <c r="B232" s="88"/>
      <c r="C232" s="88"/>
      <c r="D232" s="30"/>
      <c r="E232" s="28"/>
      <c r="F232" s="8"/>
      <c r="G232" s="8"/>
      <c r="H232" s="8"/>
      <c r="I232" s="8"/>
      <c r="J232" s="8"/>
      <c r="K232" s="8"/>
      <c r="L232" s="8"/>
      <c r="M232" s="6"/>
      <c r="N232" s="7"/>
      <c r="O232" s="32"/>
      <c r="P232" s="32"/>
      <c r="Q232" s="5"/>
      <c r="R232" s="94"/>
      <c r="S232" s="17"/>
      <c r="T232" s="105">
        <v>0</v>
      </c>
      <c r="U232" s="17"/>
      <c r="V232" s="4"/>
    </row>
    <row r="233" spans="1:22" s="3" customFormat="1" ht="18" customHeight="1" x14ac:dyDescent="0.25">
      <c r="A233" s="9"/>
      <c r="B233" s="88"/>
      <c r="C233" s="88"/>
      <c r="D233" s="30"/>
      <c r="E233" s="28"/>
      <c r="F233" s="8"/>
      <c r="G233" s="8"/>
      <c r="H233" s="8"/>
      <c r="I233" s="8"/>
      <c r="J233" s="8"/>
      <c r="K233" s="8"/>
      <c r="L233" s="8"/>
      <c r="M233" s="6"/>
      <c r="N233" s="7"/>
      <c r="O233" s="32"/>
      <c r="P233" s="32"/>
      <c r="Q233" s="5"/>
      <c r="R233" s="94"/>
      <c r="S233" s="17"/>
      <c r="T233" s="105">
        <v>0</v>
      </c>
      <c r="U233" s="17"/>
      <c r="V233" s="4"/>
    </row>
    <row r="234" spans="1:22" s="3" customFormat="1" ht="18" customHeight="1" x14ac:dyDescent="0.25">
      <c r="A234" s="9"/>
      <c r="B234" s="88"/>
      <c r="C234" s="88"/>
      <c r="D234" s="30"/>
      <c r="E234" s="28"/>
      <c r="F234" s="8"/>
      <c r="G234" s="8"/>
      <c r="H234" s="8"/>
      <c r="I234" s="8"/>
      <c r="J234" s="8"/>
      <c r="K234" s="8"/>
      <c r="L234" s="8"/>
      <c r="M234" s="6"/>
      <c r="N234" s="7"/>
      <c r="O234" s="32"/>
      <c r="P234" s="32"/>
      <c r="Q234" s="5"/>
      <c r="R234" s="94"/>
      <c r="S234" s="17"/>
      <c r="T234" s="105">
        <v>0</v>
      </c>
      <c r="U234" s="17"/>
      <c r="V234" s="4"/>
    </row>
    <row r="235" spans="1:22" s="3" customFormat="1" ht="18" customHeight="1" x14ac:dyDescent="0.25">
      <c r="A235" s="9"/>
      <c r="B235" s="88"/>
      <c r="C235" s="88"/>
      <c r="D235" s="30"/>
      <c r="E235" s="28"/>
      <c r="F235" s="8"/>
      <c r="G235" s="8"/>
      <c r="H235" s="8"/>
      <c r="I235" s="8"/>
      <c r="J235" s="8"/>
      <c r="K235" s="8"/>
      <c r="L235" s="8"/>
      <c r="M235" s="6"/>
      <c r="N235" s="7"/>
      <c r="O235" s="32"/>
      <c r="P235" s="32"/>
      <c r="Q235" s="5"/>
      <c r="R235" s="94"/>
      <c r="S235" s="17"/>
      <c r="T235" s="105">
        <v>0</v>
      </c>
      <c r="U235" s="17"/>
      <c r="V235" s="4"/>
    </row>
    <row r="236" spans="1:22" s="3" customFormat="1" ht="18" customHeight="1" x14ac:dyDescent="0.25">
      <c r="A236" s="9"/>
      <c r="B236" s="88"/>
      <c r="C236" s="88"/>
      <c r="D236" s="30"/>
      <c r="E236" s="28"/>
      <c r="F236" s="8"/>
      <c r="G236" s="8"/>
      <c r="H236" s="8"/>
      <c r="I236" s="8"/>
      <c r="J236" s="8"/>
      <c r="K236" s="8"/>
      <c r="L236" s="8"/>
      <c r="M236" s="6"/>
      <c r="N236" s="7"/>
      <c r="O236" s="32"/>
      <c r="P236" s="32"/>
      <c r="Q236" s="5"/>
      <c r="R236" s="94"/>
      <c r="S236" s="17"/>
      <c r="T236" s="105">
        <v>0</v>
      </c>
      <c r="U236" s="17"/>
      <c r="V236" s="4"/>
    </row>
    <row r="237" spans="1:22" s="3" customFormat="1" ht="18" customHeight="1" x14ac:dyDescent="0.25">
      <c r="A237" s="9"/>
      <c r="B237" s="88"/>
      <c r="C237" s="88"/>
      <c r="D237" s="30"/>
      <c r="E237" s="28"/>
      <c r="F237" s="8"/>
      <c r="G237" s="8"/>
      <c r="H237" s="8"/>
      <c r="I237" s="8"/>
      <c r="J237" s="8"/>
      <c r="K237" s="8"/>
      <c r="L237" s="8"/>
      <c r="M237" s="6"/>
      <c r="N237" s="7"/>
      <c r="O237" s="32"/>
      <c r="P237" s="32"/>
      <c r="Q237" s="5"/>
      <c r="R237" s="94"/>
      <c r="S237" s="17"/>
      <c r="T237" s="105">
        <v>0</v>
      </c>
      <c r="U237" s="17"/>
      <c r="V237" s="4"/>
    </row>
    <row r="238" spans="1:22" s="3" customFormat="1" ht="18" customHeight="1" x14ac:dyDescent="0.2">
      <c r="A238" s="9"/>
      <c r="B238" s="88"/>
      <c r="C238" s="88"/>
      <c r="D238" s="30"/>
      <c r="E238" s="28"/>
      <c r="F238" s="8"/>
      <c r="G238" s="8"/>
      <c r="H238" s="8"/>
      <c r="I238" s="8"/>
      <c r="J238" s="8"/>
      <c r="K238" s="8"/>
      <c r="L238" s="8"/>
      <c r="M238" s="6"/>
      <c r="N238" s="7"/>
      <c r="O238" s="32"/>
      <c r="P238" s="32"/>
      <c r="Q238" s="5"/>
      <c r="R238" s="94"/>
      <c r="S238" s="17"/>
      <c r="T238" s="18"/>
      <c r="U238" s="17"/>
      <c r="V238" s="4"/>
    </row>
    <row r="239" spans="1:22" s="3" customFormat="1" ht="18" customHeight="1" x14ac:dyDescent="0.2">
      <c r="A239" s="9"/>
      <c r="B239" s="88"/>
      <c r="C239" s="88"/>
      <c r="D239" s="30"/>
      <c r="E239" s="28"/>
      <c r="F239" s="8"/>
      <c r="G239" s="8"/>
      <c r="H239" s="8"/>
      <c r="I239" s="8"/>
      <c r="J239" s="8"/>
      <c r="K239" s="8"/>
      <c r="L239" s="8"/>
      <c r="M239" s="6"/>
      <c r="N239" s="7"/>
      <c r="O239" s="32"/>
      <c r="P239" s="32"/>
      <c r="Q239" s="5"/>
      <c r="R239" s="94"/>
      <c r="S239" s="17"/>
      <c r="T239" s="18"/>
      <c r="U239" s="17"/>
      <c r="V239" s="4"/>
    </row>
    <row r="240" spans="1:22" s="3" customFormat="1" ht="18" customHeight="1" x14ac:dyDescent="0.2">
      <c r="A240" s="9"/>
      <c r="B240" s="88"/>
      <c r="C240" s="88"/>
      <c r="D240" s="30"/>
      <c r="E240" s="28"/>
      <c r="F240" s="8"/>
      <c r="G240" s="8"/>
      <c r="H240" s="8"/>
      <c r="I240" s="8"/>
      <c r="J240" s="8"/>
      <c r="K240" s="8"/>
      <c r="L240" s="8"/>
      <c r="M240" s="6"/>
      <c r="N240" s="7"/>
      <c r="O240" s="32"/>
      <c r="P240" s="32"/>
      <c r="Q240" s="5"/>
      <c r="R240" s="94"/>
      <c r="S240" s="17"/>
      <c r="T240" s="18"/>
      <c r="U240" s="17"/>
      <c r="V240" s="4"/>
    </row>
    <row r="241" spans="1:22" s="3" customFormat="1" ht="18" customHeight="1" x14ac:dyDescent="0.2">
      <c r="A241" s="9"/>
      <c r="B241" s="88"/>
      <c r="C241" s="88"/>
      <c r="D241" s="30"/>
      <c r="E241" s="28"/>
      <c r="F241" s="8"/>
      <c r="G241" s="8"/>
      <c r="H241" s="8"/>
      <c r="I241" s="8"/>
      <c r="J241" s="8"/>
      <c r="K241" s="8"/>
      <c r="L241" s="8"/>
      <c r="M241" s="6"/>
      <c r="N241" s="7"/>
      <c r="O241" s="32"/>
      <c r="P241" s="32"/>
      <c r="Q241" s="5"/>
      <c r="R241" s="94"/>
      <c r="S241" s="17"/>
      <c r="T241" s="18"/>
      <c r="U241" s="17"/>
      <c r="V241" s="4"/>
    </row>
    <row r="242" spans="1:22" s="3" customFormat="1" ht="18" customHeight="1" x14ac:dyDescent="0.2">
      <c r="A242" s="9"/>
      <c r="B242" s="88"/>
      <c r="C242" s="88"/>
      <c r="D242" s="30"/>
      <c r="E242" s="28"/>
      <c r="F242" s="8"/>
      <c r="G242" s="8"/>
      <c r="H242" s="8"/>
      <c r="I242" s="8"/>
      <c r="J242" s="8"/>
      <c r="K242" s="8"/>
      <c r="L242" s="8"/>
      <c r="M242" s="6"/>
      <c r="N242" s="7"/>
      <c r="O242" s="32"/>
      <c r="P242" s="32"/>
      <c r="Q242" s="5"/>
      <c r="R242" s="94"/>
      <c r="S242" s="17"/>
      <c r="T242" s="18"/>
      <c r="U242" s="17"/>
      <c r="V242" s="4"/>
    </row>
    <row r="243" spans="1:22" s="3" customFormat="1" ht="18" customHeight="1" x14ac:dyDescent="0.2">
      <c r="A243" s="9"/>
      <c r="B243" s="88"/>
      <c r="C243" s="88"/>
      <c r="D243" s="30"/>
      <c r="E243" s="28"/>
      <c r="F243" s="8"/>
      <c r="G243" s="8"/>
      <c r="H243" s="8"/>
      <c r="I243" s="8"/>
      <c r="J243" s="8"/>
      <c r="K243" s="8"/>
      <c r="L243" s="8"/>
      <c r="M243" s="6"/>
      <c r="N243" s="7"/>
      <c r="O243" s="32"/>
      <c r="P243" s="32"/>
      <c r="Q243" s="5"/>
      <c r="R243" s="94"/>
      <c r="S243" s="17"/>
      <c r="T243" s="18"/>
      <c r="U243" s="17"/>
      <c r="V243" s="4"/>
    </row>
    <row r="244" spans="1:22" s="3" customFormat="1" ht="18" customHeight="1" x14ac:dyDescent="0.2">
      <c r="A244" s="9"/>
      <c r="B244" s="88"/>
      <c r="C244" s="88"/>
      <c r="D244" s="30"/>
      <c r="E244" s="28"/>
      <c r="F244" s="8"/>
      <c r="G244" s="8"/>
      <c r="H244" s="8"/>
      <c r="I244" s="8"/>
      <c r="J244" s="8"/>
      <c r="K244" s="8"/>
      <c r="L244" s="8"/>
      <c r="M244" s="6"/>
      <c r="N244" s="7"/>
      <c r="O244" s="32"/>
      <c r="P244" s="32"/>
      <c r="Q244" s="5"/>
      <c r="R244" s="94"/>
      <c r="S244" s="17"/>
      <c r="T244" s="18"/>
      <c r="U244" s="17"/>
      <c r="V244" s="4"/>
    </row>
    <row r="245" spans="1:22" s="3" customFormat="1" ht="18" customHeight="1" x14ac:dyDescent="0.2">
      <c r="A245" s="9"/>
      <c r="B245" s="88"/>
      <c r="C245" s="88"/>
      <c r="D245" s="30"/>
      <c r="E245" s="28"/>
      <c r="F245" s="8"/>
      <c r="G245" s="8"/>
      <c r="H245" s="8"/>
      <c r="I245" s="8"/>
      <c r="J245" s="8"/>
      <c r="K245" s="8"/>
      <c r="L245" s="8"/>
      <c r="M245" s="6"/>
      <c r="N245" s="7"/>
      <c r="O245" s="32"/>
      <c r="P245" s="32"/>
      <c r="Q245" s="5"/>
      <c r="R245" s="94"/>
      <c r="S245" s="17"/>
      <c r="T245" s="18"/>
      <c r="U245" s="17"/>
      <c r="V245" s="4"/>
    </row>
    <row r="246" spans="1:22" s="3" customFormat="1" ht="18" customHeight="1" x14ac:dyDescent="0.2">
      <c r="A246" s="9"/>
      <c r="B246" s="88"/>
      <c r="C246" s="88"/>
      <c r="D246" s="30"/>
      <c r="E246" s="28"/>
      <c r="F246" s="8"/>
      <c r="G246" s="8"/>
      <c r="H246" s="8"/>
      <c r="I246" s="8"/>
      <c r="J246" s="8"/>
      <c r="K246" s="8"/>
      <c r="L246" s="8"/>
      <c r="M246" s="6"/>
      <c r="N246" s="7"/>
      <c r="O246" s="32"/>
      <c r="P246" s="32"/>
      <c r="Q246" s="5"/>
      <c r="R246" s="94"/>
      <c r="S246" s="17"/>
      <c r="T246" s="18"/>
      <c r="U246" s="17"/>
      <c r="V246" s="4"/>
    </row>
    <row r="247" spans="1:22" s="3" customFormat="1" ht="18" customHeight="1" x14ac:dyDescent="0.2">
      <c r="A247" s="9"/>
      <c r="B247" s="88"/>
      <c r="C247" s="88"/>
      <c r="D247" s="30"/>
      <c r="E247" s="28"/>
      <c r="F247" s="8"/>
      <c r="G247" s="8"/>
      <c r="H247" s="8"/>
      <c r="I247" s="8"/>
      <c r="J247" s="8"/>
      <c r="K247" s="8"/>
      <c r="L247" s="8"/>
      <c r="M247" s="6"/>
      <c r="N247" s="7"/>
      <c r="O247" s="32"/>
      <c r="P247" s="32"/>
      <c r="Q247" s="5"/>
      <c r="R247" s="94"/>
      <c r="S247" s="17"/>
      <c r="T247" s="18"/>
      <c r="U247" s="17"/>
      <c r="V247" s="4"/>
    </row>
    <row r="248" spans="1:22" s="3" customFormat="1" ht="18" customHeight="1" x14ac:dyDescent="0.2">
      <c r="A248" s="9"/>
      <c r="B248" s="88"/>
      <c r="C248" s="88"/>
      <c r="D248" s="30"/>
      <c r="E248" s="28"/>
      <c r="F248" s="8"/>
      <c r="G248" s="8"/>
      <c r="H248" s="8"/>
      <c r="I248" s="8"/>
      <c r="J248" s="8"/>
      <c r="K248" s="8"/>
      <c r="L248" s="8"/>
      <c r="M248" s="6"/>
      <c r="N248" s="7"/>
      <c r="O248" s="32"/>
      <c r="P248" s="32"/>
      <c r="Q248" s="5"/>
      <c r="R248" s="94"/>
      <c r="S248" s="17"/>
      <c r="T248" s="18"/>
      <c r="U248" s="17"/>
      <c r="V248" s="4"/>
    </row>
    <row r="249" spans="1:22" s="3" customFormat="1" ht="18" customHeight="1" x14ac:dyDescent="0.2">
      <c r="A249" s="9"/>
      <c r="B249" s="88"/>
      <c r="C249" s="88"/>
      <c r="D249" s="30"/>
      <c r="E249" s="28"/>
      <c r="F249" s="8"/>
      <c r="G249" s="8"/>
      <c r="H249" s="8"/>
      <c r="I249" s="8"/>
      <c r="J249" s="8"/>
      <c r="K249" s="8"/>
      <c r="L249" s="8"/>
      <c r="M249" s="6"/>
      <c r="N249" s="7"/>
      <c r="O249" s="32"/>
      <c r="P249" s="32"/>
      <c r="Q249" s="5"/>
      <c r="R249" s="94"/>
      <c r="S249" s="17"/>
      <c r="T249" s="18"/>
      <c r="U249" s="17"/>
      <c r="V249" s="4"/>
    </row>
    <row r="250" spans="1:22" s="3" customFormat="1" ht="18" customHeight="1" x14ac:dyDescent="0.2">
      <c r="A250" s="9"/>
      <c r="B250" s="88"/>
      <c r="C250" s="88"/>
      <c r="D250" s="30"/>
      <c r="E250" s="28"/>
      <c r="F250" s="8"/>
      <c r="G250" s="8"/>
      <c r="H250" s="8"/>
      <c r="I250" s="8"/>
      <c r="J250" s="8"/>
      <c r="K250" s="8"/>
      <c r="L250" s="8"/>
      <c r="M250" s="6"/>
      <c r="N250" s="7"/>
      <c r="O250" s="32"/>
      <c r="P250" s="32"/>
      <c r="Q250" s="5"/>
      <c r="R250" s="94"/>
      <c r="S250" s="17"/>
      <c r="T250" s="18"/>
      <c r="U250" s="17"/>
      <c r="V250" s="4"/>
    </row>
  </sheetData>
  <autoFilter ref="A3:U237">
    <sortState ref="A5:AC176">
      <sortCondition ref="A3:A176"/>
    </sortState>
  </autoFilter>
  <mergeCells count="12">
    <mergeCell ref="N2:N3"/>
    <mergeCell ref="A2:A3"/>
    <mergeCell ref="B2:B3"/>
    <mergeCell ref="D2:D3"/>
    <mergeCell ref="E2:E3"/>
    <mergeCell ref="F2:G2"/>
    <mergeCell ref="H2:H3"/>
    <mergeCell ref="I2:I3"/>
    <mergeCell ref="J2:J3"/>
    <mergeCell ref="K2:K3"/>
    <mergeCell ref="L2:L3"/>
    <mergeCell ref="M2:M3"/>
  </mergeCells>
  <pageMargins left="0.23622047244094491" right="0.23622047244094491" top="0" bottom="0" header="0.31496062992125984" footer="0.31496062992125984"/>
  <pageSetup paperSize="9" scale="91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GENERAL Z2-3</vt:lpstr>
      <vt:lpstr>GENERAL Z1-13</vt:lpstr>
      <vt:lpstr>RECAP</vt:lpstr>
      <vt:lpstr>ZONE 1</vt:lpstr>
      <vt:lpstr>ZONE 2</vt:lpstr>
      <vt:lpstr>ZONE 3</vt:lpstr>
      <vt:lpstr>ZONE 5</vt:lpstr>
      <vt:lpstr>ZONE 6</vt:lpstr>
      <vt:lpstr>ZONE 7</vt:lpstr>
      <vt:lpstr>ZONE 9</vt:lpstr>
      <vt:lpstr>ZONE 10</vt:lpstr>
      <vt:lpstr>ZONE 11</vt:lpstr>
      <vt:lpstr>ZONE </vt:lpstr>
      <vt:lpstr>'ZONE '!Impression_des_titres</vt:lpstr>
      <vt:lpstr>'ZONE 1'!Impression_des_titres</vt:lpstr>
      <vt:lpstr>'ZONE 10'!Impression_des_titres</vt:lpstr>
      <vt:lpstr>'ZONE 11'!Impression_des_titres</vt:lpstr>
      <vt:lpstr>'ZONE 2'!Impression_des_titres</vt:lpstr>
      <vt:lpstr>'ZONE 3'!Impression_des_titres</vt:lpstr>
      <vt:lpstr>'ZONE 5'!Impression_des_titres</vt:lpstr>
      <vt:lpstr>'ZONE 6'!Impression_des_titres</vt:lpstr>
      <vt:lpstr>'ZONE 7'!Impression_des_titres</vt:lpstr>
      <vt:lpstr>'ZONE 9'!Impression_des_titres</vt:lpstr>
      <vt:lpstr>'GENERAL Z1-13'!Zone_d_impression</vt:lpstr>
      <vt:lpstr>'GENERAL Z2-3'!Zone_d_impression</vt:lpstr>
      <vt:lpstr>'ZONE '!Zone_d_impression</vt:lpstr>
      <vt:lpstr>'ZONE 1'!Zone_d_impression</vt:lpstr>
      <vt:lpstr>'ZONE 10'!Zone_d_impression</vt:lpstr>
      <vt:lpstr>'ZONE 11'!Zone_d_impression</vt:lpstr>
      <vt:lpstr>'ZONE 2'!Zone_d_impression</vt:lpstr>
      <vt:lpstr>'ZONE 3'!Zone_d_impression</vt:lpstr>
      <vt:lpstr>'ZONE 5'!Zone_d_impression</vt:lpstr>
      <vt:lpstr>'ZONE 6'!Zone_d_impression</vt:lpstr>
      <vt:lpstr>'ZONE 7'!Zone_d_impression</vt:lpstr>
      <vt:lpstr>'ZONE 9'!Zone_d_impression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REDZIMSKI Bernard</dc:creator>
  <cp:lastModifiedBy>administrateur</cp:lastModifiedBy>
  <cp:lastPrinted>2016-02-23T17:11:19Z</cp:lastPrinted>
  <dcterms:created xsi:type="dcterms:W3CDTF">2015-05-29T06:20:06Z</dcterms:created>
  <dcterms:modified xsi:type="dcterms:W3CDTF">2016-03-14T16:22:26Z</dcterms:modified>
</cp:coreProperties>
</file>