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hidePivotFieldList="1" autoCompressPictures="0"/>
  <bookViews>
    <workbookView xWindow="0" yWindow="0" windowWidth="15390" windowHeight="7620" tabRatio="857" firstSheet="1" activeTab="8"/>
  </bookViews>
  <sheets>
    <sheet name="MENU" sheetId="3" r:id="rId1"/>
    <sheet name="Facture" sheetId="1" r:id="rId2"/>
    <sheet name="Paramètres" sheetId="2" r:id="rId3"/>
    <sheet name="BDD devis" sheetId="4" r:id="rId4"/>
    <sheet name="BDD étapes projet" sheetId="5" r:id="rId5"/>
    <sheet name="BDD facture clients" sheetId="7" r:id="rId6"/>
    <sheet name="BDD fournisseurs" sheetId="8" r:id="rId7"/>
    <sheet name="BDD facture fournisseurs" sheetId="9" r:id="rId8"/>
    <sheet name="BDD clients" sheetId="17" r:id="rId9"/>
  </sheets>
  <definedNames>
    <definedName name="_xlnm._FilterDatabase" localSheetId="5" hidden="1">'BDD facture clients'!$A$1:$V$8</definedName>
    <definedName name="achevement">Paramètres!$C$2:$C$8</definedName>
    <definedName name="Achèvement">Paramètres!$C$2:$D$8</definedName>
    <definedName name="AffaireHono">#REF!</definedName>
    <definedName name="_xlnm.Criteria" localSheetId="1">Facture!$A$13:$A$14</definedName>
    <definedName name="Element">#REF!</definedName>
    <definedName name="ElementMission">#REF!</definedName>
    <definedName name="Etapes">'BDD étapes projet'!$A$6:$B$13</definedName>
    <definedName name="euro">6.55957</definedName>
    <definedName name="_xlnm.Extract" localSheetId="1">Facture!$A$32:$E$32</definedName>
    <definedName name="fournisseur">'BDD fournisseurs'!$A$2:$J$4</definedName>
    <definedName name="Fournisseurs">Tableau8[Représentant]</definedName>
    <definedName name="InouVal">#REF!</definedName>
    <definedName name="Lots">#REF!</definedName>
    <definedName name="NOMAFFAIRE">OFFSET('BDD devis'!$A$8,0,0,COUNTA('BDD devis'!$A:$A)-1)</definedName>
    <definedName name="NomFournisseur">Tableau8[Dénomination sociale]</definedName>
    <definedName name="NomHono" localSheetId="8">OFFSET(#REF!,0,0,COUNTA(#REF!)-1)</definedName>
    <definedName name="NomHono">OFFSET(#REF!,0,0,COUNTA(#REF!)-1)</definedName>
    <definedName name="NUMCLIENT">OFFSET('BDD devis'!$C$8,0,0,COUNTA('BDD devis'!$C:$C)-1)</definedName>
    <definedName name="NuméroClient">BDDclient3[[Numéro client ]]</definedName>
    <definedName name="NumFournisseurs">OFFSET('BDD fournisseurs'!$A$2,0,0,COUNTA('BDD devis'!$A:$A)-1)</definedName>
    <definedName name="Pourcentage">#REF!</definedName>
    <definedName name="tva">Paramètres!$A$11:$A$13</definedName>
    <definedName name="TVAf">OFFSET(Paramètres!$A$11,,,COUNTA(Paramètres!$A:$A)-1)</definedName>
    <definedName name="type">Paramètres!$A$2:$A$4</definedName>
    <definedName name="TypeHono">#REF!</definedName>
    <definedName name="_xlnm.Print_Area" localSheetId="1">Facture!$A$3:$F$42</definedName>
  </definedNames>
  <calcPr calcId="125725"/>
</workbook>
</file>

<file path=xl/calcChain.xml><?xml version="1.0" encoding="utf-8"?>
<calcChain xmlns="http://schemas.openxmlformats.org/spreadsheetml/2006/main">
  <c r="G6" i="9"/>
  <c r="I6" s="1"/>
  <c r="J6"/>
  <c r="G5"/>
  <c r="I5" s="1"/>
  <c r="J5"/>
  <c r="G4"/>
  <c r="I4" s="1"/>
  <c r="J4"/>
  <c r="G3"/>
  <c r="I3" s="1"/>
  <c r="J3"/>
  <c r="G2"/>
  <c r="I2" s="1"/>
  <c r="J2"/>
  <c r="V2" i="7"/>
  <c r="V3"/>
  <c r="V4"/>
  <c r="V5"/>
  <c r="V6"/>
  <c r="V7"/>
  <c r="V8"/>
  <c r="U2"/>
  <c r="U3"/>
  <c r="U4"/>
  <c r="U5"/>
  <c r="U6"/>
  <c r="U7"/>
  <c r="U8"/>
  <c r="T2"/>
  <c r="T3"/>
  <c r="T4"/>
  <c r="T5"/>
  <c r="T6"/>
  <c r="T7"/>
  <c r="T8"/>
  <c r="S2"/>
  <c r="S3"/>
  <c r="S4"/>
  <c r="S5"/>
  <c r="S6"/>
  <c r="S7"/>
  <c r="S8"/>
  <c r="Q2"/>
  <c r="Q3"/>
  <c r="Q4"/>
  <c r="Q5"/>
  <c r="Q6"/>
  <c r="Q7"/>
  <c r="Q8"/>
  <c r="R2"/>
  <c r="R3"/>
  <c r="R4"/>
  <c r="R5"/>
  <c r="R6"/>
  <c r="R7"/>
  <c r="R8"/>
  <c r="Z1"/>
  <c r="K3"/>
  <c r="K4"/>
  <c r="K5"/>
  <c r="K6"/>
  <c r="K7"/>
  <c r="K8"/>
  <c r="K2"/>
  <c r="J2"/>
  <c r="J3"/>
  <c r="J4"/>
  <c r="J5"/>
  <c r="J6"/>
  <c r="J7"/>
  <c r="J8"/>
  <c r="D8" i="4" l="1"/>
  <c r="D9"/>
  <c r="D10"/>
  <c r="D11"/>
  <c r="D12"/>
  <c r="D13"/>
  <c r="D14"/>
  <c r="D15"/>
  <c r="D16"/>
  <c r="F18" i="1"/>
  <c r="F17"/>
  <c r="B17"/>
  <c r="B13" i="5"/>
  <c r="L4" i="7" l="1"/>
  <c r="N4" s="1"/>
  <c r="L8"/>
  <c r="N8" s="1"/>
  <c r="L3"/>
  <c r="N3" s="1"/>
  <c r="L7"/>
  <c r="N7" s="1"/>
  <c r="L2"/>
  <c r="L6"/>
  <c r="N6" s="1"/>
  <c r="L5"/>
  <c r="N5" s="1"/>
  <c r="D12" i="1"/>
  <c r="D13"/>
  <c r="D14"/>
  <c r="D11"/>
  <c r="F19"/>
  <c r="N2" i="7" l="1"/>
  <c r="F15" i="4" s="1"/>
  <c r="E4" i="1"/>
  <c r="F20" s="1"/>
  <c r="F10" i="4" l="1"/>
  <c r="F16"/>
  <c r="F11"/>
  <c r="F13"/>
  <c r="F9"/>
  <c r="F12"/>
  <c r="F8"/>
  <c r="F14"/>
  <c r="B23" i="1"/>
  <c r="D23" l="1"/>
  <c r="D25" l="1"/>
  <c r="D27" s="1"/>
  <c r="B1" l="1"/>
  <c r="B4" i="9"/>
  <c r="B6"/>
  <c r="B5"/>
  <c r="B3"/>
  <c r="B2"/>
  <c r="E1" i="1"/>
</calcChain>
</file>

<file path=xl/sharedStrings.xml><?xml version="1.0" encoding="utf-8"?>
<sst xmlns="http://schemas.openxmlformats.org/spreadsheetml/2006/main" count="280" uniqueCount="192">
  <si>
    <t>Total facture fournisseur</t>
  </si>
  <si>
    <t>Type</t>
  </si>
  <si>
    <t>Contractant</t>
  </si>
  <si>
    <t>N° facture</t>
  </si>
  <si>
    <t>Date facture</t>
  </si>
  <si>
    <t>Montant initial du devis</t>
  </si>
  <si>
    <t>Date du devis</t>
  </si>
  <si>
    <t>Achèvement du chantier</t>
  </si>
  <si>
    <t>Achèvement</t>
  </si>
  <si>
    <t>Ouverture du chantier</t>
  </si>
  <si>
    <t>Achèvement des fondations</t>
  </si>
  <si>
    <t>Achèvement des murs</t>
  </si>
  <si>
    <t>Mise hors d'eau</t>
  </si>
  <si>
    <t>Achèvement des cloisons et mise hors d'air</t>
  </si>
  <si>
    <t>Achèvement des travaux de plomberie, menuiserie, chauffage</t>
  </si>
  <si>
    <t>Signature du contrat</t>
  </si>
  <si>
    <t>% achèvement</t>
  </si>
  <si>
    <t>Montant HT</t>
  </si>
  <si>
    <t>Date d'échéance</t>
  </si>
  <si>
    <t>Total HT</t>
  </si>
  <si>
    <t>TVA</t>
  </si>
  <si>
    <t>Total TTC</t>
  </si>
  <si>
    <t>Factures précédentes</t>
  </si>
  <si>
    <t>N°Client</t>
  </si>
  <si>
    <t xml:space="preserve">N° du devis </t>
  </si>
  <si>
    <t xml:space="preserve">% Achèvement </t>
  </si>
  <si>
    <t xml:space="preserve">Total déjà facturé </t>
  </si>
  <si>
    <t xml:space="preserve">Maison Individuelle </t>
  </si>
  <si>
    <t>Nom affaire</t>
  </si>
  <si>
    <t>Somme facture fournisseurs</t>
  </si>
  <si>
    <t>Somme facture clients</t>
  </si>
  <si>
    <t xml:space="preserve">Montant fournisseurs </t>
  </si>
  <si>
    <t xml:space="preserve">Montant Client </t>
  </si>
  <si>
    <t>Base de données Devis</t>
  </si>
  <si>
    <t>Total</t>
  </si>
  <si>
    <t>Réserve</t>
  </si>
  <si>
    <t>Achèvement travaux, équipements, menuiserie, plomberie, chauffage</t>
  </si>
  <si>
    <t>Achèvement cloisons et mise hors d'air</t>
  </si>
  <si>
    <t>Achèvement murs</t>
  </si>
  <si>
    <t>Achèvement fondation</t>
  </si>
  <si>
    <t>Ouverture chantier</t>
  </si>
  <si>
    <t>% de projet</t>
  </si>
  <si>
    <t>Etapes</t>
  </si>
  <si>
    <t>Base de données Etapes projet</t>
  </si>
  <si>
    <t>Remarques</t>
  </si>
  <si>
    <t>Dénomination sociale</t>
  </si>
  <si>
    <t>Adresse</t>
  </si>
  <si>
    <t>Reste à payer</t>
  </si>
  <si>
    <t>date du jour</t>
  </si>
  <si>
    <t>05 65 66 21 00</t>
  </si>
  <si>
    <t xml:space="preserve">05 65 66 04 32 </t>
  </si>
  <si>
    <t>M. SOULENQ</t>
  </si>
  <si>
    <t>Terrassement</t>
  </si>
  <si>
    <t>SOULENQ Tp</t>
  </si>
  <si>
    <t>M. CAUSSE</t>
  </si>
  <si>
    <t>Maitre d'œuvre</t>
  </si>
  <si>
    <t>EURO 12 CONSTRUCTION</t>
  </si>
  <si>
    <t>M. MOULIAC</t>
  </si>
  <si>
    <t>Maître d'ouvrage</t>
  </si>
  <si>
    <t>SARL MOULIAC ET fils</t>
  </si>
  <si>
    <t>Fax</t>
  </si>
  <si>
    <t>Représentant</t>
  </si>
  <si>
    <t>Lot</t>
  </si>
  <si>
    <t>N° fournisseur</t>
  </si>
  <si>
    <t>Clients</t>
  </si>
  <si>
    <t>N° clients</t>
  </si>
  <si>
    <t xml:space="preserve">Maxime </t>
  </si>
  <si>
    <t>Mégane</t>
  </si>
  <si>
    <t>Margaux</t>
  </si>
  <si>
    <t>Astrid</t>
  </si>
  <si>
    <t>Valet</t>
  </si>
  <si>
    <t>Meggy</t>
  </si>
  <si>
    <t>Gomar</t>
  </si>
  <si>
    <t xml:space="preserve">Numéro client </t>
  </si>
  <si>
    <t xml:space="preserve">Montant Initial </t>
  </si>
  <si>
    <t xml:space="preserve">Date devis </t>
  </si>
  <si>
    <t xml:space="preserve">Numéro devis </t>
  </si>
  <si>
    <t xml:space="preserve">N° facture </t>
  </si>
  <si>
    <t xml:space="preserve">Date </t>
  </si>
  <si>
    <t xml:space="preserve">N°client </t>
  </si>
  <si>
    <t xml:space="preserve">Nom affaire </t>
  </si>
  <si>
    <t xml:space="preserve">Montant HT </t>
  </si>
  <si>
    <t xml:space="preserve">Taux TVA </t>
  </si>
  <si>
    <t xml:space="preserve">Montant TTC </t>
  </si>
  <si>
    <t xml:space="preserve">Reste à payer </t>
  </si>
  <si>
    <t xml:space="preserve">Date d'échéance </t>
  </si>
  <si>
    <t xml:space="preserve">Relance </t>
  </si>
  <si>
    <t xml:space="preserve">FACTURE </t>
  </si>
  <si>
    <t xml:space="preserve">Type de client </t>
  </si>
  <si>
    <t xml:space="preserve">Montant réglé </t>
  </si>
  <si>
    <t>Honoraire</t>
  </si>
  <si>
    <t xml:space="preserve">Astrid </t>
  </si>
  <si>
    <t xml:space="preserve">BRAS </t>
  </si>
  <si>
    <t xml:space="preserve">EURL ASTRID </t>
  </si>
  <si>
    <t xml:space="preserve">SARL LAFON </t>
  </si>
  <si>
    <t>SAS POUGET</t>
  </si>
  <si>
    <t>Téléphone</t>
  </si>
  <si>
    <t>Mail</t>
  </si>
  <si>
    <t>Ville</t>
  </si>
  <si>
    <t>CP</t>
  </si>
  <si>
    <t>Prénom</t>
  </si>
  <si>
    <t>Nom</t>
  </si>
  <si>
    <t xml:space="preserve">Dénomination Sociale </t>
  </si>
  <si>
    <t>SARL MEGANE</t>
  </si>
  <si>
    <t>BALITRAND</t>
  </si>
  <si>
    <t xml:space="preserve">Mégane </t>
  </si>
  <si>
    <t xml:space="preserve">5 Av des Roses </t>
  </si>
  <si>
    <t>POUGET</t>
  </si>
  <si>
    <t xml:space="preserve">Valentin </t>
  </si>
  <si>
    <t xml:space="preserve">Pruines </t>
  </si>
  <si>
    <t xml:space="preserve">LAFON </t>
  </si>
  <si>
    <t xml:space="preserve">2 Rue des Lilas </t>
  </si>
  <si>
    <t xml:space="preserve">Aurillac </t>
  </si>
  <si>
    <t xml:space="preserve">SAS MARGAUX </t>
  </si>
  <si>
    <t xml:space="preserve">RAMADIER </t>
  </si>
  <si>
    <t xml:space="preserve">Margaux </t>
  </si>
  <si>
    <t xml:space="preserve">Altayrac </t>
  </si>
  <si>
    <t xml:space="preserve">Chastel-Nouvel </t>
  </si>
  <si>
    <t xml:space="preserve">Laguiole </t>
  </si>
  <si>
    <t xml:space="preserve">CCI </t>
  </si>
  <si>
    <t xml:space="preserve">Patrice </t>
  </si>
  <si>
    <t xml:space="preserve">17 Rue Aristide </t>
  </si>
  <si>
    <t xml:space="preserve">Rodez </t>
  </si>
  <si>
    <t>Mende</t>
  </si>
  <si>
    <t xml:space="preserve">Menu du Gestionnaire de Facturation </t>
  </si>
  <si>
    <t>M -03-16-003</t>
  </si>
  <si>
    <t xml:space="preserve">Nom Affaire </t>
  </si>
  <si>
    <t xml:space="preserve">Date reception </t>
  </si>
  <si>
    <t xml:space="preserve"> </t>
  </si>
  <si>
    <t>M -03-16-004</t>
  </si>
  <si>
    <t>M -03-16-005</t>
  </si>
  <si>
    <t>M -03-16-006</t>
  </si>
  <si>
    <t xml:space="preserve">Réglé le </t>
  </si>
  <si>
    <t xml:space="preserve">Achèvement  </t>
  </si>
  <si>
    <t xml:space="preserve">Différence, date du jour, date d'échéance </t>
  </si>
  <si>
    <t xml:space="preserve">Date 1ère relance </t>
  </si>
  <si>
    <t xml:space="preserve">Date 2ème relance </t>
  </si>
  <si>
    <t xml:space="preserve">Nom </t>
  </si>
  <si>
    <t xml:space="preserve">Prénom </t>
  </si>
  <si>
    <t xml:space="preserve">Adresse </t>
  </si>
  <si>
    <t xml:space="preserve">Ville </t>
  </si>
  <si>
    <t xml:space="preserve">Dénomination sociale </t>
  </si>
  <si>
    <t>12200</t>
  </si>
  <si>
    <t/>
  </si>
  <si>
    <t>Puines</t>
  </si>
  <si>
    <t>12120</t>
  </si>
  <si>
    <t>Max</t>
  </si>
  <si>
    <t>ghikujgbkj</t>
  </si>
  <si>
    <t>oifyvkjv</t>
  </si>
  <si>
    <t>12140</t>
  </si>
  <si>
    <t xml:space="preserve">st hippolyte </t>
  </si>
  <si>
    <t>48541</t>
  </si>
  <si>
    <t>l.maxime15@gmail.com</t>
  </si>
  <si>
    <t>647069709</t>
  </si>
  <si>
    <t>48000</t>
  </si>
  <si>
    <t>margaux.ramadier</t>
  </si>
  <si>
    <t>0647060972</t>
  </si>
  <si>
    <t>Code Postal</t>
  </si>
  <si>
    <t xml:space="preserve">Route des Bessières </t>
  </si>
  <si>
    <t xml:space="preserve">Sainte Geneviève Sur Argence </t>
  </si>
  <si>
    <t xml:space="preserve">35 chemin de Prignolles </t>
  </si>
  <si>
    <t xml:space="preserve">Z.A de Courbilhac </t>
  </si>
  <si>
    <t xml:space="preserve">Mur de Barrez </t>
  </si>
  <si>
    <t>565610528</t>
  </si>
  <si>
    <t>565614098</t>
  </si>
  <si>
    <t>12100</t>
  </si>
  <si>
    <t>CREISSELS</t>
  </si>
  <si>
    <t>565660128</t>
  </si>
  <si>
    <t>565660130</t>
  </si>
  <si>
    <t>12600</t>
  </si>
  <si>
    <t xml:space="preserve">charpentes </t>
  </si>
  <si>
    <t xml:space="preserve">Mademe Balitrand </t>
  </si>
  <si>
    <t>0565660128</t>
  </si>
  <si>
    <t>0565660117</t>
  </si>
  <si>
    <t xml:space="preserve">14 Rue des Lilas </t>
  </si>
  <si>
    <t>RAB</t>
  </si>
  <si>
    <t>15220</t>
  </si>
  <si>
    <t xml:space="preserve">Saint </t>
  </si>
  <si>
    <t>SARL LAFON</t>
  </si>
  <si>
    <t>Menuiserie</t>
  </si>
  <si>
    <t>M.LAFON</t>
  </si>
  <si>
    <t>14 Rue des Fleurs</t>
  </si>
  <si>
    <t>rib</t>
  </si>
  <si>
    <t>15000</t>
  </si>
  <si>
    <t>Aurillac</t>
  </si>
  <si>
    <t>25</t>
  </si>
  <si>
    <t>18745</t>
  </si>
  <si>
    <t>86541</t>
  </si>
  <si>
    <t>3</t>
  </si>
  <si>
    <t>6</t>
  </si>
  <si>
    <t>4</t>
  </si>
  <si>
    <t>60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</si>
</sst>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0.0%"/>
    <numFmt numFmtId="165" formatCode="dd\ mm\ yy"/>
    <numFmt numFmtId="166" formatCode="0#&quot; &quot;##&quot; &quot;##&quot; &quot;##&quot; &quot;##"/>
    <numFmt numFmtId="168" formatCode="00000"/>
  </numFmts>
  <fonts count="36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22"/>
      <color theme="1"/>
      <name val="Calibri"/>
      <family val="2"/>
      <scheme val="minor"/>
    </font>
    <font>
      <sz val="8"/>
      <name val="Arial Narrow"/>
      <family val="2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Arial Rounded MT Bold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scheme val="minor"/>
    </font>
    <font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7">
    <xf numFmtId="0" fontId="0" fillId="0" borderId="0"/>
    <xf numFmtId="9" fontId="1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44" fontId="12" fillId="0" borderId="0" applyFont="0" applyFill="0" applyBorder="0" applyAlignment="0" applyProtection="0"/>
    <xf numFmtId="0" fontId="11" fillId="0" borderId="0"/>
    <xf numFmtId="44" fontId="26" fillId="0" borderId="0" applyFont="0" applyFill="0" applyBorder="0" applyAlignment="0" applyProtection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0" borderId="0"/>
    <xf numFmtId="0" fontId="8" fillId="0" borderId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12" fillId="0" borderId="0"/>
    <xf numFmtId="0" fontId="12" fillId="0" borderId="0"/>
  </cellStyleXfs>
  <cellXfs count="217">
    <xf numFmtId="0" fontId="0" fillId="0" borderId="0" xfId="0"/>
    <xf numFmtId="0" fontId="13" fillId="0" borderId="0" xfId="0" applyFont="1"/>
    <xf numFmtId="0" fontId="0" fillId="0" borderId="0" xfId="0" applyBorder="1"/>
    <xf numFmtId="9" fontId="0" fillId="0" borderId="0" xfId="0" applyNumberFormat="1"/>
    <xf numFmtId="14" fontId="0" fillId="0" borderId="0" xfId="0" applyNumberFormat="1"/>
    <xf numFmtId="10" fontId="0" fillId="0" borderId="0" xfId="0" applyNumberFormat="1"/>
    <xf numFmtId="0" fontId="0" fillId="0" borderId="0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17" fillId="0" borderId="0" xfId="0" applyFont="1" applyBorder="1" applyAlignment="1">
      <alignment horizontal="centerContinuous"/>
    </xf>
    <xf numFmtId="0" fontId="17" fillId="0" borderId="5" xfId="0" applyFont="1" applyBorder="1" applyAlignment="1">
      <alignment horizontal="centerContinuous"/>
    </xf>
    <xf numFmtId="0" fontId="20" fillId="0" borderId="4" xfId="0" applyFont="1" applyBorder="1" applyAlignment="1">
      <alignment horizontal="centerContinuous"/>
    </xf>
    <xf numFmtId="0" fontId="20" fillId="0" borderId="6" xfId="0" applyFont="1" applyBorder="1" applyAlignment="1">
      <alignment horizontal="centerContinuous"/>
    </xf>
    <xf numFmtId="0" fontId="13" fillId="0" borderId="7" xfId="0" applyFont="1" applyBorder="1" applyAlignment="1">
      <alignment horizontal="centerContinuous"/>
    </xf>
    <xf numFmtId="0" fontId="13" fillId="0" borderId="8" xfId="0" applyFont="1" applyBorder="1" applyAlignment="1">
      <alignment horizontal="centerContinuous"/>
    </xf>
    <xf numFmtId="9" fontId="18" fillId="0" borderId="0" xfId="0" applyNumberFormat="1" applyFont="1"/>
    <xf numFmtId="9" fontId="18" fillId="0" borderId="0" xfId="1" applyNumberFormat="1" applyFont="1"/>
    <xf numFmtId="0" fontId="13" fillId="0" borderId="9" xfId="0" applyFont="1" applyBorder="1"/>
    <xf numFmtId="44" fontId="0" fillId="0" borderId="0" xfId="0" applyNumberFormat="1"/>
    <xf numFmtId="0" fontId="11" fillId="0" borderId="0" xfId="5"/>
    <xf numFmtId="0" fontId="11" fillId="0" borderId="1" xfId="5" applyBorder="1"/>
    <xf numFmtId="0" fontId="11" fillId="0" borderId="11" xfId="5" applyBorder="1"/>
    <xf numFmtId="44" fontId="0" fillId="0" borderId="11" xfId="7" applyFont="1" applyBorder="1"/>
    <xf numFmtId="14" fontId="11" fillId="0" borderId="11" xfId="5" applyNumberFormat="1" applyBorder="1"/>
    <xf numFmtId="0" fontId="11" fillId="0" borderId="3" xfId="5" applyBorder="1"/>
    <xf numFmtId="0" fontId="11" fillId="2" borderId="6" xfId="5" applyFont="1" applyFill="1" applyBorder="1" applyAlignment="1">
      <alignment horizontal="center" vertical="center" wrapText="1"/>
    </xf>
    <xf numFmtId="0" fontId="11" fillId="2" borderId="10" xfId="5" applyFont="1" applyFill="1" applyBorder="1" applyAlignment="1">
      <alignment horizontal="center" vertical="center" wrapText="1"/>
    </xf>
    <xf numFmtId="0" fontId="12" fillId="2" borderId="15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/>
    </xf>
    <xf numFmtId="0" fontId="12" fillId="2" borderId="8" xfId="5" applyFont="1" applyFill="1" applyBorder="1" applyAlignment="1">
      <alignment horizontal="center" vertical="center"/>
    </xf>
    <xf numFmtId="0" fontId="11" fillId="4" borderId="12" xfId="5" applyFill="1" applyBorder="1" applyAlignment="1">
      <alignment horizontal="centerContinuous" vertical="center"/>
    </xf>
    <xf numFmtId="0" fontId="11" fillId="4" borderId="13" xfId="5" applyFill="1" applyBorder="1" applyAlignment="1">
      <alignment horizontal="centerContinuous" vertical="center"/>
    </xf>
    <xf numFmtId="0" fontId="27" fillId="4" borderId="9" xfId="5" applyFont="1" applyFill="1" applyBorder="1" applyAlignment="1">
      <alignment horizontal="centerContinuous" vertical="center"/>
    </xf>
    <xf numFmtId="9" fontId="25" fillId="3" borderId="9" xfId="5" applyNumberFormat="1" applyFont="1" applyFill="1" applyBorder="1" applyAlignment="1">
      <alignment horizontal="center" vertical="center"/>
    </xf>
    <xf numFmtId="0" fontId="25" fillId="3" borderId="9" xfId="5" applyFont="1" applyFill="1" applyBorder="1" applyAlignment="1">
      <alignment horizontal="center" vertical="center"/>
    </xf>
    <xf numFmtId="9" fontId="0" fillId="0" borderId="9" xfId="8" applyFont="1" applyBorder="1" applyAlignment="1">
      <alignment horizontal="center" vertical="center"/>
    </xf>
    <xf numFmtId="0" fontId="11" fillId="0" borderId="9" xfId="5" applyBorder="1" applyAlignment="1">
      <alignment horizontal="center" vertical="center"/>
    </xf>
    <xf numFmtId="0" fontId="11" fillId="0" borderId="9" xfId="5" applyBorder="1" applyAlignment="1">
      <alignment horizontal="center" vertical="center" wrapText="1"/>
    </xf>
    <xf numFmtId="0" fontId="23" fillId="2" borderId="9" xfId="5" applyFont="1" applyFill="1" applyBorder="1" applyAlignment="1">
      <alignment horizontal="center" vertical="center"/>
    </xf>
    <xf numFmtId="0" fontId="11" fillId="0" borderId="11" xfId="5" applyNumberFormat="1" applyBorder="1"/>
    <xf numFmtId="14" fontId="24" fillId="0" borderId="9" xfId="5" applyNumberFormat="1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 wrapText="1"/>
    </xf>
    <xf numFmtId="0" fontId="28" fillId="0" borderId="16" xfId="5" applyFont="1" applyBorder="1" applyAlignment="1">
      <alignment horizontal="center" vertical="center" wrapText="1"/>
    </xf>
    <xf numFmtId="166" fontId="28" fillId="0" borderId="16" xfId="5" applyNumberFormat="1" applyFont="1" applyBorder="1" applyAlignment="1">
      <alignment horizontal="center" vertical="center" wrapText="1"/>
    </xf>
    <xf numFmtId="0" fontId="28" fillId="5" borderId="17" xfId="5" applyFont="1" applyFill="1" applyBorder="1" applyAlignment="1">
      <alignment horizontal="center" vertical="center" wrapText="1"/>
    </xf>
    <xf numFmtId="0" fontId="28" fillId="0" borderId="17" xfId="5" applyFont="1" applyBorder="1" applyAlignment="1">
      <alignment horizontal="center" vertical="center" wrapText="1"/>
    </xf>
    <xf numFmtId="0" fontId="28" fillId="0" borderId="16" xfId="5" applyNumberFormat="1" applyFont="1" applyBorder="1" applyAlignment="1">
      <alignment horizontal="center" vertical="center" wrapText="1"/>
    </xf>
    <xf numFmtId="0" fontId="28" fillId="0" borderId="19" xfId="5" applyNumberFormat="1" applyFont="1" applyBorder="1" applyAlignment="1">
      <alignment horizontal="center" vertical="center" wrapText="1"/>
    </xf>
    <xf numFmtId="166" fontId="28" fillId="0" borderId="19" xfId="5" applyNumberFormat="1" applyFont="1" applyBorder="1" applyAlignment="1">
      <alignment horizontal="center" vertical="center" wrapText="1"/>
    </xf>
    <xf numFmtId="0" fontId="28" fillId="0" borderId="19" xfId="5" applyFont="1" applyBorder="1" applyAlignment="1">
      <alignment horizontal="center" vertical="center" wrapText="1"/>
    </xf>
    <xf numFmtId="44" fontId="11" fillId="0" borderId="11" xfId="4" applyFont="1" applyBorder="1"/>
    <xf numFmtId="0" fontId="0" fillId="2" borderId="10" xfId="5" applyFont="1" applyFill="1" applyBorder="1" applyAlignment="1">
      <alignment horizontal="center" vertical="center"/>
    </xf>
    <xf numFmtId="0" fontId="0" fillId="2" borderId="10" xfId="5" applyFont="1" applyFill="1" applyBorder="1" applyAlignment="1">
      <alignment horizontal="center" vertical="center" wrapText="1"/>
    </xf>
    <xf numFmtId="0" fontId="0" fillId="2" borderId="8" xfId="5" applyFont="1" applyFill="1" applyBorder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10" fillId="0" borderId="0" xfId="5" applyFon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5" xfId="0" applyBorder="1"/>
    <xf numFmtId="44" fontId="0" fillId="0" borderId="5" xfId="4" applyFont="1" applyBorder="1"/>
    <xf numFmtId="44" fontId="0" fillId="0" borderId="8" xfId="4" applyFont="1" applyBorder="1"/>
    <xf numFmtId="0" fontId="13" fillId="0" borderId="1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9" fillId="6" borderId="9" xfId="5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1" fillId="0" borderId="4" xfId="0" applyFont="1" applyBorder="1" applyAlignment="1">
      <alignment horizontal="centerContinuous"/>
    </xf>
    <xf numFmtId="0" fontId="19" fillId="0" borderId="0" xfId="0" applyFont="1" applyBorder="1" applyAlignment="1">
      <alignment horizontal="centerContinuous"/>
    </xf>
    <xf numFmtId="0" fontId="19" fillId="0" borderId="5" xfId="0" applyFont="1" applyBorder="1" applyAlignment="1">
      <alignment horizontal="centerContinuous"/>
    </xf>
    <xf numFmtId="0" fontId="0" fillId="0" borderId="2" xfId="0" applyBorder="1"/>
    <xf numFmtId="0" fontId="0" fillId="0" borderId="3" xfId="0" applyBorder="1"/>
    <xf numFmtId="0" fontId="13" fillId="0" borderId="0" xfId="0" applyFont="1" applyBorder="1" applyAlignment="1">
      <alignment horizontal="center"/>
    </xf>
    <xf numFmtId="165" fontId="0" fillId="0" borderId="0" xfId="0" applyNumberFormat="1" applyBorder="1"/>
    <xf numFmtId="0" fontId="13" fillId="0" borderId="4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14" fontId="0" fillId="0" borderId="5" xfId="0" applyNumberFormat="1" applyBorder="1"/>
    <xf numFmtId="0" fontId="13" fillId="0" borderId="0" xfId="0" applyFont="1" applyBorder="1"/>
    <xf numFmtId="44" fontId="0" fillId="0" borderId="0" xfId="4" applyFont="1" applyBorder="1"/>
    <xf numFmtId="0" fontId="17" fillId="0" borderId="1" xfId="0" applyFont="1" applyBorder="1" applyAlignment="1">
      <alignment horizontal="center"/>
    </xf>
    <xf numFmtId="0" fontId="13" fillId="0" borderId="2" xfId="0" applyFont="1" applyBorder="1"/>
    <xf numFmtId="0" fontId="13" fillId="0" borderId="3" xfId="0" applyFont="1" applyBorder="1"/>
    <xf numFmtId="44" fontId="0" fillId="0" borderId="9" xfId="4" applyFont="1" applyBorder="1"/>
    <xf numFmtId="164" fontId="0" fillId="0" borderId="9" xfId="1" applyNumberFormat="1" applyFont="1" applyBorder="1"/>
    <xf numFmtId="9" fontId="0" fillId="0" borderId="7" xfId="0" applyNumberFormat="1" applyBorder="1"/>
    <xf numFmtId="0" fontId="22" fillId="0" borderId="2" xfId="0" applyFont="1" applyBorder="1"/>
    <xf numFmtId="0" fontId="13" fillId="0" borderId="4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0" fillId="0" borderId="8" xfId="0" applyNumberFormat="1" applyBorder="1"/>
    <xf numFmtId="44" fontId="0" fillId="0" borderId="0" xfId="4" applyFont="1"/>
    <xf numFmtId="0" fontId="30" fillId="0" borderId="1" xfId="0" applyFont="1" applyBorder="1"/>
    <xf numFmtId="14" fontId="0" fillId="0" borderId="0" xfId="0" applyNumberFormat="1" applyBorder="1"/>
    <xf numFmtId="9" fontId="0" fillId="0" borderId="0" xfId="1" applyFont="1"/>
    <xf numFmtId="14" fontId="10" fillId="0" borderId="0" xfId="5" applyNumberFormat="1" applyFont="1" applyAlignment="1">
      <alignment horizontal="center" vertical="center"/>
    </xf>
    <xf numFmtId="44" fontId="10" fillId="0" borderId="0" xfId="4" applyFont="1" applyAlignment="1">
      <alignment horizontal="center" vertical="center"/>
    </xf>
    <xf numFmtId="44" fontId="9" fillId="0" borderId="0" xfId="4" applyFont="1" applyAlignment="1">
      <alignment horizontal="center" vertical="center"/>
    </xf>
    <xf numFmtId="9" fontId="10" fillId="0" borderId="0" xfId="1" applyFont="1" applyAlignment="1">
      <alignment horizontal="center" vertical="center"/>
    </xf>
    <xf numFmtId="0" fontId="31" fillId="0" borderId="3" xfId="0" applyNumberFormat="1" applyFont="1" applyBorder="1"/>
    <xf numFmtId="165" fontId="31" fillId="0" borderId="8" xfId="0" applyNumberFormat="1" applyFont="1" applyBorder="1"/>
    <xf numFmtId="0" fontId="7" fillId="0" borderId="0" xfId="11"/>
    <xf numFmtId="0" fontId="7" fillId="0" borderId="0" xfId="13"/>
    <xf numFmtId="0" fontId="12" fillId="0" borderId="0" xfId="16"/>
    <xf numFmtId="0" fontId="7" fillId="0" borderId="1" xfId="13" applyFont="1" applyBorder="1"/>
    <xf numFmtId="166" fontId="7" fillId="0" borderId="11" xfId="13" applyNumberFormat="1" applyFont="1" applyBorder="1"/>
    <xf numFmtId="0" fontId="7" fillId="0" borderId="11" xfId="13" applyFont="1" applyBorder="1"/>
    <xf numFmtId="44" fontId="7" fillId="0" borderId="11" xfId="13" applyNumberFormat="1" applyFont="1" applyBorder="1"/>
    <xf numFmtId="0" fontId="7" fillId="0" borderId="3" xfId="13" applyFont="1" applyBorder="1"/>
    <xf numFmtId="0" fontId="23" fillId="2" borderId="6" xfId="13" applyFont="1" applyFill="1" applyBorder="1" applyAlignment="1">
      <alignment horizontal="center" vertical="center"/>
    </xf>
    <xf numFmtId="0" fontId="23" fillId="2" borderId="10" xfId="13" applyFont="1" applyFill="1" applyBorder="1" applyAlignment="1">
      <alignment horizontal="center" vertical="center" wrapText="1"/>
    </xf>
    <xf numFmtId="0" fontId="23" fillId="2" borderId="10" xfId="13" applyFont="1" applyFill="1" applyBorder="1" applyAlignment="1">
      <alignment horizontal="center" vertical="center"/>
    </xf>
    <xf numFmtId="0" fontId="23" fillId="2" borderId="8" xfId="13" applyFont="1" applyFill="1" applyBorder="1" applyAlignment="1">
      <alignment horizontal="center" vertical="center"/>
    </xf>
    <xf numFmtId="0" fontId="7" fillId="0" borderId="3" xfId="5" applyFont="1" applyFill="1" applyBorder="1"/>
    <xf numFmtId="14" fontId="7" fillId="0" borderId="11" xfId="13" applyNumberFormat="1" applyFont="1" applyBorder="1"/>
    <xf numFmtId="0" fontId="7" fillId="0" borderId="3" xfId="16" applyFont="1" applyBorder="1"/>
    <xf numFmtId="0" fontId="7" fillId="0" borderId="3" xfId="13" applyFont="1" applyFill="1" applyBorder="1"/>
    <xf numFmtId="14" fontId="7" fillId="0" borderId="11" xfId="16" applyNumberFormat="1" applyFont="1" applyBorder="1"/>
    <xf numFmtId="44" fontId="7" fillId="0" borderId="11" xfId="16" applyNumberFormat="1" applyFont="1" applyBorder="1"/>
    <xf numFmtId="0" fontId="7" fillId="0" borderId="11" xfId="16" applyFont="1" applyBorder="1"/>
    <xf numFmtId="166" fontId="7" fillId="0" borderId="11" xfId="16" applyNumberFormat="1" applyFont="1" applyBorder="1"/>
    <xf numFmtId="0" fontId="7" fillId="0" borderId="1" xfId="16" applyFont="1" applyBorder="1"/>
    <xf numFmtId="0" fontId="7" fillId="0" borderId="3" xfId="0" applyFont="1" applyBorder="1"/>
    <xf numFmtId="14" fontId="7" fillId="0" borderId="11" xfId="0" applyNumberFormat="1" applyFont="1" applyBorder="1"/>
    <xf numFmtId="44" fontId="7" fillId="0" borderId="11" xfId="0" applyNumberFormat="1" applyFont="1" applyBorder="1"/>
    <xf numFmtId="0" fontId="7" fillId="0" borderId="11" xfId="0" applyFont="1" applyBorder="1"/>
    <xf numFmtId="166" fontId="7" fillId="0" borderId="11" xfId="0" applyNumberFormat="1" applyFont="1" applyBorder="1"/>
    <xf numFmtId="0" fontId="7" fillId="0" borderId="1" xfId="0" applyFont="1" applyBorder="1"/>
    <xf numFmtId="14" fontId="0" fillId="0" borderId="7" xfId="0" applyNumberFormat="1" applyBorder="1"/>
    <xf numFmtId="44" fontId="0" fillId="0" borderId="7" xfId="4" applyFont="1" applyBorder="1"/>
    <xf numFmtId="0" fontId="11" fillId="0" borderId="2" xfId="5" applyBorder="1"/>
    <xf numFmtId="0" fontId="32" fillId="0" borderId="4" xfId="5" applyFont="1" applyBorder="1" applyAlignment="1">
      <alignment horizontal="centerContinuous"/>
    </xf>
    <xf numFmtId="0" fontId="32" fillId="0" borderId="0" xfId="5" applyFont="1" applyBorder="1" applyAlignment="1">
      <alignment horizontal="centerContinuous"/>
    </xf>
    <xf numFmtId="0" fontId="11" fillId="0" borderId="5" xfId="5" applyBorder="1"/>
    <xf numFmtId="0" fontId="11" fillId="0" borderId="4" xfId="5" applyBorder="1"/>
    <xf numFmtId="0" fontId="11" fillId="0" borderId="0" xfId="5" applyBorder="1"/>
    <xf numFmtId="0" fontId="11" fillId="0" borderId="6" xfId="5" applyBorder="1"/>
    <xf numFmtId="0" fontId="11" fillId="0" borderId="7" xfId="5" applyBorder="1"/>
    <xf numFmtId="0" fontId="13" fillId="0" borderId="7" xfId="0" applyFont="1" applyBorder="1" applyAlignment="1">
      <alignment horizontal="center"/>
    </xf>
    <xf numFmtId="165" fontId="0" fillId="0" borderId="7" xfId="0" applyNumberFormat="1" applyBorder="1"/>
    <xf numFmtId="0" fontId="11" fillId="0" borderId="8" xfId="5" applyBorder="1"/>
    <xf numFmtId="14" fontId="0" fillId="0" borderId="0" xfId="4" applyNumberFormat="1" applyFont="1"/>
    <xf numFmtId="0" fontId="0" fillId="0" borderId="0" xfId="0" applyNumberFormat="1" applyBorder="1"/>
    <xf numFmtId="44" fontId="10" fillId="0" borderId="0" xfId="4" applyFont="1" applyBorder="1"/>
    <xf numFmtId="0" fontId="0" fillId="0" borderId="1" xfId="0" applyBorder="1"/>
    <xf numFmtId="14" fontId="6" fillId="0" borderId="0" xfId="5" applyNumberFormat="1" applyFont="1" applyAlignment="1">
      <alignment horizontal="center" vertical="center"/>
    </xf>
    <xf numFmtId="0" fontId="0" fillId="0" borderId="0" xfId="0" applyNumberFormat="1"/>
    <xf numFmtId="0" fontId="5" fillId="0" borderId="0" xfId="5" applyFont="1" applyAlignment="1">
      <alignment horizontal="center" vertical="center"/>
    </xf>
    <xf numFmtId="0" fontId="33" fillId="0" borderId="0" xfId="0" applyFont="1"/>
    <xf numFmtId="0" fontId="13" fillId="0" borderId="14" xfId="0" applyFont="1" applyBorder="1" applyAlignment="1">
      <alignment horizontal="centerContinuous"/>
    </xf>
    <xf numFmtId="0" fontId="13" fillId="0" borderId="13" xfId="0" applyFont="1" applyBorder="1" applyAlignment="1">
      <alignment horizontal="centerContinuous"/>
    </xf>
    <xf numFmtId="0" fontId="29" fillId="6" borderId="10" xfId="5" applyFont="1" applyFill="1" applyBorder="1" applyAlignment="1">
      <alignment horizontal="center" vertical="center"/>
    </xf>
    <xf numFmtId="0" fontId="0" fillId="0" borderId="12" xfId="0" applyBorder="1" applyAlignment="1">
      <alignment horizontal="centerContinuous"/>
    </xf>
    <xf numFmtId="14" fontId="4" fillId="0" borderId="0" xfId="5" applyNumberFormat="1" applyFont="1" applyAlignment="1">
      <alignment horizontal="center" vertical="center" wrapText="1"/>
    </xf>
    <xf numFmtId="0" fontId="4" fillId="0" borderId="0" xfId="5" applyFont="1" applyFill="1"/>
    <xf numFmtId="0" fontId="4" fillId="0" borderId="0" xfId="5" applyFont="1" applyFill="1" applyAlignment="1">
      <alignment horizontal="center" vertical="center"/>
    </xf>
    <xf numFmtId="14" fontId="4" fillId="0" borderId="0" xfId="5" applyNumberFormat="1" applyFont="1" applyFill="1"/>
    <xf numFmtId="0" fontId="3" fillId="0" borderId="0" xfId="5" applyFont="1" applyFill="1" applyAlignment="1">
      <alignment horizontal="center" vertical="center"/>
    </xf>
    <xf numFmtId="0" fontId="3" fillId="0" borderId="0" xfId="5" applyNumberFormat="1" applyFont="1" applyFill="1"/>
    <xf numFmtId="0" fontId="4" fillId="0" borderId="0" xfId="5" applyNumberFormat="1" applyFont="1" applyFill="1"/>
    <xf numFmtId="168" fontId="23" fillId="2" borderId="10" xfId="13" applyNumberFormat="1" applyFont="1" applyFill="1" applyBorder="1" applyAlignment="1">
      <alignment horizontal="center" vertical="center"/>
    </xf>
    <xf numFmtId="168" fontId="7" fillId="0" borderId="11" xfId="13" applyNumberFormat="1" applyFont="1" applyBorder="1"/>
    <xf numFmtId="168" fontId="7" fillId="0" borderId="11" xfId="16" applyNumberFormat="1" applyFont="1" applyBorder="1"/>
    <xf numFmtId="168" fontId="7" fillId="0" borderId="11" xfId="0" applyNumberFormat="1" applyFont="1" applyBorder="1"/>
    <xf numFmtId="168" fontId="0" fillId="0" borderId="0" xfId="0" applyNumberFormat="1"/>
    <xf numFmtId="168" fontId="12" fillId="0" borderId="0" xfId="16" applyNumberFormat="1"/>
    <xf numFmtId="168" fontId="7" fillId="0" borderId="0" xfId="13" applyNumberFormat="1"/>
    <xf numFmtId="0" fontId="2" fillId="0" borderId="3" xfId="0" applyFont="1" applyBorder="1"/>
    <xf numFmtId="0" fontId="2" fillId="0" borderId="3" xfId="5" applyFont="1" applyFill="1" applyBorder="1"/>
    <xf numFmtId="14" fontId="2" fillId="0" borderId="11" xfId="0" applyNumberFormat="1" applyFont="1" applyBorder="1"/>
    <xf numFmtId="44" fontId="2" fillId="0" borderId="11" xfId="0" applyNumberFormat="1" applyFont="1" applyBorder="1"/>
    <xf numFmtId="0" fontId="2" fillId="0" borderId="11" xfId="0" applyFont="1" applyBorder="1"/>
    <xf numFmtId="168" fontId="2" fillId="0" borderId="11" xfId="0" applyNumberFormat="1" applyFont="1" applyBorder="1"/>
    <xf numFmtId="166" fontId="2" fillId="0" borderId="11" xfId="0" applyNumberFormat="1" applyFont="1" applyBorder="1"/>
    <xf numFmtId="0" fontId="2" fillId="0" borderId="1" xfId="0" applyFont="1" applyBorder="1"/>
    <xf numFmtId="0" fontId="28" fillId="0" borderId="0" xfId="5" applyNumberFormat="1" applyFont="1" applyBorder="1" applyAlignment="1">
      <alignment horizontal="center" vertical="center" wrapText="1"/>
    </xf>
    <xf numFmtId="168" fontId="28" fillId="0" borderId="0" xfId="5" applyNumberFormat="1" applyFont="1" applyBorder="1" applyAlignment="1">
      <alignment horizontal="center" vertical="center" wrapText="1"/>
    </xf>
    <xf numFmtId="0" fontId="28" fillId="0" borderId="20" xfId="5" applyFont="1" applyBorder="1" applyAlignment="1">
      <alignment horizontal="center" vertical="center" wrapText="1"/>
    </xf>
    <xf numFmtId="0" fontId="28" fillId="0" borderId="20" xfId="5" applyNumberFormat="1" applyFont="1" applyBorder="1" applyAlignment="1">
      <alignment horizontal="center" vertical="center" wrapText="1"/>
    </xf>
    <xf numFmtId="166" fontId="28" fillId="0" borderId="20" xfId="5" applyNumberFormat="1" applyFont="1" applyBorder="1" applyAlignment="1">
      <alignment horizontal="center" vertical="center" wrapText="1"/>
    </xf>
    <xf numFmtId="0" fontId="28" fillId="0" borderId="21" xfId="5" applyNumberFormat="1" applyFont="1" applyBorder="1" applyAlignment="1">
      <alignment horizontal="center" vertical="center" wrapText="1"/>
    </xf>
    <xf numFmtId="168" fontId="28" fillId="0" borderId="0" xfId="5" applyNumberFormat="1" applyFont="1" applyFill="1" applyBorder="1" applyAlignment="1">
      <alignment horizontal="center" vertical="center" wrapText="1"/>
    </xf>
    <xf numFmtId="0" fontId="28" fillId="0" borderId="0" xfId="5" applyFont="1" applyFill="1" applyBorder="1" applyAlignment="1">
      <alignment horizontal="center" vertical="center" wrapText="1"/>
    </xf>
    <xf numFmtId="0" fontId="28" fillId="5" borderId="18" xfId="5" applyFont="1" applyFill="1" applyBorder="1" applyAlignment="1">
      <alignment horizontal="center" vertical="center"/>
    </xf>
    <xf numFmtId="0" fontId="12" fillId="0" borderId="10" xfId="5" applyFont="1" applyFill="1" applyBorder="1" applyAlignment="1">
      <alignment horizontal="center" vertical="center"/>
    </xf>
    <xf numFmtId="0" fontId="12" fillId="0" borderId="8" xfId="5" applyFont="1" applyBorder="1" applyAlignment="1">
      <alignment horizontal="center" vertical="center" wrapText="1"/>
    </xf>
    <xf numFmtId="0" fontId="12" fillId="0" borderId="10" xfId="5" applyFont="1" applyBorder="1" applyAlignment="1">
      <alignment horizontal="center" vertical="center"/>
    </xf>
    <xf numFmtId="0" fontId="12" fillId="0" borderId="10" xfId="5" applyFont="1" applyBorder="1" applyAlignment="1">
      <alignment horizontal="center" vertical="center" wrapText="1"/>
    </xf>
    <xf numFmtId="0" fontId="12" fillId="0" borderId="6" xfId="5" applyFont="1" applyFill="1" applyBorder="1" applyAlignment="1">
      <alignment horizontal="center" vertical="center"/>
    </xf>
    <xf numFmtId="0" fontId="0" fillId="0" borderId="10" xfId="5" applyFont="1" applyBorder="1" applyAlignment="1">
      <alignment horizontal="center" vertical="center"/>
    </xf>
    <xf numFmtId="0" fontId="1" fillId="0" borderId="8" xfId="5" applyFont="1" applyBorder="1" applyAlignment="1">
      <alignment horizontal="center" vertical="center"/>
    </xf>
    <xf numFmtId="0" fontId="1" fillId="0" borderId="10" xfId="5" applyFont="1" applyBorder="1" applyAlignment="1">
      <alignment horizontal="center" vertical="center"/>
    </xf>
    <xf numFmtId="0" fontId="1" fillId="0" borderId="10" xfId="5" applyFont="1" applyBorder="1" applyAlignment="1">
      <alignment horizontal="center" vertical="center" wrapText="1"/>
    </xf>
    <xf numFmtId="0" fontId="1" fillId="0" borderId="6" xfId="5" applyFont="1" applyFill="1" applyBorder="1" applyAlignment="1">
      <alignment horizontal="center" vertical="center"/>
    </xf>
    <xf numFmtId="44" fontId="0" fillId="0" borderId="0" xfId="4" applyNumberFormat="1" applyFont="1"/>
    <xf numFmtId="9" fontId="0" fillId="0" borderId="11" xfId="1" applyFont="1" applyBorder="1" applyAlignment="1">
      <alignment horizontal="center" vertical="center"/>
    </xf>
    <xf numFmtId="44" fontId="0" fillId="0" borderId="11" xfId="4" applyNumberFormat="1" applyFont="1" applyBorder="1" applyAlignment="1">
      <alignment horizontal="center" vertical="center"/>
    </xf>
    <xf numFmtId="44" fontId="0" fillId="0" borderId="11" xfId="4" applyFont="1" applyBorder="1" applyAlignment="1">
      <alignment horizontal="center" vertical="center"/>
    </xf>
    <xf numFmtId="14" fontId="0" fillId="0" borderId="1" xfId="5" applyNumberFormat="1" applyFont="1" applyBorder="1"/>
    <xf numFmtId="0" fontId="34" fillId="0" borderId="3" xfId="0" applyFont="1" applyBorder="1" applyAlignment="1">
      <alignment horizontal="center" vertical="center"/>
    </xf>
    <xf numFmtId="14" fontId="34" fillId="0" borderId="11" xfId="0" applyNumberFormat="1" applyFont="1" applyBorder="1" applyAlignment="1">
      <alignment horizontal="center" vertical="center"/>
    </xf>
    <xf numFmtId="44" fontId="34" fillId="0" borderId="11" xfId="0" applyNumberFormat="1" applyFont="1" applyBorder="1" applyAlignment="1">
      <alignment horizontal="center" vertical="center"/>
    </xf>
    <xf numFmtId="9" fontId="34" fillId="0" borderId="11" xfId="1" applyFont="1" applyBorder="1" applyAlignment="1">
      <alignment horizontal="center" vertical="center"/>
    </xf>
    <xf numFmtId="44" fontId="34" fillId="0" borderId="11" xfId="4" applyNumberFormat="1" applyFont="1" applyBorder="1" applyAlignment="1">
      <alignment horizontal="center" vertical="center"/>
    </xf>
    <xf numFmtId="44" fontId="34" fillId="0" borderId="11" xfId="4" applyFont="1" applyBorder="1" applyAlignment="1">
      <alignment horizontal="center" vertical="center"/>
    </xf>
    <xf numFmtId="14" fontId="34" fillId="0" borderId="1" xfId="0" applyNumberFormat="1" applyFont="1" applyBorder="1"/>
    <xf numFmtId="0" fontId="34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4" fillId="0" borderId="11" xfId="5" applyNumberFormat="1" applyFont="1" applyBorder="1" applyAlignment="1">
      <alignment horizontal="center" vertical="center"/>
    </xf>
    <xf numFmtId="14" fontId="34" fillId="0" borderId="11" xfId="5" applyNumberFormat="1" applyFont="1" applyBorder="1" applyAlignment="1">
      <alignment horizontal="center" vertical="center"/>
    </xf>
    <xf numFmtId="44" fontId="34" fillId="0" borderId="11" xfId="5" applyNumberFormat="1" applyFont="1" applyBorder="1" applyAlignment="1">
      <alignment horizontal="center" vertical="center"/>
    </xf>
    <xf numFmtId="14" fontId="34" fillId="0" borderId="1" xfId="5" applyNumberFormat="1" applyFont="1" applyBorder="1"/>
    <xf numFmtId="10" fontId="35" fillId="0" borderId="0" xfId="0" applyNumberFormat="1" applyFont="1"/>
    <xf numFmtId="9" fontId="35" fillId="0" borderId="0" xfId="0" applyNumberFormat="1" applyFont="1"/>
    <xf numFmtId="0" fontId="25" fillId="0" borderId="0" xfId="5" applyFont="1"/>
    <xf numFmtId="0" fontId="0" fillId="0" borderId="3" xfId="5" applyFont="1" applyBorder="1" applyAlignment="1">
      <alignment horizontal="center" vertical="center"/>
    </xf>
    <xf numFmtId="0" fontId="0" fillId="0" borderId="11" xfId="5" applyNumberFormat="1" applyFont="1" applyBorder="1" applyAlignment="1">
      <alignment horizontal="center" vertical="center"/>
    </xf>
    <xf numFmtId="14" fontId="0" fillId="0" borderId="11" xfId="5" applyNumberFormat="1" applyFont="1" applyBorder="1" applyAlignment="1">
      <alignment horizontal="center" vertical="center"/>
    </xf>
    <xf numFmtId="44" fontId="0" fillId="0" borderId="11" xfId="5" applyNumberFormat="1" applyFont="1" applyBorder="1" applyAlignment="1">
      <alignment horizontal="center" vertical="center"/>
    </xf>
  </cellXfs>
  <cellStyles count="17">
    <cellStyle name="Euro" xfId="6"/>
    <cellStyle name="Lien hypertexte" xfId="2" builtinId="8" hidden="1"/>
    <cellStyle name="Lien hypertexte visité" xfId="3" builtinId="9" hidden="1"/>
    <cellStyle name="Monétaire" xfId="4" builtinId="4"/>
    <cellStyle name="Monétaire 2" xfId="7"/>
    <cellStyle name="Monétaire 3" xfId="12"/>
    <cellStyle name="Normal" xfId="0" builtinId="0"/>
    <cellStyle name="Normal 2" xfId="5"/>
    <cellStyle name="Normal 2 2" xfId="9"/>
    <cellStyle name="Normal 2 3" xfId="13"/>
    <cellStyle name="Normal 3" xfId="10"/>
    <cellStyle name="Normal 3 2" xfId="11"/>
    <cellStyle name="Normal 3 3" xfId="16"/>
    <cellStyle name="Normal 4" xfId="15"/>
    <cellStyle name="Pourcentage" xfId="1" builtinId="5"/>
    <cellStyle name="Pourcentage 2" xfId="8"/>
    <cellStyle name="Pourcentage 3" xfId="14"/>
  </cellStyles>
  <dxfs count="66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scheme val="none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Narrow"/>
        <scheme val="none"/>
      </font>
      <numFmt numFmtId="168" formatCode="00000"/>
      <alignment horizontal="center" vertical="center" textRotation="0" wrapText="1" indent="0" relativeIndent="0" justifyLastLine="0" shrinkToFit="0" mergeCell="0" readingOrder="0"/>
    </dxf>
    <dxf>
      <font>
        <sz val="8"/>
        <color auto="1"/>
        <name val="Arial Narrow"/>
        <scheme val="none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thin">
          <color indexed="64"/>
        </bottom>
      </border>
    </dxf>
    <dxf>
      <font>
        <sz val="8"/>
        <color auto="1"/>
        <name val="Arial Narrow"/>
        <scheme val="none"/>
      </font>
      <numFmt numFmtId="166" formatCode="0#&quot; &quot;##&quot; &quot;##&quot; &quot;##&quot; &quot;##"/>
      <alignment horizontal="center" vertical="center" textRotation="0" wrapText="1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numFmt numFmtId="166" formatCode="0#&quot; &quot;##&quot; &quot;##&quot; &quot;##&quot; &quot;##"/>
      <alignment horizontal="center" vertical="center" textRotation="0" wrapText="1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sz val="8"/>
        <color auto="1"/>
        <name val="Arial Narrow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165" formatCode="dd\ mm\ 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hyperlink" Target="#'BDD lot,avenant,affaire'!A1"/><Relationship Id="rId3" Type="http://schemas.openxmlformats.org/officeDocument/2006/relationships/hyperlink" Target="#Etapes"/><Relationship Id="rId7" Type="http://schemas.openxmlformats.org/officeDocument/2006/relationships/image" Target="../media/image1.emf"/><Relationship Id="rId12" Type="http://schemas.openxmlformats.org/officeDocument/2006/relationships/hyperlink" Target="#'BDD Facture Affaire'!A1"/><Relationship Id="rId2" Type="http://schemas.openxmlformats.org/officeDocument/2006/relationships/hyperlink" Target="#'BDD clients'!A1"/><Relationship Id="rId1" Type="http://schemas.openxmlformats.org/officeDocument/2006/relationships/hyperlink" Target="#'BDD devis'!A1"/><Relationship Id="rId6" Type="http://schemas.openxmlformats.org/officeDocument/2006/relationships/hyperlink" Target="#'BDD facture fournisseurs'!A1"/><Relationship Id="rId11" Type="http://schemas.openxmlformats.org/officeDocument/2006/relationships/hyperlink" Target="#'BDD Affaire Honoraires'!A1"/><Relationship Id="rId5" Type="http://schemas.openxmlformats.org/officeDocument/2006/relationships/hyperlink" Target="#'BDD fournisseurs'!A1"/><Relationship Id="rId10" Type="http://schemas.openxmlformats.org/officeDocument/2006/relationships/hyperlink" Target="#'BDD Facture Affaire'!A1"/><Relationship Id="rId4" Type="http://schemas.openxmlformats.org/officeDocument/2006/relationships/hyperlink" Target="#'BDD facture clients'!A1"/><Relationship Id="rId9" Type="http://schemas.openxmlformats.org/officeDocument/2006/relationships/hyperlink" Target="#Facture!A1"/><Relationship Id="rId14" Type="http://schemas.openxmlformats.org/officeDocument/2006/relationships/hyperlink" Target="#'Etape Honoraires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28575</xdr:rowOff>
    </xdr:from>
    <xdr:to>
      <xdr:col>3</xdr:col>
      <xdr:colOff>152400</xdr:colOff>
      <xdr:row>6</xdr:row>
      <xdr:rowOff>123825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>
          <a:off x="9525" y="790575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0160">
                <a:noFill/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BDD Devis</a:t>
          </a:r>
        </a:p>
      </xdr:txBody>
    </xdr:sp>
    <xdr:clientData/>
  </xdr:twoCellAnchor>
  <xdr:twoCellAnchor>
    <xdr:from>
      <xdr:col>5</xdr:col>
      <xdr:colOff>9525</xdr:colOff>
      <xdr:row>3</xdr:row>
      <xdr:rowOff>28575</xdr:rowOff>
    </xdr:from>
    <xdr:to>
      <xdr:col>7</xdr:col>
      <xdr:colOff>152400</xdr:colOff>
      <xdr:row>6</xdr:row>
      <xdr:rowOff>123825</xdr:rowOff>
    </xdr:to>
    <xdr:sp macro="" textlink="">
      <xdr:nvSpPr>
        <xdr:cNvPr id="3" name="Pentagone 2">
          <a:hlinkClick xmlns:r="http://schemas.openxmlformats.org/officeDocument/2006/relationships" r:id="rId2"/>
        </xdr:cNvPr>
        <xdr:cNvSpPr/>
      </xdr:nvSpPr>
      <xdr:spPr>
        <a:xfrm>
          <a:off x="3362325" y="1381125"/>
          <a:ext cx="18192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0160">
                <a:noFill/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BDD Clients</a:t>
          </a:r>
        </a:p>
      </xdr:txBody>
    </xdr:sp>
    <xdr:clientData/>
  </xdr:twoCellAnchor>
  <xdr:twoCellAnchor>
    <xdr:from>
      <xdr:col>1</xdr:col>
      <xdr:colOff>0</xdr:colOff>
      <xdr:row>8</xdr:row>
      <xdr:rowOff>9525</xdr:rowOff>
    </xdr:from>
    <xdr:to>
      <xdr:col>3</xdr:col>
      <xdr:colOff>142875</xdr:colOff>
      <xdr:row>11</xdr:row>
      <xdr:rowOff>104775</xdr:rowOff>
    </xdr:to>
    <xdr:sp macro="" textlink="">
      <xdr:nvSpPr>
        <xdr:cNvPr id="4" name="Pentagone 3">
          <a:hlinkClick xmlns:r="http://schemas.openxmlformats.org/officeDocument/2006/relationships" r:id="rId3"/>
        </xdr:cNvPr>
        <xdr:cNvSpPr/>
      </xdr:nvSpPr>
      <xdr:spPr>
        <a:xfrm>
          <a:off x="0" y="1724025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Etapes</a:t>
          </a:r>
          <a:r>
            <a:rPr lang="fr-FR" sz="1400" b="0"/>
            <a:t> </a:t>
          </a:r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projets</a:t>
          </a:r>
          <a:endParaRPr lang="fr-FR" sz="1400" b="0">
            <a:ln w="12700">
              <a:noFill/>
              <a:prstDash val="solid"/>
            </a:ln>
          </a:endParaRPr>
        </a:p>
      </xdr:txBody>
    </xdr:sp>
    <xdr:clientData/>
  </xdr:twoCellAnchor>
  <xdr:twoCellAnchor>
    <xdr:from>
      <xdr:col>5</xdr:col>
      <xdr:colOff>9525</xdr:colOff>
      <xdr:row>8</xdr:row>
      <xdr:rowOff>0</xdr:rowOff>
    </xdr:from>
    <xdr:to>
      <xdr:col>7</xdr:col>
      <xdr:colOff>152400</xdr:colOff>
      <xdr:row>11</xdr:row>
      <xdr:rowOff>95250</xdr:rowOff>
    </xdr:to>
    <xdr:sp macro="" textlink="">
      <xdr:nvSpPr>
        <xdr:cNvPr id="5" name="Pentagone 4">
          <a:hlinkClick xmlns:r="http://schemas.openxmlformats.org/officeDocument/2006/relationships" r:id="rId4"/>
        </xdr:cNvPr>
        <xdr:cNvSpPr/>
      </xdr:nvSpPr>
      <xdr:spPr>
        <a:xfrm>
          <a:off x="3057525" y="1714500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Factures</a:t>
          </a:r>
          <a:r>
            <a:rPr lang="fr-FR" sz="1400" b="0">
              <a:ln>
                <a:noFill/>
              </a:ln>
            </a:rPr>
            <a:t> </a:t>
          </a:r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clients</a:t>
          </a:r>
          <a:endParaRPr lang="fr-FR" sz="1600" b="0">
            <a:ln w="12700">
              <a:noFill/>
              <a:prstDash val="solid"/>
            </a:ln>
          </a:endParaRPr>
        </a:p>
      </xdr:txBody>
    </xdr:sp>
    <xdr:clientData/>
  </xdr:twoCellAnchor>
  <xdr:twoCellAnchor>
    <xdr:from>
      <xdr:col>9</xdr:col>
      <xdr:colOff>9525</xdr:colOff>
      <xdr:row>3</xdr:row>
      <xdr:rowOff>9525</xdr:rowOff>
    </xdr:from>
    <xdr:to>
      <xdr:col>11</xdr:col>
      <xdr:colOff>152400</xdr:colOff>
      <xdr:row>6</xdr:row>
      <xdr:rowOff>104775</xdr:rowOff>
    </xdr:to>
    <xdr:sp macro="" textlink="">
      <xdr:nvSpPr>
        <xdr:cNvPr id="6" name="Pentagone 5">
          <a:hlinkClick xmlns:r="http://schemas.openxmlformats.org/officeDocument/2006/relationships" r:id="rId5"/>
        </xdr:cNvPr>
        <xdr:cNvSpPr/>
      </xdr:nvSpPr>
      <xdr:spPr>
        <a:xfrm>
          <a:off x="6105525" y="771525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Fournisseurs</a:t>
          </a:r>
          <a:endParaRPr lang="fr-FR" sz="2000" b="0">
            <a:ln w="12700">
              <a:noFill/>
              <a:prstDash val="solid"/>
            </a:ln>
          </a:endParaRPr>
        </a:p>
      </xdr:txBody>
    </xdr:sp>
    <xdr:clientData/>
  </xdr:twoCellAnchor>
  <xdr:twoCellAnchor>
    <xdr:from>
      <xdr:col>9</xdr:col>
      <xdr:colOff>9525</xdr:colOff>
      <xdr:row>8</xdr:row>
      <xdr:rowOff>19050</xdr:rowOff>
    </xdr:from>
    <xdr:to>
      <xdr:col>11</xdr:col>
      <xdr:colOff>152400</xdr:colOff>
      <xdr:row>11</xdr:row>
      <xdr:rowOff>114300</xdr:rowOff>
    </xdr:to>
    <xdr:sp macro="" textlink="">
      <xdr:nvSpPr>
        <xdr:cNvPr id="7" name="Pentagone 6">
          <a:hlinkClick xmlns:r="http://schemas.openxmlformats.org/officeDocument/2006/relationships" r:id="rId6"/>
        </xdr:cNvPr>
        <xdr:cNvSpPr/>
      </xdr:nvSpPr>
      <xdr:spPr>
        <a:xfrm>
          <a:off x="6105525" y="1733550"/>
          <a:ext cx="1666875" cy="666750"/>
        </a:xfrm>
        <a:prstGeom prst="homePlate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Factures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fournisseurs</a:t>
          </a:r>
          <a:endParaRPr lang="fr-FR" sz="16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609600</xdr:colOff>
      <xdr:row>0</xdr:row>
      <xdr:rowOff>104775</xdr:rowOff>
    </xdr:from>
    <xdr:to>
      <xdr:col>2</xdr:col>
      <xdr:colOff>66675</xdr:colOff>
      <xdr:row>2</xdr:row>
      <xdr:rowOff>123825</xdr:rowOff>
    </xdr:to>
    <xdr:pic>
      <xdr:nvPicPr>
        <xdr:cNvPr id="8" name="Image 7"/>
        <xdr:cNvPicPr/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09600" y="104775"/>
          <a:ext cx="295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</xdr:row>
      <xdr:rowOff>66675</xdr:rowOff>
    </xdr:from>
    <xdr:to>
      <xdr:col>3</xdr:col>
      <xdr:colOff>381000</xdr:colOff>
      <xdr:row>1</xdr:row>
      <xdr:rowOff>342900</xdr:rowOff>
    </xdr:to>
    <xdr:pic>
      <xdr:nvPicPr>
        <xdr:cNvPr id="9" name="Image 8"/>
        <xdr:cNvPicPr/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2975" y="257175"/>
          <a:ext cx="11144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381000</xdr:colOff>
      <xdr:row>0</xdr:row>
      <xdr:rowOff>123825</xdr:rowOff>
    </xdr:from>
    <xdr:to>
      <xdr:col>14</xdr:col>
      <xdr:colOff>57150</xdr:colOff>
      <xdr:row>2</xdr:row>
      <xdr:rowOff>342900</xdr:rowOff>
    </xdr:to>
    <xdr:sp macro="" textlink="">
      <xdr:nvSpPr>
        <xdr:cNvPr id="10" name="ZoneTexte 9"/>
        <xdr:cNvSpPr txBox="1"/>
      </xdr:nvSpPr>
      <xdr:spPr>
        <a:xfrm>
          <a:off x="8763000" y="123825"/>
          <a:ext cx="2190750" cy="7715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_tradnl" sz="800" b="1">
              <a:solidFill>
                <a:schemeClr val="accent1">
                  <a:lumMod val="75000"/>
                </a:schemeClr>
              </a:solidFill>
            </a:rPr>
            <a:t>Centre Commercial           CAP DU CRES</a:t>
          </a:r>
          <a:br>
            <a:rPr lang="es-ES_tradnl" sz="800" b="1">
              <a:solidFill>
                <a:schemeClr val="accent1">
                  <a:lumMod val="75000"/>
                </a:schemeClr>
              </a:solidFill>
            </a:rPr>
          </a:br>
          <a:r>
            <a:rPr lang="es-ES_tradnl" sz="800" b="1">
              <a:solidFill>
                <a:schemeClr val="accent1">
                  <a:lumMod val="75000"/>
                </a:schemeClr>
              </a:solidFill>
            </a:rPr>
            <a:t>35, Chemin de Prignolles 12100 MILLAU </a:t>
          </a:r>
          <a:endParaRPr lang="es-ES_tradnl" sz="800" b="1"/>
        </a:p>
        <a:p>
          <a:r>
            <a:rPr lang="es-ES_tradnl" sz="1000" b="1" baseline="0">
              <a:solidFill>
                <a:schemeClr val="accent1">
                  <a:lumMod val="75000"/>
                </a:schemeClr>
              </a:solidFill>
            </a:rPr>
            <a:t> </a:t>
          </a:r>
          <a:endParaRPr lang="es-ES_tradnl" sz="800" b="1" baseline="0">
            <a:solidFill>
              <a:schemeClr val="accent1">
                <a:lumMod val="75000"/>
              </a:schemeClr>
            </a:solidFill>
          </a:endParaRPr>
        </a:p>
        <a:p>
          <a:r>
            <a:rPr lang="es-ES_tradnl" sz="800" b="1"/>
            <a:t>05 65 61</a:t>
          </a:r>
          <a:r>
            <a:rPr lang="es-ES_tradnl" sz="800" b="1" baseline="0"/>
            <a:t> </a:t>
          </a:r>
          <a:r>
            <a:rPr lang="es-ES_tradnl" sz="800" b="1">
              <a:solidFill>
                <a:schemeClr val="accent1">
                  <a:lumMod val="75000"/>
                </a:schemeClr>
              </a:solidFill>
            </a:rPr>
            <a:t>05</a:t>
          </a:r>
          <a:r>
            <a:rPr lang="es-ES_tradnl" sz="800" b="1" baseline="0">
              <a:solidFill>
                <a:schemeClr val="accent1">
                  <a:lumMod val="75000"/>
                </a:schemeClr>
              </a:solidFill>
            </a:rPr>
            <a:t> 28</a:t>
          </a:r>
        </a:p>
        <a:p>
          <a:r>
            <a:rPr lang="es-ES_tradnl" sz="800" b="1" i="1"/>
            <a:t>euro12construction@orange.fr</a:t>
          </a:r>
        </a:p>
      </xdr:txBody>
    </xdr:sp>
    <xdr:clientData/>
  </xdr:twoCellAnchor>
  <xdr:twoCellAnchor>
    <xdr:from>
      <xdr:col>11</xdr:col>
      <xdr:colOff>819150</xdr:colOff>
      <xdr:row>3</xdr:row>
      <xdr:rowOff>9525</xdr:rowOff>
    </xdr:from>
    <xdr:to>
      <xdr:col>14</xdr:col>
      <xdr:colOff>123825</xdr:colOff>
      <xdr:row>6</xdr:row>
      <xdr:rowOff>104775</xdr:rowOff>
    </xdr:to>
    <xdr:sp macro="" textlink="">
      <xdr:nvSpPr>
        <xdr:cNvPr id="11" name="Pentagone 10">
          <a:hlinkClick xmlns:r="http://schemas.openxmlformats.org/officeDocument/2006/relationships" r:id="rId9"/>
        </xdr:cNvPr>
        <xdr:cNvSpPr/>
      </xdr:nvSpPr>
      <xdr:spPr>
        <a:xfrm>
          <a:off x="9201150" y="1362075"/>
          <a:ext cx="1819275" cy="666750"/>
        </a:xfrm>
        <a:prstGeom prst="homePlate">
          <a:avLst/>
        </a:prstGeom>
        <a:solidFill>
          <a:schemeClr val="bg1">
            <a:lumMod val="50000"/>
            <a:alpha val="96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Créer</a:t>
          </a:r>
          <a:r>
            <a:rPr lang="fr-FR" sz="1400" b="0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une facture Maison</a:t>
          </a:r>
          <a:r>
            <a:rPr lang="fr-FR" sz="1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</a:t>
          </a:r>
          <a:r>
            <a:rPr lang="fr-FR" sz="1400" b="0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Individuelle</a:t>
          </a:r>
          <a:r>
            <a:rPr lang="fr-FR" sz="1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</a:t>
          </a:r>
          <a:endParaRPr lang="fr-FR" sz="1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</a:endParaRPr>
        </a:p>
      </xdr:txBody>
    </xdr:sp>
    <xdr:clientData/>
  </xdr:twoCellAnchor>
  <xdr:twoCellAnchor>
    <xdr:from>
      <xdr:col>12</xdr:col>
      <xdr:colOff>0</xdr:colOff>
      <xdr:row>8</xdr:row>
      <xdr:rowOff>19050</xdr:rowOff>
    </xdr:from>
    <xdr:to>
      <xdr:col>14</xdr:col>
      <xdr:colOff>142875</xdr:colOff>
      <xdr:row>11</xdr:row>
      <xdr:rowOff>114300</xdr:rowOff>
    </xdr:to>
    <xdr:sp macro="" textlink="">
      <xdr:nvSpPr>
        <xdr:cNvPr id="12" name="Pentagone 11">
          <a:hlinkClick xmlns:r="http://schemas.openxmlformats.org/officeDocument/2006/relationships" r:id="rId10"/>
        </xdr:cNvPr>
        <xdr:cNvSpPr/>
      </xdr:nvSpPr>
      <xdr:spPr>
        <a:xfrm>
          <a:off x="9220200" y="2324100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Créer une facture</a:t>
          </a:r>
          <a:r>
            <a:rPr lang="fr-FR" sz="1400" b="0" cap="none" spc="0" baseline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</a:rPr>
            <a:t> Honoraires</a:t>
          </a:r>
          <a:endParaRPr lang="fr-FR" sz="1400" b="0" cap="none" spc="0">
            <a:ln w="18415" cmpd="sng">
              <a:noFill/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</a:endParaRPr>
        </a:p>
      </xdr:txBody>
    </xdr:sp>
    <xdr:clientData/>
  </xdr:twoCellAnchor>
  <xdr:twoCellAnchor>
    <xdr:from>
      <xdr:col>1</xdr:col>
      <xdr:colOff>0</xdr:colOff>
      <xdr:row>13</xdr:row>
      <xdr:rowOff>28575</xdr:rowOff>
    </xdr:from>
    <xdr:to>
      <xdr:col>3</xdr:col>
      <xdr:colOff>142875</xdr:colOff>
      <xdr:row>16</xdr:row>
      <xdr:rowOff>123825</xdr:rowOff>
    </xdr:to>
    <xdr:sp macro="" textlink="">
      <xdr:nvSpPr>
        <xdr:cNvPr id="13" name="Pentagone 12">
          <a:hlinkClick xmlns:r="http://schemas.openxmlformats.org/officeDocument/2006/relationships" r:id="rId11"/>
        </xdr:cNvPr>
        <xdr:cNvSpPr/>
      </xdr:nvSpPr>
      <xdr:spPr>
        <a:xfrm>
          <a:off x="0" y="3286125"/>
          <a:ext cx="1819275" cy="666750"/>
        </a:xfrm>
        <a:prstGeom prst="homePlate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Affaires Honoraires</a:t>
          </a:r>
          <a:endParaRPr lang="fr-FR" sz="16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828675</xdr:colOff>
      <xdr:row>13</xdr:row>
      <xdr:rowOff>19050</xdr:rowOff>
    </xdr:from>
    <xdr:to>
      <xdr:col>7</xdr:col>
      <xdr:colOff>133350</xdr:colOff>
      <xdr:row>16</xdr:row>
      <xdr:rowOff>114300</xdr:rowOff>
    </xdr:to>
    <xdr:sp macro="" textlink="">
      <xdr:nvSpPr>
        <xdr:cNvPr id="14" name="Pentagone 13">
          <a:hlinkClick xmlns:r="http://schemas.openxmlformats.org/officeDocument/2006/relationships" r:id="rId12"/>
        </xdr:cNvPr>
        <xdr:cNvSpPr/>
      </xdr:nvSpPr>
      <xdr:spPr>
        <a:xfrm>
          <a:off x="3343275" y="3276600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Factures Affaires</a:t>
          </a:r>
          <a:endParaRPr lang="fr-FR" sz="14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142875</xdr:colOff>
      <xdr:row>16</xdr:row>
      <xdr:rowOff>95250</xdr:rowOff>
    </xdr:to>
    <xdr:sp macro="" textlink="">
      <xdr:nvSpPr>
        <xdr:cNvPr id="15" name="Pentagone 14">
          <a:hlinkClick xmlns:r="http://schemas.openxmlformats.org/officeDocument/2006/relationships" r:id="rId13"/>
        </xdr:cNvPr>
        <xdr:cNvSpPr/>
      </xdr:nvSpPr>
      <xdr:spPr>
        <a:xfrm>
          <a:off x="6705600" y="3257550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</a:t>
          </a:r>
          <a:r>
            <a:rPr lang="fr-FR" sz="1400" b="0" cap="none" spc="0" baseline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lot, avenant, affaire </a:t>
          </a:r>
          <a:endParaRPr lang="fr-FR" sz="14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12</xdr:col>
      <xdr:colOff>9525</xdr:colOff>
      <xdr:row>13</xdr:row>
      <xdr:rowOff>9525</xdr:rowOff>
    </xdr:from>
    <xdr:to>
      <xdr:col>14</xdr:col>
      <xdr:colOff>152400</xdr:colOff>
      <xdr:row>16</xdr:row>
      <xdr:rowOff>104775</xdr:rowOff>
    </xdr:to>
    <xdr:sp macro="" textlink="">
      <xdr:nvSpPr>
        <xdr:cNvPr id="16" name="Pentagone 15">
          <a:hlinkClick xmlns:r="http://schemas.openxmlformats.org/officeDocument/2006/relationships" r:id="rId14"/>
        </xdr:cNvPr>
        <xdr:cNvSpPr/>
      </xdr:nvSpPr>
      <xdr:spPr>
        <a:xfrm>
          <a:off x="9229725" y="3267075"/>
          <a:ext cx="1819275" cy="666750"/>
        </a:xfrm>
        <a:prstGeom prst="homePlate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12700">
                <a:noFill/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BDD Etapes Honoraires</a:t>
          </a:r>
          <a:endParaRPr lang="fr-FR" sz="1600" b="0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3</xdr:row>
      <xdr:rowOff>171450</xdr:rowOff>
    </xdr:from>
    <xdr:to>
      <xdr:col>0</xdr:col>
      <xdr:colOff>1209675</xdr:colOff>
      <xdr:row>9</xdr:row>
      <xdr:rowOff>371475</xdr:rowOff>
    </xdr:to>
    <xdr:pic>
      <xdr:nvPicPr>
        <xdr:cNvPr id="3" name="Image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0" y="771525"/>
          <a:ext cx="733425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1247775</xdr:colOff>
      <xdr:row>5</xdr:row>
      <xdr:rowOff>219075</xdr:rowOff>
    </xdr:from>
    <xdr:to>
      <xdr:col>2</xdr:col>
      <xdr:colOff>169069</xdr:colOff>
      <xdr:row>7</xdr:row>
      <xdr:rowOff>85725</xdr:rowOff>
    </xdr:to>
    <xdr:pic>
      <xdr:nvPicPr>
        <xdr:cNvPr id="4" name="Image 3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47775" y="1219200"/>
          <a:ext cx="16954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4</xdr:row>
      <xdr:rowOff>28575</xdr:rowOff>
    </xdr:from>
    <xdr:to>
      <xdr:col>5</xdr:col>
      <xdr:colOff>561975</xdr:colOff>
      <xdr:row>9</xdr:row>
      <xdr:rowOff>323850</xdr:rowOff>
    </xdr:to>
    <xdr:sp macro="" textlink="">
      <xdr:nvSpPr>
        <xdr:cNvPr id="7" name="ZoneTexte 6"/>
        <xdr:cNvSpPr txBox="1"/>
      </xdr:nvSpPr>
      <xdr:spPr>
        <a:xfrm>
          <a:off x="3105150" y="828675"/>
          <a:ext cx="2581275" cy="1409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Centre Commercial           CAP DU CRES</a:t>
          </a:r>
          <a:br>
            <a:rPr lang="es-ES_tradnl" sz="1000" b="1">
              <a:solidFill>
                <a:schemeClr val="accent1">
                  <a:lumMod val="75000"/>
                </a:schemeClr>
              </a:solidFill>
            </a:rPr>
          </a:br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35, Chemin de Prignolles 12100 MILLAU </a:t>
          </a:r>
          <a:endParaRPr lang="es-ES_tradnl" sz="800" b="1">
            <a:solidFill>
              <a:schemeClr val="accent1">
                <a:lumMod val="75000"/>
              </a:schemeClr>
            </a:solidFill>
          </a:endParaRPr>
        </a:p>
        <a:p>
          <a:endParaRPr lang="es-ES_tradnl" sz="1000" b="1">
            <a:solidFill>
              <a:schemeClr val="accent1">
                <a:lumMod val="75000"/>
              </a:schemeClr>
            </a:solidFill>
          </a:endParaRPr>
        </a:p>
        <a:p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110, Rue du Docteur Theodor </a:t>
          </a:r>
          <a:br>
            <a:rPr lang="es-ES_tradnl" sz="1000" b="1">
              <a:solidFill>
                <a:schemeClr val="accent1">
                  <a:lumMod val="75000"/>
                </a:schemeClr>
              </a:solidFill>
            </a:rPr>
          </a:br>
          <a:r>
            <a:rPr lang="es-ES_tradnl" sz="1000" b="1">
              <a:solidFill>
                <a:schemeClr val="accent1">
                  <a:lumMod val="75000"/>
                </a:schemeClr>
              </a:solidFill>
            </a:rPr>
            <a:t>Av. de la Gineste</a:t>
          </a:r>
          <a:r>
            <a:rPr lang="es-ES_tradnl" sz="1000" b="1" baseline="0">
              <a:solidFill>
                <a:schemeClr val="accent1">
                  <a:lumMod val="75000"/>
                </a:schemeClr>
              </a:solidFill>
            </a:rPr>
            <a:t>               12000 RODEZ</a:t>
          </a:r>
        </a:p>
        <a:p>
          <a:r>
            <a:rPr lang="es-ES_tradnl" sz="1000" b="1" baseline="0">
              <a:solidFill>
                <a:schemeClr val="accent1">
                  <a:lumMod val="75000"/>
                </a:schemeClr>
              </a:solidFill>
            </a:rPr>
            <a:t> </a:t>
          </a:r>
        </a:p>
        <a:p>
          <a:r>
            <a:rPr lang="es-ES_tradnl" sz="900"/>
            <a:t>05 65 61</a:t>
          </a:r>
          <a:r>
            <a:rPr lang="es-ES_tradnl" sz="900" baseline="0"/>
            <a:t> </a:t>
          </a:r>
          <a:r>
            <a:rPr lang="es-ES_tradnl" sz="900">
              <a:solidFill>
                <a:schemeClr val="accent1">
                  <a:lumMod val="75000"/>
                </a:schemeClr>
              </a:solidFill>
            </a:rPr>
            <a:t>05</a:t>
          </a:r>
          <a:r>
            <a:rPr lang="es-ES_tradnl" sz="900" baseline="0">
              <a:solidFill>
                <a:schemeClr val="accent1">
                  <a:lumMod val="75000"/>
                </a:schemeClr>
              </a:solidFill>
            </a:rPr>
            <a:t> 28</a:t>
          </a:r>
        </a:p>
        <a:p>
          <a:r>
            <a:rPr lang="es-ES_tradnl" sz="900" i="1"/>
            <a:t>euro12construction@orange.fr</a:t>
          </a:r>
        </a:p>
      </xdr:txBody>
    </xdr:sp>
    <xdr:clientData/>
  </xdr:twoCellAnchor>
  <xdr:twoCellAnchor>
    <xdr:from>
      <xdr:col>6</xdr:col>
      <xdr:colOff>485775</xdr:colOff>
      <xdr:row>9</xdr:row>
      <xdr:rowOff>381000</xdr:rowOff>
    </xdr:from>
    <xdr:to>
      <xdr:col>7</xdr:col>
      <xdr:colOff>828675</xdr:colOff>
      <xdr:row>11</xdr:row>
      <xdr:rowOff>219075</xdr:rowOff>
    </xdr:to>
    <xdr:sp macro="[0]!Module1.RecapFacture" textlink="">
      <xdr:nvSpPr>
        <xdr:cNvPr id="10" name="Rectangle à coins arrondis 9"/>
        <xdr:cNvSpPr/>
      </xdr:nvSpPr>
      <xdr:spPr>
        <a:xfrm>
          <a:off x="6515100" y="2333625"/>
          <a:ext cx="1181100" cy="5143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Enregistrer la facture </a:t>
          </a:r>
        </a:p>
      </xdr:txBody>
    </xdr:sp>
    <xdr:clientData/>
  </xdr:twoCellAnchor>
  <xdr:twoCellAnchor>
    <xdr:from>
      <xdr:col>6</xdr:col>
      <xdr:colOff>476250</xdr:colOff>
      <xdr:row>6</xdr:row>
      <xdr:rowOff>180975</xdr:rowOff>
    </xdr:from>
    <xdr:to>
      <xdr:col>7</xdr:col>
      <xdr:colOff>819150</xdr:colOff>
      <xdr:row>9</xdr:row>
      <xdr:rowOff>295275</xdr:rowOff>
    </xdr:to>
    <xdr:sp macro="[0]!Module1.ExtractionFacture" textlink="">
      <xdr:nvSpPr>
        <xdr:cNvPr id="11" name="Rectangle à coins arrondis 10"/>
        <xdr:cNvSpPr/>
      </xdr:nvSpPr>
      <xdr:spPr>
        <a:xfrm>
          <a:off x="6362700" y="1409700"/>
          <a:ext cx="1181100" cy="7048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Extraire</a:t>
          </a:r>
          <a:r>
            <a:rPr lang="es-ES_tradnl" sz="1100" baseline="0"/>
            <a:t> les factures précedentes </a:t>
          </a:r>
          <a:endParaRPr lang="es-ES_tradnl" sz="1100"/>
        </a:p>
      </xdr:txBody>
    </xdr:sp>
    <xdr:clientData/>
  </xdr:twoCellAnchor>
  <xdr:twoCellAnchor>
    <xdr:from>
      <xdr:col>6</xdr:col>
      <xdr:colOff>495300</xdr:colOff>
      <xdr:row>12</xdr:row>
      <xdr:rowOff>104775</xdr:rowOff>
    </xdr:from>
    <xdr:to>
      <xdr:col>8</xdr:col>
      <xdr:colOff>0</xdr:colOff>
      <xdr:row>14</xdr:row>
      <xdr:rowOff>180975</xdr:rowOff>
    </xdr:to>
    <xdr:sp macro="[0]!PrepImpress1" textlink="">
      <xdr:nvSpPr>
        <xdr:cNvPr id="12" name="Rectangle à coins arrondis 11"/>
        <xdr:cNvSpPr/>
      </xdr:nvSpPr>
      <xdr:spPr>
        <a:xfrm>
          <a:off x="6524625" y="2971800"/>
          <a:ext cx="1181100" cy="5143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Aperçu avant impression </a:t>
          </a:r>
        </a:p>
      </xdr:txBody>
    </xdr:sp>
    <xdr:clientData/>
  </xdr:twoCellAnchor>
  <xdr:twoCellAnchor>
    <xdr:from>
      <xdr:col>6</xdr:col>
      <xdr:colOff>514350</xdr:colOff>
      <xdr:row>15</xdr:row>
      <xdr:rowOff>76200</xdr:rowOff>
    </xdr:from>
    <xdr:to>
      <xdr:col>8</xdr:col>
      <xdr:colOff>19050</xdr:colOff>
      <xdr:row>18</xdr:row>
      <xdr:rowOff>0</xdr:rowOff>
    </xdr:to>
    <xdr:sp macro="[0]!Module1.Export_PDF" textlink="">
      <xdr:nvSpPr>
        <xdr:cNvPr id="13" name="Rectangle à coins arrondis 12"/>
        <xdr:cNvSpPr/>
      </xdr:nvSpPr>
      <xdr:spPr>
        <a:xfrm>
          <a:off x="6543675" y="3581400"/>
          <a:ext cx="1181100" cy="52387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Enregistrer</a:t>
          </a:r>
          <a:r>
            <a:rPr lang="es-ES_tradnl" sz="1100" baseline="0"/>
            <a:t> au format PDF</a:t>
          </a:r>
          <a:endParaRPr lang="es-ES_tradnl" sz="1100"/>
        </a:p>
      </xdr:txBody>
    </xdr:sp>
    <xdr:clientData/>
  </xdr:twoCellAnchor>
  <xdr:twoCellAnchor>
    <xdr:from>
      <xdr:col>6</xdr:col>
      <xdr:colOff>495300</xdr:colOff>
      <xdr:row>0</xdr:row>
      <xdr:rowOff>152400</xdr:rowOff>
    </xdr:from>
    <xdr:to>
      <xdr:col>7</xdr:col>
      <xdr:colOff>781050</xdr:colOff>
      <xdr:row>5</xdr:row>
      <xdr:rowOff>190500</xdr:rowOff>
    </xdr:to>
    <xdr:sp macro="[0]!IncrémentationFacM" textlink="">
      <xdr:nvSpPr>
        <xdr:cNvPr id="14" name="Ellipse 13"/>
        <xdr:cNvSpPr/>
      </xdr:nvSpPr>
      <xdr:spPr>
        <a:xfrm>
          <a:off x="6381750" y="152400"/>
          <a:ext cx="1123950" cy="1066800"/>
        </a:xfrm>
        <a:prstGeom prst="ellipse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Créer une nouvelle facture </a:t>
          </a:r>
        </a:p>
      </xdr:txBody>
    </xdr:sp>
    <xdr:clientData/>
  </xdr:twoCellAnchor>
  <xdr:twoCellAnchor>
    <xdr:from>
      <xdr:col>8</xdr:col>
      <xdr:colOff>304800</xdr:colOff>
      <xdr:row>2</xdr:row>
      <xdr:rowOff>95250</xdr:rowOff>
    </xdr:from>
    <xdr:to>
      <xdr:col>8</xdr:col>
      <xdr:colOff>571500</xdr:colOff>
      <xdr:row>3</xdr:row>
      <xdr:rowOff>152400</xdr:rowOff>
    </xdr:to>
    <xdr:sp macro="" textlink="">
      <xdr:nvSpPr>
        <xdr:cNvPr id="15" name="Heptagone 14"/>
        <xdr:cNvSpPr/>
      </xdr:nvSpPr>
      <xdr:spPr>
        <a:xfrm>
          <a:off x="7867650" y="485775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1</a:t>
          </a:r>
        </a:p>
      </xdr:txBody>
    </xdr:sp>
    <xdr:clientData/>
  </xdr:twoCellAnchor>
  <xdr:twoCellAnchor>
    <xdr:from>
      <xdr:col>8</xdr:col>
      <xdr:colOff>323850</xdr:colOff>
      <xdr:row>8</xdr:row>
      <xdr:rowOff>19050</xdr:rowOff>
    </xdr:from>
    <xdr:to>
      <xdr:col>8</xdr:col>
      <xdr:colOff>590550</xdr:colOff>
      <xdr:row>9</xdr:row>
      <xdr:rowOff>123825</xdr:rowOff>
    </xdr:to>
    <xdr:sp macro="" textlink="">
      <xdr:nvSpPr>
        <xdr:cNvPr id="16" name="Heptagone 15"/>
        <xdr:cNvSpPr/>
      </xdr:nvSpPr>
      <xdr:spPr>
        <a:xfrm>
          <a:off x="7886700" y="1647825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2</a:t>
          </a:r>
        </a:p>
      </xdr:txBody>
    </xdr:sp>
    <xdr:clientData/>
  </xdr:twoCellAnchor>
  <xdr:twoCellAnchor>
    <xdr:from>
      <xdr:col>8</xdr:col>
      <xdr:colOff>333375</xdr:colOff>
      <xdr:row>9</xdr:row>
      <xdr:rowOff>561975</xdr:rowOff>
    </xdr:from>
    <xdr:to>
      <xdr:col>8</xdr:col>
      <xdr:colOff>600075</xdr:colOff>
      <xdr:row>11</xdr:row>
      <xdr:rowOff>28575</xdr:rowOff>
    </xdr:to>
    <xdr:sp macro="" textlink="">
      <xdr:nvSpPr>
        <xdr:cNvPr id="17" name="Heptagone 16"/>
        <xdr:cNvSpPr/>
      </xdr:nvSpPr>
      <xdr:spPr>
        <a:xfrm>
          <a:off x="7896225" y="2381250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3</a:t>
          </a:r>
        </a:p>
      </xdr:txBody>
    </xdr:sp>
    <xdr:clientData/>
  </xdr:twoCellAnchor>
  <xdr:twoCellAnchor>
    <xdr:from>
      <xdr:col>8</xdr:col>
      <xdr:colOff>342900</xdr:colOff>
      <xdr:row>12</xdr:row>
      <xdr:rowOff>57150</xdr:rowOff>
    </xdr:from>
    <xdr:to>
      <xdr:col>8</xdr:col>
      <xdr:colOff>609600</xdr:colOff>
      <xdr:row>13</xdr:row>
      <xdr:rowOff>133350</xdr:rowOff>
    </xdr:to>
    <xdr:sp macro="" textlink="">
      <xdr:nvSpPr>
        <xdr:cNvPr id="18" name="Heptagone 17"/>
        <xdr:cNvSpPr/>
      </xdr:nvSpPr>
      <xdr:spPr>
        <a:xfrm>
          <a:off x="7905750" y="2943225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4</a:t>
          </a:r>
        </a:p>
      </xdr:txBody>
    </xdr:sp>
    <xdr:clientData/>
  </xdr:twoCellAnchor>
  <xdr:twoCellAnchor>
    <xdr:from>
      <xdr:col>8</xdr:col>
      <xdr:colOff>333375</xdr:colOff>
      <xdr:row>15</xdr:row>
      <xdr:rowOff>9525</xdr:rowOff>
    </xdr:from>
    <xdr:to>
      <xdr:col>8</xdr:col>
      <xdr:colOff>600075</xdr:colOff>
      <xdr:row>16</xdr:row>
      <xdr:rowOff>104775</xdr:rowOff>
    </xdr:to>
    <xdr:sp macro="" textlink="">
      <xdr:nvSpPr>
        <xdr:cNvPr id="19" name="Heptagone 18"/>
        <xdr:cNvSpPr/>
      </xdr:nvSpPr>
      <xdr:spPr>
        <a:xfrm>
          <a:off x="7896225" y="3524250"/>
          <a:ext cx="266700" cy="295275"/>
        </a:xfrm>
        <a:prstGeom prst="heptagon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 b="1">
              <a:solidFill>
                <a:schemeClr val="tx1">
                  <a:lumMod val="95000"/>
                  <a:lumOff val="5000"/>
                </a:schemeClr>
              </a:solidFill>
            </a:rPr>
            <a:t>5</a:t>
          </a:r>
        </a:p>
      </xdr:txBody>
    </xdr:sp>
    <xdr:clientData/>
  </xdr:twoCellAnchor>
  <xdr:twoCellAnchor>
    <xdr:from>
      <xdr:col>11</xdr:col>
      <xdr:colOff>447675</xdr:colOff>
      <xdr:row>1</xdr:row>
      <xdr:rowOff>123825</xdr:rowOff>
    </xdr:from>
    <xdr:to>
      <xdr:col>12</xdr:col>
      <xdr:colOff>304800</xdr:colOff>
      <xdr:row>7</xdr:row>
      <xdr:rowOff>28575</xdr:rowOff>
    </xdr:to>
    <xdr:sp macro="" textlink="">
      <xdr:nvSpPr>
        <xdr:cNvPr id="20" name="Flèche courbée vers la gauche 19">
          <a:hlinkClick xmlns:r="http://schemas.openxmlformats.org/officeDocument/2006/relationships" r:id="rId3"/>
        </xdr:cNvPr>
        <xdr:cNvSpPr/>
      </xdr:nvSpPr>
      <xdr:spPr>
        <a:xfrm>
          <a:off x="10668000" y="32385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</xdr:row>
      <xdr:rowOff>95250</xdr:rowOff>
    </xdr:from>
    <xdr:to>
      <xdr:col>9</xdr:col>
      <xdr:colOff>714375</xdr:colOff>
      <xdr:row>7</xdr:row>
      <xdr:rowOff>152400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0858500" y="295275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1057275</xdr:colOff>
      <xdr:row>0</xdr:row>
      <xdr:rowOff>28575</xdr:rowOff>
    </xdr:from>
    <xdr:to>
      <xdr:col>8</xdr:col>
      <xdr:colOff>1752600</xdr:colOff>
      <xdr:row>5</xdr:row>
      <xdr:rowOff>161925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1420475" y="28575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10</xdr:col>
      <xdr:colOff>695325</xdr:colOff>
      <xdr:row>6</xdr:row>
      <xdr:rowOff>76200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9906000" y="19050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497418</xdr:colOff>
      <xdr:row>0</xdr:row>
      <xdr:rowOff>201084</xdr:rowOff>
    </xdr:from>
    <xdr:to>
      <xdr:col>27</xdr:col>
      <xdr:colOff>356659</xdr:colOff>
      <xdr:row>5</xdr:row>
      <xdr:rowOff>124884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27686001" y="201084"/>
          <a:ext cx="695325" cy="1151467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  <xdr:twoCellAnchor>
    <xdr:from>
      <xdr:col>24</xdr:col>
      <xdr:colOff>0</xdr:colOff>
      <xdr:row>1</xdr:row>
      <xdr:rowOff>169333</xdr:rowOff>
    </xdr:from>
    <xdr:to>
      <xdr:col>25</xdr:col>
      <xdr:colOff>127000</xdr:colOff>
      <xdr:row>6</xdr:row>
      <xdr:rowOff>84666</xdr:rowOff>
    </xdr:to>
    <xdr:sp macro="[0]!OuvrirRelance1" textlink="">
      <xdr:nvSpPr>
        <xdr:cNvPr id="3" name="Ellipse 2"/>
        <xdr:cNvSpPr/>
      </xdr:nvSpPr>
      <xdr:spPr>
        <a:xfrm>
          <a:off x="25516417" y="740833"/>
          <a:ext cx="963083" cy="920750"/>
        </a:xfrm>
        <a:prstGeom prst="ellipse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Activer la 1ère Relance </a:t>
          </a:r>
        </a:p>
      </xdr:txBody>
    </xdr:sp>
    <xdr:clientData/>
  </xdr:twoCellAnchor>
  <xdr:twoCellAnchor>
    <xdr:from>
      <xdr:col>24</xdr:col>
      <xdr:colOff>0</xdr:colOff>
      <xdr:row>6</xdr:row>
      <xdr:rowOff>433917</xdr:rowOff>
    </xdr:from>
    <xdr:to>
      <xdr:col>25</xdr:col>
      <xdr:colOff>127000</xdr:colOff>
      <xdr:row>11</xdr:row>
      <xdr:rowOff>52917</xdr:rowOff>
    </xdr:to>
    <xdr:sp macro="[0]!OuvrirRelance2" textlink="">
      <xdr:nvSpPr>
        <xdr:cNvPr id="4" name="Ellipse 3"/>
        <xdr:cNvSpPr/>
      </xdr:nvSpPr>
      <xdr:spPr>
        <a:xfrm>
          <a:off x="25516417" y="2010834"/>
          <a:ext cx="963083" cy="920750"/>
        </a:xfrm>
        <a:prstGeom prst="ellipse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Activer la 2ème Relance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12</xdr:col>
      <xdr:colOff>695325</xdr:colOff>
      <xdr:row>0</xdr:row>
      <xdr:rowOff>85725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0658475" y="19050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  <xdr:twoCellAnchor>
    <xdr:from>
      <xdr:col>10</xdr:col>
      <xdr:colOff>133350</xdr:colOff>
      <xdr:row>0</xdr:row>
      <xdr:rowOff>0</xdr:rowOff>
    </xdr:from>
    <xdr:to>
      <xdr:col>11</xdr:col>
      <xdr:colOff>514350</xdr:colOff>
      <xdr:row>4</xdr:row>
      <xdr:rowOff>161925</xdr:rowOff>
    </xdr:to>
    <xdr:sp macro="[0]!AfficherForm2" textlink="">
      <xdr:nvSpPr>
        <xdr:cNvPr id="3" name="Ellipse 2"/>
        <xdr:cNvSpPr/>
      </xdr:nvSpPr>
      <xdr:spPr>
        <a:xfrm>
          <a:off x="11820525" y="1257300"/>
          <a:ext cx="1219200" cy="1085850"/>
        </a:xfrm>
        <a:prstGeom prst="ellipse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900"/>
            <a:t>Créer ou modifier</a:t>
          </a:r>
          <a:r>
            <a:rPr lang="es-ES_tradnl" sz="900" baseline="0"/>
            <a:t> des fournisseurs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1136650</xdr:colOff>
      <xdr:row>0</xdr:row>
      <xdr:rowOff>82550</xdr:rowOff>
    </xdr:from>
    <xdr:to>
      <xdr:col>12</xdr:col>
      <xdr:colOff>348192</xdr:colOff>
      <xdr:row>4</xdr:row>
      <xdr:rowOff>31749</xdr:rowOff>
    </xdr:to>
    <xdr:sp macro="[0]!AfficherForm3" textlink="">
      <xdr:nvSpPr>
        <xdr:cNvPr id="2" name="Ellipse 1"/>
        <xdr:cNvSpPr/>
      </xdr:nvSpPr>
      <xdr:spPr>
        <a:xfrm>
          <a:off x="11084983" y="82550"/>
          <a:ext cx="1434042" cy="93344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  <a:r>
            <a:rPr lang="fr-FR" sz="1100" baseline="0"/>
            <a:t> ou mofidier une facture</a:t>
          </a:r>
          <a:endParaRPr lang="fr-FR" sz="1100"/>
        </a:p>
      </xdr:txBody>
    </xdr:sp>
    <xdr:clientData/>
  </xdr:twoCellAnchor>
  <xdr:twoCellAnchor>
    <xdr:from>
      <xdr:col>12</xdr:col>
      <xdr:colOff>783167</xdr:colOff>
      <xdr:row>0</xdr:row>
      <xdr:rowOff>152400</xdr:rowOff>
    </xdr:from>
    <xdr:to>
      <xdr:col>13</xdr:col>
      <xdr:colOff>559858</xdr:colOff>
      <xdr:row>4</xdr:row>
      <xdr:rowOff>190500</xdr:rowOff>
    </xdr:to>
    <xdr:sp macro="" textlink="">
      <xdr:nvSpPr>
        <xdr:cNvPr id="3" name="Flèche courbée vers la gauche 2">
          <a:hlinkClick xmlns:r="http://schemas.openxmlformats.org/officeDocument/2006/relationships" r:id="rId1"/>
        </xdr:cNvPr>
        <xdr:cNvSpPr/>
      </xdr:nvSpPr>
      <xdr:spPr>
        <a:xfrm>
          <a:off x="12954000" y="152400"/>
          <a:ext cx="612775" cy="102235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133350</xdr:rowOff>
    </xdr:from>
    <xdr:to>
      <xdr:col>12</xdr:col>
      <xdr:colOff>209550</xdr:colOff>
      <xdr:row>5</xdr:row>
      <xdr:rowOff>123825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11344275" y="133350"/>
          <a:ext cx="695325" cy="1257300"/>
        </a:xfrm>
        <a:prstGeom prst="curved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>
              <a:solidFill>
                <a:schemeClr val="tx1"/>
              </a:solidFill>
            </a:rPr>
            <a:t>Retour </a:t>
          </a:r>
        </a:p>
        <a:p>
          <a:pPr algn="ctr"/>
          <a:r>
            <a:rPr lang="es-ES_tradnl" sz="1100">
              <a:solidFill>
                <a:schemeClr val="tx1"/>
              </a:solidFill>
            </a:rPr>
            <a:t>Menu</a:t>
          </a:r>
          <a:r>
            <a:rPr lang="es-ES_tradnl" sz="1100" baseline="0">
              <a:solidFill>
                <a:schemeClr val="tx1"/>
              </a:solidFill>
            </a:rPr>
            <a:t> </a:t>
          </a:r>
        </a:p>
      </xdr:txBody>
    </xdr:sp>
    <xdr:clientData/>
  </xdr:twoCellAnchor>
  <xdr:twoCellAnchor>
    <xdr:from>
      <xdr:col>12</xdr:col>
      <xdr:colOff>619125</xdr:colOff>
      <xdr:row>0</xdr:row>
      <xdr:rowOff>297656</xdr:rowOff>
    </xdr:from>
    <xdr:to>
      <xdr:col>14</xdr:col>
      <xdr:colOff>250032</xdr:colOff>
      <xdr:row>6</xdr:row>
      <xdr:rowOff>95250</xdr:rowOff>
    </xdr:to>
    <xdr:sp macro="[0]!AfficherForm" textlink="">
      <xdr:nvSpPr>
        <xdr:cNvPr id="3" name="Ellipse 2"/>
        <xdr:cNvSpPr/>
      </xdr:nvSpPr>
      <xdr:spPr>
        <a:xfrm>
          <a:off x="12465844" y="297656"/>
          <a:ext cx="1369219" cy="1273969"/>
        </a:xfrm>
        <a:prstGeom prst="ellipse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_tradnl" sz="1100"/>
            <a:t>Nouveau</a:t>
          </a:r>
          <a:r>
            <a:rPr lang="es-ES_tradnl" sz="1100" baseline="0"/>
            <a:t> ou modification client </a:t>
          </a:r>
          <a:endParaRPr lang="es-ES_tradnl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BDDdevis" displayName="BDDdevis" ref="A7:I16" totalsRowShown="0" tableBorderDxfId="65">
  <autoFilter ref="A7:I16">
    <filterColumn colId="1"/>
  </autoFilter>
  <tableColumns count="9">
    <tableColumn id="1" name="Nom affaire" dataDxfId="64"/>
    <tableColumn id="9" name="Numéro devis " dataDxfId="63" dataCellStyle="Normal 2"/>
    <tableColumn id="2" name="Numéro client " dataDxfId="62"/>
    <tableColumn id="3" name="Date devis " dataDxfId="61">
      <calculatedColumnFormula>TODAY()</calculatedColumnFormula>
    </tableColumn>
    <tableColumn id="4" name="Montant Initial " dataDxfId="60" dataCellStyle="Monétaire"/>
    <tableColumn id="5" name="Montant Client " dataDxfId="59" dataCellStyle="Monétaire">
      <calculatedColumnFormula>SUMIF(TableauFacCLient[],'BDD devis'!A8,TableauFacCLient[[#All],[Montant HT ]])</calculatedColumnFormula>
    </tableColumn>
    <tableColumn id="6" name="Montant fournisseurs " dataDxfId="58" dataCellStyle="Monétaire"/>
    <tableColumn id="7" name="Somme facture clients" dataDxfId="57"/>
    <tableColumn id="8" name="Somme facture fournisseurs" dataDxfId="5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leauFacCLient" displayName="TableauFacCLient" ref="A1:V8" totalsRowShown="0" headerRowDxfId="55" headerRowCellStyle="Normal 2" dataCellStyle="Normal 2">
  <tableColumns count="22">
    <tableColumn id="1" name="N° facture " dataCellStyle="Normal 2"/>
    <tableColumn id="2" name="Date " dataDxfId="54" dataCellStyle="Normal 2"/>
    <tableColumn id="3" name="N°client " dataDxfId="53" dataCellStyle="Normal 2"/>
    <tableColumn id="4" name="Nom affaire " dataCellStyle="Normal 2"/>
    <tableColumn id="5" name="Achèvement  " dataCellStyle="Normal 2"/>
    <tableColumn id="6" name="Montant HT " dataDxfId="52" dataCellStyle="Monétaire">
      <calculatedColumnFormula>IF(#REF!="","",#REF!)</calculatedColumnFormula>
    </tableColumn>
    <tableColumn id="7" name="Taux TVA " dataCellStyle="Normal 2"/>
    <tableColumn id="8" name="Montant TTC " dataCellStyle="Monétaire"/>
    <tableColumn id="12" name="Montant réglé " dataDxfId="51" dataCellStyle="Monétaire"/>
    <tableColumn id="9" name="Reste à payer " dataDxfId="50" dataCellStyle="Normal 2">
      <calculatedColumnFormula>[[Montant TTC ]]-[[Montant réglé ]]</calculatedColumnFormula>
    </tableColumn>
    <tableColumn id="10" name="Date d'échéance " dataDxfId="49" dataCellStyle="Normal 2">
      <calculatedColumnFormula>EOMONTH(TableauFacCLient[[#This Row],[Date ]],1)</calculatedColumnFormula>
    </tableColumn>
    <tableColumn id="14" name="Différence, date du jour, date d'échéance " dataDxfId="48">
      <calculatedColumnFormula>$Z$1-TableauFacCLient[[#This Row],[Date d''échéance ]]</calculatedColumnFormula>
    </tableColumn>
    <tableColumn id="13" name="Réglé le "/>
    <tableColumn id="11" name="Relance " dataDxfId="47" dataCellStyle="Normal 2">
      <calculatedColumnFormula>IF(OR(TableauFacCLient[[#This Row],[Réglé le ]],TableauFacCLient[[#This Row],[Différence, date du jour, date d''échéance ]])="","",IF(AND(TableauFacCLient[[#This Row],[Différence, date du jour, date d''échéance ]]&gt;17,TableauFacCLient[[#This Row],[Réglé le ]]=""),2,IF(AND(TableauFacCLient[[#This Row],[Différence, date du jour, date d''échéance ]]&gt;7,TableauFacCLient[[#This Row],[Réglé le ]]=""),1,"Aucune Relance")))</calculatedColumnFormula>
    </tableColumn>
    <tableColumn id="15" name="Date 1ère relance " dataCellStyle="Normal 2"/>
    <tableColumn id="16" name="Date 2ème relance " dataCellStyle="Normal 2"/>
    <tableColumn id="22" name="Dénomination sociale " dataDxfId="46" dataCellStyle="Normal 2">
      <calculatedColumnFormula>VLOOKUP(TableauFacCLient[[#This Row],[N°client ]],BDDclient3[],2,FALSE)</calculatedColumnFormula>
    </tableColumn>
    <tableColumn id="17" name="Nom " dataDxfId="45" dataCellStyle="Normal 2">
      <calculatedColumnFormula>VLOOKUP(TableauFacCLient[[#This Row],[N°client ]],BDDclient3[],3,FALSE)</calculatedColumnFormula>
    </tableColumn>
    <tableColumn id="18" name="Prénom " dataDxfId="44" dataCellStyle="Normal 2">
      <calculatedColumnFormula>VLOOKUP(TableauFacCLient[[#This Row],[N°client ]],BDDclient3[],4,FALSE)</calculatedColumnFormula>
    </tableColumn>
    <tableColumn id="19" name="Adresse " dataDxfId="43" dataCellStyle="Normal 2">
      <calculatedColumnFormula>VLOOKUP(TableauFacCLient[[#This Row],[N°client ]],BDDclient3[],5,FALSE)</calculatedColumnFormula>
    </tableColumn>
    <tableColumn id="20" name="CP" dataDxfId="42" dataCellStyle="Normal 2">
      <calculatedColumnFormula>VLOOKUP(TableauFacCLient[[#This Row],[N°client ]],BDDclient3[],6,FALSE)</calculatedColumnFormula>
    </tableColumn>
    <tableColumn id="21" name="Ville " dataDxfId="41" dataCellStyle="Normal 2">
      <calculatedColumnFormula>VLOOKUP(TableauFacCLient[[#This Row],[N°client ]],BDDclient3[],7,FALSE)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au8" displayName="Tableau8" ref="A1:J7" totalsRowShown="0" headerRowDxfId="40" headerRowBorderDxfId="39" tableBorderDxfId="38" totalsRowBorderDxfId="37">
  <autoFilter ref="A1:J7">
    <filterColumn colId="0"/>
    <filterColumn colId="7"/>
    <filterColumn colId="8"/>
  </autoFilter>
  <tableColumns count="10">
    <tableColumn id="9" name="N° fournisseur"/>
    <tableColumn id="1" name="Dénomination sociale" dataDxfId="36"/>
    <tableColumn id="2" name="Lot" dataDxfId="35"/>
    <tableColumn id="3" name="Représentant" dataDxfId="34"/>
    <tableColumn id="4" name="Téléphone" dataDxfId="33"/>
    <tableColumn id="5" name="Fax" dataDxfId="32"/>
    <tableColumn id="6" name="Adresse" dataDxfId="31"/>
    <tableColumn id="7" name="Code Postal" dataDxfId="30" dataCellStyle="Normal 2"/>
    <tableColumn id="8" name="Ville" dataDxfId="29" dataCellStyle="Normal 2"/>
    <tableColumn id="10" name="Remarques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6" name="TableauFactFour" displayName="TableauFactFour" ref="A1:J6" totalsRowShown="0" dataDxfId="27" headerRowBorderDxfId="28" tableBorderDxfId="26" totalsRowBorderDxfId="25">
  <autoFilter ref="A1:J6">
    <filterColumn colId="5"/>
  </autoFilter>
  <tableColumns count="10">
    <tableColumn id="1" name="N° clients" dataDxfId="24"/>
    <tableColumn id="2" name="Clients" dataDxfId="1">
      <calculatedColumnFormula>IF(B2="","",VLOOKUP(A2,BDDclient3[],2,FALSE))</calculatedColumnFormula>
    </tableColumn>
    <tableColumn id="3" name="Nom Affaire " dataDxfId="0"/>
    <tableColumn id="4" name="Date reception " dataDxfId="23"/>
    <tableColumn id="6" name="Montant HT" dataDxfId="22"/>
    <tableColumn id="5" name="Taux TVA " dataDxfId="21" dataCellStyle="Pourcentage"/>
    <tableColumn id="7" name="Montant TTC " dataDxfId="20" dataCellStyle="Monétaire">
      <calculatedColumnFormula>TableauFactFour[[#This Row],[Montant HT]]*F2+E2</calculatedColumnFormula>
    </tableColumn>
    <tableColumn id="8" name="Montant réglé " dataDxfId="19" dataCellStyle="Monétaire"/>
    <tableColumn id="9" name="Reste à payer" dataDxfId="18">
      <calculatedColumnFormula>TableauFactFour[[#This Row],[Montant TTC ]]-H2</calculatedColumnFormula>
    </tableColumn>
    <tableColumn id="10" name="Date d'échéance " dataDxfId="17">
      <calculatedColumnFormula>IF(TableauFactFour[[#This Row],[Date reception ]]="","",EOMONTH(TableauFactFour[[#This Row],[Date reception ]],1))</calculatedColumnFormula>
    </tableColumn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4" name="BDDclient3" displayName="BDDclient3" ref="A1:J9" totalsRowShown="0" headerRowDxfId="16" dataDxfId="14" headerRowBorderDxfId="15" tableBorderDxfId="13" totalsRowBorderDxfId="12">
  <autoFilter ref="A1:J9"/>
  <tableColumns count="10">
    <tableColumn id="1" name="Numéro client " dataDxfId="11"/>
    <tableColumn id="11" name="Dénomination Sociale " dataDxfId="10" dataCellStyle="Normal 2"/>
    <tableColumn id="2" name="Nom" dataDxfId="9"/>
    <tableColumn id="3" name="Prénom" dataDxfId="8"/>
    <tableColumn id="4" name="Adresse" dataDxfId="7"/>
    <tableColumn id="5" name="CP" dataDxfId="6"/>
    <tableColumn id="6" name="Ville" dataDxfId="5"/>
    <tableColumn id="8" name="Mail" dataDxfId="4"/>
    <tableColumn id="9" name="Téléphone" dataDxfId="3"/>
    <tableColumn id="10" name="Remarques" dataDxfId="2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002060"/>
  </sheetPr>
  <dimension ref="B1:O25"/>
  <sheetViews>
    <sheetView showGridLines="0" showRowColHeaders="0" zoomScale="80" zoomScaleNormal="80" workbookViewId="0">
      <selection activeCell="Q22" sqref="Q22"/>
    </sheetView>
  </sheetViews>
  <sheetFormatPr baseColWidth="10" defaultRowHeight="15"/>
  <cols>
    <col min="1" max="1" width="6.375" style="18" customWidth="1"/>
    <col min="2" max="16384" width="11" style="18"/>
  </cols>
  <sheetData>
    <row r="1" spans="2:15">
      <c r="B1" s="19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23"/>
    </row>
    <row r="2" spans="2:15" ht="28.5" customHeight="1">
      <c r="B2" s="129" t="s">
        <v>124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1"/>
    </row>
    <row r="3" spans="2:15" ht="34.5" customHeight="1">
      <c r="B3" s="132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1"/>
    </row>
    <row r="4" spans="2:15">
      <c r="B4" s="132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1"/>
    </row>
    <row r="5" spans="2:15">
      <c r="B5" s="132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1"/>
    </row>
    <row r="6" spans="2:15">
      <c r="B6" s="132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1"/>
    </row>
    <row r="7" spans="2:15">
      <c r="B7" s="132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1"/>
    </row>
    <row r="8" spans="2:15">
      <c r="B8" s="132"/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1"/>
    </row>
    <row r="9" spans="2:15">
      <c r="B9" s="132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3"/>
      <c r="N9" s="133"/>
      <c r="O9" s="131"/>
    </row>
    <row r="10" spans="2:15">
      <c r="B10" s="132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3"/>
      <c r="O10" s="131"/>
    </row>
    <row r="11" spans="2:15">
      <c r="B11" s="132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1"/>
    </row>
    <row r="12" spans="2:15">
      <c r="B12" s="132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1"/>
    </row>
    <row r="13" spans="2:15">
      <c r="B13" s="132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1"/>
    </row>
    <row r="14" spans="2:15">
      <c r="B14" s="132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131"/>
    </row>
    <row r="15" spans="2:1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1"/>
    </row>
    <row r="16" spans="2:15">
      <c r="B16" s="132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1"/>
    </row>
    <row r="17" spans="2:15">
      <c r="B17" s="132"/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N17" s="133"/>
      <c r="O17" s="131"/>
    </row>
    <row r="18" spans="2:15">
      <c r="B18" s="132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1"/>
    </row>
    <row r="19" spans="2:15" ht="15.75">
      <c r="B19" s="134"/>
      <c r="C19" s="135"/>
      <c r="D19" s="135"/>
      <c r="E19" s="56"/>
      <c r="F19" s="56"/>
      <c r="G19" s="56"/>
      <c r="H19" s="136"/>
      <c r="I19" s="137"/>
      <c r="J19" s="56"/>
      <c r="K19" s="135"/>
      <c r="L19" s="135"/>
      <c r="M19" s="135"/>
      <c r="N19" s="135"/>
      <c r="O19" s="138"/>
    </row>
    <row r="20" spans="2:15" ht="15.75">
      <c r="D20" s="133"/>
      <c r="E20" s="2"/>
      <c r="F20" s="2"/>
      <c r="G20" s="2"/>
      <c r="H20" s="72"/>
      <c r="I20" s="73"/>
      <c r="J20" s="2"/>
      <c r="K20" s="133"/>
    </row>
    <row r="21" spans="2:15" ht="15.75">
      <c r="D21" s="133"/>
      <c r="E21" s="2"/>
      <c r="F21" s="2"/>
      <c r="G21" s="2"/>
      <c r="H21" s="72"/>
      <c r="I21" s="73"/>
      <c r="J21" s="2"/>
      <c r="K21" s="133"/>
    </row>
    <row r="22" spans="2:15" ht="15.75">
      <c r="D22" s="133"/>
      <c r="E22" s="2"/>
      <c r="F22" s="91"/>
      <c r="G22" s="2"/>
      <c r="H22" s="2" t="s">
        <v>128</v>
      </c>
      <c r="I22" s="2"/>
      <c r="J22" s="78"/>
      <c r="K22" s="133"/>
    </row>
    <row r="23" spans="2:15" ht="15.75">
      <c r="D23" s="133"/>
      <c r="E23" s="2"/>
      <c r="F23" s="2"/>
      <c r="G23" s="2"/>
      <c r="H23" s="2"/>
      <c r="I23" s="2"/>
      <c r="J23" s="2"/>
      <c r="K23" s="133"/>
    </row>
    <row r="24" spans="2:15" ht="15.75">
      <c r="D24" s="133"/>
      <c r="E24" s="2"/>
      <c r="F24" s="2"/>
      <c r="G24" s="2"/>
      <c r="H24" s="2"/>
      <c r="I24" s="2"/>
      <c r="J24" s="2"/>
      <c r="K24" s="133"/>
    </row>
    <row r="25" spans="2:15">
      <c r="D25" s="133"/>
      <c r="E25" s="133"/>
      <c r="F25" s="133"/>
      <c r="G25" s="133"/>
      <c r="H25" s="133"/>
      <c r="I25" s="133"/>
      <c r="J25" s="133"/>
      <c r="K25" s="13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rgb="FFFF0000"/>
  </sheetPr>
  <dimension ref="A1:J52"/>
  <sheetViews>
    <sheetView zoomScale="80" zoomScaleNormal="80" workbookViewId="0">
      <selection activeCell="J17" sqref="J17"/>
    </sheetView>
  </sheetViews>
  <sheetFormatPr baseColWidth="10" defaultRowHeight="15.75"/>
  <cols>
    <col min="1" max="1" width="24.25" customWidth="1"/>
    <col min="2" max="2" width="12.25" customWidth="1"/>
    <col min="3" max="3" width="11.875" customWidth="1"/>
    <col min="4" max="4" width="13.25" customWidth="1"/>
    <col min="5" max="6" width="11.5" customWidth="1"/>
  </cols>
  <sheetData>
    <row r="1" spans="1:10">
      <c r="A1" s="1" t="s">
        <v>26</v>
      </c>
      <c r="B1" s="17">
        <f ca="1">SUM(OFFSET(E33,0,0,COUNTA(D:D),1))</f>
        <v>33.6</v>
      </c>
      <c r="C1" s="1" t="s">
        <v>0</v>
      </c>
      <c r="E1" s="89">
        <f ca="1">SUMIF(TableauFactFour[],A14,TableauFactFour[[Montant TTC ]])</f>
        <v>0</v>
      </c>
      <c r="F1">
        <v>5</v>
      </c>
    </row>
    <row r="2" spans="1:10">
      <c r="A2" s="142"/>
      <c r="B2" s="70"/>
      <c r="C2" s="70"/>
      <c r="D2" s="70"/>
      <c r="E2" s="70"/>
      <c r="F2" s="71"/>
      <c r="G2" s="99"/>
      <c r="H2" s="99"/>
      <c r="I2" s="99"/>
      <c r="J2" s="99"/>
    </row>
    <row r="3" spans="1:10" ht="18.75">
      <c r="A3" s="79" t="s">
        <v>87</v>
      </c>
      <c r="B3" s="70"/>
      <c r="C3" s="70"/>
      <c r="D3" s="62" t="s">
        <v>3</v>
      </c>
      <c r="E3" s="97" t="s">
        <v>131</v>
      </c>
      <c r="F3" s="71"/>
      <c r="G3" s="99"/>
      <c r="H3" s="99"/>
      <c r="I3" s="99"/>
      <c r="J3" s="99"/>
    </row>
    <row r="4" spans="1:10">
      <c r="A4" s="58"/>
      <c r="B4" s="2"/>
      <c r="C4" s="2"/>
      <c r="D4" s="63" t="s">
        <v>4</v>
      </c>
      <c r="E4" s="98">
        <f ca="1">TODAY()</f>
        <v>42468</v>
      </c>
      <c r="F4" s="59"/>
      <c r="G4" s="99"/>
      <c r="H4" s="99"/>
      <c r="I4" s="99"/>
      <c r="J4" s="99"/>
    </row>
    <row r="5" spans="1:10">
      <c r="A5" s="58"/>
      <c r="B5" s="2"/>
      <c r="C5" s="2"/>
      <c r="D5" s="72"/>
      <c r="E5" s="73"/>
      <c r="F5" s="59"/>
      <c r="G5" s="99"/>
      <c r="H5" s="99"/>
      <c r="I5" s="99"/>
      <c r="J5" s="99"/>
    </row>
    <row r="6" spans="1:10" ht="24.75" customHeight="1">
      <c r="A6" s="58"/>
      <c r="B6" s="2"/>
      <c r="C6" s="2"/>
      <c r="D6" s="72"/>
      <c r="E6" s="73"/>
      <c r="F6" s="59"/>
      <c r="G6" s="99"/>
      <c r="H6" s="99"/>
      <c r="I6" s="99"/>
      <c r="J6" s="99"/>
    </row>
    <row r="7" spans="1:10">
      <c r="A7" s="58"/>
      <c r="B7" s="2"/>
      <c r="C7" s="2"/>
      <c r="D7" s="72"/>
      <c r="E7" s="73"/>
      <c r="F7" s="59"/>
      <c r="G7" s="99"/>
      <c r="H7" s="99"/>
      <c r="I7" s="99"/>
      <c r="J7" s="99"/>
    </row>
    <row r="8" spans="1:10">
      <c r="A8" s="58"/>
      <c r="B8" s="91"/>
      <c r="C8" s="2"/>
      <c r="D8" s="2"/>
      <c r="E8" s="2"/>
      <c r="F8" s="60"/>
      <c r="G8" s="99"/>
      <c r="H8" s="99"/>
      <c r="I8" s="99"/>
      <c r="J8" s="99"/>
    </row>
    <row r="9" spans="1:10">
      <c r="A9" s="58"/>
      <c r="B9" s="2"/>
      <c r="C9" s="2"/>
      <c r="D9" s="2"/>
      <c r="E9" s="2"/>
      <c r="F9" s="59"/>
      <c r="G9" s="99"/>
      <c r="H9" s="99"/>
      <c r="I9" s="99"/>
      <c r="J9" s="99"/>
    </row>
    <row r="10" spans="1:10" ht="34.5" customHeight="1">
      <c r="A10" s="55"/>
      <c r="B10" s="56"/>
      <c r="C10" s="56"/>
      <c r="D10" s="56"/>
      <c r="E10" s="56"/>
      <c r="F10" s="57"/>
      <c r="G10" s="99"/>
      <c r="H10" s="99"/>
      <c r="I10" s="99"/>
      <c r="J10" s="99"/>
    </row>
    <row r="11" spans="1:10" ht="18.75">
      <c r="A11" s="65" t="s">
        <v>88</v>
      </c>
      <c r="B11" s="2"/>
      <c r="C11" s="2"/>
      <c r="D11" s="67" t="str">
        <f>IF(B17="","",VLOOKUP(B17,BDDclient3[#Data],2,FALSE))</f>
        <v xml:space="preserve">SARL LAFON </v>
      </c>
      <c r="E11" s="68"/>
      <c r="F11" s="69"/>
      <c r="G11" s="99"/>
      <c r="H11" s="99"/>
      <c r="I11" s="99"/>
      <c r="J11" s="99"/>
    </row>
    <row r="12" spans="1:10" ht="18.75">
      <c r="A12" s="64" t="s">
        <v>27</v>
      </c>
      <c r="B12" s="2"/>
      <c r="C12" s="2"/>
      <c r="D12" s="10" t="str">
        <f>IF(B17="","",VLOOKUP(B17,BDDclient3[#Data],3,FALSE)&amp;" "&amp;VLOOKUP(B17,BDDclient3[#Data],4,FALSE))</f>
        <v xml:space="preserve">LAFON  Maxime </v>
      </c>
      <c r="E12" s="8"/>
      <c r="F12" s="9"/>
      <c r="G12" s="99"/>
      <c r="H12" s="99"/>
      <c r="I12" s="99"/>
      <c r="J12" s="99"/>
    </row>
    <row r="13" spans="1:10" ht="17.25">
      <c r="A13" s="65" t="s">
        <v>80</v>
      </c>
      <c r="B13" s="2"/>
      <c r="C13" s="2"/>
      <c r="D13" s="10" t="str">
        <f>IF(B17="","",VLOOKUP(B17,BDDclient3[#Data],5,FALSE))</f>
        <v xml:space="preserve">2 Rue des Lilas </v>
      </c>
      <c r="E13" s="6"/>
      <c r="F13" s="7"/>
      <c r="G13" s="99"/>
      <c r="H13" s="99"/>
      <c r="I13" s="99"/>
      <c r="J13" s="99"/>
    </row>
    <row r="14" spans="1:10" ht="17.25">
      <c r="A14" s="66" t="s">
        <v>67</v>
      </c>
      <c r="B14" s="2"/>
      <c r="C14" s="2"/>
      <c r="D14" s="11" t="str">
        <f>IF(B17="","",VLOOKUP(B17,BDDclient3[#Data],6,FALSE)&amp;" "&amp;VLOOKUP(B17,BDDclient3[#Data],7,FALSE))</f>
        <v xml:space="preserve">15000 Aurillac </v>
      </c>
      <c r="E14" s="12"/>
      <c r="F14" s="13"/>
      <c r="G14" s="99"/>
      <c r="H14" s="99"/>
      <c r="I14" s="99"/>
      <c r="J14" s="99"/>
    </row>
    <row r="15" spans="1:10">
      <c r="A15" s="58"/>
      <c r="B15" s="2"/>
      <c r="C15" s="2"/>
      <c r="D15" s="2"/>
      <c r="E15" s="2"/>
      <c r="F15" s="59"/>
      <c r="G15" s="99"/>
      <c r="H15" s="99"/>
      <c r="I15" s="99"/>
      <c r="J15" s="99"/>
    </row>
    <row r="16" spans="1:10">
      <c r="A16" s="58"/>
      <c r="B16" s="2"/>
      <c r="C16" s="2"/>
      <c r="D16" s="2"/>
      <c r="E16" s="2"/>
      <c r="F16" s="59"/>
      <c r="G16" s="99"/>
      <c r="H16" s="99"/>
      <c r="I16" s="99"/>
      <c r="J16" s="99"/>
    </row>
    <row r="17" spans="1:10">
      <c r="A17" s="74" t="s">
        <v>23</v>
      </c>
      <c r="B17" s="16">
        <f>IF(A14="","",VLOOKUP(A14,BDDdevis[],3,FALSE))</f>
        <v>3</v>
      </c>
      <c r="C17" s="2"/>
      <c r="D17" s="90" t="s">
        <v>24</v>
      </c>
      <c r="E17" s="85"/>
      <c r="F17" s="71">
        <f>IF(A14="","",VLOOKUP(A14,BDDdevis[],2,FALSE))</f>
        <v>54</v>
      </c>
      <c r="G17" s="99"/>
      <c r="H17" s="99"/>
      <c r="I17" s="99"/>
      <c r="J17" s="99"/>
    </row>
    <row r="18" spans="1:10">
      <c r="A18" s="58"/>
      <c r="B18" s="2"/>
      <c r="C18" s="2"/>
      <c r="D18" s="86" t="s">
        <v>5</v>
      </c>
      <c r="E18" s="2"/>
      <c r="F18" s="60">
        <f>IF(A14="","",VLOOKUP(A14,BDDdevis[],5,FALSE))</f>
        <v>140</v>
      </c>
      <c r="G18" s="99"/>
      <c r="H18" s="99"/>
      <c r="I18" s="99"/>
      <c r="J18" s="99"/>
    </row>
    <row r="19" spans="1:10">
      <c r="A19" s="58"/>
      <c r="B19" s="2"/>
      <c r="C19" s="2"/>
      <c r="D19" s="86" t="s">
        <v>6</v>
      </c>
      <c r="E19" s="2"/>
      <c r="F19" s="76">
        <f ca="1">IF(A14="","",VLOOKUP(A14,BDDdevis[],4,FALSE))</f>
        <v>42468</v>
      </c>
    </row>
    <row r="20" spans="1:10">
      <c r="A20" s="58"/>
      <c r="B20" s="2"/>
      <c r="C20" s="2"/>
      <c r="D20" s="87" t="s">
        <v>18</v>
      </c>
      <c r="E20" s="56"/>
      <c r="F20" s="88">
        <f ca="1">EOMONTH(E4,1)</f>
        <v>42521</v>
      </c>
    </row>
    <row r="21" spans="1:10">
      <c r="A21" s="58"/>
      <c r="B21" s="2"/>
      <c r="C21" s="2"/>
      <c r="D21" s="75"/>
      <c r="E21" s="2"/>
      <c r="F21" s="76"/>
    </row>
    <row r="22" spans="1:10">
      <c r="A22" s="62" t="s">
        <v>7</v>
      </c>
      <c r="B22" s="80" t="s">
        <v>16</v>
      </c>
      <c r="C22" s="70"/>
      <c r="D22" s="81" t="s">
        <v>17</v>
      </c>
      <c r="E22" s="2"/>
      <c r="F22" s="59"/>
    </row>
    <row r="23" spans="1:10">
      <c r="A23" s="55" t="s">
        <v>10</v>
      </c>
      <c r="B23" s="84">
        <f>IF(A23="","",VLOOKUP(A23,Achèvement,2,FALSE))</f>
        <v>0.1</v>
      </c>
      <c r="C23" s="56"/>
      <c r="D23" s="61">
        <f>IF(OR(A23="",B23=""),"",$F$18*$B$23)</f>
        <v>14</v>
      </c>
      <c r="E23" s="2"/>
      <c r="F23" s="59"/>
    </row>
    <row r="24" spans="1:10">
      <c r="A24" s="146"/>
      <c r="B24" s="2"/>
      <c r="C24" s="2"/>
      <c r="D24" s="2"/>
      <c r="E24" s="2"/>
      <c r="F24" s="59"/>
    </row>
    <row r="25" spans="1:10">
      <c r="A25" s="58"/>
      <c r="B25" s="2"/>
      <c r="C25" s="16" t="s">
        <v>19</v>
      </c>
      <c r="D25" s="82">
        <f>IF(D23="","",D23)</f>
        <v>14</v>
      </c>
      <c r="E25" s="2"/>
      <c r="F25" s="59"/>
    </row>
    <row r="26" spans="1:10">
      <c r="A26" s="58"/>
      <c r="B26" s="2"/>
      <c r="C26" s="16" t="s">
        <v>20</v>
      </c>
      <c r="D26" s="83">
        <v>0.2</v>
      </c>
      <c r="E26" s="2"/>
      <c r="F26" s="59"/>
    </row>
    <row r="27" spans="1:10">
      <c r="A27" s="58"/>
      <c r="B27" s="2"/>
      <c r="C27" s="16" t="s">
        <v>21</v>
      </c>
      <c r="D27" s="82">
        <f>IF(D25="","",D25+D26*D25)</f>
        <v>16.8</v>
      </c>
      <c r="E27" s="2"/>
      <c r="F27" s="59"/>
    </row>
    <row r="28" spans="1:10">
      <c r="A28" s="58"/>
      <c r="B28" s="2"/>
      <c r="C28" s="77"/>
      <c r="D28" s="78"/>
      <c r="E28" s="2"/>
      <c r="F28" s="59"/>
    </row>
    <row r="29" spans="1:10">
      <c r="A29" s="58"/>
      <c r="B29" s="2"/>
      <c r="C29" s="77"/>
      <c r="D29" s="78"/>
      <c r="E29" s="2"/>
      <c r="F29" s="59"/>
    </row>
    <row r="30" spans="1:10">
      <c r="A30" s="58"/>
      <c r="B30" s="2"/>
      <c r="C30" s="2"/>
      <c r="D30" s="2"/>
      <c r="E30" s="2"/>
      <c r="F30" s="59"/>
    </row>
    <row r="31" spans="1:10">
      <c r="A31" s="147" t="s">
        <v>22</v>
      </c>
      <c r="B31" s="148"/>
      <c r="C31" s="148"/>
      <c r="D31" s="148"/>
      <c r="E31" s="150"/>
      <c r="F31" s="59"/>
    </row>
    <row r="32" spans="1:10">
      <c r="A32" s="149" t="s">
        <v>80</v>
      </c>
      <c r="B32" s="149" t="s">
        <v>77</v>
      </c>
      <c r="C32" s="149" t="s">
        <v>78</v>
      </c>
      <c r="D32" s="149" t="s">
        <v>133</v>
      </c>
      <c r="E32" s="149" t="s">
        <v>83</v>
      </c>
      <c r="F32" s="59"/>
    </row>
    <row r="33" spans="1:7">
      <c r="A33" t="s">
        <v>67</v>
      </c>
      <c r="B33" t="s">
        <v>125</v>
      </c>
      <c r="C33" s="4">
        <v>42445</v>
      </c>
      <c r="D33" t="s">
        <v>12</v>
      </c>
      <c r="E33" s="89">
        <v>33.6</v>
      </c>
      <c r="F33" s="59"/>
    </row>
    <row r="34" spans="1:7">
      <c r="C34" s="4"/>
      <c r="E34" s="89"/>
      <c r="F34" s="59"/>
    </row>
    <row r="35" spans="1:7">
      <c r="C35" s="4"/>
      <c r="E35" s="89"/>
      <c r="F35" s="59"/>
    </row>
    <row r="36" spans="1:7">
      <c r="C36" s="4"/>
      <c r="E36" s="89"/>
      <c r="F36" s="59"/>
    </row>
    <row r="37" spans="1:7">
      <c r="C37" s="4"/>
      <c r="E37" s="89"/>
      <c r="F37" s="59"/>
    </row>
    <row r="38" spans="1:7">
      <c r="C38" s="4"/>
      <c r="E38" s="89"/>
      <c r="F38" s="59"/>
    </row>
    <row r="39" spans="1:7">
      <c r="A39" s="58"/>
      <c r="B39" s="2"/>
      <c r="C39" s="91"/>
      <c r="D39" s="78"/>
      <c r="E39" s="2"/>
      <c r="F39" s="59"/>
    </row>
    <row r="40" spans="1:7">
      <c r="A40" s="58"/>
      <c r="B40" s="2"/>
      <c r="C40" s="91"/>
      <c r="D40" s="78"/>
      <c r="E40" s="2"/>
      <c r="F40" s="59"/>
    </row>
    <row r="41" spans="1:7">
      <c r="A41" s="55"/>
      <c r="B41" s="56"/>
      <c r="C41" s="126"/>
      <c r="D41" s="127"/>
      <c r="E41" s="56"/>
      <c r="F41" s="57"/>
    </row>
    <row r="42" spans="1:7">
      <c r="A42" s="2"/>
      <c r="B42" s="2"/>
      <c r="C42" s="91"/>
      <c r="D42" s="78"/>
      <c r="E42" s="2"/>
      <c r="F42" s="2"/>
      <c r="G42" s="2"/>
    </row>
    <row r="43" spans="1:7">
      <c r="A43" s="2"/>
      <c r="B43" s="2"/>
      <c r="C43" s="91"/>
      <c r="D43" s="78"/>
      <c r="E43" s="2"/>
      <c r="F43" s="2"/>
      <c r="G43" s="2"/>
    </row>
    <row r="44" spans="1:7">
      <c r="A44" s="2"/>
      <c r="B44" s="2"/>
      <c r="C44" s="91"/>
      <c r="D44" s="78"/>
      <c r="E44" s="2"/>
      <c r="F44" s="2"/>
      <c r="G44" s="2"/>
    </row>
    <row r="45" spans="1:7">
      <c r="A45" s="2"/>
      <c r="B45" s="2"/>
      <c r="C45" s="91"/>
      <c r="D45" s="78"/>
      <c r="E45" s="2"/>
      <c r="F45" s="2"/>
      <c r="G45" s="2"/>
    </row>
    <row r="46" spans="1:7">
      <c r="A46" s="2"/>
      <c r="B46" s="2"/>
      <c r="C46" s="91"/>
      <c r="D46" s="78"/>
      <c r="E46" s="2"/>
      <c r="F46" s="2"/>
      <c r="G46" s="2"/>
    </row>
    <row r="47" spans="1:7">
      <c r="A47" s="2"/>
      <c r="B47" s="2"/>
      <c r="C47" s="91"/>
      <c r="D47" s="78"/>
      <c r="E47" s="2"/>
      <c r="F47" s="2"/>
      <c r="G47" s="2"/>
    </row>
    <row r="48" spans="1:7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91"/>
      <c r="D49" s="78"/>
      <c r="E49" s="2"/>
      <c r="F49" s="2"/>
      <c r="G49" s="2"/>
    </row>
    <row r="50" spans="1:7">
      <c r="A50" s="2"/>
      <c r="B50" s="2"/>
      <c r="C50" s="91"/>
      <c r="D50" s="78"/>
      <c r="E50" s="2"/>
      <c r="F50" s="2"/>
      <c r="G50" s="2"/>
    </row>
    <row r="51" spans="1:7">
      <c r="A51" s="2"/>
      <c r="B51" s="2"/>
      <c r="C51" s="91"/>
      <c r="D51" s="78"/>
      <c r="E51" s="2"/>
      <c r="F51" s="2"/>
      <c r="G51" s="2"/>
    </row>
    <row r="52" spans="1:7">
      <c r="A52" s="54"/>
      <c r="B52" s="140"/>
      <c r="C52" s="73"/>
      <c r="D52" s="141"/>
      <c r="E52" s="2"/>
      <c r="F52" s="2"/>
      <c r="G52" s="2"/>
    </row>
  </sheetData>
  <phoneticPr fontId="16" type="noConversion"/>
  <dataValidations count="4">
    <dataValidation type="list" allowBlank="1" showInputMessage="1" showErrorMessage="1" sqref="A12">
      <formula1>type</formula1>
    </dataValidation>
    <dataValidation type="list" errorStyle="warning" allowBlank="1" showInputMessage="1" showErrorMessage="1" promptTitle="Attention aux doublons " prompt="Attention a ne pas facturer deux fois la même étape d'achèvement _x000a_" sqref="A23">
      <formula1>achevement</formula1>
    </dataValidation>
    <dataValidation type="list" allowBlank="1" showInputMessage="1" showErrorMessage="1" sqref="D26">
      <formula1>TVAf</formula1>
    </dataValidation>
    <dataValidation type="list" allowBlank="1" showInputMessage="1" showErrorMessage="1" sqref="A14">
      <formula1>NOMAFFAIRE</formula1>
    </dataValidation>
  </dataValidations>
  <pageMargins left="0.75" right="0.75" top="1" bottom="1" header="0.5" footer="0.5"/>
  <pageSetup paperSize="9" orientation="portrait" horizontalDpi="4294967292" verticalDpi="429496729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rgb="FFFF0000"/>
  </sheetPr>
  <dimension ref="A1:D13"/>
  <sheetViews>
    <sheetView workbookViewId="0">
      <selection activeCell="A11" sqref="A11:A13"/>
    </sheetView>
  </sheetViews>
  <sheetFormatPr baseColWidth="10" defaultRowHeight="15.75"/>
  <cols>
    <col min="3" max="3" width="52" bestFit="1" customWidth="1"/>
    <col min="4" max="4" width="13.25" bestFit="1" customWidth="1"/>
  </cols>
  <sheetData>
    <row r="1" spans="1:4">
      <c r="A1" s="1" t="s">
        <v>1</v>
      </c>
      <c r="C1" s="1" t="s">
        <v>8</v>
      </c>
      <c r="D1" s="1" t="s">
        <v>25</v>
      </c>
    </row>
    <row r="2" spans="1:4">
      <c r="A2" t="s">
        <v>90</v>
      </c>
      <c r="C2" t="s">
        <v>15</v>
      </c>
      <c r="D2" s="14">
        <v>0.05</v>
      </c>
    </row>
    <row r="3" spans="1:4">
      <c r="A3" t="s">
        <v>2</v>
      </c>
      <c r="C3" t="s">
        <v>9</v>
      </c>
      <c r="D3" s="14">
        <v>0.15</v>
      </c>
    </row>
    <row r="4" spans="1:4">
      <c r="A4" t="s">
        <v>27</v>
      </c>
      <c r="C4" t="s">
        <v>10</v>
      </c>
      <c r="D4" s="15">
        <v>0.1</v>
      </c>
    </row>
    <row r="5" spans="1:4">
      <c r="C5" t="s">
        <v>11</v>
      </c>
      <c r="D5" s="15">
        <v>0.15</v>
      </c>
    </row>
    <row r="6" spans="1:4">
      <c r="C6" t="s">
        <v>12</v>
      </c>
      <c r="D6" s="15">
        <v>0.2</v>
      </c>
    </row>
    <row r="7" spans="1:4">
      <c r="C7" t="s">
        <v>13</v>
      </c>
      <c r="D7" s="15">
        <v>0.15</v>
      </c>
    </row>
    <row r="8" spans="1:4">
      <c r="C8" t="s">
        <v>14</v>
      </c>
      <c r="D8" s="15">
        <v>0.2</v>
      </c>
    </row>
    <row r="10" spans="1:4">
      <c r="A10" s="1" t="s">
        <v>20</v>
      </c>
      <c r="C10" s="1"/>
    </row>
    <row r="11" spans="1:4">
      <c r="A11" s="5">
        <v>5.5E-2</v>
      </c>
    </row>
    <row r="12" spans="1:4">
      <c r="A12" s="3">
        <v>0.1</v>
      </c>
    </row>
    <row r="13" spans="1:4">
      <c r="A13" s="3">
        <v>0.2</v>
      </c>
    </row>
  </sheetData>
  <pageMargins left="0.75" right="0.75" top="1" bottom="1" header="0.5" footer="0.5"/>
  <pageSetup paperSize="9" orientation="portrait" horizontalDpi="4294967292" verticalDpi="429496729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2:I18"/>
  <sheetViews>
    <sheetView topLeftCell="C1" zoomScale="90" zoomScaleNormal="90" workbookViewId="0"/>
  </sheetViews>
  <sheetFormatPr baseColWidth="10" defaultRowHeight="15"/>
  <cols>
    <col min="1" max="2" width="14.875" style="18" customWidth="1"/>
    <col min="3" max="3" width="17.625" style="18" bestFit="1" customWidth="1"/>
    <col min="4" max="4" width="14.75" style="18" customWidth="1"/>
    <col min="5" max="5" width="15" style="18" customWidth="1"/>
    <col min="6" max="6" width="16" style="18" bestFit="1" customWidth="1"/>
    <col min="7" max="7" width="22.875" style="18" bestFit="1" customWidth="1"/>
    <col min="8" max="8" width="20" style="18" customWidth="1"/>
    <col min="9" max="9" width="24.5" style="18" customWidth="1"/>
    <col min="10" max="16384" width="11" style="18"/>
  </cols>
  <sheetData>
    <row r="2" spans="1:9" ht="28.5">
      <c r="C2" s="31" t="s">
        <v>33</v>
      </c>
      <c r="D2" s="30"/>
      <c r="E2" s="30"/>
      <c r="F2" s="29"/>
    </row>
    <row r="7" spans="1:9" ht="29.25" customHeight="1">
      <c r="A7" s="28" t="s">
        <v>28</v>
      </c>
      <c r="B7" s="52" t="s">
        <v>76</v>
      </c>
      <c r="C7" s="50" t="s">
        <v>73</v>
      </c>
      <c r="D7" s="51" t="s">
        <v>75</v>
      </c>
      <c r="E7" s="50" t="s">
        <v>74</v>
      </c>
      <c r="F7" s="27" t="s">
        <v>32</v>
      </c>
      <c r="G7" s="26" t="s">
        <v>31</v>
      </c>
      <c r="H7" s="25" t="s">
        <v>30</v>
      </c>
      <c r="I7" s="24" t="s">
        <v>29</v>
      </c>
    </row>
    <row r="8" spans="1:9" ht="15.75">
      <c r="A8" s="23" t="s">
        <v>66</v>
      </c>
      <c r="B8" s="23">
        <v>52</v>
      </c>
      <c r="C8" s="38">
        <v>1</v>
      </c>
      <c r="D8" s="22">
        <f t="shared" ref="D8:D16" ca="1" si="0">TODAY()</f>
        <v>42468</v>
      </c>
      <c r="E8" s="49">
        <v>100</v>
      </c>
      <c r="F8" s="21">
        <f ca="1">SUMIF(TableauFacCLient[],'BDD devis'!A8,TableauFacCLient[[#All],[Montant HT ]])</f>
        <v>50</v>
      </c>
      <c r="G8" s="21"/>
      <c r="H8" s="20"/>
      <c r="I8" s="19"/>
    </row>
    <row r="9" spans="1:9" ht="15.75">
      <c r="A9" s="23" t="s">
        <v>66</v>
      </c>
      <c r="B9" s="23">
        <v>53</v>
      </c>
      <c r="C9" s="38">
        <v>2</v>
      </c>
      <c r="D9" s="22">
        <f t="shared" ca="1" si="0"/>
        <v>42468</v>
      </c>
      <c r="E9" s="49">
        <v>120</v>
      </c>
      <c r="F9" s="21">
        <f ca="1">SUMIF(TableauFacCLient[],'BDD devis'!A9,TableauFacCLient[[#All],[Montant HT ]])</f>
        <v>50</v>
      </c>
      <c r="G9" s="21"/>
      <c r="H9" s="20"/>
      <c r="I9" s="19"/>
    </row>
    <row r="10" spans="1:9" ht="15.75">
      <c r="A10" s="23" t="s">
        <v>67</v>
      </c>
      <c r="B10" s="23">
        <v>54</v>
      </c>
      <c r="C10" s="38">
        <v>3</v>
      </c>
      <c r="D10" s="22">
        <f t="shared" ca="1" si="0"/>
        <v>42468</v>
      </c>
      <c r="E10" s="49">
        <v>140</v>
      </c>
      <c r="F10" s="21">
        <f ca="1">SUMIF(TableauFacCLient[],'BDD devis'!A10,TableauFacCLient[[#All],[Montant HT ]])</f>
        <v>0</v>
      </c>
      <c r="G10" s="21"/>
      <c r="H10" s="20"/>
      <c r="I10" s="19"/>
    </row>
    <row r="11" spans="1:9" ht="15.75">
      <c r="A11" s="23" t="s">
        <v>68</v>
      </c>
      <c r="B11" s="23">
        <v>55</v>
      </c>
      <c r="C11" s="38">
        <v>4</v>
      </c>
      <c r="D11" s="22">
        <f t="shared" ca="1" si="0"/>
        <v>42468</v>
      </c>
      <c r="E11" s="49">
        <v>160</v>
      </c>
      <c r="F11" s="21">
        <f ca="1">SUMIF(TableauFacCLient[],'BDD devis'!A11,TableauFacCLient[[#All],[Montant HT ]])</f>
        <v>0</v>
      </c>
      <c r="G11" s="49"/>
      <c r="H11" s="20"/>
      <c r="I11" s="19"/>
    </row>
    <row r="12" spans="1:9" ht="15.75">
      <c r="A12" s="23" t="s">
        <v>69</v>
      </c>
      <c r="B12" s="23">
        <v>56</v>
      </c>
      <c r="C12" s="38">
        <v>5</v>
      </c>
      <c r="D12" s="22">
        <f t="shared" ca="1" si="0"/>
        <v>42468</v>
      </c>
      <c r="E12" s="49">
        <v>180</v>
      </c>
      <c r="F12" s="21">
        <f ca="1">SUMIF(TableauFacCLient[],'BDD devis'!A12,TableauFacCLient[[#All],[Montant HT ]])</f>
        <v>0</v>
      </c>
      <c r="G12" s="49"/>
      <c r="H12" s="20"/>
      <c r="I12" s="19"/>
    </row>
    <row r="13" spans="1:9" ht="15.75">
      <c r="A13" s="23" t="s">
        <v>66</v>
      </c>
      <c r="B13" s="23">
        <v>57</v>
      </c>
      <c r="C13" s="38">
        <v>6</v>
      </c>
      <c r="D13" s="22">
        <f t="shared" ca="1" si="0"/>
        <v>42468</v>
      </c>
      <c r="E13" s="49">
        <v>200</v>
      </c>
      <c r="F13" s="21">
        <f ca="1">SUMIF(TableauFacCLient[],'BDD devis'!A13,TableauFacCLient[[#All],[Montant HT ]])</f>
        <v>50</v>
      </c>
      <c r="G13" s="49"/>
      <c r="H13" s="20"/>
      <c r="I13" s="19"/>
    </row>
    <row r="14" spans="1:9" ht="15.75">
      <c r="A14" s="23" t="s">
        <v>70</v>
      </c>
      <c r="B14" s="23">
        <v>58</v>
      </c>
      <c r="C14" s="38"/>
      <c r="D14" s="22">
        <f t="shared" ca="1" si="0"/>
        <v>42468</v>
      </c>
      <c r="E14" s="49">
        <v>220</v>
      </c>
      <c r="F14" s="21">
        <f ca="1">SUMIF(TableauFacCLient[],'BDD devis'!A14,TableauFacCLient[[#All],[Montant HT ]])</f>
        <v>0</v>
      </c>
      <c r="G14" s="49"/>
      <c r="H14" s="20"/>
      <c r="I14" s="19"/>
    </row>
    <row r="15" spans="1:9" ht="15.75">
      <c r="A15" s="23" t="s">
        <v>71</v>
      </c>
      <c r="B15" s="23">
        <v>59</v>
      </c>
      <c r="C15" s="38"/>
      <c r="D15" s="22">
        <f t="shared" ca="1" si="0"/>
        <v>42468</v>
      </c>
      <c r="E15" s="49">
        <v>240</v>
      </c>
      <c r="F15" s="21">
        <f ca="1">SUMIF(TableauFacCLient[],'BDD devis'!A15,TableauFacCLient[[#All],[Montant HT ]])</f>
        <v>0</v>
      </c>
      <c r="G15" s="49"/>
      <c r="H15" s="20"/>
      <c r="I15" s="19"/>
    </row>
    <row r="16" spans="1:9" ht="15.75">
      <c r="A16" s="23" t="s">
        <v>72</v>
      </c>
      <c r="B16" s="23"/>
      <c r="C16" s="38"/>
      <c r="D16" s="22">
        <f t="shared" ca="1" si="0"/>
        <v>42468</v>
      </c>
      <c r="E16" s="49">
        <v>260</v>
      </c>
      <c r="F16" s="21">
        <f ca="1">SUMIF(TableauFacCLient[],'BDD devis'!A16,TableauFacCLient[[#All],[Montant HT ]])</f>
        <v>0</v>
      </c>
      <c r="G16" s="49"/>
      <c r="H16" s="20"/>
      <c r="I16" s="19"/>
    </row>
    <row r="17" spans="1:9" ht="15.75">
      <c r="A17"/>
      <c r="B17"/>
      <c r="C17"/>
      <c r="D17"/>
      <c r="E17"/>
      <c r="F17"/>
      <c r="G17"/>
      <c r="H17" s="20"/>
      <c r="I17" s="19"/>
    </row>
    <row r="18" spans="1:9" ht="15.75">
      <c r="A18"/>
      <c r="B18"/>
      <c r="C18"/>
      <c r="D18"/>
      <c r="E18"/>
      <c r="F18"/>
      <c r="G18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2:E13"/>
  <sheetViews>
    <sheetView zoomScaleNormal="100" workbookViewId="0">
      <selection activeCell="B11" sqref="B11"/>
    </sheetView>
  </sheetViews>
  <sheetFormatPr baseColWidth="10" defaultRowHeight="15"/>
  <cols>
    <col min="1" max="1" width="26" style="18" customWidth="1"/>
    <col min="2" max="2" width="12.25" style="18" customWidth="1"/>
    <col min="3" max="3" width="12.375" style="18" bestFit="1" customWidth="1"/>
    <col min="4" max="4" width="10.75" style="18" customWidth="1"/>
    <col min="5" max="5" width="14.5" style="18" customWidth="1"/>
    <col min="6" max="6" width="10.125" style="18" customWidth="1"/>
    <col min="7" max="16384" width="11" style="18"/>
  </cols>
  <sheetData>
    <row r="2" spans="1:5" ht="28.5">
      <c r="B2" s="31" t="s">
        <v>43</v>
      </c>
      <c r="C2" s="30"/>
      <c r="D2" s="30"/>
      <c r="E2" s="29"/>
    </row>
    <row r="5" spans="1:5" ht="18.75">
      <c r="A5" s="37" t="s">
        <v>42</v>
      </c>
      <c r="B5" s="37" t="s">
        <v>41</v>
      </c>
    </row>
    <row r="6" spans="1:5" ht="15.75">
      <c r="A6" s="35" t="s">
        <v>40</v>
      </c>
      <c r="B6" s="34">
        <v>0.15</v>
      </c>
    </row>
    <row r="7" spans="1:5" ht="15.75">
      <c r="A7" s="35" t="s">
        <v>39</v>
      </c>
      <c r="B7" s="34">
        <v>0.1</v>
      </c>
    </row>
    <row r="8" spans="1:5" ht="15.75">
      <c r="A8" s="35" t="s">
        <v>38</v>
      </c>
      <c r="B8" s="34">
        <v>0.15</v>
      </c>
    </row>
    <row r="9" spans="1:5" ht="15.75">
      <c r="A9" s="35" t="s">
        <v>12</v>
      </c>
      <c r="B9" s="34">
        <v>0.2</v>
      </c>
    </row>
    <row r="10" spans="1:5" ht="30">
      <c r="A10" s="36" t="s">
        <v>37</v>
      </c>
      <c r="B10" s="34">
        <v>0.15</v>
      </c>
    </row>
    <row r="11" spans="1:5" ht="45">
      <c r="A11" s="36" t="s">
        <v>36</v>
      </c>
      <c r="B11" s="34">
        <v>0.2</v>
      </c>
    </row>
    <row r="12" spans="1:5" ht="15.75">
      <c r="A12" s="35" t="s">
        <v>35</v>
      </c>
      <c r="B12" s="34">
        <v>0.05</v>
      </c>
    </row>
    <row r="13" spans="1:5">
      <c r="A13" s="33" t="s">
        <v>34</v>
      </c>
      <c r="B13" s="32">
        <f>SUM(B6:B12)</f>
        <v>1.0000000000000002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Z41"/>
  <sheetViews>
    <sheetView topLeftCell="M1" zoomScale="70" zoomScaleNormal="70" workbookViewId="0">
      <selection activeCell="Y15" sqref="Y15"/>
    </sheetView>
  </sheetViews>
  <sheetFormatPr baseColWidth="10" defaultRowHeight="15"/>
  <cols>
    <col min="1" max="1" width="10.875" style="18" customWidth="1"/>
    <col min="2" max="2" width="12" style="18" customWidth="1"/>
    <col min="3" max="3" width="9.25" style="18" customWidth="1"/>
    <col min="4" max="4" width="21.625" style="18" customWidth="1"/>
    <col min="5" max="5" width="19.375" style="18" customWidth="1"/>
    <col min="6" max="6" width="18.75" style="18" customWidth="1"/>
    <col min="7" max="7" width="11.875" style="18" customWidth="1"/>
    <col min="8" max="9" width="12.875" style="18" customWidth="1"/>
    <col min="10" max="10" width="13.5" style="18" customWidth="1"/>
    <col min="11" max="13" width="17.375" style="18" customWidth="1"/>
    <col min="14" max="14" width="13.875" style="18" bestFit="1" customWidth="1"/>
    <col min="15" max="15" width="15" style="18" bestFit="1" customWidth="1"/>
    <col min="16" max="16" width="16" style="18" bestFit="1" customWidth="1"/>
    <col min="17" max="17" width="16" style="18" customWidth="1"/>
    <col min="18" max="19" width="11" style="18"/>
    <col min="20" max="20" width="12.875" style="18" bestFit="1" customWidth="1"/>
    <col min="21" max="16384" width="11" style="18"/>
  </cols>
  <sheetData>
    <row r="1" spans="1:26" ht="45">
      <c r="A1" s="53" t="s">
        <v>77</v>
      </c>
      <c r="B1" s="93" t="s">
        <v>78</v>
      </c>
      <c r="C1" s="53" t="s">
        <v>79</v>
      </c>
      <c r="D1" s="53" t="s">
        <v>80</v>
      </c>
      <c r="E1" s="145" t="s">
        <v>133</v>
      </c>
      <c r="F1" s="94" t="s">
        <v>81</v>
      </c>
      <c r="G1" s="96" t="s">
        <v>82</v>
      </c>
      <c r="H1" s="94" t="s">
        <v>83</v>
      </c>
      <c r="I1" s="95" t="s">
        <v>89</v>
      </c>
      <c r="J1" s="94" t="s">
        <v>84</v>
      </c>
      <c r="K1" s="93" t="s">
        <v>85</v>
      </c>
      <c r="L1" s="151" t="s">
        <v>134</v>
      </c>
      <c r="M1" s="143" t="s">
        <v>132</v>
      </c>
      <c r="N1" s="53" t="s">
        <v>86</v>
      </c>
      <c r="O1" s="153" t="s">
        <v>135</v>
      </c>
      <c r="P1" s="153" t="s">
        <v>136</v>
      </c>
      <c r="Q1" s="155" t="s">
        <v>141</v>
      </c>
      <c r="R1" s="155" t="s">
        <v>137</v>
      </c>
      <c r="S1" s="155" t="s">
        <v>138</v>
      </c>
      <c r="T1" s="155" t="s">
        <v>139</v>
      </c>
      <c r="U1" s="155" t="s">
        <v>99</v>
      </c>
      <c r="V1" s="155" t="s">
        <v>140</v>
      </c>
      <c r="Y1" s="40" t="s">
        <v>48</v>
      </c>
      <c r="Z1" s="39">
        <f ca="1">TODAY()</f>
        <v>42468</v>
      </c>
    </row>
    <row r="2" spans="1:26" ht="15.75">
      <c r="A2" t="s">
        <v>131</v>
      </c>
      <c r="B2" s="4">
        <v>42386</v>
      </c>
      <c r="C2">
        <v>1</v>
      </c>
      <c r="D2" t="s">
        <v>66</v>
      </c>
      <c r="E2" t="s">
        <v>15</v>
      </c>
      <c r="F2" s="89">
        <v>5</v>
      </c>
      <c r="G2" s="92">
        <v>0.2</v>
      </c>
      <c r="H2" s="89">
        <v>6</v>
      </c>
      <c r="I2" s="89"/>
      <c r="J2" s="89">
        <f>[[Montant TTC ]]-[[Montant réglé ]]</f>
        <v>6</v>
      </c>
      <c r="K2" s="4">
        <f>EOMONTH(TableauFacCLient[[#This Row],[Date ]],1)</f>
        <v>42429</v>
      </c>
      <c r="L2" s="144">
        <f ca="1">$Z$1-TableauFacCLient[[#This Row],[Date d''échéance ]]</f>
        <v>39</v>
      </c>
      <c r="M2" s="4"/>
      <c r="N2" s="144">
        <f ca="1">IF(OR(TableauFacCLient[[#This Row],[Réglé le ]],TableauFacCLient[[#This Row],[Différence, date du jour, date d''échéance ]])="","",IF(AND(TableauFacCLient[[#This Row],[Différence, date du jour, date d''échéance ]]&gt;17,TableauFacCLient[[#This Row],[Réglé le ]]=""),2,IF(AND(TableauFacCLient[[#This Row],[Différence, date du jour, date d''échéance ]]&gt;7,TableauFacCLient[[#This Row],[Réglé le ]]=""),1,"Aucune Relance")))</f>
        <v>2</v>
      </c>
      <c r="O2" s="154">
        <v>23783</v>
      </c>
      <c r="P2" s="152"/>
      <c r="Q2" s="157" t="str">
        <f>VLOOKUP(TableauFacCLient[[#This Row],[N°client ]],BDDclient3[],2,FALSE)</f>
        <v>SARL MEGANE</v>
      </c>
      <c r="R2" s="156" t="str">
        <f>VLOOKUP(TableauFacCLient[[#This Row],[N°client ]],BDDclient3[],3,FALSE)</f>
        <v>BALITRAND</v>
      </c>
      <c r="S2" s="156" t="str">
        <f>VLOOKUP(TableauFacCLient[[#This Row],[N°client ]],BDDclient3[],4,FALSE)</f>
        <v xml:space="preserve">Mégane </v>
      </c>
      <c r="T2" s="156" t="str">
        <f>VLOOKUP(TableauFacCLient[[#This Row],[N°client ]],BDDclient3[],5,FALSE)</f>
        <v xml:space="preserve">5 Av des Roses </v>
      </c>
      <c r="U2" s="156">
        <f>VLOOKUP(TableauFacCLient[[#This Row],[N°client ]],BDDclient3[],6,FALSE)</f>
        <v>48000</v>
      </c>
      <c r="V2" s="156" t="str">
        <f>VLOOKUP(TableauFacCLient[[#This Row],[N°client ]],BDDclient3[],7,FALSE)</f>
        <v>Mende</v>
      </c>
    </row>
    <row r="3" spans="1:26" ht="15.75">
      <c r="A3" t="s">
        <v>130</v>
      </c>
      <c r="B3" s="4">
        <v>42429</v>
      </c>
      <c r="C3">
        <v>2</v>
      </c>
      <c r="D3" t="s">
        <v>66</v>
      </c>
      <c r="E3" t="s">
        <v>10</v>
      </c>
      <c r="F3" s="89">
        <v>10</v>
      </c>
      <c r="G3" s="92">
        <v>0.2</v>
      </c>
      <c r="H3" s="89">
        <v>12</v>
      </c>
      <c r="I3" s="89"/>
      <c r="J3" s="89">
        <f>[[Montant TTC ]]-[[Montant réglé ]]</f>
        <v>12</v>
      </c>
      <c r="K3" s="4">
        <f>EOMONTH(TableauFacCLient[[#This Row],[Date ]],1)</f>
        <v>42460</v>
      </c>
      <c r="L3" s="144">
        <f ca="1">$Z$1-TableauFacCLient[[#This Row],[Date d''échéance ]]</f>
        <v>8</v>
      </c>
      <c r="M3" s="4"/>
      <c r="N3" s="144">
        <f ca="1">IF(OR(TableauFacCLient[[#This Row],[Réglé le ]],TableauFacCLient[[#This Row],[Différence, date du jour, date d''échéance ]])="","",IF(AND(TableauFacCLient[[#This Row],[Différence, date du jour, date d''échéance ]]&gt;17,TableauFacCLient[[#This Row],[Réglé le ]]=""),2,IF(AND(TableauFacCLient[[#This Row],[Différence, date du jour, date d''échéance ]]&gt;7,TableauFacCLient[[#This Row],[Réglé le ]]=""),1,"Aucune Relance")))</f>
        <v>1</v>
      </c>
      <c r="O3" s="154">
        <v>23784</v>
      </c>
      <c r="P3" s="152"/>
      <c r="Q3" s="157" t="str">
        <f>VLOOKUP(TableauFacCLient[[#This Row],[N°client ]],BDDclient3[],2,FALSE)</f>
        <v>SAS POUGET</v>
      </c>
      <c r="R3" s="156" t="str">
        <f>VLOOKUP(TableauFacCLient[[#This Row],[N°client ]],BDDclient3[],3,FALSE)</f>
        <v>POUGET</v>
      </c>
      <c r="S3" s="156" t="str">
        <f>VLOOKUP(TableauFacCLient[[#This Row],[N°client ]],BDDclient3[],4,FALSE)</f>
        <v xml:space="preserve">Valentin </v>
      </c>
      <c r="T3" s="156" t="str">
        <f>VLOOKUP(TableauFacCLient[[#This Row],[N°client ]],BDDclient3[],5,FALSE)</f>
        <v>Puines</v>
      </c>
      <c r="U3" s="156" t="str">
        <f>VLOOKUP(TableauFacCLient[[#This Row],[N°client ]],BDDclient3[],6,FALSE)</f>
        <v>12120</v>
      </c>
      <c r="V3" s="156" t="str">
        <f>VLOOKUP(TableauFacCLient[[#This Row],[N°client ]],BDDclient3[],7,FALSE)</f>
        <v xml:space="preserve">Pruines </v>
      </c>
    </row>
    <row r="4" spans="1:26" ht="15.75">
      <c r="A4" t="s">
        <v>129</v>
      </c>
      <c r="B4" s="4">
        <v>42446</v>
      </c>
      <c r="C4">
        <v>1</v>
      </c>
      <c r="D4" t="s">
        <v>66</v>
      </c>
      <c r="E4" t="s">
        <v>12</v>
      </c>
      <c r="F4" s="89">
        <v>20</v>
      </c>
      <c r="G4" s="92">
        <v>0.2</v>
      </c>
      <c r="H4" s="89">
        <v>24</v>
      </c>
      <c r="I4" s="89"/>
      <c r="J4" s="89">
        <f>[[Montant TTC ]]-[[Montant réglé ]]</f>
        <v>24</v>
      </c>
      <c r="K4" s="4">
        <f>EOMONTH(TableauFacCLient[[#This Row],[Date ]],1)</f>
        <v>42490</v>
      </c>
      <c r="L4" s="144">
        <f ca="1">$Z$1-TableauFacCLient[[#This Row],[Date d''échéance ]]</f>
        <v>-22</v>
      </c>
      <c r="M4" s="4"/>
      <c r="N4" s="144" t="str">
        <f ca="1">IF(OR(TableauFacCLient[[#This Row],[Réglé le ]],TableauFacCLient[[#This Row],[Différence, date du jour, date d''échéance ]])="","",IF(AND(TableauFacCLient[[#This Row],[Différence, date du jour, date d''échéance ]]&gt;17,TableauFacCLient[[#This Row],[Réglé le ]]=""),2,IF(AND(TableauFacCLient[[#This Row],[Différence, date du jour, date d''échéance ]]&gt;7,TableauFacCLient[[#This Row],[Réglé le ]]=""),1,"Aucune Relance")))</f>
        <v>Aucune Relance</v>
      </c>
      <c r="O4" s="154">
        <v>23785</v>
      </c>
      <c r="P4" s="152"/>
      <c r="Q4" s="157" t="str">
        <f>VLOOKUP(TableauFacCLient[[#This Row],[N°client ]],BDDclient3[],2,FALSE)</f>
        <v>SARL MEGANE</v>
      </c>
      <c r="R4" s="156" t="str">
        <f>VLOOKUP(TableauFacCLient[[#This Row],[N°client ]],BDDclient3[],3,FALSE)</f>
        <v>BALITRAND</v>
      </c>
      <c r="S4" s="156" t="str">
        <f>VLOOKUP(TableauFacCLient[[#This Row],[N°client ]],BDDclient3[],4,FALSE)</f>
        <v xml:space="preserve">Mégane </v>
      </c>
      <c r="T4" s="156" t="str">
        <f>VLOOKUP(TableauFacCLient[[#This Row],[N°client ]],BDDclient3[],5,FALSE)</f>
        <v xml:space="preserve">5 Av des Roses </v>
      </c>
      <c r="U4" s="156">
        <f>VLOOKUP(TableauFacCLient[[#This Row],[N°client ]],BDDclient3[],6,FALSE)</f>
        <v>48000</v>
      </c>
      <c r="V4" s="156" t="str">
        <f>VLOOKUP(TableauFacCLient[[#This Row],[N°client ]],BDDclient3[],7,FALSE)</f>
        <v>Mende</v>
      </c>
    </row>
    <row r="5" spans="1:26" ht="15.75">
      <c r="A5" t="s">
        <v>125</v>
      </c>
      <c r="B5" s="4">
        <v>42445</v>
      </c>
      <c r="C5">
        <v>2</v>
      </c>
      <c r="D5" t="s">
        <v>66</v>
      </c>
      <c r="E5" t="s">
        <v>12</v>
      </c>
      <c r="F5" s="89">
        <v>20</v>
      </c>
      <c r="G5" s="92">
        <v>0.2</v>
      </c>
      <c r="H5" s="89">
        <v>24</v>
      </c>
      <c r="I5" s="89">
        <v>20</v>
      </c>
      <c r="J5" s="89">
        <f>[[Montant TTC ]]-[[Montant réglé ]]</f>
        <v>4</v>
      </c>
      <c r="K5" s="4">
        <f>EOMONTH(TableauFacCLient[[#This Row],[Date ]],1)</f>
        <v>42490</v>
      </c>
      <c r="L5" s="144">
        <f ca="1">$Z$1-TableauFacCLient[[#This Row],[Date d''échéance ]]</f>
        <v>-22</v>
      </c>
      <c r="M5" s="4"/>
      <c r="N5" s="144" t="str">
        <f ca="1">IF(OR(TableauFacCLient[[#This Row],[Réglé le ]],TableauFacCLient[[#This Row],[Différence, date du jour, date d''échéance ]])="","",IF(AND(TableauFacCLient[[#This Row],[Différence, date du jour, date d''échéance ]]&gt;17,TableauFacCLient[[#This Row],[Réglé le ]]=""),2,IF(AND(TableauFacCLient[[#This Row],[Différence, date du jour, date d''échéance ]]&gt;7,TableauFacCLient[[#This Row],[Réglé le ]]=""),1,"Aucune Relance")))</f>
        <v>Aucune Relance</v>
      </c>
      <c r="O5" s="154">
        <v>23786</v>
      </c>
      <c r="P5" s="152"/>
      <c r="Q5" s="157" t="str">
        <f>VLOOKUP(TableauFacCLient[[#This Row],[N°client ]],BDDclient3[],2,FALSE)</f>
        <v>SAS POUGET</v>
      </c>
      <c r="R5" s="156" t="str">
        <f>VLOOKUP(TableauFacCLient[[#This Row],[N°client ]],BDDclient3[],3,FALSE)</f>
        <v>POUGET</v>
      </c>
      <c r="S5" s="156" t="str">
        <f>VLOOKUP(TableauFacCLient[[#This Row],[N°client ]],BDDclient3[],4,FALSE)</f>
        <v xml:space="preserve">Valentin </v>
      </c>
      <c r="T5" s="156" t="str">
        <f>VLOOKUP(TableauFacCLient[[#This Row],[N°client ]],BDDclient3[],5,FALSE)</f>
        <v>Puines</v>
      </c>
      <c r="U5" s="156" t="str">
        <f>VLOOKUP(TableauFacCLient[[#This Row],[N°client ]],BDDclient3[],6,FALSE)</f>
        <v>12120</v>
      </c>
      <c r="V5" s="156" t="str">
        <f>VLOOKUP(TableauFacCLient[[#This Row],[N°client ]],BDDclient3[],7,FALSE)</f>
        <v xml:space="preserve">Pruines </v>
      </c>
    </row>
    <row r="6" spans="1:26" ht="15.75">
      <c r="A6" t="s">
        <v>125</v>
      </c>
      <c r="B6" s="4">
        <v>42445</v>
      </c>
      <c r="C6">
        <v>6</v>
      </c>
      <c r="D6" t="s">
        <v>66</v>
      </c>
      <c r="E6" t="s">
        <v>12</v>
      </c>
      <c r="F6" s="89">
        <v>20</v>
      </c>
      <c r="G6" s="92">
        <v>0.2</v>
      </c>
      <c r="H6" s="89">
        <v>24</v>
      </c>
      <c r="I6" s="89"/>
      <c r="J6" s="89">
        <f>[[Montant TTC ]]-[[Montant réglé ]]</f>
        <v>24</v>
      </c>
      <c r="K6" s="4">
        <f>EOMONTH(TableauFacCLient[[#This Row],[Date ]],1)</f>
        <v>42490</v>
      </c>
      <c r="L6" s="144">
        <f ca="1">$Z$1-TableauFacCLient[[#This Row],[Date d''échéance ]]</f>
        <v>-22</v>
      </c>
      <c r="M6" s="89"/>
      <c r="N6" s="144" t="str">
        <f ca="1">IF(OR(TableauFacCLient[[#This Row],[Réglé le ]],TableauFacCLient[[#This Row],[Différence, date du jour, date d''échéance ]])="","",IF(AND(TableauFacCLient[[#This Row],[Différence, date du jour, date d''échéance ]]&gt;17,TableauFacCLient[[#This Row],[Réglé le ]]=""),2,IF(AND(TableauFacCLient[[#This Row],[Différence, date du jour, date d''échéance ]]&gt;7,TableauFacCLient[[#This Row],[Réglé le ]]=""),1,"Aucune Relance")))</f>
        <v>Aucune Relance</v>
      </c>
      <c r="O6" s="154">
        <v>23787</v>
      </c>
      <c r="P6" s="152"/>
      <c r="Q6" s="157" t="str">
        <f>VLOOKUP(TableauFacCLient[[#This Row],[N°client ]],BDDclient3[],2,FALSE)</f>
        <v xml:space="preserve">CCI </v>
      </c>
      <c r="R6" s="156" t="str">
        <f>VLOOKUP(TableauFacCLient[[#This Row],[N°client ]],BDDclient3[],3,FALSE)</f>
        <v xml:space="preserve">BRAS </v>
      </c>
      <c r="S6" s="156" t="str">
        <f>VLOOKUP(TableauFacCLient[[#This Row],[N°client ]],BDDclient3[],4,FALSE)</f>
        <v xml:space="preserve">Patrice </v>
      </c>
      <c r="T6" s="156" t="str">
        <f>VLOOKUP(TableauFacCLient[[#This Row],[N°client ]],BDDclient3[],5,FALSE)</f>
        <v xml:space="preserve">17 Rue Aristide </v>
      </c>
      <c r="U6" s="156">
        <f>VLOOKUP(TableauFacCLient[[#This Row],[N°client ]],BDDclient3[],6,FALSE)</f>
        <v>12000</v>
      </c>
      <c r="V6" s="156" t="str">
        <f>VLOOKUP(TableauFacCLient[[#This Row],[N°client ]],BDDclient3[],7,FALSE)</f>
        <v xml:space="preserve">Rodez </v>
      </c>
    </row>
    <row r="7" spans="1:26" ht="41.25" customHeight="1">
      <c r="A7" t="s">
        <v>125</v>
      </c>
      <c r="B7" s="4">
        <v>42445</v>
      </c>
      <c r="C7">
        <v>3</v>
      </c>
      <c r="D7" t="s">
        <v>67</v>
      </c>
      <c r="E7" t="s">
        <v>12</v>
      </c>
      <c r="F7" s="89">
        <v>28</v>
      </c>
      <c r="G7" s="92">
        <v>0.2</v>
      </c>
      <c r="H7" s="89">
        <v>33.6</v>
      </c>
      <c r="I7" s="89">
        <v>30</v>
      </c>
      <c r="J7" s="89">
        <f>[[Montant TTC ]]-[[Montant réglé ]]</f>
        <v>3.6000000000000014</v>
      </c>
      <c r="K7" s="4">
        <f>EOMONTH(TableauFacCLient[[#This Row],[Date ]],1)</f>
        <v>42490</v>
      </c>
      <c r="L7" s="144">
        <f ca="1">$Z$1-TableauFacCLient[[#This Row],[Date d''échéance ]]</f>
        <v>-22</v>
      </c>
      <c r="M7" s="139"/>
      <c r="N7" s="144" t="str">
        <f ca="1">IF(OR(TableauFacCLient[[#This Row],[Réglé le ]],TableauFacCLient[[#This Row],[Différence, date du jour, date d''échéance ]])="","",IF(AND(TableauFacCLient[[#This Row],[Différence, date du jour, date d''échéance ]]&gt;17,TableauFacCLient[[#This Row],[Réglé le ]]=""),2,IF(AND(TableauFacCLient[[#This Row],[Différence, date du jour, date d''échéance ]]&gt;7,TableauFacCLient[[#This Row],[Réglé le ]]=""),1,"Aucune Relance")))</f>
        <v>Aucune Relance</v>
      </c>
      <c r="O7" s="154">
        <v>23788</v>
      </c>
      <c r="P7" s="152"/>
      <c r="Q7" s="157" t="str">
        <f>VLOOKUP(TableauFacCLient[[#This Row],[N°client ]],BDDclient3[],2,FALSE)</f>
        <v xml:space="preserve">SARL LAFON </v>
      </c>
      <c r="R7" s="156" t="str">
        <f>VLOOKUP(TableauFacCLient[[#This Row],[N°client ]],BDDclient3[],3,FALSE)</f>
        <v xml:space="preserve">LAFON </v>
      </c>
      <c r="S7" s="156" t="str">
        <f>VLOOKUP(TableauFacCLient[[#This Row],[N°client ]],BDDclient3[],4,FALSE)</f>
        <v xml:space="preserve">Maxime </v>
      </c>
      <c r="T7" s="156" t="str">
        <f>VLOOKUP(TableauFacCLient[[#This Row],[N°client ]],BDDclient3[],5,FALSE)</f>
        <v xml:space="preserve">2 Rue des Lilas </v>
      </c>
      <c r="U7" s="156">
        <f>VLOOKUP(TableauFacCLient[[#This Row],[N°client ]],BDDclient3[],6,FALSE)</f>
        <v>15000</v>
      </c>
      <c r="V7" s="156" t="str">
        <f>VLOOKUP(TableauFacCLient[[#This Row],[N°client ]],BDDclient3[],7,FALSE)</f>
        <v xml:space="preserve">Aurillac </v>
      </c>
    </row>
    <row r="8" spans="1:26" ht="15.75">
      <c r="A8" t="s">
        <v>125</v>
      </c>
      <c r="B8" s="4">
        <v>42445</v>
      </c>
      <c r="C8">
        <v>1</v>
      </c>
      <c r="D8" t="s">
        <v>66</v>
      </c>
      <c r="E8" t="s">
        <v>15</v>
      </c>
      <c r="F8" s="89">
        <v>5</v>
      </c>
      <c r="G8" s="92">
        <v>0.1</v>
      </c>
      <c r="H8" s="89">
        <v>5.5</v>
      </c>
      <c r="I8" s="89">
        <v>2.2999999999999998</v>
      </c>
      <c r="J8" s="89">
        <f>[[Montant TTC ]]-[[Montant réglé ]]</f>
        <v>3.2</v>
      </c>
      <c r="K8" s="4">
        <f>EOMONTH(TableauFacCLient[[#This Row],[Date ]],1)</f>
        <v>42490</v>
      </c>
      <c r="L8" s="144">
        <f ca="1">$Z$1-TableauFacCLient[[#This Row],[Date d''échéance ]]</f>
        <v>-22</v>
      </c>
      <c r="M8" s="4"/>
      <c r="N8" s="144" t="str">
        <f ca="1">IF(OR(TableauFacCLient[[#This Row],[Réglé le ]],TableauFacCLient[[#This Row],[Différence, date du jour, date d''échéance ]])="","",IF(AND(TableauFacCLient[[#This Row],[Différence, date du jour, date d''échéance ]]&gt;17,TableauFacCLient[[#This Row],[Réglé le ]]=""),2,IF(AND(TableauFacCLient[[#This Row],[Différence, date du jour, date d''échéance ]]&gt;7,TableauFacCLient[[#This Row],[Réglé le ]]=""),1,"Aucune Relance")))</f>
        <v>Aucune Relance</v>
      </c>
      <c r="O8" s="154">
        <v>23789</v>
      </c>
      <c r="P8" s="152"/>
      <c r="Q8" s="157" t="str">
        <f>VLOOKUP(TableauFacCLient[[#This Row],[N°client ]],BDDclient3[],2,FALSE)</f>
        <v>SARL MEGANE</v>
      </c>
      <c r="R8" s="156" t="str">
        <f>VLOOKUP(TableauFacCLient[[#This Row],[N°client ]],BDDclient3[],3,FALSE)</f>
        <v>BALITRAND</v>
      </c>
      <c r="S8" s="156" t="str">
        <f>VLOOKUP(TableauFacCLient[[#This Row],[N°client ]],BDDclient3[],4,FALSE)</f>
        <v xml:space="preserve">Mégane </v>
      </c>
      <c r="T8" s="156" t="str">
        <f>VLOOKUP(TableauFacCLient[[#This Row],[N°client ]],BDDclient3[],5,FALSE)</f>
        <v xml:space="preserve">5 Av des Roses </v>
      </c>
      <c r="U8" s="156">
        <f>VLOOKUP(TableauFacCLient[[#This Row],[N°client ]],BDDclient3[],6,FALSE)</f>
        <v>48000</v>
      </c>
      <c r="V8" s="156" t="str">
        <f>VLOOKUP(TableauFacCLient[[#This Row],[N°client ]],BDDclient3[],7,FALSE)</f>
        <v>Mende</v>
      </c>
    </row>
    <row r="15" spans="1:26" ht="15.75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26" ht="15.75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ht="15.75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ht="15.75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ht="15.7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ht="15.7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ht="15.7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ht="15.7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ht="15.7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ht="15.7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ht="15.7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ht="15.7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ht="15.7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ht="15.7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ht="15.7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 ht="15.75">
      <c r="A30"/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ht="15.75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ht="15.75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ht="15.75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ht="15.75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ht="15.75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ht="15.75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ht="15.75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ht="15.75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ht="15.75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ht="15.75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ht="15.75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FF0000"/>
  </sheetPr>
  <dimension ref="A1:J7"/>
  <sheetViews>
    <sheetView zoomScaleNormal="100" workbookViewId="0">
      <selection activeCell="H14" sqref="H14"/>
    </sheetView>
  </sheetViews>
  <sheetFormatPr baseColWidth="10" defaultRowHeight="15"/>
  <cols>
    <col min="1" max="1" width="15.625" style="18" customWidth="1"/>
    <col min="2" max="2" width="23.5" style="18" bestFit="1" customWidth="1"/>
    <col min="3" max="3" width="10.875" style="18" customWidth="1"/>
    <col min="4" max="4" width="15" style="18" customWidth="1"/>
    <col min="5" max="5" width="12.5" style="18" customWidth="1"/>
    <col min="6" max="6" width="8.625" style="18" bestFit="1" customWidth="1"/>
    <col min="7" max="7" width="17.75" style="18" customWidth="1"/>
    <col min="8" max="8" width="14.875" style="18" bestFit="1" customWidth="1"/>
    <col min="9" max="9" width="17" style="18" bestFit="1" customWidth="1"/>
    <col min="10" max="10" width="14.375" style="18" bestFit="1" customWidth="1"/>
    <col min="11" max="16384" width="11" style="18"/>
  </cols>
  <sheetData>
    <row r="1" spans="1:10" ht="16.5" thickBot="1">
      <c r="A1" s="182" t="s">
        <v>63</v>
      </c>
      <c r="B1" s="183" t="s">
        <v>45</v>
      </c>
      <c r="C1" s="184" t="s">
        <v>62</v>
      </c>
      <c r="D1" s="185" t="s">
        <v>61</v>
      </c>
      <c r="E1" s="187" t="s">
        <v>96</v>
      </c>
      <c r="F1" s="184" t="s">
        <v>60</v>
      </c>
      <c r="G1" s="182" t="s">
        <v>46</v>
      </c>
      <c r="H1" s="186" t="s">
        <v>157</v>
      </c>
      <c r="I1" s="186" t="s">
        <v>98</v>
      </c>
      <c r="J1" s="186" t="s">
        <v>44</v>
      </c>
    </row>
    <row r="2" spans="1:10">
      <c r="A2" s="181">
        <v>1</v>
      </c>
      <c r="B2" s="48" t="s">
        <v>59</v>
      </c>
      <c r="C2" s="46" t="s">
        <v>58</v>
      </c>
      <c r="D2" s="46" t="s">
        <v>57</v>
      </c>
      <c r="E2" s="47" t="s">
        <v>167</v>
      </c>
      <c r="F2" s="47" t="s">
        <v>168</v>
      </c>
      <c r="G2" s="46" t="s">
        <v>158</v>
      </c>
      <c r="H2" s="174" t="s">
        <v>169</v>
      </c>
      <c r="I2" s="173" t="s">
        <v>159</v>
      </c>
    </row>
    <row r="3" spans="1:10">
      <c r="A3" s="44">
        <v>2</v>
      </c>
      <c r="B3" s="41" t="s">
        <v>56</v>
      </c>
      <c r="C3" s="45" t="s">
        <v>55</v>
      </c>
      <c r="D3" s="45" t="s">
        <v>54</v>
      </c>
      <c r="E3" s="42" t="s">
        <v>163</v>
      </c>
      <c r="F3" s="42" t="s">
        <v>164</v>
      </c>
      <c r="G3" s="45" t="s">
        <v>160</v>
      </c>
      <c r="H3" s="174" t="s">
        <v>165</v>
      </c>
      <c r="I3" s="173" t="s">
        <v>166</v>
      </c>
    </row>
    <row r="4" spans="1:10" ht="15.75" thickBot="1">
      <c r="A4" s="43">
        <v>3</v>
      </c>
      <c r="B4" s="41" t="s">
        <v>53</v>
      </c>
      <c r="C4" s="45" t="s">
        <v>52</v>
      </c>
      <c r="D4" s="45" t="s">
        <v>51</v>
      </c>
      <c r="E4" s="42" t="s">
        <v>50</v>
      </c>
      <c r="F4" s="42" t="s">
        <v>49</v>
      </c>
      <c r="G4" s="45" t="s">
        <v>161</v>
      </c>
      <c r="H4" s="174" t="s">
        <v>149</v>
      </c>
      <c r="I4" s="173" t="s">
        <v>162</v>
      </c>
    </row>
    <row r="5" spans="1:10" ht="15.75" thickBot="1">
      <c r="A5" s="18">
        <v>4</v>
      </c>
      <c r="B5" s="175" t="s">
        <v>185</v>
      </c>
      <c r="C5" s="176" t="s">
        <v>170</v>
      </c>
      <c r="D5" s="176" t="s">
        <v>171</v>
      </c>
      <c r="E5" s="177" t="s">
        <v>172</v>
      </c>
      <c r="F5" s="177" t="s">
        <v>173</v>
      </c>
      <c r="G5" s="178" t="s">
        <v>174</v>
      </c>
      <c r="H5" s="179" t="s">
        <v>175</v>
      </c>
      <c r="I5" s="180" t="s">
        <v>176</v>
      </c>
      <c r="J5" s="133" t="s">
        <v>177</v>
      </c>
    </row>
    <row r="6" spans="1:10" ht="15.75" thickBot="1">
      <c r="A6" s="18">
        <v>5</v>
      </c>
      <c r="B6" s="175" t="s">
        <v>178</v>
      </c>
      <c r="C6" s="176" t="s">
        <v>179</v>
      </c>
      <c r="D6" s="176" t="s">
        <v>180</v>
      </c>
      <c r="E6" s="177" t="s">
        <v>172</v>
      </c>
      <c r="F6" s="177" t="s">
        <v>173</v>
      </c>
      <c r="G6" s="178" t="s">
        <v>181</v>
      </c>
      <c r="H6" s="179" t="s">
        <v>182</v>
      </c>
      <c r="I6" s="180" t="s">
        <v>183</v>
      </c>
      <c r="J6" s="133" t="s">
        <v>184</v>
      </c>
    </row>
    <row r="7" spans="1:10">
      <c r="A7" s="133">
        <v>6</v>
      </c>
      <c r="B7" s="175" t="s">
        <v>186</v>
      </c>
      <c r="C7" s="176" t="s">
        <v>187</v>
      </c>
      <c r="D7" s="176" t="s">
        <v>143</v>
      </c>
      <c r="E7" s="177" t="s">
        <v>143</v>
      </c>
      <c r="F7" s="177" t="s">
        <v>143</v>
      </c>
      <c r="G7" s="178" t="s">
        <v>143</v>
      </c>
      <c r="H7" s="179" t="s">
        <v>143</v>
      </c>
      <c r="I7" s="180" t="s">
        <v>143</v>
      </c>
      <c r="J7" s="133" t="s">
        <v>143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P21"/>
  <sheetViews>
    <sheetView zoomScale="90" zoomScaleNormal="90" workbookViewId="0"/>
  </sheetViews>
  <sheetFormatPr baseColWidth="10" defaultRowHeight="15"/>
  <cols>
    <col min="1" max="1" width="16.875" style="18" customWidth="1"/>
    <col min="2" max="2" width="12" style="18" bestFit="1" customWidth="1"/>
    <col min="3" max="3" width="12.5" style="18" bestFit="1" customWidth="1"/>
    <col min="4" max="4" width="10.875" style="18" customWidth="1"/>
    <col min="5" max="5" width="14.375" style="18" customWidth="1"/>
    <col min="6" max="6" width="13" style="18" bestFit="1" customWidth="1"/>
    <col min="7" max="7" width="13" style="18" customWidth="1"/>
    <col min="8" max="8" width="11" style="18"/>
    <col min="9" max="9" width="13.875" style="18" bestFit="1" customWidth="1"/>
    <col min="10" max="10" width="14.75" style="18" bestFit="1" customWidth="1"/>
    <col min="11" max="11" width="18.125" style="18" bestFit="1" customWidth="1"/>
    <col min="12" max="16384" width="11" style="18"/>
  </cols>
  <sheetData>
    <row r="1" spans="1:16" ht="30">
      <c r="A1" s="188" t="s">
        <v>65</v>
      </c>
      <c r="B1" s="189" t="s">
        <v>64</v>
      </c>
      <c r="C1" s="189" t="s">
        <v>126</v>
      </c>
      <c r="D1" s="190" t="s">
        <v>127</v>
      </c>
      <c r="E1" s="190" t="s">
        <v>17</v>
      </c>
      <c r="F1" s="190" t="s">
        <v>82</v>
      </c>
      <c r="G1" s="189" t="s">
        <v>83</v>
      </c>
      <c r="H1" s="189" t="s">
        <v>89</v>
      </c>
      <c r="I1" s="190" t="s">
        <v>47</v>
      </c>
      <c r="J1" s="191" t="s">
        <v>85</v>
      </c>
      <c r="P1" s="210">
        <v>5.5E-2</v>
      </c>
    </row>
    <row r="2" spans="1:16" ht="15.75">
      <c r="A2">
        <v>5</v>
      </c>
      <c r="B2" s="144">
        <f ca="1">IF(B2="","",VLOOKUP(A2,BDDclient3[],2,FALSE))</f>
        <v>0</v>
      </c>
      <c r="C2" s="205" t="s">
        <v>143</v>
      </c>
      <c r="D2" s="4" t="s">
        <v>143</v>
      </c>
      <c r="E2" s="192" t="s">
        <v>143</v>
      </c>
      <c r="F2" s="92"/>
      <c r="G2" s="192" t="e">
        <f>TableauFactFour[[#This Row],[Montant HT]]*F2+E2</f>
        <v>#VALUE!</v>
      </c>
      <c r="H2" s="192" t="s">
        <v>143</v>
      </c>
      <c r="I2" s="192" t="e">
        <f>TableauFactFour[[#This Row],[Montant TTC ]]-H2</f>
        <v>#VALUE!</v>
      </c>
      <c r="J2" s="4" t="str">
        <f>IF(TableauFactFour[[#This Row],[Date reception ]]="","",EOMONTH(TableauFactFour[[#This Row],[Date reception ]],1))</f>
        <v/>
      </c>
      <c r="P2" s="211">
        <v>0.1</v>
      </c>
    </row>
    <row r="3" spans="1:16" ht="15.75">
      <c r="A3" s="197">
        <v>2</v>
      </c>
      <c r="B3" s="204">
        <f ca="1">IF(B3="","",VLOOKUP(A3,BDDclient3[],2,FALSE))</f>
        <v>0</v>
      </c>
      <c r="C3" s="198" t="s">
        <v>143</v>
      </c>
      <c r="D3" s="198" t="s">
        <v>143</v>
      </c>
      <c r="E3" s="199" t="s">
        <v>143</v>
      </c>
      <c r="F3" s="200"/>
      <c r="G3" s="201" t="e">
        <f>TableauFactFour[[#This Row],[Montant HT]]*F3+E3</f>
        <v>#VALUE!</v>
      </c>
      <c r="H3" s="202" t="s">
        <v>143</v>
      </c>
      <c r="I3" s="199" t="e">
        <f>TableauFactFour[[#This Row],[Montant TTC ]]-H3</f>
        <v>#VALUE!</v>
      </c>
      <c r="J3" s="203" t="str">
        <f>IF(TableauFactFour[[#This Row],[Date reception ]]="","",EOMONTH(TableauFactFour[[#This Row],[Date reception ]],1))</f>
        <v/>
      </c>
      <c r="P3" s="211">
        <v>0.2</v>
      </c>
    </row>
    <row r="4" spans="1:16" ht="15.75">
      <c r="A4" s="197" t="s">
        <v>188</v>
      </c>
      <c r="B4" s="206">
        <f ca="1">IF(B4="","",VLOOKUP(A4,BDDclient3[],2,FALSE))</f>
        <v>0</v>
      </c>
      <c r="C4" s="207" t="s">
        <v>143</v>
      </c>
      <c r="D4" s="207" t="s">
        <v>143</v>
      </c>
      <c r="E4" s="208" t="s">
        <v>143</v>
      </c>
      <c r="F4" s="200"/>
      <c r="G4" s="201" t="e">
        <f>TableauFactFour[[#This Row],[Montant HT]]*F4+E4</f>
        <v>#VALUE!</v>
      </c>
      <c r="H4" s="202" t="s">
        <v>143</v>
      </c>
      <c r="I4" s="208" t="e">
        <f>TableauFactFour[[#This Row],[Montant TTC ]]-H4</f>
        <v>#VALUE!</v>
      </c>
      <c r="J4" s="209" t="str">
        <f>IF(TableauFactFour[[#This Row],[Date reception ]]="","",EOMONTH(TableauFactFour[[#This Row],[Date reception ]],1))</f>
        <v/>
      </c>
      <c r="P4" s="212"/>
    </row>
    <row r="5" spans="1:16" ht="15.75">
      <c r="A5" s="197" t="s">
        <v>189</v>
      </c>
      <c r="B5" s="206">
        <f ca="1">IF(B5="","",VLOOKUP(A5,BDDclient3[],2,FALSE))</f>
        <v>0</v>
      </c>
      <c r="C5" s="207" t="s">
        <v>143</v>
      </c>
      <c r="D5" s="207" t="s">
        <v>143</v>
      </c>
      <c r="E5" s="208" t="s">
        <v>191</v>
      </c>
      <c r="F5" s="200"/>
      <c r="G5" s="201">
        <f>TableauFactFour[[#This Row],[Montant HT]]*F5+E5</f>
        <v>60</v>
      </c>
      <c r="H5" s="202" t="s">
        <v>143</v>
      </c>
      <c r="I5" s="208" t="e">
        <f>TableauFactFour[[#This Row],[Montant TTC ]]-H5</f>
        <v>#VALUE!</v>
      </c>
      <c r="J5" s="209" t="str">
        <f>IF(TableauFactFour[[#This Row],[Date reception ]]="","",EOMONTH(TableauFactFour[[#This Row],[Date reception ]],1))</f>
        <v/>
      </c>
      <c r="P5" s="212"/>
    </row>
    <row r="6" spans="1:16" ht="22.5" customHeight="1">
      <c r="A6" s="213" t="s">
        <v>190</v>
      </c>
      <c r="B6" s="214">
        <f ca="1">IF(B6="","",VLOOKUP(A6,BDDclient3[],2,FALSE))</f>
        <v>0</v>
      </c>
      <c r="C6" s="215" t="s">
        <v>143</v>
      </c>
      <c r="D6" s="215" t="s">
        <v>143</v>
      </c>
      <c r="E6" s="216" t="s">
        <v>143</v>
      </c>
      <c r="F6" s="193"/>
      <c r="G6" s="194" t="e">
        <f>TableauFactFour[[#This Row],[Montant HT]]*F6+E6</f>
        <v>#VALUE!</v>
      </c>
      <c r="H6" s="195" t="s">
        <v>143</v>
      </c>
      <c r="I6" s="216" t="e">
        <f>TableauFactFour[[#This Row],[Montant TTC ]]-H6</f>
        <v>#VALUE!</v>
      </c>
      <c r="J6" s="196" t="str">
        <f>IF(TableauFactFour[[#This Row],[Date reception ]]="","",EOMONTH(TableauFactFour[[#This Row],[Date reception ]],1))</f>
        <v/>
      </c>
      <c r="P6" s="212"/>
    </row>
    <row r="7" spans="1:16" ht="27" customHeight="1"/>
    <row r="9" spans="1:16" ht="15.75">
      <c r="B9"/>
      <c r="C9"/>
      <c r="D9"/>
      <c r="E9"/>
      <c r="F9"/>
      <c r="G9"/>
      <c r="H9"/>
      <c r="I9"/>
      <c r="J9"/>
      <c r="K9"/>
    </row>
    <row r="10" spans="1:16" ht="15.75">
      <c r="B10"/>
      <c r="C10"/>
      <c r="D10"/>
      <c r="E10"/>
      <c r="F10"/>
      <c r="G10"/>
      <c r="H10"/>
      <c r="I10"/>
      <c r="J10"/>
      <c r="K10"/>
    </row>
    <row r="11" spans="1:16" ht="15.75">
      <c r="B11"/>
      <c r="C11"/>
      <c r="D11"/>
      <c r="E11"/>
      <c r="F11"/>
      <c r="G11"/>
      <c r="H11"/>
      <c r="I11"/>
      <c r="J11"/>
      <c r="K11"/>
    </row>
    <row r="12" spans="1:16" ht="15.75">
      <c r="B12"/>
      <c r="C12"/>
      <c r="D12"/>
      <c r="E12"/>
      <c r="F12"/>
      <c r="G12"/>
      <c r="H12"/>
      <c r="I12"/>
      <c r="J12"/>
      <c r="K12"/>
    </row>
    <row r="13" spans="1:16" ht="15.75">
      <c r="B13"/>
      <c r="C13"/>
      <c r="D13"/>
      <c r="E13"/>
      <c r="F13"/>
      <c r="G13"/>
      <c r="H13"/>
      <c r="I13"/>
      <c r="J13"/>
      <c r="K13"/>
    </row>
    <row r="14" spans="1:16" ht="15.75">
      <c r="B14"/>
      <c r="C14"/>
      <c r="D14"/>
      <c r="E14"/>
      <c r="F14"/>
      <c r="G14"/>
      <c r="H14"/>
      <c r="I14"/>
      <c r="J14"/>
      <c r="K14"/>
    </row>
    <row r="15" spans="1:16" ht="15.75">
      <c r="B15"/>
      <c r="C15"/>
      <c r="D15"/>
      <c r="E15"/>
      <c r="F15"/>
      <c r="G15"/>
      <c r="H15"/>
      <c r="I15"/>
      <c r="J15"/>
      <c r="K15"/>
    </row>
    <row r="16" spans="1:16" ht="15.75">
      <c r="B16"/>
      <c r="C16"/>
      <c r="D16"/>
      <c r="E16"/>
      <c r="F16"/>
      <c r="G16"/>
      <c r="H16"/>
      <c r="I16"/>
      <c r="J16"/>
      <c r="K16"/>
    </row>
    <row r="17" spans="2:11" ht="15.75">
      <c r="B17"/>
      <c r="C17"/>
      <c r="D17"/>
      <c r="E17"/>
      <c r="F17"/>
      <c r="G17"/>
      <c r="H17"/>
      <c r="I17"/>
      <c r="J17"/>
      <c r="K17"/>
    </row>
    <row r="18" spans="2:11" ht="15.75">
      <c r="B18"/>
      <c r="C18"/>
      <c r="D18"/>
      <c r="E18"/>
      <c r="F18"/>
      <c r="G18"/>
      <c r="H18"/>
      <c r="I18"/>
      <c r="J18"/>
      <c r="K18"/>
    </row>
    <row r="19" spans="2:11" ht="15.75">
      <c r="B19"/>
      <c r="C19"/>
      <c r="D19"/>
      <c r="E19"/>
      <c r="F19"/>
      <c r="G19"/>
      <c r="H19"/>
      <c r="I19"/>
      <c r="J19"/>
      <c r="K19"/>
    </row>
    <row r="20" spans="2:11" ht="15.75">
      <c r="B20"/>
      <c r="C20"/>
      <c r="D20"/>
      <c r="E20"/>
      <c r="F20"/>
      <c r="G20"/>
      <c r="H20"/>
      <c r="I20"/>
      <c r="J20"/>
      <c r="K20"/>
    </row>
    <row r="21" spans="2:11" ht="15.75">
      <c r="B21"/>
      <c r="C21"/>
      <c r="D21"/>
      <c r="E21"/>
      <c r="F21"/>
      <c r="G21"/>
      <c r="H21"/>
      <c r="I21"/>
      <c r="J21"/>
      <c r="K21"/>
    </row>
  </sheetData>
  <dataValidations count="3">
    <dataValidation type="list" allowBlank="1" showInputMessage="1" showErrorMessage="1" sqref="A1">
      <formula1>NuméroClient</formula1>
    </dataValidation>
    <dataValidation type="list" allowBlank="1" showInputMessage="1" showErrorMessage="1" sqref="C1">
      <formula1>NOMAFFAIRE</formula1>
    </dataValidation>
    <dataValidation type="list" allowBlank="1" showInputMessage="1" showErrorMessage="1" sqref="F1">
      <formula1>tva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6">
    <tabColor theme="9" tint="-0.249977111117893"/>
  </sheetPr>
  <dimension ref="A1:P18"/>
  <sheetViews>
    <sheetView tabSelected="1" topLeftCell="E1" zoomScale="80" zoomScaleNormal="80" workbookViewId="0"/>
  </sheetViews>
  <sheetFormatPr baseColWidth="10" defaultRowHeight="15"/>
  <cols>
    <col min="1" max="1" width="19.875" style="100" bestFit="1" customWidth="1"/>
    <col min="2" max="2" width="27.5" style="100" bestFit="1" customWidth="1"/>
    <col min="3" max="3" width="10.875" style="100" customWidth="1"/>
    <col min="4" max="4" width="12.375" style="100" bestFit="1" customWidth="1"/>
    <col min="5" max="5" width="10.875" style="100" customWidth="1"/>
    <col min="6" max="6" width="14.375" style="164" customWidth="1"/>
    <col min="7" max="7" width="13.25" style="100" bestFit="1" customWidth="1"/>
    <col min="8" max="8" width="21.375" style="100" bestFit="1" customWidth="1"/>
    <col min="9" max="9" width="15.25" style="100" customWidth="1"/>
    <col min="10" max="10" width="16.375" style="100" bestFit="1" customWidth="1"/>
    <col min="11" max="11" width="6.5" style="100" customWidth="1"/>
    <col min="12" max="12" width="6.375" style="100" customWidth="1"/>
    <col min="13" max="13" width="11.25" style="100" customWidth="1"/>
    <col min="14" max="14" width="11.625" style="100" customWidth="1"/>
    <col min="15" max="16384" width="11" style="100"/>
  </cols>
  <sheetData>
    <row r="1" spans="1:16" ht="18.75">
      <c r="A1" s="110" t="s">
        <v>73</v>
      </c>
      <c r="B1" s="110" t="s">
        <v>102</v>
      </c>
      <c r="C1" s="109" t="s">
        <v>101</v>
      </c>
      <c r="D1" s="108" t="s">
        <v>100</v>
      </c>
      <c r="E1" s="109" t="s">
        <v>46</v>
      </c>
      <c r="F1" s="158" t="s">
        <v>99</v>
      </c>
      <c r="G1" s="109" t="s">
        <v>98</v>
      </c>
      <c r="H1" s="109" t="s">
        <v>97</v>
      </c>
      <c r="I1" s="108" t="s">
        <v>96</v>
      </c>
      <c r="J1" s="107" t="s">
        <v>44</v>
      </c>
    </row>
    <row r="2" spans="1:16">
      <c r="A2" s="106">
        <v>1</v>
      </c>
      <c r="B2" s="106" t="s">
        <v>103</v>
      </c>
      <c r="C2" s="112" t="s">
        <v>104</v>
      </c>
      <c r="D2" s="105" t="s">
        <v>105</v>
      </c>
      <c r="E2" s="104" t="s">
        <v>106</v>
      </c>
      <c r="F2" s="159">
        <v>48000</v>
      </c>
      <c r="G2" s="104" t="s">
        <v>123</v>
      </c>
      <c r="H2" s="104"/>
      <c r="I2" s="103">
        <v>622485315</v>
      </c>
      <c r="J2" s="102"/>
    </row>
    <row r="3" spans="1:16" ht="15.75">
      <c r="A3" s="113">
        <v>2</v>
      </c>
      <c r="B3" s="114" t="s">
        <v>95</v>
      </c>
      <c r="C3" s="115" t="s">
        <v>107</v>
      </c>
      <c r="D3" s="116" t="s">
        <v>108</v>
      </c>
      <c r="E3" s="117" t="s">
        <v>144</v>
      </c>
      <c r="F3" s="160" t="s">
        <v>145</v>
      </c>
      <c r="G3" s="117" t="s">
        <v>109</v>
      </c>
      <c r="H3" s="117" t="s">
        <v>143</v>
      </c>
      <c r="I3" s="118" t="s">
        <v>143</v>
      </c>
      <c r="J3" s="119"/>
      <c r="K3" s="101"/>
      <c r="L3" s="101"/>
    </row>
    <row r="4" spans="1:16" ht="15.75">
      <c r="A4" s="113">
        <v>3</v>
      </c>
      <c r="B4" s="114" t="s">
        <v>94</v>
      </c>
      <c r="C4" s="115" t="s">
        <v>110</v>
      </c>
      <c r="D4" s="116" t="s">
        <v>66</v>
      </c>
      <c r="E4" s="117" t="s">
        <v>111</v>
      </c>
      <c r="F4" s="160">
        <v>15000</v>
      </c>
      <c r="G4" s="117" t="s">
        <v>112</v>
      </c>
      <c r="H4" s="117"/>
      <c r="I4" s="118"/>
      <c r="J4" s="119"/>
      <c r="K4" s="101"/>
      <c r="L4" s="101"/>
    </row>
    <row r="5" spans="1:16" ht="15.75">
      <c r="A5" s="113">
        <v>4</v>
      </c>
      <c r="B5" s="114" t="s">
        <v>113</v>
      </c>
      <c r="C5" s="115" t="s">
        <v>114</v>
      </c>
      <c r="D5" s="116" t="s">
        <v>115</v>
      </c>
      <c r="E5" s="117" t="s">
        <v>116</v>
      </c>
      <c r="F5" s="160" t="s">
        <v>154</v>
      </c>
      <c r="G5" s="117" t="s">
        <v>117</v>
      </c>
      <c r="H5" s="117" t="s">
        <v>155</v>
      </c>
      <c r="I5" s="118" t="s">
        <v>156</v>
      </c>
      <c r="J5" s="119"/>
      <c r="K5" s="101"/>
      <c r="L5" s="101"/>
    </row>
    <row r="6" spans="1:16" ht="15.75">
      <c r="A6" s="113">
        <v>5</v>
      </c>
      <c r="B6" s="114" t="s">
        <v>93</v>
      </c>
      <c r="C6" s="115" t="s">
        <v>92</v>
      </c>
      <c r="D6" s="116" t="s">
        <v>91</v>
      </c>
      <c r="E6" s="117" t="s">
        <v>146</v>
      </c>
      <c r="F6" s="160" t="s">
        <v>142</v>
      </c>
      <c r="G6" s="117" t="s">
        <v>118</v>
      </c>
      <c r="H6" s="117" t="s">
        <v>152</v>
      </c>
      <c r="I6" s="118" t="s">
        <v>153</v>
      </c>
      <c r="J6" s="119"/>
      <c r="K6" s="101"/>
      <c r="L6" s="101"/>
    </row>
    <row r="7" spans="1:16" ht="15.75">
      <c r="A7" s="120">
        <v>6</v>
      </c>
      <c r="B7" s="111" t="s">
        <v>119</v>
      </c>
      <c r="C7" s="121" t="s">
        <v>92</v>
      </c>
      <c r="D7" s="122" t="s">
        <v>120</v>
      </c>
      <c r="E7" s="123" t="s">
        <v>121</v>
      </c>
      <c r="F7" s="161">
        <v>12000</v>
      </c>
      <c r="G7" s="123" t="s">
        <v>122</v>
      </c>
      <c r="H7" s="123"/>
      <c r="I7" s="124"/>
      <c r="J7" s="125"/>
      <c r="K7" s="101"/>
      <c r="L7" s="101"/>
    </row>
    <row r="8" spans="1:16" ht="15.75">
      <c r="A8" s="165">
        <v>7</v>
      </c>
      <c r="B8" s="166" t="s">
        <v>147</v>
      </c>
      <c r="C8" s="167" t="s">
        <v>143</v>
      </c>
      <c r="D8" s="168" t="s">
        <v>143</v>
      </c>
      <c r="E8" s="169" t="s">
        <v>143</v>
      </c>
      <c r="F8" s="170" t="s">
        <v>143</v>
      </c>
      <c r="G8" s="169" t="s">
        <v>143</v>
      </c>
      <c r="H8" s="169" t="s">
        <v>143</v>
      </c>
      <c r="I8" s="171" t="s">
        <v>143</v>
      </c>
      <c r="J8" s="172"/>
      <c r="K8" s="101"/>
      <c r="L8" s="101"/>
      <c r="M8" s="101"/>
      <c r="N8" s="101"/>
      <c r="O8" s="101"/>
      <c r="P8" s="101"/>
    </row>
    <row r="9" spans="1:16" ht="15.75">
      <c r="A9" s="165">
        <v>8</v>
      </c>
      <c r="B9" s="166" t="s">
        <v>148</v>
      </c>
      <c r="C9" s="167" t="s">
        <v>143</v>
      </c>
      <c r="D9" s="168" t="s">
        <v>143</v>
      </c>
      <c r="E9" s="169" t="s">
        <v>151</v>
      </c>
      <c r="F9" s="170" t="s">
        <v>149</v>
      </c>
      <c r="G9" s="169" t="s">
        <v>150</v>
      </c>
      <c r="H9" s="169" t="s">
        <v>143</v>
      </c>
      <c r="I9" s="171" t="s">
        <v>143</v>
      </c>
      <c r="J9" s="172"/>
      <c r="K9" s="101"/>
      <c r="L9" s="101"/>
      <c r="M9" s="101"/>
      <c r="N9" s="101"/>
      <c r="O9" s="101"/>
      <c r="P9" s="101"/>
    </row>
    <row r="10" spans="1:16" ht="15.75">
      <c r="A10"/>
      <c r="B10"/>
      <c r="C10"/>
      <c r="D10"/>
      <c r="E10"/>
      <c r="F10" s="162"/>
      <c r="G10"/>
      <c r="H10"/>
      <c r="I10"/>
      <c r="J10"/>
      <c r="K10" s="101"/>
      <c r="L10" s="101"/>
      <c r="M10" s="101"/>
      <c r="N10" s="101"/>
      <c r="O10" s="101"/>
      <c r="P10" s="101"/>
    </row>
    <row r="11" spans="1:16" ht="15.75">
      <c r="A11"/>
      <c r="B11"/>
      <c r="C11"/>
      <c r="D11"/>
      <c r="E11"/>
      <c r="F11" s="162"/>
      <c r="G11"/>
      <c r="H11"/>
      <c r="I11"/>
      <c r="J11"/>
      <c r="K11" s="101"/>
      <c r="L11" s="101"/>
      <c r="M11" s="101"/>
      <c r="N11" s="101"/>
      <c r="O11" s="101"/>
      <c r="P11" s="101"/>
    </row>
    <row r="12" spans="1:16" ht="15.75">
      <c r="A12"/>
      <c r="B12"/>
      <c r="C12"/>
      <c r="D12"/>
      <c r="E12"/>
      <c r="F12" s="162"/>
      <c r="G12"/>
      <c r="H12"/>
      <c r="I12"/>
      <c r="J12"/>
      <c r="K12" s="101"/>
      <c r="L12" s="101"/>
      <c r="M12" s="101"/>
      <c r="N12" s="101"/>
      <c r="O12" s="101"/>
      <c r="P12" s="101"/>
    </row>
    <row r="13" spans="1:16" ht="15.75">
      <c r="F13" s="163"/>
      <c r="G13" s="101"/>
      <c r="H13" s="101"/>
      <c r="I13" s="101"/>
      <c r="J13" s="101"/>
      <c r="K13" s="101"/>
      <c r="L13" s="101"/>
      <c r="M13" s="101"/>
      <c r="N13" s="101"/>
      <c r="O13" s="101"/>
      <c r="P13" s="101"/>
    </row>
    <row r="14" spans="1:16" ht="15.75">
      <c r="F14" s="163"/>
      <c r="G14" s="101"/>
      <c r="H14" s="101"/>
      <c r="I14" s="101"/>
      <c r="J14" s="101"/>
      <c r="K14" s="101"/>
      <c r="L14" s="101"/>
      <c r="M14" s="101"/>
      <c r="N14" s="101"/>
      <c r="O14" s="101"/>
      <c r="P14" s="101"/>
    </row>
    <row r="15" spans="1:16" ht="15.75">
      <c r="F15" s="163"/>
      <c r="G15" s="101"/>
      <c r="H15" s="101"/>
      <c r="I15" s="101"/>
      <c r="J15" s="101"/>
      <c r="K15" s="101"/>
      <c r="L15" s="101"/>
      <c r="M15" s="101"/>
      <c r="N15" s="101"/>
      <c r="O15" s="101"/>
      <c r="P15" s="101"/>
    </row>
    <row r="16" spans="1:16" ht="15.75">
      <c r="F16" s="163"/>
      <c r="G16" s="101"/>
      <c r="H16" s="101"/>
      <c r="I16" s="101"/>
      <c r="J16" s="101"/>
      <c r="K16" s="101"/>
      <c r="L16" s="101"/>
      <c r="M16" s="101"/>
      <c r="N16" s="101"/>
      <c r="O16" s="101"/>
      <c r="P16" s="101"/>
    </row>
    <row r="17" spans="6:16" ht="15.75">
      <c r="F17" s="163"/>
      <c r="G17" s="101"/>
      <c r="H17" s="101"/>
      <c r="I17" s="101"/>
      <c r="J17" s="101"/>
      <c r="K17" s="101"/>
      <c r="L17" s="101"/>
      <c r="M17" s="101"/>
      <c r="N17" s="101"/>
      <c r="O17" s="101"/>
      <c r="P17" s="101"/>
    </row>
    <row r="18" spans="6:16" ht="15.75">
      <c r="F18" s="163"/>
      <c r="G18" s="101"/>
      <c r="H18" s="101"/>
      <c r="I18" s="101"/>
      <c r="J18" s="101"/>
      <c r="K18" s="101"/>
      <c r="L18" s="101"/>
      <c r="M18" s="101"/>
      <c r="N18" s="101"/>
      <c r="O18" s="101"/>
      <c r="P18" s="101"/>
    </row>
  </sheetData>
  <pageMargins left="0.7" right="0.7" top="0.75" bottom="0.75" header="0.3" footer="0.3"/>
  <pageSetup paperSize="9" orientation="portrait" r:id="rId1"/>
  <ignoredErrors>
    <ignoredError sqref="F3" numberStoredAsText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12</vt:i4>
      </vt:variant>
    </vt:vector>
  </HeadingPairs>
  <TitlesOfParts>
    <vt:vector size="21" baseType="lpstr">
      <vt:lpstr>MENU</vt:lpstr>
      <vt:lpstr>Facture</vt:lpstr>
      <vt:lpstr>Paramètres</vt:lpstr>
      <vt:lpstr>BDD devis</vt:lpstr>
      <vt:lpstr>BDD étapes projet</vt:lpstr>
      <vt:lpstr>BDD facture clients</vt:lpstr>
      <vt:lpstr>BDD fournisseurs</vt:lpstr>
      <vt:lpstr>BDD facture fournisseurs</vt:lpstr>
      <vt:lpstr>BDD clients</vt:lpstr>
      <vt:lpstr>achevement</vt:lpstr>
      <vt:lpstr>Achèvement</vt:lpstr>
      <vt:lpstr>Facture!Criteres</vt:lpstr>
      <vt:lpstr>Etapes</vt:lpstr>
      <vt:lpstr>Facture!Extraire</vt:lpstr>
      <vt:lpstr>fournisseur</vt:lpstr>
      <vt:lpstr>Fournisseurs</vt:lpstr>
      <vt:lpstr>NomFournisseur</vt:lpstr>
      <vt:lpstr>NuméroClient</vt:lpstr>
      <vt:lpstr>tva</vt:lpstr>
      <vt:lpstr>type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Mégane Balitrand</dc:creator>
  <cp:lastModifiedBy>Maxime Lafon</cp:lastModifiedBy>
  <cp:lastPrinted>2016-04-04T16:46:47Z</cp:lastPrinted>
  <dcterms:created xsi:type="dcterms:W3CDTF">2016-03-10T07:49:14Z</dcterms:created>
  <dcterms:modified xsi:type="dcterms:W3CDTF">2016-04-08T08:21:42Z</dcterms:modified>
</cp:coreProperties>
</file>