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621" codeName="{B7FE6334-C1A2-E50D-BD3D-5F4D41BBC2E3}"/>
  <workbookPr showInkAnnotation="0" codeName="ThisWorkbook" hidePivotFieldList="1" autoCompressPictures="0"/>
  <bookViews>
    <workbookView xWindow="0" yWindow="0" windowWidth="25300" windowHeight="14880" tabRatio="857" firstSheet="8" activeTab="8"/>
  </bookViews>
  <sheets>
    <sheet name="MENU" sheetId="3" r:id="rId1"/>
    <sheet name="Facture" sheetId="1" r:id="rId2"/>
    <sheet name="Paramètres" sheetId="2" r:id="rId3"/>
    <sheet name="BDD devis" sheetId="4" r:id="rId4"/>
    <sheet name="BDD étapes projet" sheetId="5" r:id="rId5"/>
    <sheet name="BDD facture clients" sheetId="7" r:id="rId6"/>
    <sheet name="BDD fournisseurs" sheetId="8" r:id="rId7"/>
    <sheet name="BDD facture fournisseurs" sheetId="9" r:id="rId8"/>
    <sheet name="BDD clients" sheetId="17" r:id="rId9"/>
  </sheets>
  <definedNames>
    <definedName name="_xlnm._FilterDatabase" localSheetId="5" hidden="1">'BDD facture clients'!$A$7:$N$14</definedName>
    <definedName name="achevement">Paramètres!$C$2:$C$8</definedName>
    <definedName name="Achèvement">Paramètres!$C$2:$D$8</definedName>
    <definedName name="AffaireHono">#REF!</definedName>
    <definedName name="_xlnm.Criteria" localSheetId="1">Facture!$A$13:$A$14</definedName>
    <definedName name="Element">#REF!</definedName>
    <definedName name="ElementMission">#REF!</definedName>
    <definedName name="Etapes">'BDD étapes projet'!$A$6:$B$13</definedName>
    <definedName name="euro">6.55957</definedName>
    <definedName name="_xlnm.Extract" localSheetId="1">Facture!$A$32:$E$32</definedName>
    <definedName name="fournisseur">'BDD fournisseurs'!$A$8:$H$22</definedName>
    <definedName name="Fournisseurs">Tableau8[Représentant]</definedName>
    <definedName name="InouVal">#REF!</definedName>
    <definedName name="Lots">#REF!</definedName>
    <definedName name="NOMAFFAIRE">OFFSET('BDD devis'!$A$8,0,0,COUNTA('BDD devis'!$A:$A)-1)</definedName>
    <definedName name="NomFournisseur">Tableau8[Dénomination sociale]</definedName>
    <definedName name="NomHono" localSheetId="8">OFFSET(#REF!,0,0,COUNTA(#REF!)-1)</definedName>
    <definedName name="NomHono">OFFSET(#REF!,0,0,COUNTA(#REF!)-1)</definedName>
    <definedName name="NUMCLIENT">OFFSET('BDD devis'!$C$8,0,0,COUNTA('BDD devis'!$C:$C)-1)</definedName>
    <definedName name="NuméroClient">BDDclient3[[Numéro client ]]</definedName>
    <definedName name="Pourcentage">#REF!</definedName>
    <definedName name="tva">Paramètres!$A$11:$A$13</definedName>
    <definedName name="TVAf">OFFSET(Paramètres!$A$11,,,COUNTA(Paramètres!$A:$A)-1)</definedName>
    <definedName name="type">Paramètres!$A$2:$A$4</definedName>
    <definedName name="TypeHono">#REF!</definedName>
    <definedName name="_xlnm.Print_Area" localSheetId="1">Facture!$A$3:$F$42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7" l="1"/>
  <c r="K9" i="7"/>
  <c r="K10" i="7"/>
  <c r="K11" i="7"/>
  <c r="K12" i="7"/>
  <c r="K13" i="7"/>
  <c r="K14" i="7"/>
  <c r="K8" i="7"/>
  <c r="J8" i="7"/>
  <c r="J9" i="7"/>
  <c r="J10" i="7"/>
  <c r="C8" i="9"/>
  <c r="H8" i="9"/>
  <c r="J8" i="9"/>
  <c r="K8" i="9"/>
  <c r="E1" i="1"/>
  <c r="J11" i="7"/>
  <c r="J12" i="7"/>
  <c r="J13" i="7"/>
  <c r="J14" i="7"/>
  <c r="F12" i="4"/>
  <c r="F13" i="4"/>
  <c r="F8" i="4"/>
  <c r="F9" i="4"/>
  <c r="F14" i="4"/>
  <c r="F10" i="4"/>
  <c r="F15" i="4"/>
  <c r="F11" i="4"/>
  <c r="F16" i="4"/>
  <c r="D8" i="4"/>
  <c r="D9" i="4"/>
  <c r="D10" i="4"/>
  <c r="D11" i="4"/>
  <c r="D12" i="4"/>
  <c r="D13" i="4"/>
  <c r="D14" i="4"/>
  <c r="D15" i="4"/>
  <c r="D16" i="4"/>
  <c r="F18" i="1"/>
  <c r="F17" i="1"/>
  <c r="B17" i="1"/>
  <c r="B13" i="5"/>
  <c r="L10" i="7"/>
  <c r="N10" i="7"/>
  <c r="L14" i="7"/>
  <c r="N14" i="7"/>
  <c r="L9" i="7"/>
  <c r="N9" i="7"/>
  <c r="L13" i="7"/>
  <c r="N13" i="7"/>
  <c r="L8" i="7"/>
  <c r="N8" i="7"/>
  <c r="L12" i="7"/>
  <c r="N12" i="7"/>
  <c r="L11" i="7"/>
  <c r="N11" i="7"/>
  <c r="D12" i="1"/>
  <c r="D13" i="1"/>
  <c r="D14" i="1"/>
  <c r="D11" i="1"/>
  <c r="F19" i="1"/>
  <c r="E4" i="1"/>
  <c r="F20" i="1"/>
  <c r="B23" i="1"/>
  <c r="D23" i="1"/>
  <c r="D25" i="1"/>
  <c r="D27" i="1"/>
  <c r="B1" i="1"/>
</calcChain>
</file>

<file path=xl/sharedStrings.xml><?xml version="1.0" encoding="utf-8"?>
<sst xmlns="http://schemas.openxmlformats.org/spreadsheetml/2006/main" count="264" uniqueCount="209">
  <si>
    <t>Total facture fournisseur</t>
  </si>
  <si>
    <t>Type</t>
  </si>
  <si>
    <t>Contractant</t>
  </si>
  <si>
    <t>N° facture</t>
  </si>
  <si>
    <t>Date facture</t>
  </si>
  <si>
    <t>Montant initial du devis</t>
  </si>
  <si>
    <t>Date du devis</t>
  </si>
  <si>
    <t>Achèvement du chantier</t>
  </si>
  <si>
    <t>Achèvement</t>
  </si>
  <si>
    <t>Ouverture du chantier</t>
  </si>
  <si>
    <t>Achèvement des fondations</t>
  </si>
  <si>
    <t>Achèvement des murs</t>
  </si>
  <si>
    <t>Mise hors d'eau</t>
  </si>
  <si>
    <t>Achèvement des cloisons et mise hors d'air</t>
  </si>
  <si>
    <t>Achèvement des travaux de plomberie, menuiserie, chauffage</t>
  </si>
  <si>
    <t>Signature du contrat</t>
  </si>
  <si>
    <t>% achèvement</t>
  </si>
  <si>
    <t>Montant HT</t>
  </si>
  <si>
    <t>Date d'échéance</t>
  </si>
  <si>
    <t>Total HT</t>
  </si>
  <si>
    <t>TVA</t>
  </si>
  <si>
    <t>Total TTC</t>
  </si>
  <si>
    <t>Factures précédentes</t>
  </si>
  <si>
    <t>N°Client</t>
  </si>
  <si>
    <t xml:space="preserve">N° du devis </t>
  </si>
  <si>
    <t xml:space="preserve">% Achèvement </t>
  </si>
  <si>
    <t xml:space="preserve">Total déjà facturé </t>
  </si>
  <si>
    <t xml:space="preserve">Maison Individuelle </t>
  </si>
  <si>
    <t>Nom affaire</t>
  </si>
  <si>
    <t>Somme facture fournisseurs</t>
  </si>
  <si>
    <t>Somme facture clients</t>
  </si>
  <si>
    <t xml:space="preserve">Montant fournisseurs </t>
  </si>
  <si>
    <t xml:space="preserve">Montant Client </t>
  </si>
  <si>
    <t>Base de données Devis</t>
  </si>
  <si>
    <t>Total</t>
  </si>
  <si>
    <t>Réserve</t>
  </si>
  <si>
    <t>Achèvement travaux, équipements, menuiserie, plomberie, chauffage</t>
  </si>
  <si>
    <t>Achèvement cloisons et mise hors d'air</t>
  </si>
  <si>
    <t>Achèvement murs</t>
  </si>
  <si>
    <t>Achèvement fondation</t>
  </si>
  <si>
    <t>Ouverture chantier</t>
  </si>
  <si>
    <t>% de projet</t>
  </si>
  <si>
    <t>Etapes</t>
  </si>
  <si>
    <t>Base de données Etapes projet</t>
  </si>
  <si>
    <t>Remarques</t>
  </si>
  <si>
    <t>Dénomination sociale</t>
  </si>
  <si>
    <t>Adresse</t>
  </si>
  <si>
    <t>Reste à payer</t>
  </si>
  <si>
    <t>date du jour</t>
  </si>
  <si>
    <t>176 rue gustave Eiffel 30000 Nîmes</t>
  </si>
  <si>
    <t>5 71 23 35 76</t>
  </si>
  <si>
    <t>M. CHAVE</t>
  </si>
  <si>
    <t>lot monte charge</t>
  </si>
  <si>
    <t>ACTIWORK</t>
  </si>
  <si>
    <t>le bourg 15230 Paulhenc</t>
  </si>
  <si>
    <t>04 71 23 35 76</t>
  </si>
  <si>
    <t>M. SALESSE</t>
  </si>
  <si>
    <t>lot carrelages</t>
  </si>
  <si>
    <t>EURL SALESSE Carrelage</t>
  </si>
  <si>
    <t>ZA Bel Air Avenue du causse 12850 ONET LE CHÂTEAU</t>
  </si>
  <si>
    <t>05 65 42 21 41</t>
  </si>
  <si>
    <t>M. BRAZ</t>
  </si>
  <si>
    <t>Electricité</t>
  </si>
  <si>
    <t>Groupe Fauche</t>
  </si>
  <si>
    <t>ZA les Bessières 12420 SAINTE GENEVIEVE SUR ARGENCE</t>
  </si>
  <si>
    <t>05 65 66 44 43</t>
  </si>
  <si>
    <t>05 65 66 47 62</t>
  </si>
  <si>
    <t>M. BORIE</t>
  </si>
  <si>
    <t>lot plomberie</t>
  </si>
  <si>
    <t>Jean Claude Borie</t>
  </si>
  <si>
    <t>Rue Neuve 12420 Ste Geneviève Sur Argence</t>
  </si>
  <si>
    <t>05 65 66 29 27</t>
  </si>
  <si>
    <t>05 65 66 45 95</t>
  </si>
  <si>
    <t>M. BRAUGE</t>
  </si>
  <si>
    <t>Lot peinture</t>
  </si>
  <si>
    <t>BRAUGE Frères</t>
  </si>
  <si>
    <t>parc artisanal de Malan 12510 OLEMPS</t>
  </si>
  <si>
    <t>05 65 73 10 46</t>
  </si>
  <si>
    <t>05 65 68 63 87</t>
  </si>
  <si>
    <t>M.  BOISSONNADE</t>
  </si>
  <si>
    <t>Faux plafonds / Cloisons techniques</t>
  </si>
  <si>
    <t>SARL BOISSONNADE</t>
  </si>
  <si>
    <t>06 88 91 07 43</t>
  </si>
  <si>
    <t>05 65 66 48 98</t>
  </si>
  <si>
    <t>M. Magne</t>
  </si>
  <si>
    <t>Lot menuiseries extérieures / intérieures</t>
  </si>
  <si>
    <t>Magne menuiserie</t>
  </si>
  <si>
    <t>ZA Le Puech 12000 Le monastère</t>
  </si>
  <si>
    <t>06 83 04 36 58</t>
  </si>
  <si>
    <t>05 65 42 86 39</t>
  </si>
  <si>
    <t>M. ROUALDES</t>
  </si>
  <si>
    <t>Lot désamiantage</t>
  </si>
  <si>
    <t>SARL ROUALDES</t>
  </si>
  <si>
    <t>54 rue de la mécanique BP18 - Ausillon 81201 MAZAMET cédex</t>
  </si>
  <si>
    <t>05 63 98 98 29</t>
  </si>
  <si>
    <t>05 63 61 14 55</t>
  </si>
  <si>
    <t>Mme FERRET</t>
  </si>
  <si>
    <t>Lot pont roulant</t>
  </si>
  <si>
    <t>Ets Meije SARL</t>
  </si>
  <si>
    <t>06 24 98 14 21</t>
  </si>
  <si>
    <t>M. BARBET</t>
  </si>
  <si>
    <t>Lot portail sectionnel</t>
  </si>
  <si>
    <t>GUNTHER</t>
  </si>
  <si>
    <t>BP 7 12600 MUR DE BARREZ</t>
  </si>
  <si>
    <t>06 77 05 68 57</t>
  </si>
  <si>
    <t>05 65 66 07 84</t>
  </si>
  <si>
    <t>M. LATTES     M. TOUROLLES</t>
  </si>
  <si>
    <t>Lot charpente / couverture / Bardage</t>
  </si>
  <si>
    <t>SORECO</t>
  </si>
  <si>
    <t>12420 Sainte Geneviève sur Argence</t>
  </si>
  <si>
    <t>06 85 22 65 40</t>
  </si>
  <si>
    <t>M. BES</t>
  </si>
  <si>
    <t>Gros-Oeuvre</t>
  </si>
  <si>
    <t>BES maçonnerie</t>
  </si>
  <si>
    <t>12600 MUR DE BARREZ</t>
  </si>
  <si>
    <t>05 65 66 21 00</t>
  </si>
  <si>
    <t xml:space="preserve">05 65 66 04 32 </t>
  </si>
  <si>
    <t>M. SOULENQ</t>
  </si>
  <si>
    <t>Terrassement</t>
  </si>
  <si>
    <t>SOULENQ Tp</t>
  </si>
  <si>
    <t>35 chemin de Prignolles 12100 MILLAU</t>
  </si>
  <si>
    <t>M. CAUSSE</t>
  </si>
  <si>
    <t>Maitre d'œuvre</t>
  </si>
  <si>
    <t>EURO 12 CONSTRUCTION</t>
  </si>
  <si>
    <t>Route des Bessières 12420 SAINTE GENEVIEVE SUR ARGENCE</t>
  </si>
  <si>
    <t>M. MOULIAC</t>
  </si>
  <si>
    <t>Maître d'ouvrage</t>
  </si>
  <si>
    <t>SARL MOULIAC ET fils</t>
  </si>
  <si>
    <t>Fax</t>
  </si>
  <si>
    <t>Telephonne</t>
  </si>
  <si>
    <t>Représentant</t>
  </si>
  <si>
    <t>Lot</t>
  </si>
  <si>
    <t>N° fournisseur</t>
  </si>
  <si>
    <t>Base de données Fournisseurs</t>
  </si>
  <si>
    <t>Clients</t>
  </si>
  <si>
    <t>N° clients</t>
  </si>
  <si>
    <t>Base de données Facture fournisseurs</t>
  </si>
  <si>
    <t xml:space="preserve">Maxime </t>
  </si>
  <si>
    <t>Mégane</t>
  </si>
  <si>
    <t>Margaux</t>
  </si>
  <si>
    <t>Astrid</t>
  </si>
  <si>
    <t>Valet</t>
  </si>
  <si>
    <t>Meggy</t>
  </si>
  <si>
    <t>Gomar</t>
  </si>
  <si>
    <t xml:space="preserve">Numéro client </t>
  </si>
  <si>
    <t xml:space="preserve">Montant Initial </t>
  </si>
  <si>
    <t xml:space="preserve">Date devis </t>
  </si>
  <si>
    <t xml:space="preserve">Numéro devis </t>
  </si>
  <si>
    <t xml:space="preserve">N° facture </t>
  </si>
  <si>
    <t xml:space="preserve">Date </t>
  </si>
  <si>
    <t xml:space="preserve">N°client </t>
  </si>
  <si>
    <t xml:space="preserve">Nom affaire </t>
  </si>
  <si>
    <t xml:space="preserve">Montant HT </t>
  </si>
  <si>
    <t xml:space="preserve">Taux TVA </t>
  </si>
  <si>
    <t xml:space="preserve">Montant TTC </t>
  </si>
  <si>
    <t xml:space="preserve">Reste à payer </t>
  </si>
  <si>
    <t xml:space="preserve">Date d'échéance </t>
  </si>
  <si>
    <t xml:space="preserve">Relance </t>
  </si>
  <si>
    <t xml:space="preserve">FACTURE </t>
  </si>
  <si>
    <t xml:space="preserve">Type de client </t>
  </si>
  <si>
    <t xml:space="preserve">Montant réglé </t>
  </si>
  <si>
    <t>Honoraire</t>
  </si>
  <si>
    <t xml:space="preserve">Astrid </t>
  </si>
  <si>
    <t xml:space="preserve">BRAS </t>
  </si>
  <si>
    <t xml:space="preserve">EURL ASTRID </t>
  </si>
  <si>
    <t xml:space="preserve">SARL LAFON </t>
  </si>
  <si>
    <t>SAS POUGET</t>
  </si>
  <si>
    <t>Téléphone</t>
  </si>
  <si>
    <t>Mail</t>
  </si>
  <si>
    <t>Ville</t>
  </si>
  <si>
    <t>CP</t>
  </si>
  <si>
    <t>Prénom</t>
  </si>
  <si>
    <t>Nom</t>
  </si>
  <si>
    <t xml:space="preserve">Dénomination Sociale </t>
  </si>
  <si>
    <t>SARL MEGANE</t>
  </si>
  <si>
    <t>BALITRAND</t>
  </si>
  <si>
    <t xml:space="preserve">Mégane </t>
  </si>
  <si>
    <t xml:space="preserve">5 Av des Roses </t>
  </si>
  <si>
    <t>POUGET</t>
  </si>
  <si>
    <t xml:space="preserve">Valentin </t>
  </si>
  <si>
    <t xml:space="preserve">Labordes </t>
  </si>
  <si>
    <t xml:space="preserve">Pruines </t>
  </si>
  <si>
    <t xml:space="preserve">LAFON </t>
  </si>
  <si>
    <t xml:space="preserve">2 Rue des Lilas </t>
  </si>
  <si>
    <t xml:space="preserve">Aurillac </t>
  </si>
  <si>
    <t xml:space="preserve">SAS MARGAUX </t>
  </si>
  <si>
    <t xml:space="preserve">RAMADIER </t>
  </si>
  <si>
    <t xml:space="preserve">Margaux </t>
  </si>
  <si>
    <t xml:space="preserve">Altayrac </t>
  </si>
  <si>
    <t xml:space="preserve">Chastel-Nouvel </t>
  </si>
  <si>
    <t xml:space="preserve">Rte des Champs </t>
  </si>
  <si>
    <t xml:space="preserve">Laguiole </t>
  </si>
  <si>
    <t xml:space="preserve">CCI </t>
  </si>
  <si>
    <t xml:space="preserve">Patrice </t>
  </si>
  <si>
    <t xml:space="preserve">17 Rue Aristide </t>
  </si>
  <si>
    <t xml:space="preserve">Rodez </t>
  </si>
  <si>
    <t>Mende</t>
  </si>
  <si>
    <t xml:space="preserve">Menu du Gestionnaire de Facturation </t>
  </si>
  <si>
    <t>M -03-16-003</t>
  </si>
  <si>
    <t xml:space="preserve">BDD Facture clients </t>
  </si>
  <si>
    <t xml:space="preserve">Nom Affaire </t>
  </si>
  <si>
    <t xml:space="preserve">Date reception </t>
  </si>
  <si>
    <t xml:space="preserve"> </t>
  </si>
  <si>
    <t>M -03-16-004</t>
  </si>
  <si>
    <t>M -03-16-005</t>
  </si>
  <si>
    <t>M -03-16-006</t>
  </si>
  <si>
    <t xml:space="preserve">Réglé le </t>
  </si>
  <si>
    <t xml:space="preserve">Différence entre la date du jour et la date d'échéance </t>
  </si>
  <si>
    <t xml:space="preserve">Achèvement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</si>
</sst>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0.0%"/>
    <numFmt numFmtId="166" formatCode="dd\ mm\ yy"/>
    <numFmt numFmtId="167" formatCode="0#&quot; &quot;##&quot; &quot;##&quot; &quot;##&quot; &quot;##"/>
  </numFmts>
  <fonts count="3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8"/>
      <name val="Arial Narrow"/>
      <family val="2"/>
    </font>
    <font>
      <u/>
      <sz val="10"/>
      <color indexed="12"/>
      <name val="Arial"/>
      <family val="2"/>
    </font>
    <font>
      <sz val="8"/>
      <name val="Tahoma"/>
      <family val="2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Arial Rounded MT Bold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8">
    <xf numFmtId="0" fontId="0" fillId="0" borderId="0"/>
    <xf numFmtId="9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164" fontId="23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5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9" fillId="0" borderId="0"/>
  </cellStyleXfs>
  <cellXfs count="173">
    <xf numFmtId="0" fontId="0" fillId="0" borderId="0" xfId="0"/>
    <xf numFmtId="0" fontId="10" fillId="0" borderId="0" xfId="0" applyFont="1"/>
    <xf numFmtId="0" fontId="0" fillId="0" borderId="0" xfId="0" applyBorder="1"/>
    <xf numFmtId="9" fontId="0" fillId="0" borderId="0" xfId="0" applyNumberFormat="1"/>
    <xf numFmtId="14" fontId="0" fillId="0" borderId="0" xfId="0" applyNumberFormat="1"/>
    <xf numFmtId="10" fontId="0" fillId="0" borderId="0" xfId="0" applyNumberFormat="1"/>
    <xf numFmtId="0" fontId="0" fillId="0" borderId="0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14" fillId="0" borderId="5" xfId="0" applyFont="1" applyBorder="1" applyAlignment="1">
      <alignment horizontal="centerContinuous"/>
    </xf>
    <xf numFmtId="0" fontId="17" fillId="0" borderId="4" xfId="0" applyFont="1" applyBorder="1" applyAlignment="1">
      <alignment horizontal="centerContinuous"/>
    </xf>
    <xf numFmtId="0" fontId="17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9" fontId="15" fillId="0" borderId="0" xfId="0" applyNumberFormat="1" applyFont="1"/>
    <xf numFmtId="9" fontId="15" fillId="0" borderId="0" xfId="1" applyNumberFormat="1" applyFont="1"/>
    <xf numFmtId="0" fontId="10" fillId="0" borderId="9" xfId="0" applyFont="1" applyBorder="1"/>
    <xf numFmtId="164" fontId="0" fillId="0" borderId="0" xfId="0" applyNumberFormat="1"/>
    <xf numFmtId="0" fontId="8" fillId="0" borderId="0" xfId="5"/>
    <xf numFmtId="0" fontId="8" fillId="0" borderId="1" xfId="5" applyBorder="1"/>
    <xf numFmtId="0" fontId="8" fillId="0" borderId="11" xfId="5" applyBorder="1"/>
    <xf numFmtId="164" fontId="0" fillId="0" borderId="11" xfId="7" applyFont="1" applyBorder="1"/>
    <xf numFmtId="14" fontId="8" fillId="0" borderId="11" xfId="5" applyNumberFormat="1" applyBorder="1"/>
    <xf numFmtId="0" fontId="8" fillId="0" borderId="3" xfId="5" applyBorder="1"/>
    <xf numFmtId="0" fontId="8" fillId="2" borderId="6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8" fillId="4" borderId="12" xfId="5" applyFill="1" applyBorder="1" applyAlignment="1">
      <alignment horizontal="centerContinuous" vertical="center"/>
    </xf>
    <xf numFmtId="0" fontId="8" fillId="4" borderId="13" xfId="5" applyFill="1" applyBorder="1" applyAlignment="1">
      <alignment horizontal="centerContinuous" vertical="center"/>
    </xf>
    <xf numFmtId="0" fontId="24" fillId="4" borderId="9" xfId="5" applyFont="1" applyFill="1" applyBorder="1" applyAlignment="1">
      <alignment horizontal="centerContinuous" vertical="center"/>
    </xf>
    <xf numFmtId="9" fontId="22" fillId="3" borderId="9" xfId="5" applyNumberFormat="1" applyFont="1" applyFill="1" applyBorder="1" applyAlignment="1">
      <alignment horizontal="center" vertical="center"/>
    </xf>
    <xf numFmtId="0" fontId="22" fillId="3" borderId="9" xfId="5" applyFont="1" applyFill="1" applyBorder="1" applyAlignment="1">
      <alignment horizontal="center" vertical="center"/>
    </xf>
    <xf numFmtId="9" fontId="0" fillId="0" borderId="9" xfId="8" applyFont="1" applyBorder="1" applyAlignment="1">
      <alignment horizontal="center" vertical="center"/>
    </xf>
    <xf numFmtId="0" fontId="8" fillId="0" borderId="9" xfId="5" applyBorder="1" applyAlignment="1">
      <alignment horizontal="center" vertical="center"/>
    </xf>
    <xf numFmtId="0" fontId="8" fillId="0" borderId="9" xfId="5" applyBorder="1" applyAlignment="1">
      <alignment horizontal="center" vertical="center" wrapText="1"/>
    </xf>
    <xf numFmtId="0" fontId="20" fillId="2" borderId="9" xfId="5" applyFont="1" applyFill="1" applyBorder="1" applyAlignment="1">
      <alignment horizontal="center" vertical="center"/>
    </xf>
    <xf numFmtId="0" fontId="8" fillId="0" borderId="11" xfId="5" applyNumberFormat="1" applyBorder="1"/>
    <xf numFmtId="14" fontId="21" fillId="0" borderId="9" xfId="5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 wrapText="1"/>
    </xf>
    <xf numFmtId="0" fontId="25" fillId="0" borderId="16" xfId="5" applyFont="1" applyBorder="1" applyAlignment="1">
      <alignment horizontal="center" vertical="center" wrapText="1"/>
    </xf>
    <xf numFmtId="167" fontId="25" fillId="0" borderId="16" xfId="5" applyNumberFormat="1" applyFont="1" applyBorder="1" applyAlignment="1">
      <alignment horizontal="center" vertical="center" wrapText="1"/>
    </xf>
    <xf numFmtId="0" fontId="25" fillId="5" borderId="17" xfId="5" applyFont="1" applyFill="1" applyBorder="1" applyAlignment="1">
      <alignment horizontal="center" vertical="center" wrapText="1"/>
    </xf>
    <xf numFmtId="0" fontId="25" fillId="0" borderId="17" xfId="5" applyFont="1" applyBorder="1" applyAlignment="1">
      <alignment horizontal="center" vertical="center" wrapText="1"/>
    </xf>
    <xf numFmtId="0" fontId="25" fillId="5" borderId="18" xfId="5" applyFont="1" applyFill="1" applyBorder="1" applyAlignment="1">
      <alignment horizontal="center" vertical="center" wrapText="1"/>
    </xf>
    <xf numFmtId="0" fontId="25" fillId="0" borderId="16" xfId="5" applyNumberFormat="1" applyFont="1" applyBorder="1" applyAlignment="1">
      <alignment horizontal="center" vertical="center" wrapText="1"/>
    </xf>
    <xf numFmtId="0" fontId="26" fillId="0" borderId="16" xfId="9" applyBorder="1" applyAlignment="1" applyProtection="1">
      <alignment horizontal="center" vertical="center" wrapText="1"/>
    </xf>
    <xf numFmtId="0" fontId="25" fillId="0" borderId="19" xfId="5" applyNumberFormat="1" applyFont="1" applyBorder="1" applyAlignment="1">
      <alignment horizontal="center" vertical="center" wrapText="1"/>
    </xf>
    <xf numFmtId="167" fontId="25" fillId="0" borderId="19" xfId="5" applyNumberFormat="1" applyFont="1" applyBorder="1" applyAlignment="1">
      <alignment horizontal="center" vertical="center" wrapText="1"/>
    </xf>
    <xf numFmtId="0" fontId="25" fillId="0" borderId="19" xfId="5" applyFont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/>
    </xf>
    <xf numFmtId="0" fontId="20" fillId="0" borderId="10" xfId="5" applyFont="1" applyFill="1" applyBorder="1" applyAlignment="1">
      <alignment horizontal="center" vertical="center"/>
    </xf>
    <xf numFmtId="0" fontId="20" fillId="0" borderId="10" xfId="5" applyFont="1" applyBorder="1" applyAlignment="1">
      <alignment horizontal="center" vertical="center"/>
    </xf>
    <xf numFmtId="0" fontId="20" fillId="0" borderId="10" xfId="5" applyFont="1" applyBorder="1" applyAlignment="1">
      <alignment horizontal="center" vertical="center" wrapText="1"/>
    </xf>
    <xf numFmtId="0" fontId="20" fillId="0" borderId="8" xfId="5" applyFont="1" applyBorder="1" applyAlignment="1">
      <alignment horizontal="center" vertical="center" wrapText="1"/>
    </xf>
    <xf numFmtId="0" fontId="21" fillId="0" borderId="9" xfId="5" applyFont="1" applyBorder="1" applyAlignment="1">
      <alignment horizontal="center" vertical="center" wrapText="1"/>
    </xf>
    <xf numFmtId="0" fontId="20" fillId="0" borderId="0" xfId="5" applyFont="1"/>
    <xf numFmtId="0" fontId="8" fillId="0" borderId="10" xfId="5" applyFont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8" xfId="5" applyBorder="1" applyAlignment="1">
      <alignment horizontal="center" vertical="center"/>
    </xf>
    <xf numFmtId="0" fontId="8" fillId="4" borderId="9" xfId="5" applyFill="1" applyBorder="1"/>
    <xf numFmtId="0" fontId="8" fillId="4" borderId="14" xfId="5" applyFill="1" applyBorder="1"/>
    <xf numFmtId="164" fontId="8" fillId="0" borderId="11" xfId="4" applyFont="1" applyBorder="1"/>
    <xf numFmtId="0" fontId="0" fillId="2" borderId="10" xfId="5" applyFont="1" applyFill="1" applyBorder="1" applyAlignment="1">
      <alignment horizontal="center" vertical="center"/>
    </xf>
    <xf numFmtId="0" fontId="0" fillId="2" borderId="10" xfId="5" applyFont="1" applyFill="1" applyBorder="1" applyAlignment="1">
      <alignment horizontal="center" vertical="center" wrapText="1"/>
    </xf>
    <xf numFmtId="0" fontId="0" fillId="2" borderId="8" xfId="5" applyFont="1" applyFill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0" xfId="5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164" fontId="0" fillId="0" borderId="5" xfId="4" applyFont="1" applyBorder="1"/>
    <xf numFmtId="164" fontId="0" fillId="0" borderId="8" xfId="4" applyFont="1" applyBorder="1"/>
    <xf numFmtId="0" fontId="10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8" fillId="6" borderId="9" xfId="5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0" borderId="4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5" xfId="0" applyFont="1" applyBorder="1" applyAlignment="1">
      <alignment horizontal="centerContinuous"/>
    </xf>
    <xf numFmtId="0" fontId="0" fillId="0" borderId="2" xfId="0" applyBorder="1"/>
    <xf numFmtId="0" fontId="0" fillId="0" borderId="3" xfId="0" applyBorder="1"/>
    <xf numFmtId="0" fontId="10" fillId="0" borderId="0" xfId="0" applyFont="1" applyBorder="1" applyAlignment="1">
      <alignment horizontal="center"/>
    </xf>
    <xf numFmtId="166" fontId="0" fillId="0" borderId="0" xfId="0" applyNumberFormat="1" applyBorder="1"/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14" fontId="0" fillId="0" borderId="5" xfId="0" applyNumberFormat="1" applyBorder="1"/>
    <xf numFmtId="0" fontId="10" fillId="0" borderId="0" xfId="0" applyFont="1" applyBorder="1"/>
    <xf numFmtId="164" fontId="0" fillId="0" borderId="0" xfId="4" applyFont="1" applyBorder="1"/>
    <xf numFmtId="0" fontId="14" fillId="0" borderId="1" xfId="0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164" fontId="0" fillId="0" borderId="9" xfId="4" applyFont="1" applyBorder="1"/>
    <xf numFmtId="165" fontId="0" fillId="0" borderId="9" xfId="1" applyNumberFormat="1" applyFont="1" applyBorder="1"/>
    <xf numFmtId="9" fontId="0" fillId="0" borderId="7" xfId="0" applyNumberFormat="1" applyBorder="1"/>
    <xf numFmtId="0" fontId="19" fillId="0" borderId="2" xfId="0" applyFont="1" applyBorder="1"/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14" fontId="0" fillId="0" borderId="8" xfId="0" applyNumberFormat="1" applyBorder="1"/>
    <xf numFmtId="164" fontId="0" fillId="0" borderId="0" xfId="4" applyFont="1"/>
    <xf numFmtId="0" fontId="29" fillId="0" borderId="1" xfId="0" applyFont="1" applyBorder="1"/>
    <xf numFmtId="14" fontId="0" fillId="0" borderId="0" xfId="0" applyNumberFormat="1" applyBorder="1"/>
    <xf numFmtId="9" fontId="0" fillId="0" borderId="0" xfId="1" applyFont="1"/>
    <xf numFmtId="14" fontId="7" fillId="0" borderId="0" xfId="5" applyNumberFormat="1" applyFont="1" applyAlignment="1">
      <alignment horizontal="center" vertical="center"/>
    </xf>
    <xf numFmtId="164" fontId="7" fillId="0" borderId="0" xfId="4" applyFont="1" applyAlignment="1">
      <alignment horizontal="center" vertical="center"/>
    </xf>
    <xf numFmtId="164" fontId="6" fillId="0" borderId="0" xfId="4" applyFont="1" applyAlignment="1">
      <alignment horizontal="center" vertical="center"/>
    </xf>
    <xf numFmtId="9" fontId="7" fillId="0" borderId="0" xfId="1" applyFont="1" applyAlignment="1">
      <alignment horizontal="center" vertical="center"/>
    </xf>
    <xf numFmtId="0" fontId="30" fillId="0" borderId="3" xfId="0" applyNumberFormat="1" applyFont="1" applyBorder="1"/>
    <xf numFmtId="166" fontId="30" fillId="0" borderId="8" xfId="0" applyNumberFormat="1" applyFont="1" applyBorder="1"/>
    <xf numFmtId="0" fontId="4" fillId="0" borderId="0" xfId="12"/>
    <xf numFmtId="0" fontId="4" fillId="0" borderId="0" xfId="14"/>
    <xf numFmtId="0" fontId="9" fillId="0" borderId="0" xfId="17"/>
    <xf numFmtId="0" fontId="4" fillId="0" borderId="1" xfId="14" applyFont="1" applyBorder="1"/>
    <xf numFmtId="167" fontId="4" fillId="0" borderId="11" xfId="14" applyNumberFormat="1" applyFont="1" applyBorder="1"/>
    <xf numFmtId="0" fontId="4" fillId="0" borderId="11" xfId="14" applyFont="1" applyBorder="1"/>
    <xf numFmtId="164" fontId="4" fillId="0" borderId="11" xfId="14" applyNumberFormat="1" applyFont="1" applyBorder="1"/>
    <xf numFmtId="0" fontId="4" fillId="0" borderId="3" xfId="14" applyFont="1" applyBorder="1"/>
    <xf numFmtId="0" fontId="20" fillId="2" borderId="6" xfId="14" applyFont="1" applyFill="1" applyBorder="1" applyAlignment="1">
      <alignment horizontal="center" vertical="center"/>
    </xf>
    <xf numFmtId="0" fontId="20" fillId="2" borderId="10" xfId="14" applyFont="1" applyFill="1" applyBorder="1" applyAlignment="1">
      <alignment horizontal="center" vertical="center" wrapText="1"/>
    </xf>
    <xf numFmtId="0" fontId="20" fillId="2" borderId="10" xfId="14" applyFont="1" applyFill="1" applyBorder="1" applyAlignment="1">
      <alignment horizontal="center" vertical="center"/>
    </xf>
    <xf numFmtId="0" fontId="20" fillId="2" borderId="8" xfId="14" applyFont="1" applyFill="1" applyBorder="1" applyAlignment="1">
      <alignment horizontal="center" vertical="center"/>
    </xf>
    <xf numFmtId="0" fontId="4" fillId="0" borderId="3" xfId="5" applyFont="1" applyFill="1" applyBorder="1"/>
    <xf numFmtId="14" fontId="4" fillId="0" borderId="11" xfId="14" applyNumberFormat="1" applyFont="1" applyBorder="1"/>
    <xf numFmtId="0" fontId="4" fillId="0" borderId="3" xfId="17" applyFont="1" applyBorder="1"/>
    <xf numFmtId="0" fontId="4" fillId="0" borderId="3" xfId="14" applyFont="1" applyFill="1" applyBorder="1"/>
    <xf numFmtId="14" fontId="4" fillId="0" borderId="11" xfId="17" applyNumberFormat="1" applyFont="1" applyBorder="1"/>
    <xf numFmtId="164" fontId="4" fillId="0" borderId="11" xfId="17" applyNumberFormat="1" applyFont="1" applyBorder="1"/>
    <xf numFmtId="0" fontId="4" fillId="0" borderId="11" xfId="17" applyFont="1" applyBorder="1"/>
    <xf numFmtId="167" fontId="4" fillId="0" borderId="11" xfId="17" applyNumberFormat="1" applyFont="1" applyBorder="1"/>
    <xf numFmtId="0" fontId="4" fillId="0" borderId="1" xfId="17" applyFont="1" applyBorder="1"/>
    <xf numFmtId="0" fontId="4" fillId="0" borderId="3" xfId="0" applyFont="1" applyBorder="1"/>
    <xf numFmtId="14" fontId="4" fillId="0" borderId="11" xfId="0" applyNumberFormat="1" applyFont="1" applyBorder="1"/>
    <xf numFmtId="164" fontId="4" fillId="0" borderId="11" xfId="0" applyNumberFormat="1" applyFont="1" applyBorder="1"/>
    <xf numFmtId="0" fontId="4" fillId="0" borderId="11" xfId="0" applyFont="1" applyBorder="1"/>
    <xf numFmtId="167" fontId="4" fillId="0" borderId="11" xfId="0" applyNumberFormat="1" applyFont="1" applyBorder="1"/>
    <xf numFmtId="0" fontId="4" fillId="0" borderId="1" xfId="0" applyFont="1" applyBorder="1"/>
    <xf numFmtId="14" fontId="0" fillId="0" borderId="7" xfId="0" applyNumberFormat="1" applyBorder="1"/>
    <xf numFmtId="164" fontId="0" fillId="0" borderId="7" xfId="4" applyFont="1" applyBorder="1"/>
    <xf numFmtId="0" fontId="8" fillId="0" borderId="2" xfId="5" applyBorder="1"/>
    <xf numFmtId="0" fontId="31" fillId="0" borderId="4" xfId="5" applyFont="1" applyBorder="1" applyAlignment="1">
      <alignment horizontal="centerContinuous"/>
    </xf>
    <xf numFmtId="0" fontId="31" fillId="0" borderId="0" xfId="5" applyFont="1" applyBorder="1" applyAlignment="1">
      <alignment horizontal="centerContinuous"/>
    </xf>
    <xf numFmtId="0" fontId="8" fillId="0" borderId="5" xfId="5" applyBorder="1"/>
    <xf numFmtId="0" fontId="8" fillId="0" borderId="4" xfId="5" applyBorder="1"/>
    <xf numFmtId="0" fontId="8" fillId="0" borderId="0" xfId="5" applyBorder="1"/>
    <xf numFmtId="0" fontId="8" fillId="0" borderId="6" xfId="5" applyBorder="1"/>
    <xf numFmtId="0" fontId="8" fillId="0" borderId="7" xfId="5" applyBorder="1"/>
    <xf numFmtId="0" fontId="10" fillId="0" borderId="7" xfId="0" applyFont="1" applyBorder="1" applyAlignment="1">
      <alignment horizontal="center"/>
    </xf>
    <xf numFmtId="166" fontId="0" fillId="0" borderId="7" xfId="0" applyNumberFormat="1" applyBorder="1"/>
    <xf numFmtId="0" fontId="8" fillId="0" borderId="8" xfId="5" applyBorder="1"/>
    <xf numFmtId="0" fontId="14" fillId="0" borderId="0" xfId="5" applyFont="1" applyAlignment="1">
      <alignment horizontal="centerContinuous"/>
    </xf>
    <xf numFmtId="0" fontId="14" fillId="0" borderId="0" xfId="0" applyFont="1" applyAlignment="1">
      <alignment horizontal="centerContinuous"/>
    </xf>
    <xf numFmtId="14" fontId="0" fillId="0" borderId="0" xfId="4" applyNumberFormat="1" applyFont="1"/>
    <xf numFmtId="0" fontId="3" fillId="0" borderId="10" xfId="5" applyFont="1" applyBorder="1" applyAlignment="1">
      <alignment horizontal="center" vertical="center"/>
    </xf>
    <xf numFmtId="0" fontId="3" fillId="0" borderId="10" xfId="5" applyFont="1" applyBorder="1" applyAlignment="1">
      <alignment horizontal="center" vertical="center" wrapText="1"/>
    </xf>
    <xf numFmtId="0" fontId="3" fillId="0" borderId="6" xfId="5" applyFont="1" applyFill="1" applyBorder="1" applyAlignment="1">
      <alignment horizontal="center" vertical="center"/>
    </xf>
    <xf numFmtId="0" fontId="8" fillId="4" borderId="0" xfId="5" applyFill="1" applyBorder="1"/>
    <xf numFmtId="0" fontId="0" fillId="0" borderId="0" xfId="0" applyNumberFormat="1" applyBorder="1"/>
    <xf numFmtId="164" fontId="7" fillId="0" borderId="0" xfId="4" applyFont="1" applyBorder="1"/>
    <xf numFmtId="0" fontId="0" fillId="0" borderId="1" xfId="0" applyBorder="1"/>
    <xf numFmtId="14" fontId="2" fillId="0" borderId="0" xfId="5" applyNumberFormat="1" applyFont="1" applyAlignment="1">
      <alignment horizontal="center" vertical="center"/>
    </xf>
    <xf numFmtId="0" fontId="0" fillId="0" borderId="0" xfId="0" applyNumberFormat="1"/>
    <xf numFmtId="0" fontId="1" fillId="0" borderId="0" xfId="5" applyFont="1" applyAlignment="1">
      <alignment horizontal="center" vertical="center"/>
    </xf>
    <xf numFmtId="0" fontId="32" fillId="0" borderId="0" xfId="0" applyFont="1"/>
    <xf numFmtId="14" fontId="32" fillId="0" borderId="0" xfId="0" applyNumberFormat="1" applyFont="1"/>
    <xf numFmtId="164" fontId="32" fillId="0" borderId="0" xfId="4" applyFont="1"/>
    <xf numFmtId="0" fontId="10" fillId="0" borderId="14" xfId="0" applyFont="1" applyBorder="1" applyAlignment="1">
      <alignment horizontal="centerContinuous"/>
    </xf>
    <xf numFmtId="0" fontId="10" fillId="0" borderId="13" xfId="0" applyFont="1" applyBorder="1" applyAlignment="1">
      <alignment horizontal="centerContinuous"/>
    </xf>
    <xf numFmtId="0" fontId="28" fillId="6" borderId="10" xfId="5" applyFont="1" applyFill="1" applyBorder="1" applyAlignment="1">
      <alignment horizontal="center" vertical="center"/>
    </xf>
    <xf numFmtId="0" fontId="0" fillId="0" borderId="12" xfId="0" applyBorder="1" applyAlignment="1">
      <alignment horizontal="centerContinuous"/>
    </xf>
  </cellXfs>
  <cellStyles count="18">
    <cellStyle name="Euro" xfId="6"/>
    <cellStyle name="Lien hypertexte" xfId="2" builtinId="8" hidden="1"/>
    <cellStyle name="Lien hypertexte" xfId="9" builtinId="8"/>
    <cellStyle name="Lien hypertexte visité" xfId="3" builtinId="9" hidden="1"/>
    <cellStyle name="Monétaire" xfId="4" builtinId="4"/>
    <cellStyle name="Monétaire 2" xfId="7"/>
    <cellStyle name="Monétaire 3" xfId="13"/>
    <cellStyle name="Normal" xfId="0" builtinId="0"/>
    <cellStyle name="Normal 2" xfId="5"/>
    <cellStyle name="Normal 2 2" xfId="10"/>
    <cellStyle name="Normal 2 3" xfId="14"/>
    <cellStyle name="Normal 3" xfId="11"/>
    <cellStyle name="Normal 3 2" xfId="12"/>
    <cellStyle name="Normal 3 3" xfId="17"/>
    <cellStyle name="Normal 4" xfId="16"/>
    <cellStyle name="Pourcentage" xfId="1" builtinId="5"/>
    <cellStyle name="Pourcentage 2" xfId="8"/>
    <cellStyle name="Pourcentage 3" xfId="15"/>
  </cellStyles>
  <dxfs count="58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9" formatCode="dd/mm/yyyy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167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167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169" formatCode="dd/mm/yyyy"/>
    </dxf>
    <dxf>
      <numFmt numFmtId="16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4" formatCode="_-* #,##0.00\ &quot;€&quot;_-;\-* #,##0.00\ &quot;€&quot;_-;_-* &quot;-&quot;??\ &quot;€&quot;_-;_-@_-"/>
    </dxf>
    <dxf>
      <numFmt numFmtId="0" formatCode="General"/>
    </dxf>
    <dxf>
      <numFmt numFmtId="166" formatCode="dd\ mm\ 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hyperlink" Target="#'BDD Affaire Honoraires'!A1"/><Relationship Id="rId12" Type="http://schemas.openxmlformats.org/officeDocument/2006/relationships/hyperlink" Target="#'BDD lot,avenant,affaire'!A1"/><Relationship Id="rId13" Type="http://schemas.openxmlformats.org/officeDocument/2006/relationships/hyperlink" Target="#'Etape Honoraires'!A1"/><Relationship Id="rId1" Type="http://schemas.openxmlformats.org/officeDocument/2006/relationships/hyperlink" Target="#'BDD devis'!A1"/><Relationship Id="rId2" Type="http://schemas.openxmlformats.org/officeDocument/2006/relationships/hyperlink" Target="#'BDD clients'!A1"/><Relationship Id="rId3" Type="http://schemas.openxmlformats.org/officeDocument/2006/relationships/hyperlink" Target="#Etapes"/><Relationship Id="rId4" Type="http://schemas.openxmlformats.org/officeDocument/2006/relationships/hyperlink" Target="#'BDD facture clients'!A1"/><Relationship Id="rId5" Type="http://schemas.openxmlformats.org/officeDocument/2006/relationships/hyperlink" Target="#'BDD fournisseurs'!A1"/><Relationship Id="rId6" Type="http://schemas.openxmlformats.org/officeDocument/2006/relationships/hyperlink" Target="#'BDD facture fournisseurs'!A1"/><Relationship Id="rId7" Type="http://schemas.openxmlformats.org/officeDocument/2006/relationships/image" Target="../media/image1.emf"/><Relationship Id="rId8" Type="http://schemas.openxmlformats.org/officeDocument/2006/relationships/image" Target="../media/image2.emf"/><Relationship Id="rId9" Type="http://schemas.openxmlformats.org/officeDocument/2006/relationships/hyperlink" Target="#Facture!A1"/><Relationship Id="rId10" Type="http://schemas.openxmlformats.org/officeDocument/2006/relationships/hyperlink" Target="#'BDD Facture Affair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emf"/><Relationship Id="rId3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certificat de paiement'!A1"/><Relationship Id="rId2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152400</xdr:colOff>
      <xdr:row>6</xdr:row>
      <xdr:rowOff>123825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9525" y="79057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Devis</a:t>
          </a:r>
        </a:p>
      </xdr:txBody>
    </xdr:sp>
    <xdr:clientData/>
  </xdr:twoCellAnchor>
  <xdr:twoCellAnchor>
    <xdr:from>
      <xdr:col>5</xdr:col>
      <xdr:colOff>9525</xdr:colOff>
      <xdr:row>3</xdr:row>
      <xdr:rowOff>28575</xdr:rowOff>
    </xdr:from>
    <xdr:to>
      <xdr:col>7</xdr:col>
      <xdr:colOff>152400</xdr:colOff>
      <xdr:row>6</xdr:row>
      <xdr:rowOff>123825</xdr:rowOff>
    </xdr:to>
    <xdr:sp macro="" textlink="">
      <xdr:nvSpPr>
        <xdr:cNvPr id="3" name="Pentagone 2">
          <a:hlinkClick xmlns:r="http://schemas.openxmlformats.org/officeDocument/2006/relationships" r:id="rId2"/>
        </xdr:cNvPr>
        <xdr:cNvSpPr/>
      </xdr:nvSpPr>
      <xdr:spPr>
        <a:xfrm>
          <a:off x="3362325" y="1381125"/>
          <a:ext cx="18192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Clients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3</xdr:col>
      <xdr:colOff>142875</xdr:colOff>
      <xdr:row>11</xdr:row>
      <xdr:rowOff>104775</xdr:rowOff>
    </xdr:to>
    <xdr:sp macro="" textlink="">
      <xdr:nvSpPr>
        <xdr:cNvPr id="4" name="Pentagone 3">
          <a:hlinkClick xmlns:r="http://schemas.openxmlformats.org/officeDocument/2006/relationships" r:id="rId3"/>
        </xdr:cNvPr>
        <xdr:cNvSpPr/>
      </xdr:nvSpPr>
      <xdr:spPr>
        <a:xfrm>
          <a:off x="0" y="17240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</a:t>
          </a:r>
          <a:r>
            <a:rPr lang="fr-FR" sz="1400" b="0"/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projets</a:t>
          </a:r>
          <a:endParaRPr lang="fr-FR" sz="14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7</xdr:col>
      <xdr:colOff>152400</xdr:colOff>
      <xdr:row>11</xdr:row>
      <xdr:rowOff>95250</xdr:rowOff>
    </xdr:to>
    <xdr:sp macro="" textlink="">
      <xdr:nvSpPr>
        <xdr:cNvPr id="5" name="Pentagone 4">
          <a:hlinkClick xmlns:r="http://schemas.openxmlformats.org/officeDocument/2006/relationships" r:id="rId4"/>
        </xdr:cNvPr>
        <xdr:cNvSpPr/>
      </xdr:nvSpPr>
      <xdr:spPr>
        <a:xfrm>
          <a:off x="3057525" y="171450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>
              <a:ln>
                <a:noFill/>
              </a:ln>
            </a:rPr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clients</a:t>
          </a:r>
          <a:endParaRPr lang="fr-FR" sz="16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3</xdr:row>
      <xdr:rowOff>9525</xdr:rowOff>
    </xdr:from>
    <xdr:to>
      <xdr:col>11</xdr:col>
      <xdr:colOff>152400</xdr:colOff>
      <xdr:row>6</xdr:row>
      <xdr:rowOff>104775</xdr:rowOff>
    </xdr:to>
    <xdr:sp macro="" textlink="">
      <xdr:nvSpPr>
        <xdr:cNvPr id="6" name="Pentagone 5">
          <a:hlinkClick xmlns:r="http://schemas.openxmlformats.org/officeDocument/2006/relationships" r:id="rId5"/>
        </xdr:cNvPr>
        <xdr:cNvSpPr/>
      </xdr:nvSpPr>
      <xdr:spPr>
        <a:xfrm>
          <a:off x="6105525" y="7715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Fournisseurs</a:t>
          </a:r>
          <a:endParaRPr lang="fr-FR" sz="20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8</xdr:row>
      <xdr:rowOff>19050</xdr:rowOff>
    </xdr:from>
    <xdr:to>
      <xdr:col>11</xdr:col>
      <xdr:colOff>152400</xdr:colOff>
      <xdr:row>11</xdr:row>
      <xdr:rowOff>114300</xdr:rowOff>
    </xdr:to>
    <xdr:sp macro="" textlink="">
      <xdr:nvSpPr>
        <xdr:cNvPr id="7" name="Pentagone 6">
          <a:hlinkClick xmlns:r="http://schemas.openxmlformats.org/officeDocument/2006/relationships" r:id="rId6"/>
        </xdr:cNvPr>
        <xdr:cNvSpPr/>
      </xdr:nvSpPr>
      <xdr:spPr>
        <a:xfrm>
          <a:off x="6105525" y="173355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fournisseurs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609600</xdr:colOff>
      <xdr:row>0</xdr:row>
      <xdr:rowOff>104775</xdr:rowOff>
    </xdr:from>
    <xdr:to>
      <xdr:col>2</xdr:col>
      <xdr:colOff>66675</xdr:colOff>
      <xdr:row>2</xdr:row>
      <xdr:rowOff>123825</xdr:rowOff>
    </xdr:to>
    <xdr:pic>
      <xdr:nvPicPr>
        <xdr:cNvPr id="8" name="Image 7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09600" y="104775"/>
          <a:ext cx="295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</xdr:row>
      <xdr:rowOff>66675</xdr:rowOff>
    </xdr:from>
    <xdr:to>
      <xdr:col>3</xdr:col>
      <xdr:colOff>381000</xdr:colOff>
      <xdr:row>1</xdr:row>
      <xdr:rowOff>342900</xdr:rowOff>
    </xdr:to>
    <xdr:pic>
      <xdr:nvPicPr>
        <xdr:cNvPr id="9" name="Image 8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2975" y="257175"/>
          <a:ext cx="11144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381000</xdr:colOff>
      <xdr:row>0</xdr:row>
      <xdr:rowOff>123825</xdr:rowOff>
    </xdr:from>
    <xdr:to>
      <xdr:col>14</xdr:col>
      <xdr:colOff>57150</xdr:colOff>
      <xdr:row>2</xdr:row>
      <xdr:rowOff>342900</xdr:rowOff>
    </xdr:to>
    <xdr:sp macro="" textlink="">
      <xdr:nvSpPr>
        <xdr:cNvPr id="10" name="ZoneTexte 9"/>
        <xdr:cNvSpPr txBox="1"/>
      </xdr:nvSpPr>
      <xdr:spPr>
        <a:xfrm>
          <a:off x="8763000" y="123825"/>
          <a:ext cx="2190750" cy="771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8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/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  <a:endParaRPr lang="es-ES_tradnl" sz="800" b="1" baseline="0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800" b="1"/>
            <a:t>05 65 61</a:t>
          </a:r>
          <a:r>
            <a:rPr lang="es-ES_tradnl" sz="800" b="1" baseline="0"/>
            <a:t> </a:t>
          </a: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800" b="1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800" b="1" i="1"/>
            <a:t>euro12construction@orange.fr</a:t>
          </a:r>
        </a:p>
      </xdr:txBody>
    </xdr:sp>
    <xdr:clientData/>
  </xdr:twoCellAnchor>
  <xdr:twoCellAnchor>
    <xdr:from>
      <xdr:col>11</xdr:col>
      <xdr:colOff>819150</xdr:colOff>
      <xdr:row>3</xdr:row>
      <xdr:rowOff>9525</xdr:rowOff>
    </xdr:from>
    <xdr:to>
      <xdr:col>14</xdr:col>
      <xdr:colOff>123825</xdr:colOff>
      <xdr:row>6</xdr:row>
      <xdr:rowOff>104775</xdr:rowOff>
    </xdr:to>
    <xdr:sp macro="" textlink="">
      <xdr:nvSpPr>
        <xdr:cNvPr id="11" name="Pentagone 10">
          <a:hlinkClick xmlns:r="http://schemas.openxmlformats.org/officeDocument/2006/relationships" r:id="rId9"/>
        </xdr:cNvPr>
        <xdr:cNvSpPr/>
      </xdr:nvSpPr>
      <xdr:spPr>
        <a:xfrm>
          <a:off x="9201150" y="1362075"/>
          <a:ext cx="1819275" cy="666750"/>
        </a:xfrm>
        <a:prstGeom prst="homePlate">
          <a:avLst/>
        </a:prstGeom>
        <a:solidFill>
          <a:schemeClr val="bg1">
            <a:lumMod val="50000"/>
            <a:alpha val="9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une facture Maison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Individuelle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endParaRPr lang="fr-FR" sz="1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12</xdr:col>
      <xdr:colOff>0</xdr:colOff>
      <xdr:row>8</xdr:row>
      <xdr:rowOff>19050</xdr:rowOff>
    </xdr:from>
    <xdr:to>
      <xdr:col>14</xdr:col>
      <xdr:colOff>142875</xdr:colOff>
      <xdr:row>11</xdr:row>
      <xdr:rowOff>114300</xdr:rowOff>
    </xdr:to>
    <xdr:sp macro="" textlink="">
      <xdr:nvSpPr>
        <xdr:cNvPr id="12" name="Pentagone 11">
          <a:hlinkClick xmlns:r="http://schemas.openxmlformats.org/officeDocument/2006/relationships" r:id="rId10"/>
        </xdr:cNvPr>
        <xdr:cNvSpPr/>
      </xdr:nvSpPr>
      <xdr:spPr>
        <a:xfrm>
          <a:off x="9220200" y="23241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 une facture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Honoraires</a:t>
          </a:r>
          <a:endParaRPr lang="fr-FR" sz="1400" b="0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</xdr:col>
      <xdr:colOff>0</xdr:colOff>
      <xdr:row>13</xdr:row>
      <xdr:rowOff>28575</xdr:rowOff>
    </xdr:from>
    <xdr:to>
      <xdr:col>3</xdr:col>
      <xdr:colOff>142875</xdr:colOff>
      <xdr:row>16</xdr:row>
      <xdr:rowOff>123825</xdr:rowOff>
    </xdr:to>
    <xdr:sp macro="" textlink="">
      <xdr:nvSpPr>
        <xdr:cNvPr id="13" name="Pentagone 12">
          <a:hlinkClick xmlns:r="http://schemas.openxmlformats.org/officeDocument/2006/relationships" r:id="rId11"/>
        </xdr:cNvPr>
        <xdr:cNvSpPr/>
      </xdr:nvSpPr>
      <xdr:spPr>
        <a:xfrm>
          <a:off x="0" y="3286125"/>
          <a:ext cx="1819275" cy="666750"/>
        </a:xfrm>
        <a:prstGeom prst="homePlate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Affaires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828675</xdr:colOff>
      <xdr:row>13</xdr:row>
      <xdr:rowOff>19050</xdr:rowOff>
    </xdr:from>
    <xdr:to>
      <xdr:col>7</xdr:col>
      <xdr:colOff>133350</xdr:colOff>
      <xdr:row>16</xdr:row>
      <xdr:rowOff>114300</xdr:rowOff>
    </xdr:to>
    <xdr:sp macro="" textlink="">
      <xdr:nvSpPr>
        <xdr:cNvPr id="14" name="Pentagone 13">
          <a:hlinkClick xmlns:r="http://schemas.openxmlformats.org/officeDocument/2006/relationships" r:id="rId10"/>
        </xdr:cNvPr>
        <xdr:cNvSpPr/>
      </xdr:nvSpPr>
      <xdr:spPr>
        <a:xfrm>
          <a:off x="3343275" y="32766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Factures Affaires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142875</xdr:colOff>
      <xdr:row>16</xdr:row>
      <xdr:rowOff>95250</xdr:rowOff>
    </xdr:to>
    <xdr:sp macro="" textlink="">
      <xdr:nvSpPr>
        <xdr:cNvPr id="15" name="Pentagone 14">
          <a:hlinkClick xmlns:r="http://schemas.openxmlformats.org/officeDocument/2006/relationships" r:id="rId12"/>
        </xdr:cNvPr>
        <xdr:cNvSpPr/>
      </xdr:nvSpPr>
      <xdr:spPr>
        <a:xfrm>
          <a:off x="6705600" y="325755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lot, avenant, affaire 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9525</xdr:colOff>
      <xdr:row>13</xdr:row>
      <xdr:rowOff>9525</xdr:rowOff>
    </xdr:from>
    <xdr:to>
      <xdr:col>14</xdr:col>
      <xdr:colOff>152400</xdr:colOff>
      <xdr:row>16</xdr:row>
      <xdr:rowOff>104775</xdr:rowOff>
    </xdr:to>
    <xdr:sp macro="" textlink="">
      <xdr:nvSpPr>
        <xdr:cNvPr id="16" name="Pentagone 15">
          <a:hlinkClick xmlns:r="http://schemas.openxmlformats.org/officeDocument/2006/relationships" r:id="rId13"/>
        </xdr:cNvPr>
        <xdr:cNvSpPr/>
      </xdr:nvSpPr>
      <xdr:spPr>
        <a:xfrm>
          <a:off x="9229725" y="3267075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3</xdr:row>
      <xdr:rowOff>171450</xdr:rowOff>
    </xdr:from>
    <xdr:to>
      <xdr:col>0</xdr:col>
      <xdr:colOff>1209675</xdr:colOff>
      <xdr:row>9</xdr:row>
      <xdr:rowOff>371475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0" y="771525"/>
          <a:ext cx="73342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1247775</xdr:colOff>
      <xdr:row>5</xdr:row>
      <xdr:rowOff>219075</xdr:rowOff>
    </xdr:from>
    <xdr:to>
      <xdr:col>2</xdr:col>
      <xdr:colOff>169069</xdr:colOff>
      <xdr:row>7</xdr:row>
      <xdr:rowOff>85725</xdr:rowOff>
    </xdr:to>
    <xdr:pic>
      <xdr:nvPicPr>
        <xdr:cNvPr id="4" name="Image 3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47775" y="1219200"/>
          <a:ext cx="16954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4</xdr:row>
      <xdr:rowOff>28575</xdr:rowOff>
    </xdr:from>
    <xdr:to>
      <xdr:col>5</xdr:col>
      <xdr:colOff>561975</xdr:colOff>
      <xdr:row>9</xdr:row>
      <xdr:rowOff>323850</xdr:rowOff>
    </xdr:to>
    <xdr:sp macro="" textlink="">
      <xdr:nvSpPr>
        <xdr:cNvPr id="7" name="ZoneTexte 6"/>
        <xdr:cNvSpPr txBox="1"/>
      </xdr:nvSpPr>
      <xdr:spPr>
        <a:xfrm>
          <a:off x="3105150" y="828675"/>
          <a:ext cx="2581275" cy="1409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>
            <a:solidFill>
              <a:schemeClr val="accent1">
                <a:lumMod val="75000"/>
              </a:schemeClr>
            </a:solidFill>
          </a:endParaRPr>
        </a:p>
        <a:p>
          <a:endParaRPr lang="es-ES_tradnl" sz="1000" b="1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110, Rue du Docteur Theodor 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Av. de la Gineste</a:t>
          </a:r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              12000 RODEZ</a:t>
          </a:r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</a:p>
        <a:p>
          <a:r>
            <a:rPr lang="es-ES_tradnl" sz="900"/>
            <a:t>05 65 61</a:t>
          </a:r>
          <a:r>
            <a:rPr lang="es-ES_tradnl" sz="900" baseline="0"/>
            <a:t> </a:t>
          </a:r>
          <a:r>
            <a:rPr lang="es-ES_tradnl" sz="900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900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900" i="1"/>
            <a:t>euro12construction@orange.fr</a:t>
          </a:r>
        </a:p>
      </xdr:txBody>
    </xdr:sp>
    <xdr:clientData/>
  </xdr:twoCellAnchor>
  <xdr:twoCellAnchor>
    <xdr:from>
      <xdr:col>6</xdr:col>
      <xdr:colOff>485775</xdr:colOff>
      <xdr:row>9</xdr:row>
      <xdr:rowOff>381000</xdr:rowOff>
    </xdr:from>
    <xdr:to>
      <xdr:col>7</xdr:col>
      <xdr:colOff>828675</xdr:colOff>
      <xdr:row>11</xdr:row>
      <xdr:rowOff>219075</xdr:rowOff>
    </xdr:to>
    <xdr:sp macro="[0]!Module1.RecapFacture" textlink="">
      <xdr:nvSpPr>
        <xdr:cNvPr id="10" name="Rectangle à coins arrondis 9"/>
        <xdr:cNvSpPr/>
      </xdr:nvSpPr>
      <xdr:spPr>
        <a:xfrm>
          <a:off x="6515100" y="2333625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 la facture </a:t>
          </a:r>
        </a:p>
      </xdr:txBody>
    </xdr:sp>
    <xdr:clientData/>
  </xdr:twoCellAnchor>
  <xdr:twoCellAnchor>
    <xdr:from>
      <xdr:col>6</xdr:col>
      <xdr:colOff>476250</xdr:colOff>
      <xdr:row>6</xdr:row>
      <xdr:rowOff>180975</xdr:rowOff>
    </xdr:from>
    <xdr:to>
      <xdr:col>7</xdr:col>
      <xdr:colOff>819150</xdr:colOff>
      <xdr:row>9</xdr:row>
      <xdr:rowOff>295275</xdr:rowOff>
    </xdr:to>
    <xdr:sp macro="[0]!Module1.ExtractionFacture" textlink="">
      <xdr:nvSpPr>
        <xdr:cNvPr id="11" name="Rectangle à coins arrondis 10"/>
        <xdr:cNvSpPr/>
      </xdr:nvSpPr>
      <xdr:spPr>
        <a:xfrm>
          <a:off x="6362700" y="1409700"/>
          <a:ext cx="1181100" cy="7048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Extraire</a:t>
          </a:r>
          <a:r>
            <a:rPr lang="es-ES_tradnl" sz="1100" baseline="0"/>
            <a:t> les factures précedentes 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12</xdr:row>
      <xdr:rowOff>104775</xdr:rowOff>
    </xdr:from>
    <xdr:to>
      <xdr:col>8</xdr:col>
      <xdr:colOff>0</xdr:colOff>
      <xdr:row>14</xdr:row>
      <xdr:rowOff>180975</xdr:rowOff>
    </xdr:to>
    <xdr:sp macro="[0]!PrepImpress1" textlink="">
      <xdr:nvSpPr>
        <xdr:cNvPr id="12" name="Rectangle à coins arrondis 11"/>
        <xdr:cNvSpPr/>
      </xdr:nvSpPr>
      <xdr:spPr>
        <a:xfrm>
          <a:off x="6524625" y="2971800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Aperçu avant impression </a:t>
          </a:r>
        </a:p>
      </xdr:txBody>
    </xdr:sp>
    <xdr:clientData/>
  </xdr:twoCellAnchor>
  <xdr:twoCellAnchor>
    <xdr:from>
      <xdr:col>6</xdr:col>
      <xdr:colOff>514350</xdr:colOff>
      <xdr:row>15</xdr:row>
      <xdr:rowOff>76200</xdr:rowOff>
    </xdr:from>
    <xdr:to>
      <xdr:col>8</xdr:col>
      <xdr:colOff>19050</xdr:colOff>
      <xdr:row>18</xdr:row>
      <xdr:rowOff>0</xdr:rowOff>
    </xdr:to>
    <xdr:sp macro="[0]!Module1.Export_PDF" textlink="">
      <xdr:nvSpPr>
        <xdr:cNvPr id="13" name="Rectangle à coins arrondis 12"/>
        <xdr:cNvSpPr/>
      </xdr:nvSpPr>
      <xdr:spPr>
        <a:xfrm>
          <a:off x="6543675" y="3581400"/>
          <a:ext cx="1181100" cy="5238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</a:t>
          </a:r>
          <a:r>
            <a:rPr lang="es-ES_tradnl" sz="1100" baseline="0"/>
            <a:t> au format PDF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0</xdr:row>
      <xdr:rowOff>152400</xdr:rowOff>
    </xdr:from>
    <xdr:to>
      <xdr:col>7</xdr:col>
      <xdr:colOff>781050</xdr:colOff>
      <xdr:row>5</xdr:row>
      <xdr:rowOff>190500</xdr:rowOff>
    </xdr:to>
    <xdr:sp macro="[0]!IncrémentationFacM" textlink="">
      <xdr:nvSpPr>
        <xdr:cNvPr id="14" name="Ellipse 13"/>
        <xdr:cNvSpPr/>
      </xdr:nvSpPr>
      <xdr:spPr>
        <a:xfrm>
          <a:off x="6381750" y="152400"/>
          <a:ext cx="1123950" cy="106680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Créer une nouvelle facture </a:t>
          </a:r>
        </a:p>
      </xdr:txBody>
    </xdr:sp>
    <xdr:clientData/>
  </xdr:twoCellAnchor>
  <xdr:twoCellAnchor>
    <xdr:from>
      <xdr:col>8</xdr:col>
      <xdr:colOff>304800</xdr:colOff>
      <xdr:row>2</xdr:row>
      <xdr:rowOff>95250</xdr:rowOff>
    </xdr:from>
    <xdr:to>
      <xdr:col>8</xdr:col>
      <xdr:colOff>571500</xdr:colOff>
      <xdr:row>3</xdr:row>
      <xdr:rowOff>152400</xdr:rowOff>
    </xdr:to>
    <xdr:sp macro="" textlink="">
      <xdr:nvSpPr>
        <xdr:cNvPr id="15" name="Heptagone 14"/>
        <xdr:cNvSpPr/>
      </xdr:nvSpPr>
      <xdr:spPr>
        <a:xfrm>
          <a:off x="7867650" y="48577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1</a:t>
          </a:r>
        </a:p>
      </xdr:txBody>
    </xdr:sp>
    <xdr:clientData/>
  </xdr:twoCellAnchor>
  <xdr:twoCellAnchor>
    <xdr:from>
      <xdr:col>8</xdr:col>
      <xdr:colOff>323850</xdr:colOff>
      <xdr:row>8</xdr:row>
      <xdr:rowOff>19050</xdr:rowOff>
    </xdr:from>
    <xdr:to>
      <xdr:col>8</xdr:col>
      <xdr:colOff>590550</xdr:colOff>
      <xdr:row>9</xdr:row>
      <xdr:rowOff>123825</xdr:rowOff>
    </xdr:to>
    <xdr:sp macro="" textlink="">
      <xdr:nvSpPr>
        <xdr:cNvPr id="16" name="Heptagone 15"/>
        <xdr:cNvSpPr/>
      </xdr:nvSpPr>
      <xdr:spPr>
        <a:xfrm>
          <a:off x="7886700" y="16478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2</a:t>
          </a:r>
        </a:p>
      </xdr:txBody>
    </xdr:sp>
    <xdr:clientData/>
  </xdr:twoCellAnchor>
  <xdr:twoCellAnchor>
    <xdr:from>
      <xdr:col>8</xdr:col>
      <xdr:colOff>333375</xdr:colOff>
      <xdr:row>9</xdr:row>
      <xdr:rowOff>561975</xdr:rowOff>
    </xdr:from>
    <xdr:to>
      <xdr:col>8</xdr:col>
      <xdr:colOff>600075</xdr:colOff>
      <xdr:row>11</xdr:row>
      <xdr:rowOff>28575</xdr:rowOff>
    </xdr:to>
    <xdr:sp macro="" textlink="">
      <xdr:nvSpPr>
        <xdr:cNvPr id="17" name="Heptagone 16"/>
        <xdr:cNvSpPr/>
      </xdr:nvSpPr>
      <xdr:spPr>
        <a:xfrm>
          <a:off x="7896225" y="2381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3</a:t>
          </a:r>
        </a:p>
      </xdr:txBody>
    </xdr:sp>
    <xdr:clientData/>
  </xdr:twoCellAnchor>
  <xdr:twoCellAnchor>
    <xdr:from>
      <xdr:col>8</xdr:col>
      <xdr:colOff>342900</xdr:colOff>
      <xdr:row>12</xdr:row>
      <xdr:rowOff>57150</xdr:rowOff>
    </xdr:from>
    <xdr:to>
      <xdr:col>8</xdr:col>
      <xdr:colOff>609600</xdr:colOff>
      <xdr:row>13</xdr:row>
      <xdr:rowOff>133350</xdr:rowOff>
    </xdr:to>
    <xdr:sp macro="" textlink="">
      <xdr:nvSpPr>
        <xdr:cNvPr id="18" name="Heptagone 17"/>
        <xdr:cNvSpPr/>
      </xdr:nvSpPr>
      <xdr:spPr>
        <a:xfrm>
          <a:off x="7905750" y="29432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4</a:t>
          </a:r>
        </a:p>
      </xdr:txBody>
    </xdr:sp>
    <xdr:clientData/>
  </xdr:twoCellAnchor>
  <xdr:twoCellAnchor>
    <xdr:from>
      <xdr:col>8</xdr:col>
      <xdr:colOff>333375</xdr:colOff>
      <xdr:row>15</xdr:row>
      <xdr:rowOff>9525</xdr:rowOff>
    </xdr:from>
    <xdr:to>
      <xdr:col>8</xdr:col>
      <xdr:colOff>600075</xdr:colOff>
      <xdr:row>16</xdr:row>
      <xdr:rowOff>104775</xdr:rowOff>
    </xdr:to>
    <xdr:sp macro="" textlink="">
      <xdr:nvSpPr>
        <xdr:cNvPr id="19" name="Heptagone 18"/>
        <xdr:cNvSpPr/>
      </xdr:nvSpPr>
      <xdr:spPr>
        <a:xfrm>
          <a:off x="7896225" y="3524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5</a:t>
          </a:r>
        </a:p>
      </xdr:txBody>
    </xdr:sp>
    <xdr:clientData/>
  </xdr:twoCellAnchor>
  <xdr:twoCellAnchor>
    <xdr:from>
      <xdr:col>11</xdr:col>
      <xdr:colOff>447675</xdr:colOff>
      <xdr:row>1</xdr:row>
      <xdr:rowOff>123825</xdr:rowOff>
    </xdr:from>
    <xdr:to>
      <xdr:col>12</xdr:col>
      <xdr:colOff>304800</xdr:colOff>
      <xdr:row>7</xdr:row>
      <xdr:rowOff>28575</xdr:rowOff>
    </xdr:to>
    <xdr:sp macro="" textlink="">
      <xdr:nvSpPr>
        <xdr:cNvPr id="20" name="Flèche courbée vers la gauche 19">
          <a:hlinkClick xmlns:r="http://schemas.openxmlformats.org/officeDocument/2006/relationships" r:id="rId3"/>
        </xdr:cNvPr>
        <xdr:cNvSpPr/>
      </xdr:nvSpPr>
      <xdr:spPr>
        <a:xfrm>
          <a:off x="10668000" y="3238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95250</xdr:rowOff>
    </xdr:from>
    <xdr:to>
      <xdr:col>9</xdr:col>
      <xdr:colOff>714375</xdr:colOff>
      <xdr:row>7</xdr:row>
      <xdr:rowOff>152400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858500" y="2952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1057275</xdr:colOff>
      <xdr:row>0</xdr:row>
      <xdr:rowOff>28575</xdr:rowOff>
    </xdr:from>
    <xdr:to>
      <xdr:col>8</xdr:col>
      <xdr:colOff>1752600</xdr:colOff>
      <xdr:row>5</xdr:row>
      <xdr:rowOff>161925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420475" y="285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695325</xdr:colOff>
      <xdr:row>6</xdr:row>
      <xdr:rowOff>76200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9906000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127000</xdr:rowOff>
    </xdr:from>
    <xdr:to>
      <xdr:col>10</xdr:col>
      <xdr:colOff>695325</xdr:colOff>
      <xdr:row>5</xdr:row>
      <xdr:rowOff>50800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895667" y="1270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695325</xdr:colOff>
      <xdr:row>6</xdr:row>
      <xdr:rowOff>85725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658475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6</xdr:row>
      <xdr:rowOff>114301</xdr:rowOff>
    </xdr:from>
    <xdr:to>
      <xdr:col>13</xdr:col>
      <xdr:colOff>295275</xdr:colOff>
      <xdr:row>9</xdr:row>
      <xdr:rowOff>9525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915400" y="1257301"/>
          <a:ext cx="1285875" cy="4667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Certificat de paiement</a:t>
          </a:r>
        </a:p>
      </xdr:txBody>
    </xdr:sp>
    <xdr:clientData/>
  </xdr:twoCellAnchor>
  <xdr:twoCellAnchor>
    <xdr:from>
      <xdr:col>11</xdr:col>
      <xdr:colOff>76200</xdr:colOff>
      <xdr:row>0</xdr:row>
      <xdr:rowOff>57150</xdr:rowOff>
    </xdr:from>
    <xdr:to>
      <xdr:col>11</xdr:col>
      <xdr:colOff>771525</xdr:colOff>
      <xdr:row>5</xdr:row>
      <xdr:rowOff>190500</xdr:rowOff>
    </xdr:to>
    <xdr:sp macro="" textlink="">
      <xdr:nvSpPr>
        <xdr:cNvPr id="3" name="Flèche courbée vers la gauche 2">
          <a:hlinkClick xmlns:r="http://schemas.openxmlformats.org/officeDocument/2006/relationships" r:id="rId2"/>
        </xdr:cNvPr>
        <xdr:cNvSpPr/>
      </xdr:nvSpPr>
      <xdr:spPr>
        <a:xfrm>
          <a:off x="10610850" y="571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8</xdr:col>
      <xdr:colOff>561975</xdr:colOff>
      <xdr:row>0</xdr:row>
      <xdr:rowOff>180975</xdr:rowOff>
    </xdr:from>
    <xdr:to>
      <xdr:col>10</xdr:col>
      <xdr:colOff>0</xdr:colOff>
      <xdr:row>2</xdr:row>
      <xdr:rowOff>142875</xdr:rowOff>
    </xdr:to>
    <xdr:sp macro="[0]!InserLigFour" textlink="">
      <xdr:nvSpPr>
        <xdr:cNvPr id="4" name="Rectangle à coins arrondis 3"/>
        <xdr:cNvSpPr/>
      </xdr:nvSpPr>
      <xdr:spPr>
        <a:xfrm>
          <a:off x="8315325" y="180975"/>
          <a:ext cx="161925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Inserer</a:t>
          </a:r>
          <a:r>
            <a:rPr lang="es-ES_tradnl" sz="1100" baseline="0"/>
            <a:t> une ligne et mise en forme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1</xdr:row>
          <xdr:rowOff>0</xdr:rowOff>
        </xdr:from>
        <xdr:to>
          <xdr:col>0</xdr:col>
          <xdr:colOff>939800</xdr:colOff>
          <xdr:row>1</xdr:row>
          <xdr:rowOff>279400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Euro 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1</xdr:row>
          <xdr:rowOff>139700</xdr:rowOff>
        </xdr:from>
        <xdr:to>
          <xdr:col>0</xdr:col>
          <xdr:colOff>1498600</xdr:colOff>
          <xdr:row>1</xdr:row>
          <xdr:rowOff>444500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Maitre d'ouvrage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133350</xdr:rowOff>
    </xdr:from>
    <xdr:to>
      <xdr:col>12</xdr:col>
      <xdr:colOff>209550</xdr:colOff>
      <xdr:row>5</xdr:row>
      <xdr:rowOff>123825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344275" y="1333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DDdevis" displayName="BDDdevis" ref="A7:I16" totalsRowShown="0" tableBorderDxfId="57">
  <autoFilter ref="A7:I16"/>
  <tableColumns count="9">
    <tableColumn id="1" name="Nom affaire" dataDxfId="56"/>
    <tableColumn id="9" name="Numéro devis " dataDxfId="55" dataCellStyle="Normal 2"/>
    <tableColumn id="2" name="Numéro client " dataDxfId="54"/>
    <tableColumn id="3" name="Date devis " dataDxfId="53">
      <calculatedColumnFormula>TODAY()</calculatedColumnFormula>
    </tableColumn>
    <tableColumn id="4" name="Montant Initial " dataDxfId="52" dataCellStyle="Monétaire"/>
    <tableColumn id="5" name="Montant Client " dataDxfId="51" dataCellStyle="Monétaire">
      <calculatedColumnFormula>SUMIF(TableauFacCLient[],'BDD devis'!A8,TableauFacCLient[[#All],[Montant HT ]])</calculatedColumnFormula>
    </tableColumn>
    <tableColumn id="6" name="Montant fournisseurs " dataDxfId="50" dataCellStyle="Monétaire"/>
    <tableColumn id="7" name="Somme facture clients" dataDxfId="49"/>
    <tableColumn id="8" name="Somme facture fournisseurs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FacCLient" displayName="TableauFacCLient" ref="A7:N14" totalsRowShown="0" headerRowDxfId="47" headerRowCellStyle="Normal 2" dataCellStyle="Normal 2">
  <tableColumns count="14">
    <tableColumn id="1" name="N° facture " dataCellStyle="Normal 2"/>
    <tableColumn id="2" name="Date " dataDxfId="46" dataCellStyle="Normal 2"/>
    <tableColumn id="3" name="N°client " dataDxfId="45" dataCellStyle="Normal 2"/>
    <tableColumn id="4" name="Nom affaire " dataCellStyle="Normal 2"/>
    <tableColumn id="5" name="Achèvement  " dataCellStyle="Normal 2"/>
    <tableColumn id="6" name="Montant HT " dataDxfId="44" dataCellStyle="Monétaire">
      <calculatedColumnFormula>IF(F6="","",F6)</calculatedColumnFormula>
    </tableColumn>
    <tableColumn id="7" name="Taux TVA " dataCellStyle="Normal 2"/>
    <tableColumn id="8" name="Montant TTC " dataCellStyle="Monétaire"/>
    <tableColumn id="12" name="Montant réglé " dataDxfId="43" dataCellStyle="Monétaire"/>
    <tableColumn id="9" name="Reste à payer " dataDxfId="42" dataCellStyle="Normal 2">
      <calculatedColumnFormula>TableauFacCLient[[Montant TTC ]]-TableauFacCLient[[Montant réglé ]]</calculatedColumnFormula>
    </tableColumn>
    <tableColumn id="10" name="Date d'échéance " dataDxfId="41" dataCellStyle="Normal 2">
      <calculatedColumnFormula>EOMONTH(TableauFacCLient[[#This Row],[Date ]],1)</calculatedColumnFormula>
    </tableColumn>
    <tableColumn id="14" name="Différence entre la date du jour et la date d'échéance " dataDxfId="40">
      <calculatedColumnFormula>$B$4-TableauFacCLient[[#This Row],[Date d''échéance ]]</calculatedColumnFormula>
    </tableColumn>
    <tableColumn id="13" name="Réglé le "/>
    <tableColumn id="11" name="Relance " dataDxfId="39" dataCellStyle="Normal 2">
      <calculatedColumnFormula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8" displayName="Tableau8" ref="B7:H22" totalsRowShown="0" headerRowDxfId="38" headerRowBorderDxfId="37" tableBorderDxfId="36" totalsRowBorderDxfId="35">
  <autoFilter ref="B7:H22"/>
  <tableColumns count="7">
    <tableColumn id="1" name="Dénomination sociale" dataDxfId="34"/>
    <tableColumn id="2" name="Lot" dataDxfId="33"/>
    <tableColumn id="3" name="Représentant" dataDxfId="32"/>
    <tableColumn id="4" name="Telephonne" dataDxfId="31"/>
    <tableColumn id="5" name="Fax" dataDxfId="30"/>
    <tableColumn id="6" name="Adresse" dataDxfId="29"/>
    <tableColumn id="10" name="Remarques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6" name="TableauFactFour" displayName="TableauFactFour" ref="B7:K8" totalsRowShown="0" dataDxfId="27" headerRowBorderDxfId="28" tableBorderDxfId="26" totalsRowBorderDxfId="25">
  <autoFilter ref="B7:K8"/>
  <tableColumns count="10">
    <tableColumn id="1" name="N° clients" dataDxfId="24"/>
    <tableColumn id="2" name="Clients" dataDxfId="23">
      <calculatedColumnFormula>IF(TableauFactFour[N° clients]="","",VLOOKUP(B8,BDDclient3[],2,FALSE))</calculatedColumnFormula>
    </tableColumn>
    <tableColumn id="3" name="Nom Affaire " dataDxfId="22"/>
    <tableColumn id="4" name="Date reception " dataDxfId="21"/>
    <tableColumn id="6" name="Montant HT" dataDxfId="20"/>
    <tableColumn id="5" name="Taux TVA " dataDxfId="19" dataCellStyle="Pourcentage"/>
    <tableColumn id="7" name="Montant TTC " dataDxfId="18" dataCellStyle="Monétaire">
      <calculatedColumnFormula>TableauFactFour[[#This Row],[Montant HT]]*G8+F8</calculatedColumnFormula>
    </tableColumn>
    <tableColumn id="8" name="Montant réglé " dataDxfId="17" dataCellStyle="Monétaire"/>
    <tableColumn id="9" name="Reste à payer" dataDxfId="16">
      <calculatedColumnFormula>TableauFactFour[[#This Row],[Montant TTC ]]-I8</calculatedColumnFormula>
    </tableColumn>
    <tableColumn id="10" name="Date d'échéance " dataDxfId="15">
      <calculatedColumnFormula>IF(TableauFactFour[[#This Row],[Date reception ]]="","",EOMONTH(TableauFactFour[[#This Row],[Date reception ]],1))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BDDclient3" displayName="BDDclient3" ref="A1:J7" totalsRowShown="0" headerRowDxfId="14" dataDxfId="12" headerRowBorderDxfId="13" tableBorderDxfId="11" totalsRowBorderDxfId="10">
  <autoFilter ref="A1:J7"/>
  <tableColumns count="10">
    <tableColumn id="1" name="Numéro client " dataDxfId="9"/>
    <tableColumn id="11" name="Dénomination Sociale " dataDxfId="8" dataCellStyle="Normal 2"/>
    <tableColumn id="2" name="Nom" dataDxfId="7"/>
    <tableColumn id="3" name="Prénom" dataDxfId="6"/>
    <tableColumn id="4" name="Adresse" dataDxfId="5"/>
    <tableColumn id="5" name="CP" dataDxfId="4"/>
    <tableColumn id="6" name="Ville" dataDxfId="3"/>
    <tableColumn id="8" name="Mail" dataDxfId="2"/>
    <tableColumn id="9" name="Téléphone" dataDxfId="1"/>
    <tableColumn id="10" name="Remarqu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table" Target="../tables/table4.xml"/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2060"/>
  </sheetPr>
  <dimension ref="B1:O25"/>
  <sheetViews>
    <sheetView zoomScale="80" zoomScaleNormal="80" zoomScalePageLayoutView="80" workbookViewId="0"/>
  </sheetViews>
  <sheetFormatPr baseColWidth="10" defaultRowHeight="14" x14ac:dyDescent="0"/>
  <cols>
    <col min="1" max="1" width="6.33203125" style="18" customWidth="1"/>
    <col min="2" max="16384" width="10.83203125" style="18"/>
  </cols>
  <sheetData>
    <row r="1" spans="2:15">
      <c r="B1" s="19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23"/>
    </row>
    <row r="2" spans="2:15" ht="28.5" customHeight="1">
      <c r="B2" s="143" t="s">
        <v>197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5"/>
    </row>
    <row r="3" spans="2:15" ht="34.5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5"/>
    </row>
    <row r="4" spans="2:15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5"/>
    </row>
    <row r="5" spans="2:15">
      <c r="B5" s="146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5"/>
    </row>
    <row r="6" spans="2:15">
      <c r="B6" s="146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5"/>
    </row>
    <row r="7" spans="2:15"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5"/>
    </row>
    <row r="8" spans="2:15"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5"/>
    </row>
    <row r="9" spans="2:15">
      <c r="B9" s="146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5"/>
    </row>
    <row r="10" spans="2:15">
      <c r="B10" s="146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5"/>
    </row>
    <row r="11" spans="2:15">
      <c r="B11" s="146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5"/>
    </row>
    <row r="12" spans="2:15">
      <c r="B12" s="146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5"/>
    </row>
    <row r="13" spans="2:15">
      <c r="B13" s="146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5"/>
    </row>
    <row r="14" spans="2:15">
      <c r="B14" s="146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5"/>
    </row>
    <row r="15" spans="2:15">
      <c r="B15" s="146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5"/>
    </row>
    <row r="16" spans="2:15">
      <c r="B16" s="146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5"/>
    </row>
    <row r="17" spans="2:15">
      <c r="B17" s="146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5"/>
    </row>
    <row r="18" spans="2:15">
      <c r="B18" s="146"/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5"/>
    </row>
    <row r="19" spans="2:15" ht="15">
      <c r="B19" s="148"/>
      <c r="C19" s="149"/>
      <c r="D19" s="149"/>
      <c r="E19" s="70"/>
      <c r="F19" s="70"/>
      <c r="G19" s="70"/>
      <c r="H19" s="150"/>
      <c r="I19" s="151"/>
      <c r="J19" s="70"/>
      <c r="K19" s="149"/>
      <c r="L19" s="149"/>
      <c r="M19" s="149"/>
      <c r="N19" s="149"/>
      <c r="O19" s="152"/>
    </row>
    <row r="20" spans="2:15" ht="15">
      <c r="D20" s="147"/>
      <c r="E20" s="2"/>
      <c r="F20" s="2"/>
      <c r="G20" s="2"/>
      <c r="H20" s="86"/>
      <c r="I20" s="87"/>
      <c r="J20" s="2"/>
      <c r="K20" s="147"/>
    </row>
    <row r="21" spans="2:15" ht="15">
      <c r="D21" s="147"/>
      <c r="E21" s="2"/>
      <c r="F21" s="2"/>
      <c r="G21" s="2"/>
      <c r="H21" s="86"/>
      <c r="I21" s="87"/>
      <c r="J21" s="2"/>
      <c r="K21" s="147"/>
    </row>
    <row r="22" spans="2:15" ht="15">
      <c r="D22" s="147"/>
      <c r="E22" s="2"/>
      <c r="F22" s="105"/>
      <c r="G22" s="2"/>
      <c r="H22" s="2" t="s">
        <v>202</v>
      </c>
      <c r="I22" s="2"/>
      <c r="J22" s="92"/>
      <c r="K22" s="147"/>
    </row>
    <row r="23" spans="2:15" ht="15">
      <c r="D23" s="147"/>
      <c r="E23" s="2"/>
      <c r="F23" s="2"/>
      <c r="G23" s="2"/>
      <c r="H23" s="2"/>
      <c r="I23" s="2"/>
      <c r="J23" s="2"/>
      <c r="K23" s="147"/>
    </row>
    <row r="24" spans="2:15" ht="15">
      <c r="D24" s="147"/>
      <c r="E24" s="2"/>
      <c r="F24" s="2"/>
      <c r="G24" s="2"/>
      <c r="H24" s="2"/>
      <c r="I24" s="2"/>
      <c r="J24" s="2"/>
      <c r="K24" s="147"/>
    </row>
    <row r="25" spans="2:15">
      <c r="D25" s="147"/>
      <c r="E25" s="147"/>
      <c r="F25" s="147"/>
      <c r="G25" s="147"/>
      <c r="H25" s="147"/>
      <c r="I25" s="147"/>
      <c r="J25" s="147"/>
      <c r="K25" s="147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A1:J52"/>
  <sheetViews>
    <sheetView topLeftCell="A20" zoomScale="80" zoomScaleNormal="80" zoomScalePageLayoutView="80" workbookViewId="0">
      <selection activeCell="A24" sqref="A24"/>
    </sheetView>
  </sheetViews>
  <sheetFormatPr baseColWidth="10" defaultRowHeight="15" x14ac:dyDescent="0"/>
  <cols>
    <col min="1" max="1" width="24.1640625" customWidth="1"/>
    <col min="2" max="2" width="12.1640625" customWidth="1"/>
    <col min="3" max="3" width="11.83203125" customWidth="1"/>
    <col min="4" max="4" width="13.1640625" customWidth="1"/>
    <col min="5" max="5" width="11.5" customWidth="1"/>
    <col min="6" max="6" width="10.5" customWidth="1"/>
  </cols>
  <sheetData>
    <row r="1" spans="1:10">
      <c r="A1" s="1" t="s">
        <v>26</v>
      </c>
      <c r="B1" s="17">
        <f ca="1">SUM(OFFSET(E33,0,0,COUNTA(D:D),1))</f>
        <v>89.5</v>
      </c>
      <c r="C1" s="1" t="s">
        <v>0</v>
      </c>
      <c r="E1" s="103">
        <f ca="1">SUMIF(TableauFactFour[],A14,TableauFactFour[[Montant TTC ]])</f>
        <v>30</v>
      </c>
      <c r="F1">
        <v>5</v>
      </c>
    </row>
    <row r="2" spans="1:10">
      <c r="A2" s="162"/>
      <c r="B2" s="84"/>
      <c r="C2" s="84"/>
      <c r="D2" s="84"/>
      <c r="E2" s="84"/>
      <c r="F2" s="85"/>
      <c r="G2" s="113"/>
      <c r="H2" s="113"/>
      <c r="I2" s="113"/>
      <c r="J2" s="113"/>
    </row>
    <row r="3" spans="1:10" ht="18">
      <c r="A3" s="93" t="s">
        <v>158</v>
      </c>
      <c r="B3" s="84"/>
      <c r="C3" s="84"/>
      <c r="D3" s="76" t="s">
        <v>3</v>
      </c>
      <c r="E3" s="111" t="s">
        <v>205</v>
      </c>
      <c r="F3" s="85"/>
      <c r="G3" s="113"/>
      <c r="H3" s="113"/>
      <c r="I3" s="113"/>
      <c r="J3" s="113"/>
    </row>
    <row r="4" spans="1:10">
      <c r="A4" s="72"/>
      <c r="B4" s="2"/>
      <c r="C4" s="2"/>
      <c r="D4" s="77" t="s">
        <v>4</v>
      </c>
      <c r="E4" s="112">
        <f ca="1">TODAY()</f>
        <v>42461</v>
      </c>
      <c r="F4" s="73"/>
      <c r="G4" s="113"/>
      <c r="H4" s="113"/>
      <c r="I4" s="113"/>
      <c r="J4" s="113"/>
    </row>
    <row r="5" spans="1:10">
      <c r="A5" s="72"/>
      <c r="B5" s="2"/>
      <c r="C5" s="2"/>
      <c r="D5" s="86"/>
      <c r="E5" s="87"/>
      <c r="F5" s="73"/>
      <c r="G5" s="113"/>
      <c r="H5" s="113"/>
      <c r="I5" s="113"/>
      <c r="J5" s="113"/>
    </row>
    <row r="6" spans="1:10" ht="24.75" customHeight="1">
      <c r="A6" s="72"/>
      <c r="B6" s="2"/>
      <c r="C6" s="2"/>
      <c r="D6" s="86"/>
      <c r="E6" s="87"/>
      <c r="F6" s="73"/>
      <c r="G6" s="113"/>
      <c r="H6" s="113"/>
      <c r="I6" s="113"/>
      <c r="J6" s="113"/>
    </row>
    <row r="7" spans="1:10">
      <c r="A7" s="72"/>
      <c r="B7" s="2"/>
      <c r="C7" s="2"/>
      <c r="D7" s="86"/>
      <c r="E7" s="87"/>
      <c r="F7" s="73"/>
      <c r="G7" s="113"/>
      <c r="H7" s="113"/>
      <c r="I7" s="113"/>
      <c r="J7" s="113"/>
    </row>
    <row r="8" spans="1:10">
      <c r="A8" s="72"/>
      <c r="B8" s="105"/>
      <c r="C8" s="2"/>
      <c r="D8" s="2"/>
      <c r="E8" s="2"/>
      <c r="F8" s="74"/>
      <c r="G8" s="113"/>
      <c r="H8" s="113"/>
      <c r="I8" s="113"/>
      <c r="J8" s="113"/>
    </row>
    <row r="9" spans="1:10">
      <c r="A9" s="72"/>
      <c r="B9" s="2"/>
      <c r="C9" s="2"/>
      <c r="D9" s="2"/>
      <c r="E9" s="2"/>
      <c r="F9" s="73"/>
      <c r="G9" s="113"/>
      <c r="H9" s="113"/>
      <c r="I9" s="113"/>
      <c r="J9" s="113"/>
    </row>
    <row r="10" spans="1:10" ht="34.5" customHeight="1">
      <c r="A10" s="69"/>
      <c r="B10" s="70"/>
      <c r="C10" s="70"/>
      <c r="D10" s="70"/>
      <c r="E10" s="70"/>
      <c r="F10" s="71"/>
      <c r="G10" s="113"/>
      <c r="H10" s="113"/>
      <c r="I10" s="113"/>
      <c r="J10" s="113"/>
    </row>
    <row r="11" spans="1:10" ht="18">
      <c r="A11" s="79" t="s">
        <v>159</v>
      </c>
      <c r="B11" s="2"/>
      <c r="C11" s="2"/>
      <c r="D11" s="81" t="str">
        <f>IF(B17="","",VLOOKUP(B17,BDDclient3[#Data],2,FALSE))</f>
        <v>SARL MEGANE</v>
      </c>
      <c r="E11" s="82"/>
      <c r="F11" s="83"/>
      <c r="G11" s="113"/>
      <c r="H11" s="113"/>
      <c r="I11" s="113"/>
      <c r="J11" s="113"/>
    </row>
    <row r="12" spans="1:10" ht="18">
      <c r="A12" s="78" t="s">
        <v>27</v>
      </c>
      <c r="B12" s="2"/>
      <c r="C12" s="2"/>
      <c r="D12" s="10" t="str">
        <f>IF(B17="","",VLOOKUP(B17,BDDclient3[#Data],3,FALSE)&amp;" "&amp;VLOOKUP(B17,BDDclient3[#Data],4,FALSE))</f>
        <v xml:space="preserve">BALITRAND Mégane </v>
      </c>
      <c r="E12" s="8"/>
      <c r="F12" s="9"/>
      <c r="G12" s="113"/>
      <c r="H12" s="113"/>
      <c r="I12" s="113"/>
      <c r="J12" s="113"/>
    </row>
    <row r="13" spans="1:10" ht="16">
      <c r="A13" s="79" t="s">
        <v>151</v>
      </c>
      <c r="B13" s="2"/>
      <c r="C13" s="2"/>
      <c r="D13" s="10" t="str">
        <f>IF(B17="","",VLOOKUP(B17,BDDclient3[#Data],5,FALSE))</f>
        <v xml:space="preserve">5 Av des Roses </v>
      </c>
      <c r="E13" s="6"/>
      <c r="F13" s="7"/>
      <c r="G13" s="113"/>
      <c r="H13" s="113"/>
      <c r="I13" s="113"/>
      <c r="J13" s="113"/>
    </row>
    <row r="14" spans="1:10" ht="16">
      <c r="A14" s="80" t="s">
        <v>137</v>
      </c>
      <c r="B14" s="2"/>
      <c r="C14" s="2"/>
      <c r="D14" s="11" t="str">
        <f>IF(B17="","",VLOOKUP(B17,BDDclient3[#Data],6,FALSE)&amp;" "&amp;VLOOKUP(B17,BDDclient3[#Data],7,FALSE))</f>
        <v>48000 Mende</v>
      </c>
      <c r="E14" s="12"/>
      <c r="F14" s="13"/>
      <c r="G14" s="113"/>
      <c r="H14" s="113"/>
      <c r="I14" s="113"/>
      <c r="J14" s="113"/>
    </row>
    <row r="15" spans="1:10">
      <c r="A15" s="72"/>
      <c r="B15" s="2"/>
      <c r="C15" s="2"/>
      <c r="D15" s="2"/>
      <c r="E15" s="2"/>
      <c r="F15" s="73"/>
      <c r="G15" s="113"/>
      <c r="H15" s="113"/>
      <c r="I15" s="113"/>
      <c r="J15" s="113"/>
    </row>
    <row r="16" spans="1:10">
      <c r="A16" s="72"/>
      <c r="B16" s="2"/>
      <c r="C16" s="2"/>
      <c r="D16" s="2"/>
      <c r="E16" s="2"/>
      <c r="F16" s="73"/>
      <c r="G16" s="113"/>
      <c r="H16" s="113"/>
      <c r="I16" s="113"/>
      <c r="J16" s="113"/>
    </row>
    <row r="17" spans="1:10">
      <c r="A17" s="88" t="s">
        <v>23</v>
      </c>
      <c r="B17" s="16">
        <f>IF(A14="","",VLOOKUP(A14,BDDdevis[],3,FALSE))</f>
        <v>1</v>
      </c>
      <c r="C17" s="2"/>
      <c r="D17" s="104" t="s">
        <v>24</v>
      </c>
      <c r="E17" s="99"/>
      <c r="F17" s="85">
        <f>IF(A14="","",VLOOKUP(A14,BDDdevis[],2,FALSE))</f>
        <v>52</v>
      </c>
      <c r="G17" s="113"/>
      <c r="H17" s="113"/>
      <c r="I17" s="113"/>
      <c r="J17" s="113"/>
    </row>
    <row r="18" spans="1:10">
      <c r="A18" s="72"/>
      <c r="B18" s="2"/>
      <c r="C18" s="2"/>
      <c r="D18" s="100" t="s">
        <v>5</v>
      </c>
      <c r="E18" s="2"/>
      <c r="F18" s="74">
        <f>IF(A14="","",VLOOKUP(A14,BDDdevis[],5,FALSE))</f>
        <v>100</v>
      </c>
      <c r="G18" s="113"/>
      <c r="H18" s="113"/>
      <c r="I18" s="113"/>
      <c r="J18" s="113"/>
    </row>
    <row r="19" spans="1:10">
      <c r="A19" s="72"/>
      <c r="B19" s="2"/>
      <c r="C19" s="2"/>
      <c r="D19" s="100" t="s">
        <v>6</v>
      </c>
      <c r="E19" s="2"/>
      <c r="F19" s="90">
        <f ca="1">IF(A14="","",VLOOKUP(A14,BDDdevis[],4,FALSE))</f>
        <v>42461</v>
      </c>
    </row>
    <row r="20" spans="1:10">
      <c r="A20" s="72"/>
      <c r="B20" s="2"/>
      <c r="C20" s="2"/>
      <c r="D20" s="101" t="s">
        <v>18</v>
      </c>
      <c r="E20" s="70"/>
      <c r="F20" s="102">
        <f ca="1">EOMONTH(E4,1)</f>
        <v>42521</v>
      </c>
    </row>
    <row r="21" spans="1:10">
      <c r="A21" s="72"/>
      <c r="B21" s="2"/>
      <c r="C21" s="2"/>
      <c r="D21" s="89"/>
      <c r="E21" s="2"/>
      <c r="F21" s="90"/>
    </row>
    <row r="22" spans="1:10">
      <c r="A22" s="76" t="s">
        <v>7</v>
      </c>
      <c r="B22" s="94" t="s">
        <v>16</v>
      </c>
      <c r="C22" s="84"/>
      <c r="D22" s="95" t="s">
        <v>17</v>
      </c>
      <c r="E22" s="2"/>
      <c r="F22" s="73"/>
    </row>
    <row r="23" spans="1:10">
      <c r="A23" s="69" t="s">
        <v>10</v>
      </c>
      <c r="B23" s="98">
        <f>IF(A23="","",VLOOKUP(A23,Achèvement,2,FALSE))</f>
        <v>0.1</v>
      </c>
      <c r="C23" s="70"/>
      <c r="D23" s="75">
        <f>IF(OR(A23="",B23=""),"",$F$18*$B$23)</f>
        <v>10</v>
      </c>
      <c r="E23" s="2"/>
      <c r="F23" s="73"/>
    </row>
    <row r="24" spans="1:10">
      <c r="A24" s="166" t="s">
        <v>10</v>
      </c>
      <c r="B24" s="2"/>
      <c r="C24" s="2"/>
      <c r="D24" s="2"/>
      <c r="E24" s="2"/>
      <c r="F24" s="73"/>
    </row>
    <row r="25" spans="1:10">
      <c r="A25" s="72"/>
      <c r="B25" s="2"/>
      <c r="C25" s="16" t="s">
        <v>19</v>
      </c>
      <c r="D25" s="96">
        <f>IF(D23="","",D23)</f>
        <v>10</v>
      </c>
      <c r="E25" s="2"/>
      <c r="F25" s="73"/>
    </row>
    <row r="26" spans="1:10">
      <c r="A26" s="72"/>
      <c r="B26" s="2"/>
      <c r="C26" s="16" t="s">
        <v>20</v>
      </c>
      <c r="D26" s="97">
        <v>0.2</v>
      </c>
      <c r="E26" s="2"/>
      <c r="F26" s="73"/>
    </row>
    <row r="27" spans="1:10">
      <c r="A27" s="72"/>
      <c r="B27" s="2"/>
      <c r="C27" s="16" t="s">
        <v>21</v>
      </c>
      <c r="D27" s="96">
        <f>IF(D25="","",D25+D26*D25)</f>
        <v>12</v>
      </c>
      <c r="E27" s="2"/>
      <c r="F27" s="73"/>
    </row>
    <row r="28" spans="1:10">
      <c r="A28" s="72"/>
      <c r="B28" s="2"/>
      <c r="C28" s="91"/>
      <c r="D28" s="92"/>
      <c r="E28" s="2"/>
      <c r="F28" s="73"/>
    </row>
    <row r="29" spans="1:10">
      <c r="A29" s="72"/>
      <c r="B29" s="2"/>
      <c r="C29" s="91"/>
      <c r="D29" s="92"/>
      <c r="E29" s="2"/>
      <c r="F29" s="73"/>
    </row>
    <row r="30" spans="1:10">
      <c r="A30" s="72"/>
      <c r="B30" s="2"/>
      <c r="C30" s="2"/>
      <c r="D30" s="2"/>
      <c r="E30" s="2"/>
      <c r="F30" s="73"/>
    </row>
    <row r="31" spans="1:10">
      <c r="A31" s="169" t="s">
        <v>22</v>
      </c>
      <c r="B31" s="170"/>
      <c r="C31" s="170"/>
      <c r="D31" s="170"/>
      <c r="E31" s="172"/>
      <c r="F31" s="73"/>
    </row>
    <row r="32" spans="1:10">
      <c r="A32" s="171" t="s">
        <v>151</v>
      </c>
      <c r="B32" s="171" t="s">
        <v>148</v>
      </c>
      <c r="C32" s="171" t="s">
        <v>149</v>
      </c>
      <c r="D32" s="171" t="s">
        <v>208</v>
      </c>
      <c r="E32" s="171" t="s">
        <v>154</v>
      </c>
      <c r="F32" s="73"/>
    </row>
    <row r="33" spans="1:7">
      <c r="A33" s="166" t="s">
        <v>137</v>
      </c>
      <c r="B33" s="166" t="s">
        <v>204</v>
      </c>
      <c r="C33" s="167">
        <v>42446</v>
      </c>
      <c r="D33" s="166" t="s">
        <v>10</v>
      </c>
      <c r="E33" s="168">
        <v>12</v>
      </c>
      <c r="F33" s="73"/>
    </row>
    <row r="34" spans="1:7">
      <c r="A34" s="166" t="s">
        <v>137</v>
      </c>
      <c r="B34" s="166" t="s">
        <v>203</v>
      </c>
      <c r="C34" s="167">
        <v>42446</v>
      </c>
      <c r="D34" s="166"/>
      <c r="E34" s="168">
        <v>24</v>
      </c>
      <c r="F34" s="73"/>
    </row>
    <row r="35" spans="1:7">
      <c r="A35" s="166" t="s">
        <v>137</v>
      </c>
      <c r="B35" s="166" t="s">
        <v>198</v>
      </c>
      <c r="C35" s="167">
        <v>42445</v>
      </c>
      <c r="D35" s="166"/>
      <c r="E35" s="168">
        <v>24</v>
      </c>
      <c r="F35" s="73"/>
    </row>
    <row r="36" spans="1:7">
      <c r="A36" s="166" t="s">
        <v>137</v>
      </c>
      <c r="B36" s="166" t="s">
        <v>198</v>
      </c>
      <c r="C36" s="167">
        <v>42445</v>
      </c>
      <c r="D36" s="166"/>
      <c r="E36" s="168">
        <v>24</v>
      </c>
      <c r="F36" s="73"/>
    </row>
    <row r="37" spans="1:7">
      <c r="A37" s="166" t="s">
        <v>137</v>
      </c>
      <c r="B37" s="166" t="s">
        <v>198</v>
      </c>
      <c r="C37" s="167">
        <v>42445</v>
      </c>
      <c r="D37" s="166"/>
      <c r="E37" s="168">
        <v>5.5</v>
      </c>
      <c r="F37" s="73"/>
    </row>
    <row r="38" spans="1:7">
      <c r="F38" s="73"/>
    </row>
    <row r="39" spans="1:7">
      <c r="A39" s="72"/>
      <c r="B39" s="2"/>
      <c r="C39" s="105"/>
      <c r="D39" s="92"/>
      <c r="E39" s="2"/>
      <c r="F39" s="73"/>
    </row>
    <row r="40" spans="1:7">
      <c r="A40" s="72"/>
      <c r="B40" s="2"/>
      <c r="C40" s="105"/>
      <c r="D40" s="92"/>
      <c r="E40" s="2"/>
      <c r="F40" s="73"/>
    </row>
    <row r="41" spans="1:7">
      <c r="A41" s="69"/>
      <c r="B41" s="70"/>
      <c r="C41" s="140"/>
      <c r="D41" s="141"/>
      <c r="E41" s="70"/>
      <c r="F41" s="71"/>
    </row>
    <row r="42" spans="1:7">
      <c r="A42" s="2"/>
      <c r="B42" s="2"/>
      <c r="C42" s="105"/>
      <c r="D42" s="92"/>
      <c r="E42" s="2"/>
      <c r="F42" s="2"/>
      <c r="G42" s="2"/>
    </row>
    <row r="43" spans="1:7">
      <c r="A43" s="2"/>
      <c r="B43" s="2"/>
      <c r="C43" s="105"/>
      <c r="D43" s="92"/>
      <c r="E43" s="2"/>
      <c r="F43" s="2"/>
      <c r="G43" s="2"/>
    </row>
    <row r="44" spans="1:7">
      <c r="A44" s="2"/>
      <c r="B44" s="2"/>
      <c r="C44" s="105"/>
      <c r="D44" s="92"/>
      <c r="E44" s="2"/>
      <c r="F44" s="2"/>
      <c r="G44" s="2"/>
    </row>
    <row r="45" spans="1:7">
      <c r="A45" s="2"/>
      <c r="B45" s="2"/>
      <c r="C45" s="105"/>
      <c r="D45" s="92"/>
      <c r="E45" s="2"/>
      <c r="F45" s="2"/>
      <c r="G45" s="2"/>
    </row>
    <row r="46" spans="1:7">
      <c r="A46" s="2"/>
      <c r="B46" s="2"/>
      <c r="C46" s="105"/>
      <c r="D46" s="92"/>
      <c r="E46" s="2"/>
      <c r="F46" s="2"/>
      <c r="G46" s="2"/>
    </row>
    <row r="47" spans="1:7">
      <c r="A47" s="2"/>
      <c r="B47" s="2"/>
      <c r="C47" s="105"/>
      <c r="D47" s="9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105"/>
      <c r="D49" s="92"/>
      <c r="E49" s="2"/>
      <c r="F49" s="2"/>
      <c r="G49" s="2"/>
    </row>
    <row r="50" spans="1:7">
      <c r="A50" s="2"/>
      <c r="B50" s="2"/>
      <c r="C50" s="105"/>
      <c r="D50" s="92"/>
      <c r="E50" s="2"/>
      <c r="F50" s="2"/>
      <c r="G50" s="2"/>
    </row>
    <row r="51" spans="1:7">
      <c r="A51" s="2"/>
      <c r="B51" s="2"/>
      <c r="C51" s="105"/>
      <c r="D51" s="92"/>
      <c r="E51" s="2"/>
      <c r="F51" s="2"/>
      <c r="G51" s="2"/>
    </row>
    <row r="52" spans="1:7">
      <c r="A52" s="68"/>
      <c r="B52" s="160"/>
      <c r="C52" s="87"/>
      <c r="D52" s="161"/>
      <c r="E52" s="2"/>
      <c r="F52" s="2"/>
      <c r="G52" s="2"/>
    </row>
  </sheetData>
  <phoneticPr fontId="13" type="noConversion"/>
  <dataValidations count="4">
    <dataValidation type="list" allowBlank="1" showInputMessage="1" showErrorMessage="1" sqref="A12">
      <formula1>type</formula1>
    </dataValidation>
    <dataValidation type="list" errorStyle="warning" allowBlank="1" showInputMessage="1" showErrorMessage="1" promptTitle="Attention aux doublons " prompt="Attention a ne pas facturer deux fois la même étape d'achèvement _x000a_" sqref="A23">
      <formula1>achevement</formula1>
    </dataValidation>
    <dataValidation type="list" allowBlank="1" showInputMessage="1" showErrorMessage="1" sqref="D26">
      <formula1>TVAf</formula1>
    </dataValidation>
    <dataValidation type="list" allowBlank="1" showInputMessage="1" showErrorMessage="1" sqref="A14">
      <formula1>NOMAFFAIRE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Paramètres!$A$2:$A$4</xm:f>
          </x14:formula1>
          <xm:sqref>A12</xm:sqref>
        </x14:dataValidation>
        <x14:dataValidation type="list" allowBlank="1" showInputMessage="1" showErrorMessage="1">
          <x14:formula1>
            <xm:f>Paramètres!$C$2:$C$8</xm:f>
          </x14:formula1>
          <xm:sqref>A23</xm:sqref>
        </x14:dataValidation>
        <x14:dataValidation type="list" allowBlank="1" showInputMessage="1" showErrorMessage="1">
          <x14:formula1>
            <xm:f>Paramètres!$A$11:$A$13</xm:f>
          </x14:formula1>
          <xm:sqref>D26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00"/>
  </sheetPr>
  <dimension ref="A1:D13"/>
  <sheetViews>
    <sheetView workbookViewId="0">
      <selection activeCell="H5" sqref="H3:I5"/>
    </sheetView>
  </sheetViews>
  <sheetFormatPr baseColWidth="10" defaultRowHeight="15" x14ac:dyDescent="0"/>
  <cols>
    <col min="3" max="3" width="52" bestFit="1" customWidth="1"/>
    <col min="4" max="4" width="13.1640625" bestFit="1" customWidth="1"/>
  </cols>
  <sheetData>
    <row r="1" spans="1:4">
      <c r="A1" s="1" t="s">
        <v>1</v>
      </c>
      <c r="C1" s="1" t="s">
        <v>8</v>
      </c>
      <c r="D1" s="1" t="s">
        <v>25</v>
      </c>
    </row>
    <row r="2" spans="1:4">
      <c r="A2" t="s">
        <v>161</v>
      </c>
      <c r="C2" t="s">
        <v>15</v>
      </c>
      <c r="D2" s="14">
        <v>0.05</v>
      </c>
    </row>
    <row r="3" spans="1:4">
      <c r="A3" t="s">
        <v>2</v>
      </c>
      <c r="C3" t="s">
        <v>9</v>
      </c>
      <c r="D3" s="14">
        <v>0.15</v>
      </c>
    </row>
    <row r="4" spans="1:4">
      <c r="A4" t="s">
        <v>27</v>
      </c>
      <c r="C4" t="s">
        <v>10</v>
      </c>
      <c r="D4" s="15">
        <v>0.1</v>
      </c>
    </row>
    <row r="5" spans="1:4">
      <c r="C5" t="s">
        <v>11</v>
      </c>
      <c r="D5" s="15">
        <v>0.15</v>
      </c>
    </row>
    <row r="6" spans="1:4">
      <c r="C6" t="s">
        <v>12</v>
      </c>
      <c r="D6" s="15">
        <v>0.2</v>
      </c>
    </row>
    <row r="7" spans="1:4">
      <c r="C7" t="s">
        <v>13</v>
      </c>
      <c r="D7" s="15">
        <v>0.15</v>
      </c>
    </row>
    <row r="8" spans="1:4">
      <c r="C8" t="s">
        <v>14</v>
      </c>
      <c r="D8" s="15">
        <v>0.2</v>
      </c>
    </row>
    <row r="10" spans="1:4">
      <c r="A10" s="1" t="s">
        <v>20</v>
      </c>
      <c r="C10" s="1"/>
    </row>
    <row r="11" spans="1:4">
      <c r="A11" s="5">
        <v>5.5E-2</v>
      </c>
    </row>
    <row r="12" spans="1:4">
      <c r="A12" s="3">
        <v>0.1</v>
      </c>
    </row>
    <row r="13" spans="1:4">
      <c r="A13" s="3">
        <v>0.2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2:I18"/>
  <sheetViews>
    <sheetView topLeftCell="C1" zoomScale="90" zoomScaleNormal="90" zoomScalePageLayoutView="90" workbookViewId="0"/>
  </sheetViews>
  <sheetFormatPr baseColWidth="10" defaultRowHeight="14" x14ac:dyDescent="0"/>
  <cols>
    <col min="1" max="2" width="14.83203125" style="18" customWidth="1"/>
    <col min="3" max="3" width="17.6640625" style="18" bestFit="1" customWidth="1"/>
    <col min="4" max="4" width="14.6640625" style="18" customWidth="1"/>
    <col min="5" max="5" width="15" style="18" customWidth="1"/>
    <col min="6" max="6" width="16" style="18" bestFit="1" customWidth="1"/>
    <col min="7" max="7" width="22.83203125" style="18" bestFit="1" customWidth="1"/>
    <col min="8" max="8" width="20" style="18" customWidth="1"/>
    <col min="9" max="9" width="24.5" style="18" customWidth="1"/>
    <col min="10" max="16384" width="10.83203125" style="18"/>
  </cols>
  <sheetData>
    <row r="2" spans="1:9" ht="28">
      <c r="C2" s="31" t="s">
        <v>33</v>
      </c>
      <c r="D2" s="30"/>
      <c r="E2" s="30"/>
      <c r="F2" s="29"/>
    </row>
    <row r="7" spans="1:9" ht="29.25" customHeight="1">
      <c r="A7" s="28" t="s">
        <v>28</v>
      </c>
      <c r="B7" s="66" t="s">
        <v>147</v>
      </c>
      <c r="C7" s="64" t="s">
        <v>144</v>
      </c>
      <c r="D7" s="65" t="s">
        <v>146</v>
      </c>
      <c r="E7" s="64" t="s">
        <v>145</v>
      </c>
      <c r="F7" s="27" t="s">
        <v>32</v>
      </c>
      <c r="G7" s="26" t="s">
        <v>31</v>
      </c>
      <c r="H7" s="25" t="s">
        <v>30</v>
      </c>
      <c r="I7" s="24" t="s">
        <v>29</v>
      </c>
    </row>
    <row r="8" spans="1:9" ht="15">
      <c r="A8" s="23" t="s">
        <v>137</v>
      </c>
      <c r="B8" s="23">
        <v>52</v>
      </c>
      <c r="C8" s="38">
        <v>1</v>
      </c>
      <c r="D8" s="22">
        <f t="shared" ref="D8:D16" ca="1" si="0">TODAY()</f>
        <v>42461</v>
      </c>
      <c r="E8" s="63">
        <v>100</v>
      </c>
      <c r="F8" s="21">
        <f ca="1">SUMIF(TableauFacCLient[],'BDD devis'!A8,TableauFacCLient[[#All],[Montant HT ]])</f>
        <v>50</v>
      </c>
      <c r="G8" s="21"/>
      <c r="H8" s="20"/>
      <c r="I8" s="19"/>
    </row>
    <row r="9" spans="1:9" ht="15">
      <c r="A9" s="23" t="s">
        <v>137</v>
      </c>
      <c r="B9" s="23">
        <v>53</v>
      </c>
      <c r="C9" s="38">
        <v>2</v>
      </c>
      <c r="D9" s="22">
        <f t="shared" ca="1" si="0"/>
        <v>42461</v>
      </c>
      <c r="E9" s="63">
        <v>120</v>
      </c>
      <c r="F9" s="21">
        <f ca="1">SUMIF(TableauFacCLient[],'BDD devis'!A9,TableauFacCLient[[#All],[Montant HT ]])</f>
        <v>50</v>
      </c>
      <c r="G9" s="21"/>
      <c r="H9" s="20"/>
      <c r="I9" s="19"/>
    </row>
    <row r="10" spans="1:9" ht="15">
      <c r="A10" s="23" t="s">
        <v>138</v>
      </c>
      <c r="B10" s="23">
        <v>54</v>
      </c>
      <c r="C10" s="38">
        <v>3</v>
      </c>
      <c r="D10" s="22">
        <f t="shared" ca="1" si="0"/>
        <v>42461</v>
      </c>
      <c r="E10" s="63">
        <v>140</v>
      </c>
      <c r="F10" s="21">
        <f ca="1">SUMIF(TableauFacCLient[],'BDD devis'!A10,TableauFacCLient[[#All],[Montant HT ]])</f>
        <v>0</v>
      </c>
      <c r="G10" s="21"/>
      <c r="H10" s="20"/>
      <c r="I10" s="19"/>
    </row>
    <row r="11" spans="1:9" ht="15">
      <c r="A11" s="23" t="s">
        <v>139</v>
      </c>
      <c r="B11" s="23">
        <v>55</v>
      </c>
      <c r="C11" s="38">
        <v>4</v>
      </c>
      <c r="D11" s="22">
        <f t="shared" ca="1" si="0"/>
        <v>42461</v>
      </c>
      <c r="E11" s="63">
        <v>160</v>
      </c>
      <c r="F11" s="21">
        <f ca="1">SUMIF(TableauFacCLient[],'BDD devis'!A11,TableauFacCLient[[#All],[Montant HT ]])</f>
        <v>0</v>
      </c>
      <c r="G11" s="63"/>
      <c r="H11" s="20"/>
      <c r="I11" s="19"/>
    </row>
    <row r="12" spans="1:9" ht="15">
      <c r="A12" s="23" t="s">
        <v>140</v>
      </c>
      <c r="B12" s="23">
        <v>56</v>
      </c>
      <c r="C12" s="38">
        <v>5</v>
      </c>
      <c r="D12" s="22">
        <f t="shared" ca="1" si="0"/>
        <v>42461</v>
      </c>
      <c r="E12" s="63">
        <v>180</v>
      </c>
      <c r="F12" s="21">
        <f ca="1">SUMIF(TableauFacCLient[],'BDD devis'!A12,TableauFacCLient[[#All],[Montant HT ]])</f>
        <v>0</v>
      </c>
      <c r="G12" s="63"/>
      <c r="H12" s="20"/>
      <c r="I12" s="19"/>
    </row>
    <row r="13" spans="1:9" ht="15">
      <c r="A13" s="23" t="s">
        <v>137</v>
      </c>
      <c r="B13" s="23">
        <v>57</v>
      </c>
      <c r="C13" s="38">
        <v>6</v>
      </c>
      <c r="D13" s="22">
        <f t="shared" ca="1" si="0"/>
        <v>42461</v>
      </c>
      <c r="E13" s="63">
        <v>200</v>
      </c>
      <c r="F13" s="21">
        <f ca="1">SUMIF(TableauFacCLient[],'BDD devis'!A13,TableauFacCLient[[#All],[Montant HT ]])</f>
        <v>50</v>
      </c>
      <c r="G13" s="63"/>
      <c r="H13" s="20"/>
      <c r="I13" s="19"/>
    </row>
    <row r="14" spans="1:9" ht="15">
      <c r="A14" s="23" t="s">
        <v>141</v>
      </c>
      <c r="B14" s="23">
        <v>58</v>
      </c>
      <c r="C14" s="38"/>
      <c r="D14" s="22">
        <f t="shared" ca="1" si="0"/>
        <v>42461</v>
      </c>
      <c r="E14" s="63">
        <v>220</v>
      </c>
      <c r="F14" s="21">
        <f ca="1">SUMIF(TableauFacCLient[],'BDD devis'!A14,TableauFacCLient[[#All],[Montant HT ]])</f>
        <v>0</v>
      </c>
      <c r="G14" s="63"/>
      <c r="H14" s="20"/>
      <c r="I14" s="19"/>
    </row>
    <row r="15" spans="1:9" ht="15">
      <c r="A15" s="23" t="s">
        <v>142</v>
      </c>
      <c r="B15" s="23">
        <v>59</v>
      </c>
      <c r="C15" s="38"/>
      <c r="D15" s="22">
        <f t="shared" ca="1" si="0"/>
        <v>42461</v>
      </c>
      <c r="E15" s="63">
        <v>240</v>
      </c>
      <c r="F15" s="21">
        <f ca="1">SUMIF(TableauFacCLient[],'BDD devis'!A15,TableauFacCLient[[#All],[Montant HT ]])</f>
        <v>0</v>
      </c>
      <c r="G15" s="63"/>
      <c r="H15" s="20"/>
      <c r="I15" s="19"/>
    </row>
    <row r="16" spans="1:9" ht="15">
      <c r="A16" s="23" t="s">
        <v>143</v>
      </c>
      <c r="B16" s="23"/>
      <c r="C16" s="38"/>
      <c r="D16" s="22">
        <f t="shared" ca="1" si="0"/>
        <v>42461</v>
      </c>
      <c r="E16" s="63">
        <v>260</v>
      </c>
      <c r="F16" s="21">
        <f ca="1">SUMIF(TableauFacCLient[],'BDD devis'!A16,TableauFacCLient[[#All],[Montant HT ]])</f>
        <v>0</v>
      </c>
      <c r="G16" s="63"/>
      <c r="H16" s="20"/>
      <c r="I16" s="19"/>
    </row>
    <row r="17" spans="1:9" ht="15">
      <c r="A17"/>
      <c r="B17"/>
      <c r="C17"/>
      <c r="D17"/>
      <c r="E17"/>
      <c r="F17"/>
      <c r="G17"/>
      <c r="H17" s="20"/>
      <c r="I17" s="19"/>
    </row>
    <row r="18" spans="1:9" ht="15">
      <c r="A18"/>
      <c r="B18"/>
      <c r="C18"/>
      <c r="D18"/>
      <c r="E18"/>
      <c r="F18"/>
      <c r="G18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FF0000"/>
  </sheetPr>
  <dimension ref="A2:E13"/>
  <sheetViews>
    <sheetView workbookViewId="0">
      <selection activeCell="B11" sqref="B11"/>
    </sheetView>
  </sheetViews>
  <sheetFormatPr baseColWidth="10" defaultRowHeight="14" x14ac:dyDescent="0"/>
  <cols>
    <col min="1" max="1" width="26" style="18" customWidth="1"/>
    <col min="2" max="2" width="12.1640625" style="18" customWidth="1"/>
    <col min="3" max="3" width="12.33203125" style="18" bestFit="1" customWidth="1"/>
    <col min="4" max="4" width="10.6640625" style="18" customWidth="1"/>
    <col min="5" max="5" width="14.5" style="18" customWidth="1"/>
    <col min="6" max="6" width="10.1640625" style="18" customWidth="1"/>
    <col min="7" max="16384" width="10.83203125" style="18"/>
  </cols>
  <sheetData>
    <row r="2" spans="1:5" ht="28">
      <c r="B2" s="31" t="s">
        <v>43</v>
      </c>
      <c r="C2" s="30"/>
      <c r="D2" s="30"/>
      <c r="E2" s="29"/>
    </row>
    <row r="5" spans="1:5" ht="18">
      <c r="A5" s="37" t="s">
        <v>42</v>
      </c>
      <c r="B5" s="37" t="s">
        <v>41</v>
      </c>
    </row>
    <row r="6" spans="1:5" ht="15">
      <c r="A6" s="35" t="s">
        <v>40</v>
      </c>
      <c r="B6" s="34">
        <v>0.15</v>
      </c>
    </row>
    <row r="7" spans="1:5" ht="15">
      <c r="A7" s="35" t="s">
        <v>39</v>
      </c>
      <c r="B7" s="34">
        <v>0.1</v>
      </c>
    </row>
    <row r="8" spans="1:5" ht="15">
      <c r="A8" s="35" t="s">
        <v>38</v>
      </c>
      <c r="B8" s="34">
        <v>0.15</v>
      </c>
    </row>
    <row r="9" spans="1:5" ht="15">
      <c r="A9" s="35" t="s">
        <v>12</v>
      </c>
      <c r="B9" s="34">
        <v>0.2</v>
      </c>
    </row>
    <row r="10" spans="1:5" ht="28">
      <c r="A10" s="36" t="s">
        <v>37</v>
      </c>
      <c r="B10" s="34">
        <v>0.15</v>
      </c>
    </row>
    <row r="11" spans="1:5" ht="42">
      <c r="A11" s="36" t="s">
        <v>36</v>
      </c>
      <c r="B11" s="34">
        <v>0.2</v>
      </c>
    </row>
    <row r="12" spans="1:5" ht="15">
      <c r="A12" s="35" t="s">
        <v>35</v>
      </c>
      <c r="B12" s="34">
        <v>0.05</v>
      </c>
    </row>
    <row r="13" spans="1:5">
      <c r="A13" s="33" t="s">
        <v>34</v>
      </c>
      <c r="B13" s="32">
        <f>SUM(B6:B12)</f>
        <v>1.0000000000000002</v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00"/>
  </sheetPr>
  <dimension ref="A2:O41"/>
  <sheetViews>
    <sheetView zoomScale="90" zoomScaleNormal="90" zoomScalePageLayoutView="90" workbookViewId="0">
      <selection activeCell="N8" sqref="N8"/>
    </sheetView>
  </sheetViews>
  <sheetFormatPr baseColWidth="10" defaultRowHeight="14" x14ac:dyDescent="0"/>
  <cols>
    <col min="1" max="1" width="10.83203125" style="18" customWidth="1"/>
    <col min="2" max="2" width="12" style="18" customWidth="1"/>
    <col min="3" max="3" width="9.1640625" style="18" customWidth="1"/>
    <col min="4" max="4" width="21.6640625" style="18" customWidth="1"/>
    <col min="5" max="5" width="19.33203125" style="18" customWidth="1"/>
    <col min="6" max="6" width="18.6640625" style="18" customWidth="1"/>
    <col min="7" max="7" width="11.83203125" style="18" customWidth="1"/>
    <col min="8" max="9" width="12.83203125" style="18" customWidth="1"/>
    <col min="10" max="10" width="13.5" style="18" customWidth="1"/>
    <col min="11" max="13" width="17.33203125" style="18" customWidth="1"/>
    <col min="14" max="14" width="10.6640625" style="18" customWidth="1"/>
    <col min="15" max="16384" width="10.83203125" style="18"/>
  </cols>
  <sheetData>
    <row r="2" spans="1:15" ht="18">
      <c r="A2" s="153" t="s">
        <v>199</v>
      </c>
      <c r="B2" s="154"/>
      <c r="C2" s="154"/>
      <c r="D2" s="154"/>
      <c r="E2" s="154"/>
      <c r="F2" s="154"/>
      <c r="G2" s="154"/>
      <c r="H2" s="154"/>
      <c r="I2" s="154"/>
    </row>
    <row r="3" spans="1:15" ht="15">
      <c r="B3"/>
      <c r="C3"/>
      <c r="D3"/>
      <c r="E3"/>
      <c r="F3"/>
      <c r="G3"/>
      <c r="H3"/>
    </row>
    <row r="4" spans="1:15" ht="30">
      <c r="A4" s="40" t="s">
        <v>48</v>
      </c>
      <c r="B4" s="39">
        <f ca="1">TODAY()</f>
        <v>42461</v>
      </c>
    </row>
    <row r="6" spans="1:15" ht="15">
      <c r="A6"/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 ht="41.25" customHeight="1">
      <c r="A7" s="67" t="s">
        <v>148</v>
      </c>
      <c r="B7" s="107" t="s">
        <v>149</v>
      </c>
      <c r="C7" s="67" t="s">
        <v>150</v>
      </c>
      <c r="D7" s="67" t="s">
        <v>151</v>
      </c>
      <c r="E7" s="165" t="s">
        <v>208</v>
      </c>
      <c r="F7" s="108" t="s">
        <v>152</v>
      </c>
      <c r="G7" s="110" t="s">
        <v>153</v>
      </c>
      <c r="H7" s="108" t="s">
        <v>154</v>
      </c>
      <c r="I7" s="109" t="s">
        <v>160</v>
      </c>
      <c r="J7" s="108" t="s">
        <v>155</v>
      </c>
      <c r="K7" s="107" t="s">
        <v>156</v>
      </c>
      <c r="L7" s="163" t="s">
        <v>207</v>
      </c>
      <c r="M7" s="163" t="s">
        <v>206</v>
      </c>
      <c r="N7" s="67" t="s">
        <v>157</v>
      </c>
      <c r="O7"/>
    </row>
    <row r="8" spans="1:15" ht="15">
      <c r="A8" t="s">
        <v>205</v>
      </c>
      <c r="B8" s="4">
        <v>42386</v>
      </c>
      <c r="C8">
        <v>1</v>
      </c>
      <c r="D8" t="s">
        <v>137</v>
      </c>
      <c r="E8" t="s">
        <v>15</v>
      </c>
      <c r="F8" s="103">
        <v>5</v>
      </c>
      <c r="G8" s="106">
        <v>0.2</v>
      </c>
      <c r="H8" s="103">
        <v>6</v>
      </c>
      <c r="I8" s="103"/>
      <c r="J8" s="103">
        <f>TableauFacCLient[[Montant TTC ]]-TableauFacCLient[[Montant réglé ]]</f>
        <v>6</v>
      </c>
      <c r="K8" s="4">
        <f>EOMONTH(TableauFacCLient[[#This Row],[Date ]],1)</f>
        <v>42429</v>
      </c>
      <c r="L8" s="164">
        <f ca="1">$B$4-TableauFacCLient[[#This Row],[Date d''échéance ]]</f>
        <v>32</v>
      </c>
      <c r="M8" s="4"/>
      <c r="N8" s="164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2</v>
      </c>
      <c r="O8"/>
    </row>
    <row r="9" spans="1:15" ht="15">
      <c r="A9" t="s">
        <v>204</v>
      </c>
      <c r="B9" s="4">
        <v>42429</v>
      </c>
      <c r="C9">
        <v>2</v>
      </c>
      <c r="D9" t="s">
        <v>137</v>
      </c>
      <c r="E9" t="s">
        <v>10</v>
      </c>
      <c r="F9" s="103">
        <v>10</v>
      </c>
      <c r="G9" s="106">
        <v>0.2</v>
      </c>
      <c r="H9" s="103">
        <v>12</v>
      </c>
      <c r="I9" s="103"/>
      <c r="J9" s="103">
        <f>TableauFacCLient[[Montant TTC ]]-TableauFacCLient[[Montant réglé ]]</f>
        <v>12</v>
      </c>
      <c r="K9" s="4">
        <f>EOMONTH(TableauFacCLient[[#This Row],[Date ]],1)</f>
        <v>42460</v>
      </c>
      <c r="L9" s="164">
        <f ca="1">$B$4-TableauFacCLient[[#This Row],[Date d''échéance ]]</f>
        <v>1</v>
      </c>
      <c r="M9" s="4"/>
      <c r="N9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  <c r="O9"/>
    </row>
    <row r="10" spans="1:15" ht="15">
      <c r="A10" t="s">
        <v>203</v>
      </c>
      <c r="B10" s="4">
        <v>42446</v>
      </c>
      <c r="C10">
        <v>1</v>
      </c>
      <c r="D10" t="s">
        <v>137</v>
      </c>
      <c r="E10" t="s">
        <v>12</v>
      </c>
      <c r="F10" s="103">
        <v>20</v>
      </c>
      <c r="G10" s="106">
        <v>0.2</v>
      </c>
      <c r="H10" s="103">
        <v>24</v>
      </c>
      <c r="I10" s="103"/>
      <c r="J10" s="103">
        <f>TableauFacCLient[[Montant TTC ]]-TableauFacCLient[[Montant réglé ]]</f>
        <v>24</v>
      </c>
      <c r="K10" s="4">
        <f>EOMONTH(TableauFacCLient[[#This Row],[Date ]],1)</f>
        <v>42490</v>
      </c>
      <c r="L10" s="164">
        <f ca="1">$B$4-TableauFacCLient[[#This Row],[Date d''échéance ]]</f>
        <v>-29</v>
      </c>
      <c r="M10" s="4"/>
      <c r="N10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1" spans="1:15" ht="15">
      <c r="A11" t="s">
        <v>198</v>
      </c>
      <c r="B11" s="4">
        <v>42445</v>
      </c>
      <c r="C11">
        <v>2</v>
      </c>
      <c r="D11" t="s">
        <v>137</v>
      </c>
      <c r="E11" t="s">
        <v>12</v>
      </c>
      <c r="F11" s="103">
        <v>20</v>
      </c>
      <c r="G11" s="106">
        <v>0.2</v>
      </c>
      <c r="H11" s="103">
        <v>24</v>
      </c>
      <c r="I11" s="103">
        <v>20</v>
      </c>
      <c r="J11" s="103">
        <f>TableauFacCLient[[Montant TTC ]]-TableauFacCLient[[Montant réglé ]]</f>
        <v>4</v>
      </c>
      <c r="K11" s="4">
        <f>EOMONTH(TableauFacCLient[[#This Row],[Date ]],1)</f>
        <v>42490</v>
      </c>
      <c r="L11" s="164">
        <f ca="1">$B$4-TableauFacCLient[[#This Row],[Date d''échéance ]]</f>
        <v>-29</v>
      </c>
      <c r="M11" s="4"/>
      <c r="N11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2" spans="1:15" ht="15">
      <c r="A12" t="s">
        <v>198</v>
      </c>
      <c r="B12" s="4">
        <v>42445</v>
      </c>
      <c r="C12">
        <v>6</v>
      </c>
      <c r="D12" t="s">
        <v>137</v>
      </c>
      <c r="E12" t="s">
        <v>12</v>
      </c>
      <c r="F12" s="103">
        <v>20</v>
      </c>
      <c r="G12" s="106">
        <v>0.2</v>
      </c>
      <c r="H12" s="103">
        <v>24</v>
      </c>
      <c r="I12" s="103"/>
      <c r="J12" s="103">
        <f>TableauFacCLient[[Montant TTC ]]-TableauFacCLient[[Montant réglé ]]</f>
        <v>24</v>
      </c>
      <c r="K12" s="4">
        <f>EOMONTH(TableauFacCLient[[#This Row],[Date ]],1)</f>
        <v>42490</v>
      </c>
      <c r="L12" s="164">
        <f ca="1">$B$4-TableauFacCLient[[#This Row],[Date d''échéance ]]</f>
        <v>-29</v>
      </c>
      <c r="M12" s="103"/>
      <c r="N12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3" spans="1:15" ht="15">
      <c r="A13" t="s">
        <v>198</v>
      </c>
      <c r="B13" s="4">
        <v>42445</v>
      </c>
      <c r="C13">
        <v>3</v>
      </c>
      <c r="D13" t="s">
        <v>138</v>
      </c>
      <c r="E13" t="s">
        <v>12</v>
      </c>
      <c r="F13" s="103">
        <v>28</v>
      </c>
      <c r="G13" s="106">
        <v>0.2</v>
      </c>
      <c r="H13" s="103">
        <v>33.6</v>
      </c>
      <c r="I13" s="103">
        <v>30</v>
      </c>
      <c r="J13" s="103">
        <f>TableauFacCLient[[Montant TTC ]]-TableauFacCLient[[Montant réglé ]]</f>
        <v>3.6000000000000014</v>
      </c>
      <c r="K13" s="4">
        <f>EOMONTH(TableauFacCLient[[#This Row],[Date ]],1)</f>
        <v>42490</v>
      </c>
      <c r="L13" s="164">
        <f ca="1">$B$4-TableauFacCLient[[#This Row],[Date d''échéance ]]</f>
        <v>-29</v>
      </c>
      <c r="M13" s="155"/>
      <c r="N13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4" spans="1:15" ht="15">
      <c r="A14" t="s">
        <v>198</v>
      </c>
      <c r="B14" s="4">
        <v>42445</v>
      </c>
      <c r="C14">
        <v>1</v>
      </c>
      <c r="D14" t="s">
        <v>137</v>
      </c>
      <c r="E14" t="s">
        <v>15</v>
      </c>
      <c r="F14" s="103">
        <v>5</v>
      </c>
      <c r="G14" s="106">
        <v>0.1</v>
      </c>
      <c r="H14" s="103">
        <v>5.5</v>
      </c>
      <c r="I14" s="103">
        <v>2.2999999999999998</v>
      </c>
      <c r="J14" s="103">
        <f>TableauFacCLient[[Montant TTC ]]-TableauFacCLient[[Montant réglé ]]</f>
        <v>3.2</v>
      </c>
      <c r="K14" s="4">
        <f>EOMONTH(TableauFacCLient[[#This Row],[Date ]],1)</f>
        <v>42490</v>
      </c>
      <c r="L14" s="164">
        <f ca="1">$B$4-TableauFacCLient[[#This Row],[Date d''échéance ]]</f>
        <v>-29</v>
      </c>
      <c r="M14" s="4"/>
      <c r="N14" s="164" t="str">
        <f ca="1">IF(OR(TableauFacCLient[[#This Row],[Réglé le ]],TableauFacCLient[[#This Row],[Différence entre la date du jour et la date d''échéance ]])="","",IF(AND(TableauFacCLient[[#This Row],[Différence entre la date du jour et la date d''échéance ]]&gt;17,TableauFacCLient[[#This Row],[Réglé le ]]=""),2,IF(AND(TableauFacCLient[[#This Row],[Différence entre la date du jour et la date d''échéance ]]&gt;7,TableauFacCLient[[#This Row],[Réglé le ]]=""),1,"Aucune Relance")))</f>
        <v>Aucune Relance</v>
      </c>
    </row>
    <row r="15" spans="1:15" ht="1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5" ht="1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ht="1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ht="1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ht="1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1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1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ht="1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ht="1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1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1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FF0000"/>
  </sheetPr>
  <dimension ref="A2:I25"/>
  <sheetViews>
    <sheetView workbookViewId="0">
      <selection activeCell="J8" sqref="J8"/>
    </sheetView>
  </sheetViews>
  <sheetFormatPr baseColWidth="10" defaultRowHeight="14" x14ac:dyDescent="0"/>
  <cols>
    <col min="1" max="1" width="12" style="18" bestFit="1" customWidth="1"/>
    <col min="2" max="2" width="24.1640625" style="18" customWidth="1"/>
    <col min="3" max="3" width="10.83203125" style="18" customWidth="1"/>
    <col min="4" max="4" width="15" style="18" customWidth="1"/>
    <col min="5" max="5" width="12.5" style="18" customWidth="1"/>
    <col min="6" max="6" width="11.5" style="18" customWidth="1"/>
    <col min="7" max="7" width="17.6640625" style="18" customWidth="1"/>
    <col min="8" max="8" width="14" style="18" customWidth="1"/>
    <col min="9" max="16384" width="10.83203125" style="18"/>
  </cols>
  <sheetData>
    <row r="2" spans="1:8" ht="28">
      <c r="C2" s="31" t="s">
        <v>133</v>
      </c>
      <c r="D2" s="30"/>
      <c r="E2" s="30"/>
      <c r="F2" s="29"/>
    </row>
    <row r="6" spans="1:8" ht="18">
      <c r="B6" s="57"/>
      <c r="C6" s="57"/>
      <c r="D6" s="57"/>
      <c r="E6" s="57"/>
      <c r="F6" s="57"/>
      <c r="G6" s="57"/>
      <c r="H6" s="57"/>
    </row>
    <row r="7" spans="1:8" ht="29" thickBot="1">
      <c r="A7" s="56" t="s">
        <v>132</v>
      </c>
      <c r="B7" s="55" t="s">
        <v>45</v>
      </c>
      <c r="C7" s="53" t="s">
        <v>131</v>
      </c>
      <c r="D7" s="54" t="s">
        <v>130</v>
      </c>
      <c r="E7" s="53" t="s">
        <v>129</v>
      </c>
      <c r="F7" s="53" t="s">
        <v>128</v>
      </c>
      <c r="G7" s="52" t="s">
        <v>46</v>
      </c>
      <c r="H7" s="51" t="s">
        <v>44</v>
      </c>
    </row>
    <row r="8" spans="1:8" ht="30">
      <c r="A8" s="45">
        <v>1</v>
      </c>
      <c r="B8" s="50" t="s">
        <v>127</v>
      </c>
      <c r="C8" s="48" t="s">
        <v>126</v>
      </c>
      <c r="D8" s="48" t="s">
        <v>125</v>
      </c>
      <c r="E8" s="49"/>
      <c r="F8" s="49"/>
      <c r="G8" s="48" t="s">
        <v>124</v>
      </c>
    </row>
    <row r="9" spans="1:8" ht="20">
      <c r="A9" s="44">
        <v>2</v>
      </c>
      <c r="B9" s="41" t="s">
        <v>123</v>
      </c>
      <c r="C9" s="46" t="s">
        <v>122</v>
      </c>
      <c r="D9" s="46" t="s">
        <v>121</v>
      </c>
      <c r="E9" s="42">
        <v>565610528</v>
      </c>
      <c r="F9" s="42">
        <v>565614098</v>
      </c>
      <c r="G9" s="46" t="s">
        <v>120</v>
      </c>
    </row>
    <row r="10" spans="1:8" ht="15" thickBot="1">
      <c r="A10" s="43">
        <v>3</v>
      </c>
      <c r="B10" s="41" t="s">
        <v>119</v>
      </c>
      <c r="C10" s="46" t="s">
        <v>118</v>
      </c>
      <c r="D10" s="46" t="s">
        <v>117</v>
      </c>
      <c r="E10" s="42" t="s">
        <v>116</v>
      </c>
      <c r="F10" s="42" t="s">
        <v>115</v>
      </c>
      <c r="G10" s="46" t="s">
        <v>114</v>
      </c>
    </row>
    <row r="11" spans="1:8" ht="20">
      <c r="A11" s="45">
        <v>4</v>
      </c>
      <c r="B11" s="41" t="s">
        <v>113</v>
      </c>
      <c r="C11" s="41" t="s">
        <v>112</v>
      </c>
      <c r="D11" s="41" t="s">
        <v>111</v>
      </c>
      <c r="E11" s="42" t="s">
        <v>110</v>
      </c>
      <c r="F11" s="42"/>
      <c r="G11" s="41" t="s">
        <v>109</v>
      </c>
    </row>
    <row r="12" spans="1:8" ht="30">
      <c r="A12" s="44">
        <v>5</v>
      </c>
      <c r="B12" s="41" t="s">
        <v>108</v>
      </c>
      <c r="C12" s="41" t="s">
        <v>107</v>
      </c>
      <c r="D12" s="41" t="s">
        <v>106</v>
      </c>
      <c r="E12" s="42" t="s">
        <v>105</v>
      </c>
      <c r="F12" s="42" t="s">
        <v>104</v>
      </c>
      <c r="G12" s="41" t="s">
        <v>103</v>
      </c>
    </row>
    <row r="13" spans="1:8" ht="15" thickBot="1">
      <c r="A13" s="43">
        <v>6</v>
      </c>
      <c r="B13" s="41" t="s">
        <v>102</v>
      </c>
      <c r="C13" s="41" t="s">
        <v>101</v>
      </c>
      <c r="D13" s="41" t="s">
        <v>100</v>
      </c>
      <c r="E13" s="42" t="s">
        <v>99</v>
      </c>
      <c r="F13" s="42"/>
      <c r="G13" s="47"/>
    </row>
    <row r="14" spans="1:8" ht="20">
      <c r="A14" s="45">
        <v>7</v>
      </c>
      <c r="B14" s="41" t="s">
        <v>98</v>
      </c>
      <c r="C14" s="41" t="s">
        <v>97</v>
      </c>
      <c r="D14" s="41" t="s">
        <v>96</v>
      </c>
      <c r="E14" s="42" t="s">
        <v>95</v>
      </c>
      <c r="F14" s="42" t="s">
        <v>94</v>
      </c>
      <c r="G14" s="41" t="s">
        <v>93</v>
      </c>
    </row>
    <row r="15" spans="1:8">
      <c r="A15" s="44">
        <v>8</v>
      </c>
      <c r="B15" s="41" t="s">
        <v>92</v>
      </c>
      <c r="C15" s="41" t="s">
        <v>91</v>
      </c>
      <c r="D15" s="41" t="s">
        <v>90</v>
      </c>
      <c r="E15" s="42" t="s">
        <v>89</v>
      </c>
      <c r="F15" s="42" t="s">
        <v>88</v>
      </c>
      <c r="G15" s="41" t="s">
        <v>87</v>
      </c>
    </row>
    <row r="16" spans="1:8" ht="31" thickBot="1">
      <c r="A16" s="43">
        <v>9</v>
      </c>
      <c r="B16" s="41" t="s">
        <v>86</v>
      </c>
      <c r="C16" s="41" t="s">
        <v>85</v>
      </c>
      <c r="D16" s="41" t="s">
        <v>84</v>
      </c>
      <c r="E16" s="42" t="s">
        <v>83</v>
      </c>
      <c r="F16" s="42" t="s">
        <v>82</v>
      </c>
      <c r="G16" s="41" t="s">
        <v>64</v>
      </c>
    </row>
    <row r="17" spans="1:9" ht="20">
      <c r="A17" s="45">
        <v>10</v>
      </c>
      <c r="B17" s="46" t="s">
        <v>81</v>
      </c>
      <c r="C17" s="46" t="s">
        <v>80</v>
      </c>
      <c r="D17" s="46" t="s">
        <v>79</v>
      </c>
      <c r="E17" s="46" t="s">
        <v>78</v>
      </c>
      <c r="F17" s="46" t="s">
        <v>77</v>
      </c>
      <c r="G17" s="46" t="s">
        <v>76</v>
      </c>
    </row>
    <row r="18" spans="1:9" ht="38.25" customHeight="1">
      <c r="A18" s="44">
        <v>11</v>
      </c>
      <c r="B18" s="46" t="s">
        <v>75</v>
      </c>
      <c r="C18" s="46" t="s">
        <v>74</v>
      </c>
      <c r="D18" s="46" t="s">
        <v>73</v>
      </c>
      <c r="E18" s="46" t="s">
        <v>72</v>
      </c>
      <c r="F18" s="46" t="s">
        <v>71</v>
      </c>
      <c r="G18" s="46" t="s">
        <v>70</v>
      </c>
    </row>
    <row r="19" spans="1:9" ht="21" thickBot="1">
      <c r="A19" s="43">
        <v>12</v>
      </c>
      <c r="B19" s="46" t="s">
        <v>69</v>
      </c>
      <c r="C19" s="46" t="s">
        <v>68</v>
      </c>
      <c r="D19" s="46" t="s">
        <v>67</v>
      </c>
      <c r="E19" s="46" t="s">
        <v>66</v>
      </c>
      <c r="F19" s="46" t="s">
        <v>65</v>
      </c>
      <c r="G19" s="41" t="s">
        <v>64</v>
      </c>
    </row>
    <row r="20" spans="1:9" ht="20">
      <c r="A20" s="45">
        <v>13</v>
      </c>
      <c r="B20" s="41" t="s">
        <v>63</v>
      </c>
      <c r="C20" s="41" t="s">
        <v>62</v>
      </c>
      <c r="D20" s="41" t="s">
        <v>61</v>
      </c>
      <c r="E20" s="42" t="s">
        <v>60</v>
      </c>
      <c r="F20" s="42"/>
      <c r="G20" s="41" t="s">
        <v>59</v>
      </c>
    </row>
    <row r="21" spans="1:9">
      <c r="A21" s="44">
        <v>14</v>
      </c>
      <c r="B21" s="41" t="s">
        <v>58</v>
      </c>
      <c r="C21" s="41" t="s">
        <v>57</v>
      </c>
      <c r="D21" s="41" t="s">
        <v>56</v>
      </c>
      <c r="E21" s="42" t="s">
        <v>55</v>
      </c>
      <c r="F21" s="42"/>
      <c r="G21" s="41" t="s">
        <v>54</v>
      </c>
    </row>
    <row r="22" spans="1:9" ht="20">
      <c r="A22" s="43">
        <v>15</v>
      </c>
      <c r="B22" s="41" t="s">
        <v>53</v>
      </c>
      <c r="C22" s="41" t="s">
        <v>52</v>
      </c>
      <c r="D22" s="41" t="s">
        <v>51</v>
      </c>
      <c r="E22" s="42" t="s">
        <v>50</v>
      </c>
      <c r="F22" s="42"/>
      <c r="G22" s="41" t="s">
        <v>49</v>
      </c>
    </row>
    <row r="23" spans="1:9" ht="15">
      <c r="A23"/>
      <c r="B23"/>
      <c r="C23"/>
      <c r="D23"/>
      <c r="E23"/>
      <c r="F23"/>
      <c r="G23"/>
      <c r="H23"/>
      <c r="I23"/>
    </row>
    <row r="24" spans="1:9" ht="15">
      <c r="A24"/>
      <c r="B24"/>
      <c r="C24"/>
      <c r="D24"/>
      <c r="E24"/>
      <c r="F24"/>
      <c r="G24"/>
      <c r="H24"/>
      <c r="I24"/>
    </row>
    <row r="25" spans="1:9" ht="15">
      <c r="A25"/>
      <c r="B25"/>
      <c r="C25"/>
      <c r="D25"/>
      <c r="E25"/>
      <c r="F25"/>
      <c r="G25"/>
      <c r="H25"/>
      <c r="I25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enableFormatConditionsCalculation="0">
    <tabColor rgb="FFFF0000"/>
  </sheetPr>
  <dimension ref="B2:K18"/>
  <sheetViews>
    <sheetView workbookViewId="0">
      <selection activeCell="I13" sqref="I13"/>
    </sheetView>
  </sheetViews>
  <sheetFormatPr baseColWidth="10" defaultRowHeight="14" x14ac:dyDescent="0"/>
  <cols>
    <col min="1" max="1" width="16.83203125" style="18" customWidth="1"/>
    <col min="2" max="2" width="10.1640625" style="18" customWidth="1"/>
    <col min="3" max="3" width="12.5" style="18" bestFit="1" customWidth="1"/>
    <col min="4" max="4" width="10.83203125" style="18" customWidth="1"/>
    <col min="5" max="5" width="14.33203125" style="18" customWidth="1"/>
    <col min="6" max="6" width="13" style="18" bestFit="1" customWidth="1"/>
    <col min="7" max="7" width="13" style="18" customWidth="1"/>
    <col min="8" max="8" width="10.83203125" style="18"/>
    <col min="9" max="9" width="13.83203125" style="18" bestFit="1" customWidth="1"/>
    <col min="10" max="10" width="14.6640625" style="18" bestFit="1" customWidth="1"/>
    <col min="11" max="11" width="18.1640625" style="18" bestFit="1" customWidth="1"/>
    <col min="12" max="16384" width="10.83203125" style="18"/>
  </cols>
  <sheetData>
    <row r="2" spans="2:11" ht="28">
      <c r="C2" s="62"/>
      <c r="D2" s="31" t="s">
        <v>136</v>
      </c>
      <c r="E2" s="30"/>
      <c r="F2" s="61"/>
      <c r="G2" s="159"/>
    </row>
    <row r="6" spans="2:11" ht="22.5" customHeight="1"/>
    <row r="7" spans="2:11" ht="27" customHeight="1">
      <c r="B7" s="60" t="s">
        <v>135</v>
      </c>
      <c r="C7" s="59" t="s">
        <v>134</v>
      </c>
      <c r="D7" s="156" t="s">
        <v>200</v>
      </c>
      <c r="E7" s="157" t="s">
        <v>201</v>
      </c>
      <c r="F7" s="58" t="s">
        <v>17</v>
      </c>
      <c r="G7" s="157" t="s">
        <v>153</v>
      </c>
      <c r="H7" s="156" t="s">
        <v>154</v>
      </c>
      <c r="I7" s="156" t="s">
        <v>160</v>
      </c>
      <c r="J7" s="58" t="s">
        <v>47</v>
      </c>
      <c r="K7" s="158" t="s">
        <v>156</v>
      </c>
    </row>
    <row r="8" spans="2:11" ht="15">
      <c r="B8">
        <v>3</v>
      </c>
      <c r="C8" t="str">
        <f>IF(TableauFactFour[N° clients]="","",VLOOKUP(B8,BDDclient3[],2,FALSE))</f>
        <v xml:space="preserve">SARL LAFON </v>
      </c>
      <c r="D8" t="s">
        <v>137</v>
      </c>
      <c r="E8" s="4"/>
      <c r="F8" s="103">
        <v>30</v>
      </c>
      <c r="G8"/>
      <c r="H8" s="103">
        <f>TableauFactFour[[#This Row],[Montant HT]]*G8+F8</f>
        <v>30</v>
      </c>
      <c r="I8" s="103"/>
      <c r="J8" s="103">
        <f>TableauFactFour[[#This Row],[Montant TTC ]]-I8</f>
        <v>30</v>
      </c>
      <c r="K8" s="4" t="str">
        <f>IF(TableauFactFour[[#This Row],[Date reception ]]="","",EOMONTH(TableauFactFour[[#This Row],[Date reception ]],1))</f>
        <v/>
      </c>
    </row>
    <row r="9" spans="2:11" ht="15">
      <c r="B9"/>
      <c r="C9"/>
      <c r="D9"/>
      <c r="E9" s="4"/>
      <c r="F9" s="103"/>
      <c r="G9"/>
      <c r="H9"/>
      <c r="I9"/>
      <c r="J9"/>
      <c r="K9"/>
    </row>
    <row r="10" spans="2:11" ht="15">
      <c r="B10"/>
      <c r="C10"/>
      <c r="D10"/>
      <c r="E10"/>
      <c r="F10"/>
      <c r="G10"/>
      <c r="H10"/>
      <c r="I10"/>
      <c r="J10"/>
      <c r="K10"/>
    </row>
    <row r="11" spans="2:11" ht="15">
      <c r="B11"/>
      <c r="C11"/>
      <c r="D11"/>
      <c r="E11"/>
      <c r="F11"/>
      <c r="G11"/>
      <c r="H11"/>
      <c r="I11"/>
      <c r="J11"/>
      <c r="K11"/>
    </row>
    <row r="12" spans="2:11" ht="15">
      <c r="B12"/>
      <c r="C12"/>
      <c r="D12"/>
      <c r="E12"/>
      <c r="F12"/>
      <c r="G12"/>
      <c r="H12"/>
      <c r="I12"/>
      <c r="J12"/>
      <c r="K12"/>
    </row>
    <row r="13" spans="2:11" ht="15">
      <c r="B13"/>
      <c r="C13"/>
      <c r="D13"/>
      <c r="E13"/>
      <c r="F13"/>
      <c r="G13"/>
      <c r="H13"/>
      <c r="I13"/>
      <c r="J13"/>
      <c r="K13"/>
    </row>
    <row r="14" spans="2:11" ht="15">
      <c r="B14"/>
      <c r="C14"/>
      <c r="D14"/>
      <c r="E14"/>
      <c r="F14"/>
      <c r="G14"/>
      <c r="H14"/>
      <c r="I14"/>
      <c r="J14"/>
      <c r="K14"/>
    </row>
    <row r="15" spans="2:11" ht="15">
      <c r="B15"/>
      <c r="C15"/>
      <c r="D15"/>
      <c r="E15"/>
      <c r="F15"/>
      <c r="G15"/>
      <c r="H15"/>
      <c r="I15"/>
      <c r="J15"/>
      <c r="K15"/>
    </row>
    <row r="16" spans="2:11" ht="15">
      <c r="B16"/>
      <c r="C16"/>
      <c r="D16"/>
      <c r="E16"/>
      <c r="F16"/>
      <c r="G16"/>
      <c r="H16"/>
      <c r="I16"/>
      <c r="J16"/>
      <c r="K16"/>
    </row>
    <row r="17" spans="2:11" ht="15">
      <c r="B17"/>
      <c r="C17"/>
      <c r="D17"/>
      <c r="E17"/>
      <c r="F17"/>
      <c r="G17"/>
      <c r="H17"/>
      <c r="I17"/>
      <c r="J17"/>
      <c r="K17"/>
    </row>
    <row r="18" spans="2:11" ht="15">
      <c r="B18"/>
      <c r="C18"/>
      <c r="D18"/>
      <c r="E18"/>
      <c r="F18"/>
      <c r="G18"/>
      <c r="H18"/>
      <c r="I18"/>
      <c r="J18"/>
      <c r="K18"/>
    </row>
  </sheetData>
  <dataValidations count="3">
    <dataValidation type="list" allowBlank="1" showInputMessage="1" showErrorMessage="1" sqref="B7:B8">
      <formula1>NuméroClient</formula1>
    </dataValidation>
    <dataValidation type="list" allowBlank="1" showInputMessage="1" showErrorMessage="1" sqref="D7:D8">
      <formula1>NOMAFFAIRE</formula1>
    </dataValidation>
    <dataValidation type="list" allowBlank="1" showInputMessage="1" showErrorMessage="1" sqref="G7:G8">
      <formula1>tva</formula1>
    </dataValidation>
  </dataValidation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0</xdr:col>
                    <xdr:colOff>63500</xdr:colOff>
                    <xdr:row>1</xdr:row>
                    <xdr:rowOff>0</xdr:rowOff>
                  </from>
                  <to>
                    <xdr:col>0</xdr:col>
                    <xdr:colOff>939800</xdr:colOff>
                    <xdr:row>1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0</xdr:col>
                    <xdr:colOff>63500</xdr:colOff>
                    <xdr:row>1</xdr:row>
                    <xdr:rowOff>139700</xdr:rowOff>
                  </from>
                  <to>
                    <xdr:col>0</xdr:col>
                    <xdr:colOff>1498600</xdr:colOff>
                    <xdr:row>1</xdr:row>
                    <xdr:rowOff>444500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>
    <tabColor theme="9" tint="-0.249977111117893"/>
  </sheetPr>
  <dimension ref="A1:P18"/>
  <sheetViews>
    <sheetView tabSelected="1" zoomScale="80" zoomScaleNormal="80" zoomScalePageLayoutView="80" workbookViewId="0"/>
  </sheetViews>
  <sheetFormatPr baseColWidth="10" defaultRowHeight="14" x14ac:dyDescent="0"/>
  <cols>
    <col min="1" max="1" width="19.83203125" style="114" bestFit="1" customWidth="1"/>
    <col min="2" max="2" width="27.5" style="114" bestFit="1" customWidth="1"/>
    <col min="3" max="3" width="10.83203125" style="114" customWidth="1"/>
    <col min="4" max="4" width="12.33203125" style="114" bestFit="1" customWidth="1"/>
    <col min="5" max="5" width="10.83203125" style="114" customWidth="1"/>
    <col min="6" max="6" width="14.33203125" style="114" customWidth="1"/>
    <col min="7" max="7" width="13.1640625" style="114" bestFit="1" customWidth="1"/>
    <col min="8" max="8" width="7.83203125" style="114" customWidth="1"/>
    <col min="9" max="9" width="9" style="114" customWidth="1"/>
    <col min="10" max="10" width="16.33203125" style="114" bestFit="1" customWidth="1"/>
    <col min="11" max="11" width="6.5" style="114" customWidth="1"/>
    <col min="12" max="12" width="6.33203125" style="114" customWidth="1"/>
    <col min="13" max="13" width="11.1640625" style="114" customWidth="1"/>
    <col min="14" max="14" width="11.6640625" style="114" customWidth="1"/>
    <col min="15" max="16384" width="10.83203125" style="114"/>
  </cols>
  <sheetData>
    <row r="1" spans="1:16" ht="36">
      <c r="A1" s="124" t="s">
        <v>144</v>
      </c>
      <c r="B1" s="124" t="s">
        <v>173</v>
      </c>
      <c r="C1" s="123" t="s">
        <v>172</v>
      </c>
      <c r="D1" s="122" t="s">
        <v>171</v>
      </c>
      <c r="E1" s="123" t="s">
        <v>46</v>
      </c>
      <c r="F1" s="123" t="s">
        <v>170</v>
      </c>
      <c r="G1" s="123" t="s">
        <v>169</v>
      </c>
      <c r="H1" s="123" t="s">
        <v>168</v>
      </c>
      <c r="I1" s="122" t="s">
        <v>167</v>
      </c>
      <c r="J1" s="121" t="s">
        <v>44</v>
      </c>
    </row>
    <row r="2" spans="1:16">
      <c r="A2" s="120">
        <v>1</v>
      </c>
      <c r="B2" s="120" t="s">
        <v>174</v>
      </c>
      <c r="C2" s="126" t="s">
        <v>175</v>
      </c>
      <c r="D2" s="119" t="s">
        <v>176</v>
      </c>
      <c r="E2" s="118" t="s">
        <v>177</v>
      </c>
      <c r="F2" s="118">
        <v>48000</v>
      </c>
      <c r="G2" s="118" t="s">
        <v>196</v>
      </c>
      <c r="H2" s="118"/>
      <c r="I2" s="117">
        <v>622485315</v>
      </c>
      <c r="J2" s="116"/>
    </row>
    <row r="3" spans="1:16" ht="15">
      <c r="A3" s="127">
        <v>2</v>
      </c>
      <c r="B3" s="128" t="s">
        <v>166</v>
      </c>
      <c r="C3" s="129" t="s">
        <v>178</v>
      </c>
      <c r="D3" s="130" t="s">
        <v>179</v>
      </c>
      <c r="E3" s="131" t="s">
        <v>180</v>
      </c>
      <c r="F3" s="131">
        <v>12120</v>
      </c>
      <c r="G3" s="131" t="s">
        <v>181</v>
      </c>
      <c r="H3" s="131"/>
      <c r="I3" s="132"/>
      <c r="J3" s="133"/>
      <c r="K3" s="115"/>
      <c r="L3" s="115"/>
    </row>
    <row r="4" spans="1:16" ht="15">
      <c r="A4" s="127">
        <v>3</v>
      </c>
      <c r="B4" s="128" t="s">
        <v>165</v>
      </c>
      <c r="C4" s="129" t="s">
        <v>182</v>
      </c>
      <c r="D4" s="130" t="s">
        <v>137</v>
      </c>
      <c r="E4" s="131" t="s">
        <v>183</v>
      </c>
      <c r="F4" s="131">
        <v>15000</v>
      </c>
      <c r="G4" s="131" t="s">
        <v>184</v>
      </c>
      <c r="H4" s="131"/>
      <c r="I4" s="132"/>
      <c r="J4" s="133"/>
      <c r="K4" s="115"/>
      <c r="L4" s="115"/>
    </row>
    <row r="5" spans="1:16" ht="15">
      <c r="A5" s="127">
        <v>4</v>
      </c>
      <c r="B5" s="128" t="s">
        <v>185</v>
      </c>
      <c r="C5" s="129" t="s">
        <v>186</v>
      </c>
      <c r="D5" s="130" t="s">
        <v>187</v>
      </c>
      <c r="E5" s="131" t="s">
        <v>188</v>
      </c>
      <c r="F5" s="131">
        <v>48000</v>
      </c>
      <c r="G5" s="131" t="s">
        <v>189</v>
      </c>
      <c r="H5" s="131"/>
      <c r="I5" s="132"/>
      <c r="J5" s="133"/>
      <c r="K5" s="115"/>
      <c r="L5" s="115"/>
    </row>
    <row r="6" spans="1:16" ht="15">
      <c r="A6" s="127">
        <v>5</v>
      </c>
      <c r="B6" s="128" t="s">
        <v>164</v>
      </c>
      <c r="C6" s="129" t="s">
        <v>163</v>
      </c>
      <c r="D6" s="130" t="s">
        <v>162</v>
      </c>
      <c r="E6" s="131" t="s">
        <v>190</v>
      </c>
      <c r="F6" s="131">
        <v>12200</v>
      </c>
      <c r="G6" s="131" t="s">
        <v>191</v>
      </c>
      <c r="H6" s="131"/>
      <c r="I6" s="132"/>
      <c r="J6" s="133"/>
      <c r="K6" s="115"/>
      <c r="L6" s="115"/>
    </row>
    <row r="7" spans="1:16" ht="15">
      <c r="A7" s="134">
        <v>6</v>
      </c>
      <c r="B7" s="125" t="s">
        <v>192</v>
      </c>
      <c r="C7" s="135" t="s">
        <v>163</v>
      </c>
      <c r="D7" s="136" t="s">
        <v>193</v>
      </c>
      <c r="E7" s="137" t="s">
        <v>194</v>
      </c>
      <c r="F7" s="137">
        <v>12000</v>
      </c>
      <c r="G7" s="137" t="s">
        <v>195</v>
      </c>
      <c r="H7" s="137"/>
      <c r="I7" s="138"/>
      <c r="J7" s="139"/>
      <c r="K7" s="115"/>
      <c r="L7" s="115"/>
    </row>
    <row r="8" spans="1:16" ht="15">
      <c r="A8"/>
      <c r="B8"/>
      <c r="C8"/>
      <c r="D8"/>
      <c r="E8"/>
      <c r="F8"/>
      <c r="G8"/>
      <c r="H8"/>
      <c r="I8"/>
      <c r="J8"/>
      <c r="K8" s="115"/>
      <c r="L8" s="115"/>
      <c r="M8" s="115"/>
      <c r="N8" s="115"/>
      <c r="O8" s="115"/>
      <c r="P8" s="115"/>
    </row>
    <row r="9" spans="1:16" ht="15">
      <c r="A9"/>
      <c r="B9"/>
      <c r="C9"/>
      <c r="D9"/>
      <c r="E9"/>
      <c r="F9"/>
      <c r="G9"/>
      <c r="H9"/>
      <c r="I9"/>
      <c r="J9"/>
      <c r="K9" s="115"/>
      <c r="L9" s="115"/>
      <c r="M9" s="115"/>
      <c r="N9" s="115"/>
      <c r="O9" s="115"/>
      <c r="P9" s="115"/>
    </row>
    <row r="10" spans="1:16" ht="15">
      <c r="A10"/>
      <c r="B10"/>
      <c r="C10"/>
      <c r="D10"/>
      <c r="E10"/>
      <c r="F10"/>
      <c r="G10"/>
      <c r="H10"/>
      <c r="I10"/>
      <c r="J10"/>
      <c r="K10" s="115"/>
      <c r="L10" s="115"/>
      <c r="M10" s="115"/>
      <c r="N10" s="115"/>
      <c r="O10" s="115"/>
      <c r="P10" s="115"/>
    </row>
    <row r="11" spans="1:16" ht="15">
      <c r="A11"/>
      <c r="B11"/>
      <c r="C11"/>
      <c r="D11"/>
      <c r="E11"/>
      <c r="F11"/>
      <c r="G11"/>
      <c r="H11"/>
      <c r="I11"/>
      <c r="J11"/>
      <c r="K11" s="115"/>
      <c r="L11" s="115"/>
      <c r="M11" s="115"/>
      <c r="N11" s="115"/>
      <c r="O11" s="115"/>
      <c r="P11" s="115"/>
    </row>
    <row r="12" spans="1:16" ht="15">
      <c r="A12"/>
      <c r="B12"/>
      <c r="C12"/>
      <c r="D12"/>
      <c r="E12"/>
      <c r="F12"/>
      <c r="G12"/>
      <c r="H12"/>
      <c r="I12"/>
      <c r="J12"/>
      <c r="K12" s="115"/>
      <c r="L12" s="115"/>
      <c r="M12" s="115"/>
      <c r="N12" s="115"/>
      <c r="O12" s="115"/>
      <c r="P12" s="115"/>
    </row>
    <row r="13" spans="1:16" ht="15"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</row>
    <row r="14" spans="1:16" ht="15"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</row>
    <row r="15" spans="1:16" ht="15"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</row>
    <row r="16" spans="1:16" ht="15"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</row>
    <row r="17" spans="6:16" ht="15"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</row>
    <row r="18" spans="6:16" ht="15"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</row>
  </sheetData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Facture</vt:lpstr>
      <vt:lpstr>Paramètres</vt:lpstr>
      <vt:lpstr>BDD devis</vt:lpstr>
      <vt:lpstr>BDD étapes projet</vt:lpstr>
      <vt:lpstr>BDD facture clients</vt:lpstr>
      <vt:lpstr>BDD fournisseurs</vt:lpstr>
      <vt:lpstr>BDD facture fournisseurs</vt:lpstr>
      <vt:lpstr>BDD 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Balitrand</dc:creator>
  <cp:lastModifiedBy>Mégane Balitrand</cp:lastModifiedBy>
  <cp:lastPrinted>2016-03-31T07:35:12Z</cp:lastPrinted>
  <dcterms:created xsi:type="dcterms:W3CDTF">2016-03-10T07:49:14Z</dcterms:created>
  <dcterms:modified xsi:type="dcterms:W3CDTF">2016-04-01T08:08:45Z</dcterms:modified>
</cp:coreProperties>
</file>