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-saussier\Desktop\"/>
    </mc:Choice>
  </mc:AlternateContent>
  <bookViews>
    <workbookView xWindow="0" yWindow="0" windowWidth="28800" windowHeight="11835" firstSheet="1" activeTab="1"/>
  </bookViews>
  <sheets>
    <sheet name="RECAP_2016" sheetId="3" r:id="rId1"/>
    <sheet name="Données groupées générales " sheetId="38" r:id="rId2"/>
    <sheet name="CHANTIERS_2016" sheetId="2" r:id="rId3"/>
    <sheet name="Feuil2" sheetId="17" r:id="rId4"/>
  </sheets>
  <functionGroups builtInGroupCount="18"/>
  <definedNames>
    <definedName name="_xlnm._FilterDatabase" localSheetId="2" hidden="1">CHANTIERS_2016!$B$1:$K$566</definedName>
    <definedName name="facture">CHANTIERS_2016!#REF!</definedName>
    <definedName name="_xlnm.Print_Titles" localSheetId="2">CHANTIERS_2016!$1:$1</definedName>
    <definedName name="_xlnm.Print_Titles" localSheetId="0">RECAP_2016!$1:$2</definedName>
    <definedName name="Nom_Client">CHANTIERS_2016!$F:$F</definedName>
  </definedNames>
  <calcPr calcId="152511"/>
  <pivotCaches>
    <pivotCache cacheId="159" r:id="rId5"/>
  </pivotCaches>
</workbook>
</file>

<file path=xl/calcChain.xml><?xml version="1.0" encoding="utf-8"?>
<calcChain xmlns="http://schemas.openxmlformats.org/spreadsheetml/2006/main">
  <c r="G4" i="2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9" i="2"/>
  <c r="G20" i="2"/>
  <c r="G21" i="2"/>
  <c r="G22" i="2"/>
  <c r="G23" i="2"/>
  <c r="G24" i="2"/>
  <c r="G25" i="2"/>
  <c r="G26" i="2"/>
  <c r="G27" i="2"/>
  <c r="G28" i="2"/>
  <c r="G29" i="2"/>
  <c r="G30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9" i="2"/>
  <c r="G140" i="2"/>
  <c r="G141" i="2"/>
  <c r="G143" i="2"/>
  <c r="G144" i="2"/>
  <c r="G145" i="2"/>
  <c r="G146" i="2"/>
  <c r="G147" i="2"/>
  <c r="G148" i="2"/>
  <c r="G149" i="2"/>
  <c r="G151" i="2"/>
  <c r="G152" i="2"/>
  <c r="G153" i="2"/>
  <c r="G154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5" i="2"/>
  <c r="G196" i="2"/>
  <c r="G197" i="2"/>
  <c r="G200" i="2"/>
  <c r="G201" i="2"/>
  <c r="G204" i="2"/>
  <c r="G205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7" i="2"/>
  <c r="G248" i="2"/>
  <c r="G249" i="2"/>
  <c r="G250" i="2"/>
  <c r="G251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3" i="2"/>
  <c r="G314" i="2"/>
  <c r="G315" i="2"/>
  <c r="G316" i="2"/>
  <c r="G317" i="2"/>
  <c r="G318" i="2"/>
  <c r="G319" i="2"/>
  <c r="G322" i="2"/>
  <c r="G323" i="2"/>
  <c r="G324" i="2"/>
  <c r="G325" i="2"/>
  <c r="G326" i="2"/>
  <c r="G327" i="2"/>
  <c r="G329" i="2"/>
  <c r="G330" i="2"/>
  <c r="G331" i="2"/>
  <c r="G332" i="2"/>
  <c r="G333" i="2"/>
  <c r="G334" i="2"/>
  <c r="G335" i="2"/>
  <c r="G336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2" i="2"/>
  <c r="G364" i="2"/>
  <c r="G365" i="2"/>
  <c r="G366" i="2"/>
  <c r="G367" i="2"/>
  <c r="G368" i="2"/>
  <c r="G370" i="2"/>
  <c r="G371" i="2"/>
  <c r="G372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9" i="2"/>
  <c r="G400" i="2"/>
  <c r="G401" i="2"/>
  <c r="G402" i="2"/>
  <c r="G403" i="2"/>
  <c r="G404" i="2"/>
  <c r="G405" i="2"/>
  <c r="G406" i="2"/>
  <c r="G407" i="2"/>
  <c r="G408" i="2"/>
  <c r="G409" i="2"/>
  <c r="G411" i="2"/>
  <c r="G412" i="2"/>
  <c r="G413" i="2"/>
  <c r="G414" i="2"/>
  <c r="G415" i="2"/>
  <c r="G416" i="2"/>
  <c r="G417" i="2"/>
  <c r="G418" i="2"/>
  <c r="G419" i="2"/>
  <c r="G420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4" i="2"/>
  <c r="G465" i="2"/>
  <c r="G466" i="2"/>
  <c r="G467" i="2"/>
  <c r="G468" i="2"/>
  <c r="G469" i="2"/>
  <c r="G470" i="2"/>
  <c r="G471" i="2"/>
  <c r="G472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H473" i="2"/>
  <c r="G473" i="2" s="1"/>
  <c r="H463" i="2"/>
  <c r="G463" i="2" s="1"/>
  <c r="H462" i="2"/>
  <c r="G462" i="2" s="1"/>
  <c r="H421" i="2"/>
  <c r="G421" i="2" s="1"/>
  <c r="H410" i="2"/>
  <c r="G410" i="2" s="1"/>
  <c r="H398" i="2"/>
  <c r="G398" i="2" s="1"/>
  <c r="H397" i="2"/>
  <c r="G397" i="2" s="1"/>
  <c r="H396" i="2"/>
  <c r="G396" i="2" s="1"/>
  <c r="H373" i="2"/>
  <c r="G373" i="2" s="1"/>
  <c r="H369" i="2"/>
  <c r="G369" i="2" s="1"/>
  <c r="H363" i="2"/>
  <c r="G363" i="2" s="1"/>
  <c r="H361" i="2"/>
  <c r="G361" i="2" s="1"/>
  <c r="H338" i="2"/>
  <c r="G338" i="2" s="1"/>
  <c r="H337" i="2"/>
  <c r="G337" i="2" s="1"/>
  <c r="H328" i="2"/>
  <c r="G328" i="2" s="1"/>
  <c r="B326" i="2"/>
  <c r="C326" i="2"/>
  <c r="D326" i="2"/>
  <c r="B327" i="2"/>
  <c r="C327" i="2"/>
  <c r="D327" i="2"/>
  <c r="B328" i="2"/>
  <c r="C328" i="2"/>
  <c r="D328" i="2"/>
  <c r="B329" i="2"/>
  <c r="C329" i="2"/>
  <c r="D329" i="2"/>
  <c r="B330" i="2"/>
  <c r="C330" i="2"/>
  <c r="D330" i="2"/>
  <c r="B331" i="2"/>
  <c r="C331" i="2"/>
  <c r="D331" i="2"/>
  <c r="B332" i="2"/>
  <c r="C332" i="2"/>
  <c r="D332" i="2"/>
  <c r="B333" i="2"/>
  <c r="C333" i="2"/>
  <c r="D333" i="2"/>
  <c r="B334" i="2"/>
  <c r="C334" i="2"/>
  <c r="D334" i="2"/>
  <c r="B335" i="2"/>
  <c r="C335" i="2"/>
  <c r="D335" i="2"/>
  <c r="B336" i="2"/>
  <c r="C336" i="2"/>
  <c r="D336" i="2"/>
  <c r="B337" i="2"/>
  <c r="C337" i="2"/>
  <c r="D337" i="2"/>
  <c r="B338" i="2"/>
  <c r="C338" i="2"/>
  <c r="D338" i="2"/>
  <c r="B339" i="2"/>
  <c r="C339" i="2"/>
  <c r="D339" i="2"/>
  <c r="B340" i="2"/>
  <c r="C340" i="2"/>
  <c r="D340" i="2"/>
  <c r="B341" i="2"/>
  <c r="C341" i="2"/>
  <c r="D341" i="2"/>
  <c r="B342" i="2"/>
  <c r="C342" i="2"/>
  <c r="D342" i="2"/>
  <c r="B343" i="2"/>
  <c r="C343" i="2"/>
  <c r="D343" i="2"/>
  <c r="B344" i="2"/>
  <c r="C344" i="2"/>
  <c r="D344" i="2"/>
  <c r="B345" i="2"/>
  <c r="C345" i="2"/>
  <c r="D345" i="2"/>
  <c r="B346" i="2"/>
  <c r="C346" i="2"/>
  <c r="D346" i="2"/>
  <c r="B347" i="2"/>
  <c r="C347" i="2"/>
  <c r="D347" i="2"/>
  <c r="B348" i="2"/>
  <c r="C348" i="2"/>
  <c r="D348" i="2"/>
  <c r="B349" i="2"/>
  <c r="C349" i="2"/>
  <c r="D349" i="2"/>
  <c r="B350" i="2"/>
  <c r="C350" i="2"/>
  <c r="D350" i="2"/>
  <c r="B351" i="2"/>
  <c r="C351" i="2"/>
  <c r="D351" i="2"/>
  <c r="B352" i="2"/>
  <c r="C352" i="2"/>
  <c r="D352" i="2"/>
  <c r="B353" i="2"/>
  <c r="C353" i="2"/>
  <c r="D353" i="2"/>
  <c r="B354" i="2"/>
  <c r="C354" i="2"/>
  <c r="D354" i="2"/>
  <c r="B355" i="2"/>
  <c r="C355" i="2"/>
  <c r="D355" i="2"/>
  <c r="B356" i="2"/>
  <c r="C356" i="2"/>
  <c r="D356" i="2"/>
  <c r="B357" i="2"/>
  <c r="C357" i="2"/>
  <c r="D357" i="2"/>
  <c r="B358" i="2"/>
  <c r="C358" i="2"/>
  <c r="D358" i="2"/>
  <c r="B359" i="2"/>
  <c r="C359" i="2"/>
  <c r="D359" i="2"/>
  <c r="B360" i="2"/>
  <c r="C360" i="2"/>
  <c r="D360" i="2"/>
  <c r="B361" i="2"/>
  <c r="C361" i="2"/>
  <c r="D361" i="2"/>
  <c r="B362" i="2"/>
  <c r="C362" i="2"/>
  <c r="D362" i="2"/>
  <c r="B363" i="2"/>
  <c r="C363" i="2"/>
  <c r="D363" i="2"/>
  <c r="B364" i="2"/>
  <c r="C364" i="2"/>
  <c r="D364" i="2"/>
  <c r="B365" i="2"/>
  <c r="C365" i="2"/>
  <c r="D365" i="2"/>
  <c r="B366" i="2"/>
  <c r="C366" i="2"/>
  <c r="D366" i="2"/>
  <c r="B367" i="2"/>
  <c r="C367" i="2"/>
  <c r="D367" i="2"/>
  <c r="B368" i="2"/>
  <c r="C368" i="2"/>
  <c r="D368" i="2"/>
  <c r="B369" i="2"/>
  <c r="C369" i="2"/>
  <c r="D369" i="2"/>
  <c r="B370" i="2"/>
  <c r="C370" i="2"/>
  <c r="D370" i="2"/>
  <c r="B371" i="2"/>
  <c r="C371" i="2"/>
  <c r="D371" i="2"/>
  <c r="B372" i="2"/>
  <c r="C372" i="2"/>
  <c r="D372" i="2"/>
  <c r="B373" i="2"/>
  <c r="C373" i="2"/>
  <c r="D373" i="2"/>
  <c r="B374" i="2"/>
  <c r="C374" i="2"/>
  <c r="D374" i="2"/>
  <c r="B375" i="2"/>
  <c r="C375" i="2"/>
  <c r="D375" i="2"/>
  <c r="B376" i="2"/>
  <c r="C376" i="2"/>
  <c r="D376" i="2"/>
  <c r="B377" i="2"/>
  <c r="C377" i="2"/>
  <c r="D377" i="2"/>
  <c r="B378" i="2"/>
  <c r="C378" i="2"/>
  <c r="D378" i="2"/>
  <c r="B379" i="2"/>
  <c r="C379" i="2"/>
  <c r="D379" i="2"/>
  <c r="B380" i="2"/>
  <c r="C380" i="2"/>
  <c r="D380" i="2"/>
  <c r="B381" i="2"/>
  <c r="C381" i="2"/>
  <c r="D381" i="2"/>
  <c r="B382" i="2"/>
  <c r="C382" i="2"/>
  <c r="D382" i="2"/>
  <c r="B383" i="2"/>
  <c r="C383" i="2"/>
  <c r="D383" i="2"/>
  <c r="B384" i="2"/>
  <c r="C384" i="2"/>
  <c r="D384" i="2"/>
  <c r="B385" i="2"/>
  <c r="C385" i="2"/>
  <c r="D385" i="2"/>
  <c r="B386" i="2"/>
  <c r="C386" i="2"/>
  <c r="D386" i="2"/>
  <c r="B387" i="2"/>
  <c r="C387" i="2"/>
  <c r="D387" i="2"/>
  <c r="B388" i="2"/>
  <c r="C388" i="2"/>
  <c r="D388" i="2"/>
  <c r="B389" i="2"/>
  <c r="C389" i="2"/>
  <c r="D389" i="2"/>
  <c r="B390" i="2"/>
  <c r="C390" i="2"/>
  <c r="D390" i="2"/>
  <c r="B391" i="2"/>
  <c r="C391" i="2"/>
  <c r="D391" i="2"/>
  <c r="B392" i="2"/>
  <c r="C392" i="2"/>
  <c r="D392" i="2"/>
  <c r="B393" i="2"/>
  <c r="C393" i="2"/>
  <c r="D393" i="2"/>
  <c r="B394" i="2"/>
  <c r="C394" i="2"/>
  <c r="D394" i="2"/>
  <c r="B395" i="2"/>
  <c r="C395" i="2"/>
  <c r="D395" i="2"/>
  <c r="B396" i="2"/>
  <c r="C396" i="2"/>
  <c r="D396" i="2"/>
  <c r="B397" i="2"/>
  <c r="C397" i="2"/>
  <c r="D397" i="2"/>
  <c r="B398" i="2"/>
  <c r="C398" i="2"/>
  <c r="D398" i="2"/>
  <c r="B399" i="2"/>
  <c r="C399" i="2"/>
  <c r="D399" i="2"/>
  <c r="B400" i="2"/>
  <c r="C400" i="2"/>
  <c r="D400" i="2"/>
  <c r="B401" i="2"/>
  <c r="C401" i="2"/>
  <c r="D401" i="2"/>
  <c r="B402" i="2"/>
  <c r="C402" i="2"/>
  <c r="D402" i="2"/>
  <c r="B403" i="2"/>
  <c r="C403" i="2"/>
  <c r="D403" i="2"/>
  <c r="B404" i="2"/>
  <c r="C404" i="2"/>
  <c r="D404" i="2"/>
  <c r="B405" i="2"/>
  <c r="C405" i="2"/>
  <c r="D405" i="2"/>
  <c r="B406" i="2"/>
  <c r="C406" i="2"/>
  <c r="D406" i="2"/>
  <c r="B407" i="2"/>
  <c r="C407" i="2"/>
  <c r="D407" i="2"/>
  <c r="B408" i="2"/>
  <c r="C408" i="2"/>
  <c r="D408" i="2"/>
  <c r="B409" i="2"/>
  <c r="C409" i="2"/>
  <c r="D409" i="2"/>
  <c r="B410" i="2"/>
  <c r="C410" i="2"/>
  <c r="D410" i="2"/>
  <c r="B411" i="2"/>
  <c r="C411" i="2"/>
  <c r="D411" i="2"/>
  <c r="B412" i="2"/>
  <c r="C412" i="2"/>
  <c r="D412" i="2"/>
  <c r="B413" i="2"/>
  <c r="C413" i="2"/>
  <c r="D413" i="2"/>
  <c r="B414" i="2"/>
  <c r="C414" i="2"/>
  <c r="D414" i="2"/>
  <c r="B415" i="2"/>
  <c r="C415" i="2"/>
  <c r="D415" i="2"/>
  <c r="B416" i="2"/>
  <c r="C416" i="2"/>
  <c r="D416" i="2"/>
  <c r="B417" i="2"/>
  <c r="C417" i="2"/>
  <c r="D417" i="2"/>
  <c r="B418" i="2"/>
  <c r="C418" i="2"/>
  <c r="D418" i="2"/>
  <c r="B419" i="2"/>
  <c r="C419" i="2"/>
  <c r="D419" i="2"/>
  <c r="B420" i="2"/>
  <c r="C420" i="2"/>
  <c r="D420" i="2"/>
  <c r="B421" i="2"/>
  <c r="C421" i="2"/>
  <c r="D421" i="2"/>
  <c r="B422" i="2"/>
  <c r="C422" i="2"/>
  <c r="D422" i="2"/>
  <c r="B423" i="2"/>
  <c r="C423" i="2"/>
  <c r="D423" i="2"/>
  <c r="B424" i="2"/>
  <c r="C424" i="2"/>
  <c r="D424" i="2"/>
  <c r="B425" i="2"/>
  <c r="C425" i="2"/>
  <c r="D425" i="2"/>
  <c r="B426" i="2"/>
  <c r="C426" i="2"/>
  <c r="D426" i="2"/>
  <c r="B427" i="2"/>
  <c r="C427" i="2"/>
  <c r="D427" i="2"/>
  <c r="B428" i="2"/>
  <c r="C428" i="2"/>
  <c r="D428" i="2"/>
  <c r="B429" i="2"/>
  <c r="C429" i="2"/>
  <c r="D429" i="2"/>
  <c r="B430" i="2"/>
  <c r="C430" i="2"/>
  <c r="D430" i="2"/>
  <c r="B431" i="2"/>
  <c r="C431" i="2"/>
  <c r="D431" i="2"/>
  <c r="B432" i="2"/>
  <c r="C432" i="2"/>
  <c r="D432" i="2"/>
  <c r="B433" i="2"/>
  <c r="C433" i="2"/>
  <c r="D433" i="2"/>
  <c r="B434" i="2"/>
  <c r="C434" i="2"/>
  <c r="D434" i="2"/>
  <c r="B435" i="2"/>
  <c r="C435" i="2"/>
  <c r="D435" i="2"/>
  <c r="B436" i="2"/>
  <c r="C436" i="2"/>
  <c r="D436" i="2"/>
  <c r="B437" i="2"/>
  <c r="C437" i="2"/>
  <c r="D437" i="2"/>
  <c r="B438" i="2"/>
  <c r="C438" i="2"/>
  <c r="D438" i="2"/>
  <c r="B439" i="2"/>
  <c r="C439" i="2"/>
  <c r="D439" i="2"/>
  <c r="B440" i="2"/>
  <c r="C440" i="2"/>
  <c r="D440" i="2"/>
  <c r="B441" i="2"/>
  <c r="C441" i="2"/>
  <c r="D441" i="2"/>
  <c r="B442" i="2"/>
  <c r="C442" i="2"/>
  <c r="D442" i="2"/>
  <c r="B443" i="2"/>
  <c r="C443" i="2"/>
  <c r="D443" i="2"/>
  <c r="B444" i="2"/>
  <c r="C444" i="2"/>
  <c r="D444" i="2"/>
  <c r="B445" i="2"/>
  <c r="C445" i="2"/>
  <c r="D445" i="2"/>
  <c r="B446" i="2"/>
  <c r="C446" i="2"/>
  <c r="D446" i="2"/>
  <c r="B447" i="2"/>
  <c r="C447" i="2"/>
  <c r="D447" i="2"/>
  <c r="B448" i="2"/>
  <c r="C448" i="2"/>
  <c r="D448" i="2"/>
  <c r="B449" i="2"/>
  <c r="C449" i="2"/>
  <c r="D449" i="2"/>
  <c r="B450" i="2"/>
  <c r="C450" i="2"/>
  <c r="D450" i="2"/>
  <c r="B451" i="2"/>
  <c r="C451" i="2"/>
  <c r="D451" i="2"/>
  <c r="B452" i="2"/>
  <c r="C452" i="2"/>
  <c r="D452" i="2"/>
  <c r="B453" i="2"/>
  <c r="C453" i="2"/>
  <c r="D453" i="2"/>
  <c r="B454" i="2"/>
  <c r="C454" i="2"/>
  <c r="D454" i="2"/>
  <c r="B455" i="2"/>
  <c r="C455" i="2"/>
  <c r="D455" i="2"/>
  <c r="B456" i="2"/>
  <c r="C456" i="2"/>
  <c r="D456" i="2"/>
  <c r="B457" i="2"/>
  <c r="C457" i="2"/>
  <c r="D457" i="2"/>
  <c r="B458" i="2"/>
  <c r="C458" i="2"/>
  <c r="D458" i="2"/>
  <c r="B459" i="2"/>
  <c r="C459" i="2"/>
  <c r="D459" i="2"/>
  <c r="B460" i="2"/>
  <c r="C460" i="2"/>
  <c r="D460" i="2"/>
  <c r="B461" i="2"/>
  <c r="C461" i="2"/>
  <c r="D461" i="2"/>
  <c r="B462" i="2"/>
  <c r="C462" i="2"/>
  <c r="D462" i="2"/>
  <c r="B463" i="2"/>
  <c r="C463" i="2"/>
  <c r="D463" i="2"/>
  <c r="B464" i="2"/>
  <c r="C464" i="2"/>
  <c r="D464" i="2"/>
  <c r="B465" i="2"/>
  <c r="C465" i="2"/>
  <c r="D465" i="2"/>
  <c r="B466" i="2"/>
  <c r="C466" i="2"/>
  <c r="D466" i="2"/>
  <c r="B467" i="2"/>
  <c r="C467" i="2"/>
  <c r="D467" i="2"/>
  <c r="B468" i="2"/>
  <c r="C468" i="2"/>
  <c r="D468" i="2"/>
  <c r="B469" i="2"/>
  <c r="C469" i="2"/>
  <c r="D469" i="2"/>
  <c r="B470" i="2"/>
  <c r="C470" i="2"/>
  <c r="D470" i="2"/>
  <c r="B471" i="2"/>
  <c r="C471" i="2"/>
  <c r="D471" i="2"/>
  <c r="B472" i="2"/>
  <c r="C472" i="2"/>
  <c r="D472" i="2"/>
  <c r="B473" i="2"/>
  <c r="C473" i="2"/>
  <c r="D473" i="2"/>
  <c r="B474" i="2"/>
  <c r="C474" i="2"/>
  <c r="D474" i="2"/>
  <c r="B475" i="2"/>
  <c r="C475" i="2"/>
  <c r="D475" i="2"/>
  <c r="B476" i="2"/>
  <c r="C476" i="2"/>
  <c r="D476" i="2"/>
  <c r="B477" i="2"/>
  <c r="C477" i="2"/>
  <c r="D477" i="2"/>
  <c r="B478" i="2"/>
  <c r="C478" i="2"/>
  <c r="D478" i="2"/>
  <c r="B479" i="2"/>
  <c r="C479" i="2"/>
  <c r="D479" i="2"/>
  <c r="B480" i="2"/>
  <c r="C480" i="2"/>
  <c r="D480" i="2"/>
  <c r="B481" i="2"/>
  <c r="C481" i="2"/>
  <c r="D481" i="2"/>
  <c r="B482" i="2"/>
  <c r="C482" i="2"/>
  <c r="D482" i="2"/>
  <c r="B483" i="2"/>
  <c r="C483" i="2"/>
  <c r="D483" i="2"/>
  <c r="B484" i="2"/>
  <c r="C484" i="2"/>
  <c r="D484" i="2"/>
  <c r="B485" i="2"/>
  <c r="C485" i="2"/>
  <c r="D485" i="2"/>
  <c r="B486" i="2"/>
  <c r="C486" i="2"/>
  <c r="D486" i="2"/>
  <c r="B487" i="2"/>
  <c r="C487" i="2"/>
  <c r="D487" i="2"/>
  <c r="B488" i="2"/>
  <c r="C488" i="2"/>
  <c r="D488" i="2"/>
  <c r="B489" i="2"/>
  <c r="C489" i="2"/>
  <c r="D489" i="2"/>
  <c r="B490" i="2"/>
  <c r="C490" i="2"/>
  <c r="D490" i="2"/>
  <c r="B491" i="2"/>
  <c r="C491" i="2"/>
  <c r="D491" i="2"/>
  <c r="B492" i="2"/>
  <c r="C492" i="2"/>
  <c r="D492" i="2"/>
  <c r="B493" i="2"/>
  <c r="C493" i="2"/>
  <c r="D493" i="2"/>
  <c r="B494" i="2"/>
  <c r="C494" i="2"/>
  <c r="D494" i="2"/>
  <c r="B495" i="2"/>
  <c r="C495" i="2"/>
  <c r="D495" i="2"/>
  <c r="B496" i="2"/>
  <c r="C496" i="2"/>
  <c r="D496" i="2"/>
  <c r="B497" i="2"/>
  <c r="C497" i="2"/>
  <c r="D497" i="2"/>
  <c r="B498" i="2"/>
  <c r="C498" i="2"/>
  <c r="D498" i="2"/>
  <c r="B499" i="2"/>
  <c r="C499" i="2"/>
  <c r="D499" i="2"/>
  <c r="B500" i="2"/>
  <c r="C500" i="2"/>
  <c r="D500" i="2"/>
  <c r="B501" i="2"/>
  <c r="C501" i="2"/>
  <c r="D501" i="2"/>
  <c r="B502" i="2"/>
  <c r="C502" i="2"/>
  <c r="D502" i="2"/>
  <c r="B503" i="2"/>
  <c r="C503" i="2"/>
  <c r="D503" i="2"/>
  <c r="B504" i="2"/>
  <c r="C504" i="2"/>
  <c r="D504" i="2"/>
  <c r="B505" i="2"/>
  <c r="C505" i="2"/>
  <c r="D505" i="2"/>
  <c r="B506" i="2"/>
  <c r="C506" i="2"/>
  <c r="D506" i="2"/>
  <c r="B507" i="2"/>
  <c r="C507" i="2"/>
  <c r="D507" i="2"/>
  <c r="B508" i="2"/>
  <c r="C508" i="2"/>
  <c r="D508" i="2"/>
  <c r="B509" i="2"/>
  <c r="C509" i="2"/>
  <c r="D509" i="2"/>
  <c r="B510" i="2"/>
  <c r="C510" i="2"/>
  <c r="D510" i="2"/>
  <c r="B511" i="2"/>
  <c r="C511" i="2"/>
  <c r="D511" i="2"/>
  <c r="B512" i="2"/>
  <c r="C512" i="2"/>
  <c r="D512" i="2"/>
  <c r="B513" i="2"/>
  <c r="C513" i="2"/>
  <c r="D513" i="2"/>
  <c r="B514" i="2"/>
  <c r="C514" i="2"/>
  <c r="D514" i="2"/>
  <c r="B515" i="2"/>
  <c r="C515" i="2"/>
  <c r="D515" i="2"/>
  <c r="B516" i="2"/>
  <c r="C516" i="2"/>
  <c r="D516" i="2"/>
  <c r="B517" i="2"/>
  <c r="C517" i="2"/>
  <c r="D517" i="2"/>
  <c r="B518" i="2"/>
  <c r="C518" i="2"/>
  <c r="D518" i="2"/>
  <c r="B519" i="2"/>
  <c r="C519" i="2"/>
  <c r="D519" i="2"/>
  <c r="B520" i="2"/>
  <c r="C520" i="2"/>
  <c r="D520" i="2"/>
  <c r="B521" i="2"/>
  <c r="C521" i="2"/>
  <c r="D521" i="2"/>
  <c r="B522" i="2"/>
  <c r="C522" i="2"/>
  <c r="D522" i="2"/>
  <c r="B523" i="2"/>
  <c r="C523" i="2"/>
  <c r="D523" i="2"/>
  <c r="B524" i="2"/>
  <c r="C524" i="2"/>
  <c r="D524" i="2"/>
  <c r="B525" i="2"/>
  <c r="C525" i="2"/>
  <c r="D525" i="2"/>
  <c r="B526" i="2"/>
  <c r="C526" i="2"/>
  <c r="D526" i="2"/>
  <c r="B527" i="2"/>
  <c r="C527" i="2"/>
  <c r="D527" i="2"/>
  <c r="B528" i="2"/>
  <c r="C528" i="2"/>
  <c r="D528" i="2"/>
  <c r="B529" i="2"/>
  <c r="C529" i="2"/>
  <c r="D529" i="2"/>
  <c r="B530" i="2"/>
  <c r="C530" i="2"/>
  <c r="D530" i="2"/>
  <c r="B531" i="2"/>
  <c r="C531" i="2"/>
  <c r="D531" i="2"/>
  <c r="B532" i="2"/>
  <c r="C532" i="2"/>
  <c r="D532" i="2"/>
  <c r="B533" i="2"/>
  <c r="C533" i="2"/>
  <c r="D533" i="2"/>
  <c r="B534" i="2"/>
  <c r="C534" i="2"/>
  <c r="D534" i="2"/>
  <c r="B535" i="2"/>
  <c r="C535" i="2"/>
  <c r="D535" i="2"/>
  <c r="B536" i="2"/>
  <c r="C536" i="2"/>
  <c r="D536" i="2"/>
  <c r="B537" i="2"/>
  <c r="C537" i="2"/>
  <c r="D537" i="2"/>
  <c r="B538" i="2"/>
  <c r="C538" i="2"/>
  <c r="D538" i="2"/>
  <c r="B539" i="2"/>
  <c r="C539" i="2"/>
  <c r="D539" i="2"/>
  <c r="B540" i="2"/>
  <c r="C540" i="2"/>
  <c r="D540" i="2"/>
  <c r="B541" i="2"/>
  <c r="C541" i="2"/>
  <c r="D541" i="2"/>
  <c r="B542" i="2"/>
  <c r="C542" i="2"/>
  <c r="D542" i="2"/>
  <c r="B543" i="2"/>
  <c r="C543" i="2"/>
  <c r="D543" i="2"/>
  <c r="B544" i="2"/>
  <c r="C544" i="2"/>
  <c r="D544" i="2"/>
  <c r="B545" i="2"/>
  <c r="C545" i="2"/>
  <c r="D545" i="2"/>
  <c r="B546" i="2"/>
  <c r="C546" i="2"/>
  <c r="D546" i="2"/>
  <c r="B547" i="2"/>
  <c r="C547" i="2"/>
  <c r="D547" i="2"/>
  <c r="B548" i="2"/>
  <c r="C548" i="2"/>
  <c r="D548" i="2"/>
  <c r="B549" i="2"/>
  <c r="C549" i="2"/>
  <c r="D549" i="2"/>
  <c r="B550" i="2"/>
  <c r="C550" i="2"/>
  <c r="D550" i="2"/>
  <c r="B551" i="2"/>
  <c r="C551" i="2"/>
  <c r="D551" i="2"/>
  <c r="B552" i="2"/>
  <c r="C552" i="2"/>
  <c r="D552" i="2"/>
  <c r="B553" i="2"/>
  <c r="C553" i="2"/>
  <c r="D553" i="2"/>
  <c r="B554" i="2"/>
  <c r="C554" i="2"/>
  <c r="D554" i="2"/>
  <c r="B555" i="2"/>
  <c r="C555" i="2"/>
  <c r="D555" i="2"/>
  <c r="B556" i="2"/>
  <c r="C556" i="2"/>
  <c r="D556" i="2"/>
  <c r="B557" i="2"/>
  <c r="C557" i="2"/>
  <c r="D557" i="2"/>
  <c r="B558" i="2"/>
  <c r="C558" i="2"/>
  <c r="D558" i="2"/>
  <c r="B559" i="2"/>
  <c r="C559" i="2"/>
  <c r="D559" i="2"/>
  <c r="B560" i="2"/>
  <c r="C560" i="2"/>
  <c r="D560" i="2"/>
  <c r="B561" i="2"/>
  <c r="C561" i="2"/>
  <c r="D561" i="2"/>
  <c r="B562" i="2"/>
  <c r="C562" i="2"/>
  <c r="D562" i="2"/>
  <c r="B563" i="2"/>
  <c r="C563" i="2"/>
  <c r="D563" i="2"/>
  <c r="B564" i="2"/>
  <c r="C564" i="2"/>
  <c r="D564" i="2"/>
  <c r="B565" i="2"/>
  <c r="C565" i="2"/>
  <c r="D565" i="2"/>
  <c r="B566" i="2"/>
  <c r="C566" i="2"/>
  <c r="D566" i="2"/>
  <c r="H321" i="2"/>
  <c r="G321" i="2" s="1"/>
  <c r="H320" i="2"/>
  <c r="G320" i="2" s="1"/>
  <c r="H312" i="2"/>
  <c r="G312" i="2" s="1"/>
  <c r="H298" i="2"/>
  <c r="G298" i="2"/>
  <c r="H253" i="2"/>
  <c r="G253" i="2" s="1"/>
  <c r="D325" i="2"/>
  <c r="D324" i="2"/>
  <c r="D323" i="2"/>
  <c r="D322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C53" i="3" s="1"/>
  <c r="D4" i="2"/>
  <c r="D3" i="2"/>
  <c r="D2" i="2"/>
  <c r="H252" i="2"/>
  <c r="G252" i="2" s="1"/>
  <c r="H246" i="2"/>
  <c r="G246" i="2" s="1"/>
  <c r="H245" i="2"/>
  <c r="G245" i="2" s="1"/>
  <c r="H244" i="2"/>
  <c r="G244" i="2" s="1"/>
  <c r="H243" i="2"/>
  <c r="G243" i="2" s="1"/>
  <c r="B217" i="2"/>
  <c r="C217" i="2"/>
  <c r="B218" i="2"/>
  <c r="C218" i="2"/>
  <c r="B219" i="2"/>
  <c r="C219" i="2"/>
  <c r="B220" i="2"/>
  <c r="C220" i="2"/>
  <c r="B221" i="2"/>
  <c r="C221" i="2"/>
  <c r="B222" i="2"/>
  <c r="C222" i="2"/>
  <c r="B223" i="2"/>
  <c r="C223" i="2"/>
  <c r="B224" i="2"/>
  <c r="C224" i="2"/>
  <c r="B225" i="2"/>
  <c r="C225" i="2"/>
  <c r="B226" i="2"/>
  <c r="C226" i="2"/>
  <c r="B227" i="2"/>
  <c r="C227" i="2"/>
  <c r="B228" i="2"/>
  <c r="C228" i="2"/>
  <c r="B229" i="2"/>
  <c r="C229" i="2"/>
  <c r="B230" i="2"/>
  <c r="C230" i="2"/>
  <c r="B231" i="2"/>
  <c r="C231" i="2"/>
  <c r="B232" i="2"/>
  <c r="C232" i="2"/>
  <c r="B233" i="2"/>
  <c r="C233" i="2"/>
  <c r="B234" i="2"/>
  <c r="C234" i="2"/>
  <c r="B235" i="2"/>
  <c r="C235" i="2"/>
  <c r="B236" i="2"/>
  <c r="C236" i="2"/>
  <c r="B237" i="2"/>
  <c r="C237" i="2"/>
  <c r="B238" i="2"/>
  <c r="C238" i="2"/>
  <c r="B239" i="2"/>
  <c r="C239" i="2"/>
  <c r="B240" i="2"/>
  <c r="C240" i="2"/>
  <c r="B241" i="2"/>
  <c r="C241" i="2"/>
  <c r="B242" i="2"/>
  <c r="C242" i="2"/>
  <c r="B243" i="2"/>
  <c r="C243" i="2"/>
  <c r="B244" i="2"/>
  <c r="C244" i="2"/>
  <c r="B245" i="2"/>
  <c r="C245" i="2"/>
  <c r="B246" i="2"/>
  <c r="C246" i="2"/>
  <c r="B247" i="2"/>
  <c r="C247" i="2"/>
  <c r="B248" i="2"/>
  <c r="C248" i="2"/>
  <c r="B249" i="2"/>
  <c r="C249" i="2"/>
  <c r="B250" i="2"/>
  <c r="C250" i="2"/>
  <c r="B251" i="2"/>
  <c r="C251" i="2"/>
  <c r="B252" i="2"/>
  <c r="C252" i="2"/>
  <c r="B253" i="2"/>
  <c r="C253" i="2"/>
  <c r="B254" i="2"/>
  <c r="C254" i="2"/>
  <c r="B255" i="2"/>
  <c r="C255" i="2"/>
  <c r="B256" i="2"/>
  <c r="C256" i="2"/>
  <c r="B257" i="2"/>
  <c r="C257" i="2"/>
  <c r="B258" i="2"/>
  <c r="C258" i="2"/>
  <c r="B259" i="2"/>
  <c r="C259" i="2"/>
  <c r="B260" i="2"/>
  <c r="C260" i="2"/>
  <c r="B261" i="2"/>
  <c r="C261" i="2"/>
  <c r="B262" i="2"/>
  <c r="C262" i="2"/>
  <c r="B263" i="2"/>
  <c r="C263" i="2"/>
  <c r="B264" i="2"/>
  <c r="C264" i="2"/>
  <c r="B265" i="2"/>
  <c r="C265" i="2"/>
  <c r="B266" i="2"/>
  <c r="C266" i="2"/>
  <c r="B267" i="2"/>
  <c r="C267" i="2"/>
  <c r="B268" i="2"/>
  <c r="C268" i="2"/>
  <c r="B269" i="2"/>
  <c r="C269" i="2"/>
  <c r="B270" i="2"/>
  <c r="C270" i="2"/>
  <c r="B271" i="2"/>
  <c r="C271" i="2"/>
  <c r="B272" i="2"/>
  <c r="C272" i="2"/>
  <c r="B273" i="2"/>
  <c r="C273" i="2"/>
  <c r="B274" i="2"/>
  <c r="C274" i="2"/>
  <c r="B275" i="2"/>
  <c r="C275" i="2"/>
  <c r="B276" i="2"/>
  <c r="C276" i="2"/>
  <c r="B277" i="2"/>
  <c r="C277" i="2"/>
  <c r="B278" i="2"/>
  <c r="C278" i="2"/>
  <c r="B279" i="2"/>
  <c r="C279" i="2"/>
  <c r="B280" i="2"/>
  <c r="C280" i="2"/>
  <c r="B281" i="2"/>
  <c r="C281" i="2"/>
  <c r="B282" i="2"/>
  <c r="C282" i="2"/>
  <c r="B283" i="2"/>
  <c r="C283" i="2"/>
  <c r="B284" i="2"/>
  <c r="C284" i="2"/>
  <c r="B285" i="2"/>
  <c r="C285" i="2"/>
  <c r="B286" i="2"/>
  <c r="C286" i="2"/>
  <c r="B287" i="2"/>
  <c r="C287" i="2"/>
  <c r="B288" i="2"/>
  <c r="C288" i="2"/>
  <c r="B289" i="2"/>
  <c r="C289" i="2"/>
  <c r="B290" i="2"/>
  <c r="C290" i="2"/>
  <c r="B291" i="2"/>
  <c r="C291" i="2"/>
  <c r="B292" i="2"/>
  <c r="C292" i="2"/>
  <c r="B293" i="2"/>
  <c r="C293" i="2"/>
  <c r="B294" i="2"/>
  <c r="C294" i="2"/>
  <c r="B295" i="2"/>
  <c r="C295" i="2"/>
  <c r="B296" i="2"/>
  <c r="C296" i="2"/>
  <c r="B297" i="2"/>
  <c r="C297" i="2"/>
  <c r="B298" i="2"/>
  <c r="C298" i="2"/>
  <c r="B299" i="2"/>
  <c r="C299" i="2"/>
  <c r="B300" i="2"/>
  <c r="C300" i="2"/>
  <c r="B301" i="2"/>
  <c r="C301" i="2"/>
  <c r="B302" i="2"/>
  <c r="C302" i="2"/>
  <c r="B303" i="2"/>
  <c r="C303" i="2"/>
  <c r="B304" i="2"/>
  <c r="C304" i="2"/>
  <c r="B305" i="2"/>
  <c r="C305" i="2"/>
  <c r="B306" i="2"/>
  <c r="C306" i="2"/>
  <c r="B307" i="2"/>
  <c r="C307" i="2"/>
  <c r="B308" i="2"/>
  <c r="C308" i="2"/>
  <c r="B309" i="2"/>
  <c r="C309" i="2"/>
  <c r="B310" i="2"/>
  <c r="C310" i="2"/>
  <c r="B311" i="2"/>
  <c r="C311" i="2"/>
  <c r="B312" i="2"/>
  <c r="C312" i="2"/>
  <c r="B313" i="2"/>
  <c r="C313" i="2"/>
  <c r="B314" i="2"/>
  <c r="C314" i="2"/>
  <c r="B315" i="2"/>
  <c r="C315" i="2"/>
  <c r="B316" i="2"/>
  <c r="C316" i="2"/>
  <c r="B317" i="2"/>
  <c r="C317" i="2"/>
  <c r="B318" i="2"/>
  <c r="C318" i="2"/>
  <c r="B319" i="2"/>
  <c r="C319" i="2"/>
  <c r="B320" i="2"/>
  <c r="C320" i="2"/>
  <c r="B321" i="2"/>
  <c r="C321" i="2"/>
  <c r="B322" i="2"/>
  <c r="C322" i="2"/>
  <c r="B323" i="2"/>
  <c r="C323" i="2"/>
  <c r="B324" i="2"/>
  <c r="C324" i="2"/>
  <c r="B325" i="2"/>
  <c r="C325" i="2"/>
  <c r="H206" i="2"/>
  <c r="G206" i="2" s="1"/>
  <c r="H203" i="2"/>
  <c r="G203" i="2" s="1"/>
  <c r="H202" i="2"/>
  <c r="G202" i="2" s="1"/>
  <c r="H199" i="2"/>
  <c r="G199" i="2" s="1"/>
  <c r="H198" i="2"/>
  <c r="G198" i="2" s="1"/>
  <c r="H194" i="2"/>
  <c r="G194" i="2" s="1"/>
  <c r="H179" i="2"/>
  <c r="G179" i="2" s="1"/>
  <c r="H178" i="2"/>
  <c r="G178" i="2" s="1"/>
  <c r="H156" i="2"/>
  <c r="G156" i="2" s="1"/>
  <c r="H155" i="2"/>
  <c r="G155" i="2" s="1"/>
  <c r="H150" i="2"/>
  <c r="G150" i="2" s="1"/>
  <c r="H142" i="2"/>
  <c r="G142" i="2" s="1"/>
  <c r="H138" i="2"/>
  <c r="G138" i="2" s="1"/>
  <c r="H137" i="2"/>
  <c r="G137" i="2" s="1"/>
  <c r="H121" i="2"/>
  <c r="G121" i="2"/>
  <c r="B114" i="2"/>
  <c r="C114" i="2"/>
  <c r="B115" i="2"/>
  <c r="C115" i="2"/>
  <c r="B116" i="2"/>
  <c r="C116" i="2"/>
  <c r="B117" i="2"/>
  <c r="C117" i="2"/>
  <c r="B118" i="2"/>
  <c r="C118" i="2"/>
  <c r="B119" i="2"/>
  <c r="C119" i="2"/>
  <c r="B120" i="2"/>
  <c r="C120" i="2"/>
  <c r="B121" i="2"/>
  <c r="C121" i="2"/>
  <c r="B122" i="2"/>
  <c r="C122" i="2"/>
  <c r="B123" i="2"/>
  <c r="C123" i="2"/>
  <c r="B124" i="2"/>
  <c r="C124" i="2"/>
  <c r="B125" i="2"/>
  <c r="C125" i="2"/>
  <c r="B126" i="2"/>
  <c r="C126" i="2"/>
  <c r="B127" i="2"/>
  <c r="C127" i="2"/>
  <c r="B128" i="2"/>
  <c r="C128" i="2"/>
  <c r="B129" i="2"/>
  <c r="C129" i="2"/>
  <c r="B130" i="2"/>
  <c r="C130" i="2"/>
  <c r="B131" i="2"/>
  <c r="C131" i="2"/>
  <c r="B132" i="2"/>
  <c r="C132" i="2"/>
  <c r="B133" i="2"/>
  <c r="C133" i="2"/>
  <c r="B134" i="2"/>
  <c r="C134" i="2"/>
  <c r="B135" i="2"/>
  <c r="C135" i="2"/>
  <c r="B136" i="2"/>
  <c r="C136" i="2"/>
  <c r="B137" i="2"/>
  <c r="C137" i="2"/>
  <c r="B138" i="2"/>
  <c r="C138" i="2"/>
  <c r="B139" i="2"/>
  <c r="C139" i="2"/>
  <c r="B140" i="2"/>
  <c r="C140" i="2"/>
  <c r="B141" i="2"/>
  <c r="C141" i="2"/>
  <c r="B142" i="2"/>
  <c r="C142" i="2"/>
  <c r="B143" i="2"/>
  <c r="C143" i="2"/>
  <c r="B144" i="2"/>
  <c r="C144" i="2"/>
  <c r="B145" i="2"/>
  <c r="C145" i="2"/>
  <c r="B146" i="2"/>
  <c r="C146" i="2"/>
  <c r="B147" i="2"/>
  <c r="C147" i="2"/>
  <c r="B148" i="2"/>
  <c r="C148" i="2"/>
  <c r="B149" i="2"/>
  <c r="C149" i="2"/>
  <c r="B150" i="2"/>
  <c r="C150" i="2"/>
  <c r="B151" i="2"/>
  <c r="C151" i="2"/>
  <c r="B152" i="2"/>
  <c r="C152" i="2"/>
  <c r="B153" i="2"/>
  <c r="C153" i="2"/>
  <c r="B154" i="2"/>
  <c r="C154" i="2"/>
  <c r="B155" i="2"/>
  <c r="C155" i="2"/>
  <c r="B156" i="2"/>
  <c r="C156" i="2"/>
  <c r="B157" i="2"/>
  <c r="C157" i="2"/>
  <c r="B158" i="2"/>
  <c r="C158" i="2"/>
  <c r="B159" i="2"/>
  <c r="C159" i="2"/>
  <c r="B160" i="2"/>
  <c r="C160" i="2"/>
  <c r="B161" i="2"/>
  <c r="C161" i="2"/>
  <c r="B162" i="2"/>
  <c r="C162" i="2"/>
  <c r="B163" i="2"/>
  <c r="C163" i="2"/>
  <c r="B164" i="2"/>
  <c r="C164" i="2"/>
  <c r="B165" i="2"/>
  <c r="C165" i="2"/>
  <c r="B166" i="2"/>
  <c r="C166" i="2"/>
  <c r="B167" i="2"/>
  <c r="C167" i="2"/>
  <c r="B168" i="2"/>
  <c r="C168" i="2"/>
  <c r="B169" i="2"/>
  <c r="C169" i="2"/>
  <c r="B170" i="2"/>
  <c r="C170" i="2"/>
  <c r="B171" i="2"/>
  <c r="C171" i="2"/>
  <c r="B172" i="2"/>
  <c r="C172" i="2"/>
  <c r="B173" i="2"/>
  <c r="C173" i="2"/>
  <c r="B174" i="2"/>
  <c r="C174" i="2"/>
  <c r="B175" i="2"/>
  <c r="C175" i="2"/>
  <c r="B176" i="2"/>
  <c r="C176" i="2"/>
  <c r="B177" i="2"/>
  <c r="C177" i="2"/>
  <c r="B178" i="2"/>
  <c r="C178" i="2"/>
  <c r="B179" i="2"/>
  <c r="C179" i="2"/>
  <c r="B180" i="2"/>
  <c r="C180" i="2"/>
  <c r="B181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H101" i="2"/>
  <c r="G101" i="2"/>
  <c r="H100" i="2"/>
  <c r="G100" i="2" s="1"/>
  <c r="H84" i="2"/>
  <c r="G84" i="2" s="1"/>
  <c r="H2" i="2"/>
  <c r="G2" i="2" s="1"/>
  <c r="H31" i="2"/>
  <c r="G31" i="2" s="1"/>
  <c r="H53" i="2"/>
  <c r="G53" i="2" s="1"/>
  <c r="H32" i="2"/>
  <c r="G32" i="2" s="1"/>
  <c r="H18" i="2"/>
  <c r="G18" i="2" s="1"/>
  <c r="H3" i="2"/>
  <c r="G3" i="2" s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2" i="2"/>
  <c r="M10" i="3"/>
  <c r="F8" i="3" l="1"/>
  <c r="B39" i="3"/>
  <c r="E38" i="3"/>
  <c r="B18" i="3"/>
  <c r="C15" i="3"/>
  <c r="B36" i="3"/>
  <c r="B44" i="3"/>
  <c r="C8" i="3"/>
  <c r="C50" i="3"/>
  <c r="B27" i="3"/>
  <c r="B50" i="3"/>
  <c r="C30" i="3"/>
  <c r="B53" i="3"/>
  <c r="B26" i="3"/>
  <c r="B7" i="3"/>
  <c r="C9" i="3"/>
  <c r="C41" i="3"/>
  <c r="B47" i="3"/>
  <c r="B49" i="3"/>
  <c r="C21" i="3"/>
  <c r="C26" i="3"/>
  <c r="C36" i="3"/>
  <c r="C25" i="3"/>
  <c r="B34" i="3"/>
  <c r="C44" i="3"/>
  <c r="B9" i="3"/>
  <c r="C18" i="3"/>
  <c r="B28" i="3"/>
  <c r="B17" i="3"/>
  <c r="C48" i="3"/>
  <c r="C55" i="3"/>
  <c r="F46" i="3"/>
  <c r="F12" i="3"/>
  <c r="E51" i="3"/>
  <c r="E29" i="3"/>
  <c r="E25" i="3"/>
  <c r="C42" i="3"/>
  <c r="B10" i="3"/>
  <c r="C29" i="3"/>
  <c r="B37" i="3"/>
  <c r="C39" i="3"/>
  <c r="C11" i="3"/>
  <c r="E33" i="3"/>
  <c r="B24" i="3"/>
  <c r="C47" i="3"/>
  <c r="B42" i="3"/>
  <c r="F51" i="3"/>
  <c r="B22" i="3"/>
  <c r="F38" i="3"/>
  <c r="B5" i="3"/>
  <c r="B4" i="3"/>
  <c r="F21" i="3"/>
  <c r="C7" i="3"/>
  <c r="B54" i="3"/>
  <c r="C40" i="3"/>
  <c r="B19" i="3"/>
  <c r="B29" i="3"/>
  <c r="C19" i="3"/>
  <c r="C38" i="3"/>
  <c r="B30" i="3"/>
  <c r="C54" i="3"/>
  <c r="C23" i="3"/>
  <c r="B23" i="3"/>
  <c r="E3" i="3"/>
  <c r="E46" i="3"/>
  <c r="E12" i="3"/>
  <c r="F3" i="3"/>
  <c r="E16" i="3"/>
  <c r="E8" i="3"/>
  <c r="F33" i="3"/>
  <c r="F42" i="3"/>
  <c r="F25" i="3"/>
  <c r="E42" i="3"/>
  <c r="F29" i="3"/>
  <c r="F16" i="3"/>
  <c r="E21" i="3"/>
  <c r="B6" i="3"/>
  <c r="C37" i="3"/>
  <c r="B11" i="3"/>
  <c r="C28" i="3"/>
  <c r="C10" i="3"/>
  <c r="C4" i="3"/>
  <c r="B15" i="3"/>
  <c r="C45" i="3"/>
  <c r="C46" i="3"/>
  <c r="C51" i="3"/>
  <c r="C22" i="3"/>
  <c r="C5" i="3"/>
  <c r="C33" i="3"/>
  <c r="B52" i="3"/>
  <c r="B35" i="3"/>
  <c r="C20" i="3"/>
  <c r="B55" i="3"/>
  <c r="C52" i="3"/>
  <c r="B13" i="3"/>
  <c r="C17" i="3"/>
  <c r="B21" i="3"/>
  <c r="B38" i="3"/>
  <c r="C43" i="3"/>
  <c r="C49" i="3"/>
  <c r="C31" i="3"/>
  <c r="B41" i="3"/>
  <c r="B14" i="3"/>
  <c r="B3" i="3"/>
  <c r="B12" i="3"/>
  <c r="C32" i="3"/>
  <c r="B20" i="3"/>
  <c r="B32" i="3"/>
  <c r="B33" i="3"/>
  <c r="C16" i="3"/>
  <c r="B51" i="3"/>
  <c r="C3" i="3"/>
  <c r="B40" i="3"/>
  <c r="B43" i="3"/>
  <c r="B16" i="3"/>
  <c r="C13" i="3"/>
  <c r="B8" i="3"/>
  <c r="C35" i="3"/>
  <c r="C12" i="3"/>
  <c r="C27" i="3"/>
  <c r="C34" i="3"/>
  <c r="B31" i="3"/>
  <c r="B25" i="3"/>
  <c r="C14" i="3"/>
  <c r="B48" i="3"/>
  <c r="C6" i="3"/>
  <c r="C24" i="3"/>
  <c r="B46" i="3"/>
  <c r="B45" i="3"/>
  <c r="J29" i="3" l="1"/>
  <c r="K3" i="3"/>
  <c r="K29" i="3"/>
  <c r="J3" i="3"/>
  <c r="K42" i="3" l="1"/>
  <c r="J16" i="3"/>
  <c r="J42" i="3"/>
  <c r="K16" i="3"/>
  <c r="N3" i="3" l="1"/>
  <c r="M3" i="3"/>
</calcChain>
</file>

<file path=xl/sharedStrings.xml><?xml version="1.0" encoding="utf-8"?>
<sst xmlns="http://schemas.openxmlformats.org/spreadsheetml/2006/main" count="545" uniqueCount="58">
  <si>
    <t>RIVP NORD</t>
  </si>
  <si>
    <t>Année</t>
  </si>
  <si>
    <t>RIVP SUD</t>
  </si>
  <si>
    <t>RIVP CENTRE</t>
  </si>
  <si>
    <t>Février</t>
  </si>
  <si>
    <t>FSM</t>
  </si>
  <si>
    <t>KREMLIN</t>
  </si>
  <si>
    <t>TRIMESTRES</t>
  </si>
  <si>
    <t>1er Trimestre</t>
  </si>
  <si>
    <t>HSF</t>
  </si>
  <si>
    <t>CARAC</t>
  </si>
  <si>
    <t>Juin</t>
  </si>
  <si>
    <t>Janvier</t>
  </si>
  <si>
    <t>Mars</t>
  </si>
  <si>
    <t>Avril</t>
  </si>
  <si>
    <t>Septembre</t>
  </si>
  <si>
    <t>ANNEE</t>
  </si>
  <si>
    <t>SEMAINE</t>
  </si>
  <si>
    <t>N° Chantier</t>
  </si>
  <si>
    <t>ANTIN</t>
  </si>
  <si>
    <t>ACEE</t>
  </si>
  <si>
    <t>SNCF</t>
  </si>
  <si>
    <t>MOIS</t>
  </si>
  <si>
    <t>4ème Trimestre</t>
  </si>
  <si>
    <t>CA HT Facturé</t>
  </si>
  <si>
    <t>COMPTA</t>
  </si>
  <si>
    <t>EFIDIS</t>
  </si>
  <si>
    <t>DONT Appels Offre</t>
  </si>
  <si>
    <t>Novembre</t>
  </si>
  <si>
    <t xml:space="preserve">   Décembre</t>
  </si>
  <si>
    <t>Mai</t>
  </si>
  <si>
    <t xml:space="preserve">   Juillet</t>
  </si>
  <si>
    <t xml:space="preserve">   Août</t>
  </si>
  <si>
    <t xml:space="preserve">     Octobre</t>
  </si>
  <si>
    <t>2ème Trimestre</t>
  </si>
  <si>
    <t>3ème Trimestre</t>
  </si>
  <si>
    <t>SEMAINES</t>
  </si>
  <si>
    <t>CA HT OS</t>
  </si>
  <si>
    <t>N°</t>
  </si>
  <si>
    <t>Mois</t>
  </si>
  <si>
    <t>TROIS MOULINS</t>
  </si>
  <si>
    <t>Clients</t>
  </si>
  <si>
    <t>Date OS</t>
  </si>
  <si>
    <t>SCI BAILEC</t>
  </si>
  <si>
    <t>RICHEMONT</t>
  </si>
  <si>
    <t>CENTURY 21</t>
  </si>
  <si>
    <t>LE RICHEMONT</t>
  </si>
  <si>
    <t>HSF
SOFTELEC</t>
  </si>
  <si>
    <t>Somme de CA HT OS</t>
  </si>
  <si>
    <t>Total général</t>
  </si>
  <si>
    <t>Nombre de N° Chantier</t>
  </si>
  <si>
    <t>(vide)</t>
  </si>
  <si>
    <t>Total 2016</t>
  </si>
  <si>
    <t/>
  </si>
  <si>
    <t xml:space="preserve">Total </t>
  </si>
  <si>
    <t>Données</t>
  </si>
  <si>
    <t>Total (vide)</t>
  </si>
  <si>
    <t>rivp centre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</si>
</sst>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d/m/yy;@"/>
    <numFmt numFmtId="166" formatCode="#,##0.00_ ;\-#,##0.00\ "/>
    <numFmt numFmtId="167" formatCode="#,##0.00;[Red]#,##0.00"/>
  </numFmts>
  <fonts count="1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name val="Comic Sans MS"/>
      <family val="4"/>
    </font>
    <font>
      <sz val="10"/>
      <name val="Comic Sans MS"/>
      <family val="4"/>
    </font>
    <font>
      <b/>
      <sz val="10"/>
      <name val="Arial"/>
      <family val="2"/>
    </font>
    <font>
      <b/>
      <sz val="10"/>
      <name val="Comic Sans MS"/>
      <family val="4"/>
    </font>
    <font>
      <b/>
      <sz val="14"/>
      <name val="Comic Sans MS"/>
      <family val="4"/>
    </font>
    <font>
      <sz val="14"/>
      <name val="Comic Sans MS"/>
      <family val="4"/>
    </font>
    <font>
      <b/>
      <sz val="10"/>
      <name val="Arial"/>
      <family val="2"/>
    </font>
    <font>
      <b/>
      <sz val="8"/>
      <name val="Arial"/>
      <family val="2"/>
    </font>
    <font>
      <b/>
      <sz val="8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/>
      <top/>
      <bottom/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5">
    <xf numFmtId="0" fontId="0" fillId="0" borderId="0" xfId="0"/>
    <xf numFmtId="0" fontId="4" fillId="0" borderId="0" xfId="0" applyFont="1" applyAlignment="1">
      <alignment horizontal="center" vertical="center"/>
    </xf>
    <xf numFmtId="7" fontId="0" fillId="0" borderId="0" xfId="0" applyNumberFormat="1"/>
    <xf numFmtId="0" fontId="6" fillId="2" borderId="1" xfId="0" applyFont="1" applyFill="1" applyBorder="1" applyAlignment="1">
      <alignment horizontal="center" vertical="center"/>
    </xf>
    <xf numFmtId="7" fontId="6" fillId="2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7" fontId="4" fillId="0" borderId="2" xfId="0" applyNumberFormat="1" applyFont="1" applyBorder="1" applyAlignment="1">
      <alignment horizontal="center" vertical="center"/>
    </xf>
    <xf numFmtId="7" fontId="4" fillId="0" borderId="3" xfId="0" applyNumberFormat="1" applyFont="1" applyBorder="1" applyAlignment="1">
      <alignment horizontal="center" vertical="center"/>
    </xf>
    <xf numFmtId="7" fontId="4" fillId="0" borderId="4" xfId="0" applyNumberFormat="1" applyFont="1" applyBorder="1" applyAlignment="1">
      <alignment horizontal="center" vertical="center"/>
    </xf>
    <xf numFmtId="7" fontId="4" fillId="0" borderId="5" xfId="0" applyNumberFormat="1" applyFont="1" applyBorder="1" applyAlignment="1">
      <alignment horizontal="center" vertical="center"/>
    </xf>
    <xf numFmtId="7" fontId="4" fillId="0" borderId="6" xfId="0" applyNumberFormat="1" applyFont="1" applyBorder="1" applyAlignment="1">
      <alignment horizontal="center" vertical="center"/>
    </xf>
    <xf numFmtId="7" fontId="4" fillId="0" borderId="7" xfId="0" applyNumberFormat="1" applyFont="1" applyBorder="1" applyAlignment="1">
      <alignment horizontal="center" vertical="center"/>
    </xf>
    <xf numFmtId="7" fontId="4" fillId="0" borderId="8" xfId="0" applyNumberFormat="1" applyFont="1" applyBorder="1" applyAlignment="1">
      <alignment horizontal="center" vertical="center"/>
    </xf>
    <xf numFmtId="7" fontId="4" fillId="0" borderId="9" xfId="0" applyNumberFormat="1" applyFont="1" applyBorder="1" applyAlignment="1">
      <alignment horizontal="center" vertical="center"/>
    </xf>
    <xf numFmtId="7" fontId="4" fillId="0" borderId="10" xfId="0" applyNumberFormat="1" applyFont="1" applyBorder="1" applyAlignment="1">
      <alignment horizontal="center" vertical="center"/>
    </xf>
    <xf numFmtId="7" fontId="4" fillId="0" borderId="11" xfId="0" applyNumberFormat="1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4" fontId="0" fillId="0" borderId="0" xfId="0" applyNumberFormat="1"/>
    <xf numFmtId="7" fontId="4" fillId="0" borderId="17" xfId="0" applyNumberFormat="1" applyFont="1" applyBorder="1" applyAlignment="1">
      <alignment horizontal="center" vertical="center"/>
    </xf>
    <xf numFmtId="7" fontId="4" fillId="0" borderId="18" xfId="0" applyNumberFormat="1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" fontId="0" fillId="6" borderId="20" xfId="0" applyNumberFormat="1" applyFill="1" applyBorder="1" applyAlignment="1">
      <alignment horizontal="center" vertical="center"/>
    </xf>
    <xf numFmtId="4" fontId="0" fillId="6" borderId="21" xfId="0" applyNumberFormat="1" applyFill="1" applyBorder="1" applyAlignment="1">
      <alignment horizontal="center" vertical="center"/>
    </xf>
    <xf numFmtId="4" fontId="0" fillId="6" borderId="20" xfId="0" applyNumberForma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7" fontId="4" fillId="0" borderId="0" xfId="0" applyNumberFormat="1" applyFont="1" applyAlignment="1">
      <alignment horizontal="center" vertical="center"/>
    </xf>
    <xf numFmtId="7" fontId="4" fillId="0" borderId="22" xfId="0" applyNumberFormat="1" applyFont="1" applyBorder="1" applyAlignment="1">
      <alignment horizontal="center" vertical="center"/>
    </xf>
    <xf numFmtId="0" fontId="10" fillId="7" borderId="1" xfId="0" applyFont="1" applyFill="1" applyBorder="1" applyAlignment="1" applyProtection="1">
      <alignment horizontal="center" vertical="center"/>
    </xf>
    <xf numFmtId="0" fontId="11" fillId="7" borderId="1" xfId="0" applyFont="1" applyFill="1" applyBorder="1" applyAlignment="1" applyProtection="1">
      <alignment horizontal="center" vertical="center"/>
    </xf>
    <xf numFmtId="165" fontId="11" fillId="7" borderId="1" xfId="0" applyNumberFormat="1" applyFont="1" applyFill="1" applyBorder="1" applyAlignment="1" applyProtection="1">
      <alignment horizontal="center" vertical="center"/>
    </xf>
    <xf numFmtId="2" fontId="3" fillId="0" borderId="0" xfId="0" applyNumberFormat="1" applyFont="1" applyAlignment="1" applyProtection="1">
      <alignment horizontal="center"/>
    </xf>
    <xf numFmtId="2" fontId="11" fillId="7" borderId="1" xfId="0" applyNumberFormat="1" applyFont="1" applyFill="1" applyBorder="1" applyAlignment="1" applyProtection="1">
      <alignment horizontal="center" vertical="center" wrapText="1"/>
    </xf>
    <xf numFmtId="0" fontId="0" fillId="0" borderId="0" xfId="0" quotePrefix="1"/>
    <xf numFmtId="0" fontId="3" fillId="0" borderId="0" xfId="0" applyFont="1" applyFill="1" applyAlignment="1" applyProtection="1">
      <alignment horizontal="center"/>
    </xf>
    <xf numFmtId="165" fontId="3" fillId="0" borderId="0" xfId="0" applyNumberFormat="1" applyFont="1" applyFill="1" applyAlignment="1" applyProtection="1">
      <alignment horizontal="center"/>
    </xf>
    <xf numFmtId="0" fontId="0" fillId="0" borderId="0" xfId="0" applyFill="1" applyProtection="1"/>
    <xf numFmtId="2" fontId="3" fillId="0" borderId="0" xfId="0" applyNumberFormat="1" applyFont="1" applyFill="1" applyAlignment="1" applyProtection="1">
      <alignment horizontal="center"/>
    </xf>
    <xf numFmtId="2" fontId="11" fillId="7" borderId="25" xfId="0" applyNumberFormat="1" applyFont="1" applyFill="1" applyBorder="1" applyAlignment="1" applyProtection="1">
      <alignment horizontal="center" vertical="center"/>
    </xf>
    <xf numFmtId="2" fontId="3" fillId="0" borderId="25" xfId="0" applyNumberFormat="1" applyFont="1" applyFill="1" applyBorder="1" applyAlignment="1" applyProtection="1">
      <alignment horizontal="center"/>
    </xf>
    <xf numFmtId="7" fontId="4" fillId="0" borderId="26" xfId="0" applyNumberFormat="1" applyFont="1" applyBorder="1" applyAlignment="1">
      <alignment horizontal="center" vertical="center"/>
    </xf>
    <xf numFmtId="0" fontId="0" fillId="0" borderId="0" xfId="0" applyFill="1" applyProtection="1">
      <protection locked="0"/>
    </xf>
    <xf numFmtId="0" fontId="0" fillId="0" borderId="0" xfId="0" applyFill="1"/>
    <xf numFmtId="0" fontId="3" fillId="0" borderId="25" xfId="0" applyFont="1" applyFill="1" applyBorder="1" applyAlignment="1" applyProtection="1">
      <alignment horizontal="center"/>
    </xf>
    <xf numFmtId="0" fontId="2" fillId="0" borderId="25" xfId="0" applyFont="1" applyFill="1" applyBorder="1" applyProtection="1"/>
    <xf numFmtId="165" fontId="3" fillId="0" borderId="25" xfId="0" applyNumberFormat="1" applyFont="1" applyFill="1" applyBorder="1" applyAlignment="1" applyProtection="1">
      <alignment horizontal="center"/>
    </xf>
    <xf numFmtId="0" fontId="10" fillId="7" borderId="27" xfId="0" applyFont="1" applyFill="1" applyBorder="1" applyAlignment="1" applyProtection="1">
      <alignment horizontal="center" vertical="center"/>
    </xf>
    <xf numFmtId="0" fontId="2" fillId="0" borderId="6" xfId="0" applyFont="1" applyFill="1" applyBorder="1" applyProtection="1"/>
    <xf numFmtId="0" fontId="11" fillId="7" borderId="28" xfId="0" applyFont="1" applyFill="1" applyBorder="1" applyAlignment="1" applyProtection="1">
      <alignment horizontal="center" vertical="center"/>
    </xf>
    <xf numFmtId="0" fontId="3" fillId="0" borderId="29" xfId="0" applyFont="1" applyFill="1" applyBorder="1" applyAlignment="1" applyProtection="1">
      <alignment horizontal="center"/>
    </xf>
    <xf numFmtId="0" fontId="3" fillId="7" borderId="25" xfId="0" applyFont="1" applyFill="1" applyBorder="1" applyAlignment="1" applyProtection="1">
      <alignment horizontal="center"/>
    </xf>
    <xf numFmtId="165" fontId="3" fillId="7" borderId="25" xfId="0" applyNumberFormat="1" applyFont="1" applyFill="1" applyBorder="1" applyAlignment="1" applyProtection="1">
      <alignment horizontal="center"/>
    </xf>
    <xf numFmtId="2" fontId="3" fillId="7" borderId="25" xfId="0" applyNumberFormat="1" applyFont="1" applyFill="1" applyBorder="1" applyAlignment="1" applyProtection="1">
      <alignment horizontal="center"/>
    </xf>
    <xf numFmtId="0" fontId="2" fillId="7" borderId="6" xfId="0" applyFont="1" applyFill="1" applyBorder="1" applyProtection="1"/>
    <xf numFmtId="0" fontId="2" fillId="7" borderId="25" xfId="0" applyFont="1" applyFill="1" applyBorder="1" applyProtection="1"/>
    <xf numFmtId="0" fontId="3" fillId="2" borderId="25" xfId="0" applyFont="1" applyFill="1" applyBorder="1" applyAlignment="1" applyProtection="1">
      <alignment horizontal="center"/>
    </xf>
    <xf numFmtId="0" fontId="2" fillId="2" borderId="6" xfId="0" applyFont="1" applyFill="1" applyBorder="1" applyProtection="1"/>
    <xf numFmtId="0" fontId="2" fillId="2" borderId="25" xfId="0" applyFont="1" applyFill="1" applyBorder="1" applyProtection="1"/>
    <xf numFmtId="165" fontId="3" fillId="2" borderId="25" xfId="0" applyNumberFormat="1" applyFont="1" applyFill="1" applyBorder="1" applyAlignment="1" applyProtection="1">
      <alignment horizontal="center"/>
    </xf>
    <xf numFmtId="2" fontId="3" fillId="2" borderId="25" xfId="0" applyNumberFormat="1" applyFont="1" applyFill="1" applyBorder="1" applyAlignment="1" applyProtection="1">
      <alignment horizontal="center"/>
    </xf>
    <xf numFmtId="0" fontId="3" fillId="3" borderId="25" xfId="0" applyFont="1" applyFill="1" applyBorder="1" applyAlignment="1" applyProtection="1">
      <alignment horizontal="center"/>
    </xf>
    <xf numFmtId="0" fontId="2" fillId="3" borderId="6" xfId="0" applyFont="1" applyFill="1" applyBorder="1" applyProtection="1"/>
    <xf numFmtId="0" fontId="2" fillId="3" borderId="25" xfId="0" applyFont="1" applyFill="1" applyBorder="1" applyProtection="1"/>
    <xf numFmtId="165" fontId="3" fillId="3" borderId="25" xfId="0" applyNumberFormat="1" applyFont="1" applyFill="1" applyBorder="1" applyAlignment="1" applyProtection="1">
      <alignment horizontal="center"/>
    </xf>
    <xf numFmtId="2" fontId="3" fillId="3" borderId="25" xfId="0" applyNumberFormat="1" applyFont="1" applyFill="1" applyBorder="1" applyAlignment="1" applyProtection="1">
      <alignment horizontal="center"/>
    </xf>
    <xf numFmtId="2" fontId="3" fillId="8" borderId="25" xfId="0" applyNumberFormat="1" applyFont="1" applyFill="1" applyBorder="1" applyAlignment="1" applyProtection="1">
      <alignment horizontal="center"/>
    </xf>
    <xf numFmtId="2" fontId="3" fillId="9" borderId="25" xfId="0" applyNumberFormat="1" applyFont="1" applyFill="1" applyBorder="1" applyAlignment="1" applyProtection="1">
      <alignment horizontal="center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36" xfId="0" pivotButton="1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36" xfId="0" applyNumberFormat="1" applyBorder="1"/>
    <xf numFmtId="0" fontId="0" fillId="0" borderId="43" xfId="0" applyNumberFormat="1" applyBorder="1"/>
    <xf numFmtId="0" fontId="0" fillId="0" borderId="40" xfId="0" applyNumberFormat="1" applyBorder="1"/>
    <xf numFmtId="0" fontId="0" fillId="0" borderId="44" xfId="0" applyNumberFormat="1" applyBorder="1"/>
    <xf numFmtId="0" fontId="0" fillId="0" borderId="41" xfId="0" applyNumberFormat="1" applyBorder="1"/>
    <xf numFmtId="0" fontId="0" fillId="0" borderId="45" xfId="0" applyNumberFormat="1" applyBorder="1"/>
    <xf numFmtId="167" fontId="0" fillId="0" borderId="36" xfId="0" applyNumberFormat="1" applyBorder="1"/>
    <xf numFmtId="4" fontId="4" fillId="0" borderId="31" xfId="0" applyNumberFormat="1" applyFont="1" applyBorder="1" applyAlignment="1">
      <alignment horizontal="center" vertical="center" wrapText="1"/>
    </xf>
    <xf numFmtId="4" fontId="4" fillId="0" borderId="20" xfId="0" applyNumberFormat="1" applyFont="1" applyBorder="1" applyAlignment="1">
      <alignment horizontal="center" vertical="center" wrapText="1"/>
    </xf>
    <xf numFmtId="4" fontId="4" fillId="0" borderId="21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" fontId="4" fillId="6" borderId="31" xfId="0" applyNumberFormat="1" applyFont="1" applyFill="1" applyBorder="1" applyAlignment="1">
      <alignment horizontal="center" vertical="center"/>
    </xf>
    <xf numFmtId="4" fontId="4" fillId="6" borderId="20" xfId="0" applyNumberFormat="1" applyFont="1" applyFill="1" applyBorder="1" applyAlignment="1">
      <alignment horizontal="center" vertical="center"/>
    </xf>
    <xf numFmtId="4" fontId="4" fillId="6" borderId="21" xfId="0" applyNumberFormat="1" applyFont="1" applyFill="1" applyBorder="1" applyAlignment="1">
      <alignment horizontal="center" vertical="center"/>
    </xf>
    <xf numFmtId="4" fontId="4" fillId="0" borderId="31" xfId="0" applyNumberFormat="1" applyFont="1" applyBorder="1" applyAlignment="1">
      <alignment horizontal="center" vertical="center"/>
    </xf>
    <xf numFmtId="0" fontId="0" fillId="0" borderId="20" xfId="0" applyBorder="1" applyAlignment="1"/>
    <xf numFmtId="0" fontId="0" fillId="0" borderId="21" xfId="0" applyBorder="1" applyAlignment="1"/>
    <xf numFmtId="4" fontId="6" fillId="5" borderId="31" xfId="0" applyNumberFormat="1" applyFont="1" applyFill="1" applyBorder="1" applyAlignment="1">
      <alignment horizontal="center" vertical="center" textRotation="90"/>
    </xf>
    <xf numFmtId="0" fontId="9" fillId="5" borderId="20" xfId="0" applyFont="1" applyFill="1" applyBorder="1" applyAlignment="1">
      <alignment textRotation="90"/>
    </xf>
    <xf numFmtId="0" fontId="9" fillId="5" borderId="21" xfId="0" applyFont="1" applyFill="1" applyBorder="1" applyAlignment="1">
      <alignment textRotation="90"/>
    </xf>
    <xf numFmtId="43" fontId="4" fillId="0" borderId="31" xfId="2" applyFont="1" applyBorder="1" applyAlignment="1">
      <alignment horizontal="center" vertical="center"/>
    </xf>
    <xf numFmtId="43" fontId="4" fillId="0" borderId="20" xfId="2" applyFont="1" applyBorder="1" applyAlignment="1">
      <alignment horizontal="center" vertical="center"/>
    </xf>
    <xf numFmtId="43" fontId="4" fillId="0" borderId="21" xfId="2" applyFont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 textRotation="90"/>
    </xf>
    <xf numFmtId="0" fontId="6" fillId="3" borderId="20" xfId="0" applyFont="1" applyFill="1" applyBorder="1" applyAlignment="1">
      <alignment horizontal="center" vertical="center" textRotation="90"/>
    </xf>
    <xf numFmtId="0" fontId="6" fillId="3" borderId="21" xfId="0" applyFont="1" applyFill="1" applyBorder="1" applyAlignment="1">
      <alignment horizontal="center" vertical="center" textRotation="90"/>
    </xf>
    <xf numFmtId="4" fontId="0" fillId="0" borderId="31" xfId="0" applyNumberFormat="1" applyBorder="1" applyAlignment="1">
      <alignment horizontal="center" vertical="center"/>
    </xf>
    <xf numFmtId="4" fontId="0" fillId="0" borderId="20" xfId="0" applyNumberFormat="1" applyBorder="1" applyAlignment="1">
      <alignment horizontal="center" vertical="center"/>
    </xf>
    <xf numFmtId="4" fontId="0" fillId="0" borderId="21" xfId="0" applyNumberFormat="1" applyBorder="1" applyAlignment="1">
      <alignment horizontal="center" vertical="center"/>
    </xf>
    <xf numFmtId="4" fontId="4" fillId="0" borderId="31" xfId="1" applyNumberFormat="1" applyFont="1" applyBorder="1" applyAlignment="1">
      <alignment horizontal="center" vertical="center"/>
    </xf>
    <xf numFmtId="4" fontId="4" fillId="0" borderId="20" xfId="1" applyNumberFormat="1" applyFont="1" applyBorder="1" applyAlignment="1">
      <alignment horizontal="center" vertical="center"/>
    </xf>
    <xf numFmtId="4" fontId="4" fillId="0" borderId="21" xfId="1" applyNumberFormat="1" applyFont="1" applyBorder="1" applyAlignment="1">
      <alignment horizontal="center" vertical="center"/>
    </xf>
    <xf numFmtId="4" fontId="4" fillId="0" borderId="20" xfId="0" applyNumberFormat="1" applyFont="1" applyBorder="1" applyAlignment="1">
      <alignment horizontal="center" vertical="center"/>
    </xf>
    <xf numFmtId="4" fontId="4" fillId="0" borderId="21" xfId="0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 textRotation="90"/>
    </xf>
    <xf numFmtId="0" fontId="9" fillId="5" borderId="21" xfId="0" applyFont="1" applyFill="1" applyBorder="1" applyAlignment="1">
      <alignment horizontal="center" vertical="center" textRotation="90"/>
    </xf>
    <xf numFmtId="0" fontId="7" fillId="4" borderId="31" xfId="0" applyFont="1" applyFill="1" applyBorder="1" applyAlignment="1">
      <alignment horizontal="center" vertical="center" textRotation="90"/>
    </xf>
    <xf numFmtId="0" fontId="7" fillId="4" borderId="20" xfId="0" applyFont="1" applyFill="1" applyBorder="1" applyAlignment="1">
      <alignment horizontal="center" vertical="center" textRotation="90"/>
    </xf>
    <xf numFmtId="0" fontId="7" fillId="4" borderId="21" xfId="0" applyFont="1" applyFill="1" applyBorder="1" applyAlignment="1">
      <alignment horizontal="center" vertical="center" textRotation="90"/>
    </xf>
    <xf numFmtId="4" fontId="6" fillId="0" borderId="32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4" fontId="6" fillId="0" borderId="31" xfId="0" applyNumberFormat="1" applyFont="1" applyBorder="1" applyAlignment="1">
      <alignment horizontal="center" vertical="center"/>
    </xf>
    <xf numFmtId="4" fontId="9" fillId="0" borderId="20" xfId="0" applyNumberFormat="1" applyFont="1" applyBorder="1" applyAlignment="1">
      <alignment horizontal="center" vertical="center"/>
    </xf>
    <xf numFmtId="4" fontId="9" fillId="0" borderId="21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textRotation="90"/>
    </xf>
    <xf numFmtId="0" fontId="5" fillId="3" borderId="21" xfId="0" applyFont="1" applyFill="1" applyBorder="1" applyAlignment="1">
      <alignment horizontal="center" vertical="center" textRotation="90"/>
    </xf>
    <xf numFmtId="0" fontId="5" fillId="3" borderId="31" xfId="0" applyFont="1" applyFill="1" applyBorder="1" applyAlignment="1">
      <alignment horizontal="center" textRotation="90"/>
    </xf>
    <xf numFmtId="0" fontId="0" fillId="0" borderId="20" xfId="0" applyBorder="1" applyAlignment="1">
      <alignment horizontal="center" textRotation="90"/>
    </xf>
    <xf numFmtId="0" fontId="0" fillId="0" borderId="21" xfId="0" applyBorder="1" applyAlignment="1">
      <alignment horizontal="center" textRotation="90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166" fontId="4" fillId="0" borderId="31" xfId="1" applyNumberFormat="1" applyFont="1" applyFill="1" applyBorder="1" applyAlignment="1">
      <alignment horizontal="center" vertical="center"/>
    </xf>
    <xf numFmtId="166" fontId="4" fillId="0" borderId="20" xfId="1" applyNumberFormat="1" applyFont="1" applyFill="1" applyBorder="1" applyAlignment="1">
      <alignment horizontal="center" vertical="center"/>
    </xf>
    <xf numFmtId="166" fontId="4" fillId="0" borderId="21" xfId="1" applyNumberFormat="1" applyFont="1" applyFill="1" applyBorder="1" applyAlignment="1">
      <alignment horizontal="center" vertical="center"/>
    </xf>
    <xf numFmtId="4" fontId="5" fillId="5" borderId="31" xfId="0" applyNumberFormat="1" applyFont="1" applyFill="1" applyBorder="1" applyAlignment="1">
      <alignment horizontal="center" vertical="center" textRotation="90"/>
    </xf>
    <xf numFmtId="0" fontId="5" fillId="5" borderId="20" xfId="0" applyFont="1" applyFill="1" applyBorder="1" applyAlignment="1">
      <alignment horizontal="center" vertical="center" textRotation="90"/>
    </xf>
    <xf numFmtId="0" fontId="5" fillId="5" borderId="21" xfId="0" applyFont="1" applyFill="1" applyBorder="1" applyAlignment="1">
      <alignment horizontal="center" vertical="center" textRotation="90"/>
    </xf>
    <xf numFmtId="4" fontId="0" fillId="0" borderId="20" xfId="0" applyNumberFormat="1" applyFill="1" applyBorder="1" applyAlignment="1">
      <alignment horizontal="center" vertical="center"/>
    </xf>
    <xf numFmtId="4" fontId="0" fillId="0" borderId="21" xfId="0" applyNumberFormat="1" applyFill="1" applyBorder="1" applyAlignment="1">
      <alignment horizontal="center" vertical="center"/>
    </xf>
    <xf numFmtId="4" fontId="0" fillId="6" borderId="31" xfId="0" applyNumberFormat="1" applyFill="1" applyBorder="1" applyAlignment="1">
      <alignment horizontal="center" vertical="center"/>
    </xf>
    <xf numFmtId="4" fontId="0" fillId="6" borderId="20" xfId="0" applyNumberFormat="1" applyFill="1" applyBorder="1" applyAlignment="1">
      <alignment horizontal="center" vertical="center"/>
    </xf>
    <xf numFmtId="4" fontId="0" fillId="6" borderId="21" xfId="0" applyNumberFormat="1" applyFill="1" applyBorder="1" applyAlignment="1">
      <alignment horizontal="center" vertical="center"/>
    </xf>
    <xf numFmtId="4" fontId="0" fillId="0" borderId="31" xfId="0" applyNumberFormat="1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</cellXfs>
  <cellStyles count="3">
    <cellStyle name="Euro" xfId="1"/>
    <cellStyle name="Milliers" xfId="2" builtinId="3"/>
    <cellStyle name="Normal" xfId="0" builtinId="0"/>
  </cellStyles>
  <dxfs count="5">
    <dxf>
      <numFmt numFmtId="167" formatCode="#,##0.00;[Red]#,##0.00"/>
    </dxf>
    <dxf>
      <numFmt numFmtId="167" formatCode="#,##0.00;[Red]#,##0.00"/>
    </dxf>
    <dxf>
      <numFmt numFmtId="167" formatCode="#,##0.00;[Red]#,##0.00"/>
    </dxf>
    <dxf>
      <numFmt numFmtId="167" formatCode="#,##0.00;[Red]#,##0.00"/>
    </dxf>
    <dxf>
      <numFmt numFmtId="167" formatCode="#,##0.00;[Red]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rginie Saussier" refreshedDate="42458.596260532409" createdVersion="5" refreshedVersion="5" recordCount="870">
  <cacheSource type="worksheet">
    <worksheetSource ref="A1:I1571" sheet="CHANTIERS_2016"/>
  </cacheSource>
  <cacheFields count="9">
    <cacheField name="N° Chantier" numFmtId="0">
      <sharedItems containsString="0" containsBlank="1" containsNumber="1" containsInteger="1" minValue="33347" maxValue="34215"/>
    </cacheField>
    <cacheField name="MOIS" numFmtId="0">
      <sharedItems containsBlank="1" containsMixedTypes="1" containsNumber="1" containsInteger="1" minValue="1" maxValue="3"/>
    </cacheField>
    <cacheField name="ANNEE" numFmtId="0">
      <sharedItems containsBlank="1" containsMixedTypes="1" containsNumber="1" containsInteger="1" minValue="2016" maxValue="2016" count="3">
        <n v="2016"/>
        <s v=""/>
        <m/>
      </sharedItems>
    </cacheField>
    <cacheField name="SEMAINE" numFmtId="0">
      <sharedItems containsBlank="1" containsMixedTypes="1" containsNumber="1" containsInteger="1" minValue="2" maxValue="10"/>
    </cacheField>
    <cacheField name="Date OS" numFmtId="165">
      <sharedItems containsNonDate="0" containsDate="1" containsString="0" containsBlank="1" minDate="2016-01-04T00:00:00" maxDate="2016-03-03T00:00:00"/>
    </cacheField>
    <cacheField name="Clients" numFmtId="0">
      <sharedItems containsBlank="1" count="16">
        <s v="TROIS MOULINS"/>
        <s v="ANTIN"/>
        <s v="EFIDIS"/>
        <s v="RIVP CENTRE"/>
        <s v="RIVP NORD"/>
        <s v="FSM"/>
        <s v="SCI BAILEC"/>
        <s v="HSF"/>
        <s v="CARAC"/>
        <s v="RICHEMONT"/>
        <s v="RIVP SUD"/>
        <s v="SNCF"/>
        <s v="CENTURY 21"/>
        <s v="LE RICHEMONT"/>
        <s v="KREMLIN"/>
        <m/>
      </sharedItems>
    </cacheField>
    <cacheField name="CA HT OS" numFmtId="0">
      <sharedItems containsString="0" containsBlank="1" containsNumber="1" minValue="0" maxValue="40737.43"/>
    </cacheField>
    <cacheField name="ACEE" numFmtId="2">
      <sharedItems containsString="0" containsBlank="1" containsNumber="1" minValue="0" maxValue="40737.43"/>
    </cacheField>
    <cacheField name="HSF_x000a_SOFTELEC" numFmtId="2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0">
  <r>
    <n v="33347"/>
    <n v="1"/>
    <x v="0"/>
    <n v="2"/>
    <d v="2016-01-04T00:00:00"/>
    <x v="0"/>
    <n v="1057.5"/>
    <n v="1057.5"/>
    <m/>
  </r>
  <r>
    <n v="33348"/>
    <n v="1"/>
    <x v="0"/>
    <n v="2"/>
    <d v="2016-01-04T00:00:00"/>
    <x v="0"/>
    <n v="103.49999999999999"/>
    <n v="103.49999999999999"/>
    <m/>
  </r>
  <r>
    <n v="33349"/>
    <n v="1"/>
    <x v="0"/>
    <n v="2"/>
    <d v="2016-01-04T00:00:00"/>
    <x v="1"/>
    <n v="148"/>
    <n v="148"/>
    <m/>
  </r>
  <r>
    <n v="33350"/>
    <n v="1"/>
    <x v="0"/>
    <n v="2"/>
    <d v="2016-01-04T00:00:00"/>
    <x v="1"/>
    <n v="175"/>
    <n v="175"/>
    <m/>
  </r>
  <r>
    <n v="33351"/>
    <n v="1"/>
    <x v="0"/>
    <n v="2"/>
    <d v="2016-01-04T00:00:00"/>
    <x v="1"/>
    <n v="175"/>
    <n v="175"/>
    <m/>
  </r>
  <r>
    <n v="33352"/>
    <n v="1"/>
    <x v="0"/>
    <n v="2"/>
    <d v="2016-01-04T00:00:00"/>
    <x v="2"/>
    <n v="2361.21"/>
    <n v="2361.21"/>
    <m/>
  </r>
  <r>
    <n v="33353"/>
    <n v="1"/>
    <x v="0"/>
    <n v="2"/>
    <d v="2016-01-05T00:00:00"/>
    <x v="3"/>
    <n v="8263.5"/>
    <n v="8263.5"/>
    <m/>
  </r>
  <r>
    <n v="33354"/>
    <n v="1"/>
    <x v="0"/>
    <n v="2"/>
    <d v="2016-01-05T00:00:00"/>
    <x v="3"/>
    <n v="3780.5"/>
    <n v="3780.5"/>
    <m/>
  </r>
  <r>
    <n v="33355"/>
    <n v="1"/>
    <x v="0"/>
    <n v="2"/>
    <d v="2016-01-05T00:00:00"/>
    <x v="3"/>
    <n v="6287"/>
    <n v="6287"/>
    <m/>
  </r>
  <r>
    <n v="33356"/>
    <n v="1"/>
    <x v="0"/>
    <n v="2"/>
    <d v="2016-01-05T00:00:00"/>
    <x v="1"/>
    <n v="35"/>
    <n v="35"/>
    <m/>
  </r>
  <r>
    <n v="33357"/>
    <n v="1"/>
    <x v="0"/>
    <n v="2"/>
    <d v="2016-01-05T00:00:00"/>
    <x v="1"/>
    <n v="55"/>
    <n v="55"/>
    <m/>
  </r>
  <r>
    <n v="33358"/>
    <n v="1"/>
    <x v="0"/>
    <n v="2"/>
    <d v="2016-01-05T00:00:00"/>
    <x v="1"/>
    <n v="37"/>
    <n v="37"/>
    <m/>
  </r>
  <r>
    <n v="33359"/>
    <n v="1"/>
    <x v="0"/>
    <n v="2"/>
    <d v="2016-01-05T00:00:00"/>
    <x v="1"/>
    <n v="745"/>
    <n v="745"/>
    <m/>
  </r>
  <r>
    <n v="33360"/>
    <n v="1"/>
    <x v="0"/>
    <n v="2"/>
    <d v="2016-01-05T00:00:00"/>
    <x v="4"/>
    <n v="4161.2"/>
    <n v="4161.2"/>
    <m/>
  </r>
  <r>
    <n v="33361"/>
    <n v="1"/>
    <x v="0"/>
    <n v="2"/>
    <d v="2016-01-05T00:00:00"/>
    <x v="1"/>
    <n v="1286"/>
    <n v="1286"/>
    <m/>
  </r>
  <r>
    <n v="33362"/>
    <n v="1"/>
    <x v="0"/>
    <n v="2"/>
    <d v="2016-01-05T00:00:00"/>
    <x v="1"/>
    <n v="0"/>
    <m/>
    <m/>
  </r>
  <r>
    <n v="33363"/>
    <n v="1"/>
    <x v="0"/>
    <n v="2"/>
    <d v="2016-01-05T00:00:00"/>
    <x v="0"/>
    <n v="1537.9999999999998"/>
    <n v="1537.9999999999998"/>
    <m/>
  </r>
  <r>
    <n v="33364"/>
    <n v="1"/>
    <x v="0"/>
    <n v="2"/>
    <d v="2016-01-05T00:00:00"/>
    <x v="2"/>
    <n v="1391.52"/>
    <n v="1391.52"/>
    <m/>
  </r>
  <r>
    <n v="33365"/>
    <n v="1"/>
    <x v="0"/>
    <n v="2"/>
    <d v="2016-01-05T00:00:00"/>
    <x v="4"/>
    <n v="778.73"/>
    <n v="778.73"/>
    <m/>
  </r>
  <r>
    <n v="33366"/>
    <n v="1"/>
    <x v="0"/>
    <n v="2"/>
    <d v="2016-01-05T00:00:00"/>
    <x v="5"/>
    <n v="3100.42"/>
    <n v="3100.42"/>
    <m/>
  </r>
  <r>
    <n v="33367"/>
    <n v="1"/>
    <x v="0"/>
    <n v="2"/>
    <d v="2016-01-05T00:00:00"/>
    <x v="4"/>
    <n v="437.25"/>
    <n v="437.25"/>
    <m/>
  </r>
  <r>
    <n v="33368"/>
    <n v="1"/>
    <x v="0"/>
    <n v="2"/>
    <d v="2016-01-05T00:00:00"/>
    <x v="3"/>
    <n v="1900"/>
    <n v="1900"/>
    <m/>
  </r>
  <r>
    <n v="33369"/>
    <n v="1"/>
    <x v="0"/>
    <n v="2"/>
    <d v="2016-01-05T00:00:00"/>
    <x v="4"/>
    <n v="3249.3"/>
    <n v="3249.3"/>
    <m/>
  </r>
  <r>
    <n v="33370"/>
    <n v="1"/>
    <x v="0"/>
    <n v="2"/>
    <d v="2016-01-05T00:00:00"/>
    <x v="4"/>
    <n v="40737.43"/>
    <n v="40737.43"/>
    <m/>
  </r>
  <r>
    <n v="33371"/>
    <n v="1"/>
    <x v="0"/>
    <n v="2"/>
    <d v="2016-01-06T00:00:00"/>
    <x v="4"/>
    <n v="0"/>
    <m/>
    <m/>
  </r>
  <r>
    <n v="33372"/>
    <n v="1"/>
    <x v="0"/>
    <n v="2"/>
    <d v="2016-01-06T00:00:00"/>
    <x v="1"/>
    <n v="134"/>
    <n v="134"/>
    <m/>
  </r>
  <r>
    <n v="33373"/>
    <n v="1"/>
    <x v="0"/>
    <n v="2"/>
    <d v="2016-01-06T00:00:00"/>
    <x v="1"/>
    <n v="4075"/>
    <n v="4075"/>
    <m/>
  </r>
  <r>
    <n v="33374"/>
    <n v="1"/>
    <x v="0"/>
    <n v="2"/>
    <d v="2016-01-06T00:00:00"/>
    <x v="1"/>
    <n v="712"/>
    <n v="712"/>
    <m/>
  </r>
  <r>
    <n v="33375"/>
    <n v="1"/>
    <x v="0"/>
    <n v="2"/>
    <d v="2016-01-06T00:00:00"/>
    <x v="1"/>
    <n v="525"/>
    <n v="525"/>
    <m/>
  </r>
  <r>
    <n v="33376"/>
    <n v="1"/>
    <x v="0"/>
    <n v="2"/>
    <d v="2016-01-06T00:00:00"/>
    <x v="0"/>
    <n v="4039.8636363636365"/>
    <n v="4039.8636363636365"/>
    <m/>
  </r>
  <r>
    <n v="33377"/>
    <n v="1"/>
    <x v="0"/>
    <n v="2"/>
    <d v="2016-01-06T00:00:00"/>
    <x v="0"/>
    <n v="163.63636363636363"/>
    <n v="163.63636363636363"/>
    <m/>
  </r>
  <r>
    <n v="33378"/>
    <n v="1"/>
    <x v="0"/>
    <n v="2"/>
    <d v="2016-01-06T00:00:00"/>
    <x v="3"/>
    <n v="662"/>
    <n v="662"/>
    <m/>
  </r>
  <r>
    <n v="33379"/>
    <n v="1"/>
    <x v="0"/>
    <n v="2"/>
    <d v="2016-01-07T00:00:00"/>
    <x v="2"/>
    <n v="338"/>
    <n v="338"/>
    <m/>
  </r>
  <r>
    <n v="33380"/>
    <n v="1"/>
    <x v="0"/>
    <n v="2"/>
    <d v="2016-01-07T00:00:00"/>
    <x v="2"/>
    <n v="982.7"/>
    <n v="982.7"/>
    <m/>
  </r>
  <r>
    <n v="33381"/>
    <n v="1"/>
    <x v="0"/>
    <n v="2"/>
    <d v="2016-01-07T00:00:00"/>
    <x v="1"/>
    <n v="0"/>
    <m/>
    <m/>
  </r>
  <r>
    <n v="33382"/>
    <n v="1"/>
    <x v="0"/>
    <n v="2"/>
    <d v="2016-01-07T00:00:00"/>
    <x v="1"/>
    <n v="285"/>
    <n v="285"/>
    <m/>
  </r>
  <r>
    <n v="33383"/>
    <n v="1"/>
    <x v="0"/>
    <n v="2"/>
    <d v="2016-01-07T00:00:00"/>
    <x v="1"/>
    <n v="450"/>
    <n v="450"/>
    <m/>
  </r>
  <r>
    <n v="33384"/>
    <n v="1"/>
    <x v="0"/>
    <n v="2"/>
    <d v="2016-01-07T00:00:00"/>
    <x v="1"/>
    <n v="15"/>
    <n v="15"/>
    <m/>
  </r>
  <r>
    <n v="33385"/>
    <n v="1"/>
    <x v="0"/>
    <n v="2"/>
    <d v="2016-01-07T00:00:00"/>
    <x v="1"/>
    <n v="35"/>
    <n v="35"/>
    <m/>
  </r>
  <r>
    <n v="33386"/>
    <n v="1"/>
    <x v="0"/>
    <n v="2"/>
    <d v="2016-01-07T00:00:00"/>
    <x v="1"/>
    <n v="55"/>
    <n v="55"/>
    <m/>
  </r>
  <r>
    <n v="33387"/>
    <n v="1"/>
    <x v="0"/>
    <n v="2"/>
    <d v="2016-01-07T00:00:00"/>
    <x v="1"/>
    <n v="1559"/>
    <n v="1559"/>
    <m/>
  </r>
  <r>
    <n v="33388"/>
    <n v="1"/>
    <x v="0"/>
    <n v="2"/>
    <d v="2016-01-07T00:00:00"/>
    <x v="1"/>
    <n v="1275"/>
    <n v="1275"/>
    <m/>
  </r>
  <r>
    <n v="33389"/>
    <n v="1"/>
    <x v="0"/>
    <n v="2"/>
    <d v="2016-01-07T00:00:00"/>
    <x v="1"/>
    <n v="2456"/>
    <n v="2456"/>
    <m/>
  </r>
  <r>
    <n v="33390"/>
    <n v="1"/>
    <x v="0"/>
    <n v="2"/>
    <d v="2016-01-07T00:00:00"/>
    <x v="3"/>
    <n v="4334"/>
    <n v="4334"/>
    <m/>
  </r>
  <r>
    <n v="33391"/>
    <n v="1"/>
    <x v="0"/>
    <n v="2"/>
    <d v="2016-01-07T00:00:00"/>
    <x v="3"/>
    <n v="8559"/>
    <n v="8559"/>
    <m/>
  </r>
  <r>
    <n v="33392"/>
    <n v="1"/>
    <x v="0"/>
    <n v="2"/>
    <d v="2016-01-07T00:00:00"/>
    <x v="4"/>
    <n v="16058"/>
    <n v="16058"/>
    <m/>
  </r>
  <r>
    <n v="33393"/>
    <n v="1"/>
    <x v="0"/>
    <n v="2"/>
    <d v="2016-01-07T00:00:00"/>
    <x v="3"/>
    <n v="140.75"/>
    <n v="140.75"/>
    <m/>
  </r>
  <r>
    <n v="33394"/>
    <n v="1"/>
    <x v="0"/>
    <n v="2"/>
    <d v="2016-01-07T00:00:00"/>
    <x v="3"/>
    <n v="7805"/>
    <n v="7805"/>
    <m/>
  </r>
  <r>
    <n v="33395"/>
    <n v="1"/>
    <x v="0"/>
    <n v="2"/>
    <d v="2016-01-07T00:00:00"/>
    <x v="3"/>
    <n v="8350.4"/>
    <n v="8350.4"/>
    <m/>
  </r>
  <r>
    <n v="33396"/>
    <n v="1"/>
    <x v="0"/>
    <n v="2"/>
    <d v="2016-01-07T00:00:00"/>
    <x v="3"/>
    <n v="8022"/>
    <n v="8022"/>
    <m/>
  </r>
  <r>
    <n v="33397"/>
    <n v="1"/>
    <x v="0"/>
    <n v="2"/>
    <d v="2016-01-07T00:00:00"/>
    <x v="3"/>
    <n v="3351.7"/>
    <n v="3351.7"/>
    <m/>
  </r>
  <r>
    <n v="33398"/>
    <n v="1"/>
    <x v="0"/>
    <n v="2"/>
    <d v="2016-01-07T00:00:00"/>
    <x v="0"/>
    <n v="1544.9999999999998"/>
    <n v="1544.9999999999998"/>
    <m/>
  </r>
  <r>
    <n v="33399"/>
    <n v="1"/>
    <x v="0"/>
    <n v="2"/>
    <d v="2016-01-08T00:00:00"/>
    <x v="4"/>
    <n v="362"/>
    <n v="362"/>
    <m/>
  </r>
  <r>
    <n v="33400"/>
    <n v="1"/>
    <x v="0"/>
    <n v="2"/>
    <d v="2016-01-08T00:00:00"/>
    <x v="4"/>
    <n v="132"/>
    <n v="132"/>
    <m/>
  </r>
  <r>
    <n v="33401"/>
    <n v="1"/>
    <x v="0"/>
    <n v="2"/>
    <d v="2016-01-08T00:00:00"/>
    <x v="4"/>
    <n v="16423.5"/>
    <n v="16423.5"/>
    <m/>
  </r>
  <r>
    <n v="33402"/>
    <n v="1"/>
    <x v="0"/>
    <n v="2"/>
    <d v="2016-01-08T00:00:00"/>
    <x v="4"/>
    <n v="11246.5"/>
    <n v="11246.5"/>
    <m/>
  </r>
  <r>
    <n v="33403"/>
    <n v="1"/>
    <x v="0"/>
    <n v="2"/>
    <d v="2016-01-08T00:00:00"/>
    <x v="3"/>
    <n v="1650.4"/>
    <n v="1650.4"/>
    <m/>
  </r>
  <r>
    <n v="33404"/>
    <n v="1"/>
    <x v="0"/>
    <n v="2"/>
    <d v="2016-01-08T00:00:00"/>
    <x v="1"/>
    <n v="232"/>
    <n v="232"/>
    <m/>
  </r>
  <r>
    <n v="33405"/>
    <n v="1"/>
    <x v="0"/>
    <n v="2"/>
    <d v="2016-01-08T00:00:00"/>
    <x v="5"/>
    <n v="4260.71"/>
    <n v="4260.71"/>
    <m/>
  </r>
  <r>
    <n v="33406"/>
    <n v="1"/>
    <x v="0"/>
    <n v="2"/>
    <d v="2016-01-08T00:00:00"/>
    <x v="3"/>
    <n v="313"/>
    <n v="313"/>
    <m/>
  </r>
  <r>
    <n v="33407"/>
    <n v="1"/>
    <x v="0"/>
    <n v="2"/>
    <d v="2016-01-08T00:00:00"/>
    <x v="3"/>
    <n v="0"/>
    <m/>
    <m/>
  </r>
  <r>
    <n v="33408"/>
    <n v="1"/>
    <x v="0"/>
    <n v="2"/>
    <d v="2016-01-08T00:00:00"/>
    <x v="1"/>
    <n v="110"/>
    <n v="110"/>
    <m/>
  </r>
  <r>
    <n v="33409"/>
    <n v="1"/>
    <x v="0"/>
    <n v="2"/>
    <d v="2016-01-08T00:00:00"/>
    <x v="1"/>
    <n v="609"/>
    <n v="609"/>
    <m/>
  </r>
  <r>
    <n v="33410"/>
    <n v="1"/>
    <x v="0"/>
    <n v="2"/>
    <d v="2016-01-08T00:00:00"/>
    <x v="4"/>
    <n v="8706"/>
    <n v="8706"/>
    <m/>
  </r>
  <r>
    <n v="33411"/>
    <n v="1"/>
    <x v="0"/>
    <n v="3"/>
    <d v="2016-01-11T00:00:00"/>
    <x v="4"/>
    <n v="0"/>
    <m/>
    <m/>
  </r>
  <r>
    <n v="33412"/>
    <n v="1"/>
    <x v="0"/>
    <n v="3"/>
    <d v="2016-01-11T00:00:00"/>
    <x v="3"/>
    <n v="160"/>
    <n v="160"/>
    <m/>
  </r>
  <r>
    <n v="33413"/>
    <n v="1"/>
    <x v="0"/>
    <n v="3"/>
    <d v="2016-01-11T00:00:00"/>
    <x v="4"/>
    <n v="5369"/>
    <n v="5369"/>
    <m/>
  </r>
  <r>
    <n v="33414"/>
    <n v="1"/>
    <x v="0"/>
    <n v="3"/>
    <d v="2016-01-11T00:00:00"/>
    <x v="4"/>
    <n v="7727.6"/>
    <n v="7727.6"/>
    <m/>
  </r>
  <r>
    <n v="33415"/>
    <n v="1"/>
    <x v="0"/>
    <n v="3"/>
    <d v="2016-01-11T00:00:00"/>
    <x v="4"/>
    <n v="7029.2"/>
    <n v="7029.2"/>
    <m/>
  </r>
  <r>
    <n v="33416"/>
    <n v="1"/>
    <x v="0"/>
    <n v="3"/>
    <d v="2016-01-11T00:00:00"/>
    <x v="4"/>
    <n v="4274.7"/>
    <n v="4274.7"/>
    <m/>
  </r>
  <r>
    <n v="33417"/>
    <n v="1"/>
    <x v="0"/>
    <n v="3"/>
    <d v="2016-01-11T00:00:00"/>
    <x v="3"/>
    <n v="2078"/>
    <n v="2078"/>
    <m/>
  </r>
  <r>
    <n v="33418"/>
    <n v="1"/>
    <x v="0"/>
    <n v="3"/>
    <d v="2016-01-11T00:00:00"/>
    <x v="3"/>
    <n v="165"/>
    <n v="165"/>
    <m/>
  </r>
  <r>
    <n v="33419"/>
    <n v="1"/>
    <x v="0"/>
    <n v="3"/>
    <d v="2016-01-11T00:00:00"/>
    <x v="4"/>
    <n v="150"/>
    <n v="150"/>
    <m/>
  </r>
  <r>
    <n v="33420"/>
    <n v="1"/>
    <x v="0"/>
    <n v="3"/>
    <d v="2016-01-11T00:00:00"/>
    <x v="1"/>
    <n v="55"/>
    <n v="55"/>
    <m/>
  </r>
  <r>
    <n v="33421"/>
    <n v="1"/>
    <x v="0"/>
    <n v="3"/>
    <d v="2016-01-11T00:00:00"/>
    <x v="1"/>
    <n v="55"/>
    <n v="55"/>
    <m/>
  </r>
  <r>
    <n v="33422"/>
    <n v="1"/>
    <x v="0"/>
    <n v="3"/>
    <d v="2016-01-11T00:00:00"/>
    <x v="6"/>
    <n v="0"/>
    <m/>
    <m/>
  </r>
  <r>
    <n v="33423"/>
    <n v="1"/>
    <x v="0"/>
    <n v="3"/>
    <d v="2016-01-11T00:00:00"/>
    <x v="3"/>
    <n v="1740"/>
    <n v="1740"/>
    <m/>
  </r>
  <r>
    <n v="33424"/>
    <n v="1"/>
    <x v="0"/>
    <n v="3"/>
    <d v="2016-01-11T00:00:00"/>
    <x v="2"/>
    <n v="2879.43"/>
    <n v="2879.43"/>
    <m/>
  </r>
  <r>
    <n v="33425"/>
    <n v="1"/>
    <x v="0"/>
    <n v="3"/>
    <d v="2016-01-11T00:00:00"/>
    <x v="2"/>
    <n v="1970.92"/>
    <n v="1970.92"/>
    <m/>
  </r>
  <r>
    <n v="33426"/>
    <n v="1"/>
    <x v="0"/>
    <n v="3"/>
    <d v="2016-01-11T00:00:00"/>
    <x v="1"/>
    <n v="468"/>
    <n v="468"/>
    <m/>
  </r>
  <r>
    <n v="33427"/>
    <n v="1"/>
    <x v="0"/>
    <n v="3"/>
    <d v="2016-01-11T00:00:00"/>
    <x v="2"/>
    <n v="2183.7600000000002"/>
    <n v="2183.7600000000002"/>
    <m/>
  </r>
  <r>
    <n v="33428"/>
    <n v="1"/>
    <x v="0"/>
    <n v="3"/>
    <d v="2016-01-11T00:00:00"/>
    <x v="3"/>
    <n v="12418.5"/>
    <n v="12418.5"/>
    <m/>
  </r>
  <r>
    <n v="33429"/>
    <n v="1"/>
    <x v="0"/>
    <n v="3"/>
    <d v="2016-01-11T00:00:00"/>
    <x v="0"/>
    <n v="444.99999999999994"/>
    <n v="444.99999999999994"/>
    <m/>
  </r>
  <r>
    <n v="33430"/>
    <n v="1"/>
    <x v="0"/>
    <n v="3"/>
    <d v="2016-01-11T00:00:00"/>
    <x v="3"/>
    <n v="1474"/>
    <n v="1474"/>
    <m/>
  </r>
  <r>
    <n v="33431"/>
    <n v="1"/>
    <x v="0"/>
    <n v="3"/>
    <d v="2016-01-11T00:00:00"/>
    <x v="3"/>
    <n v="1511.5"/>
    <n v="1511.5"/>
    <m/>
  </r>
  <r>
    <n v="33432"/>
    <n v="1"/>
    <x v="0"/>
    <n v="3"/>
    <d v="2016-01-11T00:00:00"/>
    <x v="3"/>
    <n v="2406"/>
    <n v="2406"/>
    <m/>
  </r>
  <r>
    <n v="33433"/>
    <n v="1"/>
    <x v="0"/>
    <n v="3"/>
    <d v="2016-01-12T00:00:00"/>
    <x v="4"/>
    <n v="2372.5"/>
    <n v="2372.5"/>
    <m/>
  </r>
  <r>
    <n v="33434"/>
    <n v="1"/>
    <x v="0"/>
    <n v="3"/>
    <d v="2016-01-12T00:00:00"/>
    <x v="3"/>
    <n v="0"/>
    <n v="0"/>
    <m/>
  </r>
  <r>
    <n v="33435"/>
    <n v="1"/>
    <x v="0"/>
    <n v="3"/>
    <d v="2016-01-12T00:00:00"/>
    <x v="4"/>
    <n v="328.75"/>
    <n v="328.75"/>
    <m/>
  </r>
  <r>
    <n v="33436"/>
    <n v="1"/>
    <x v="0"/>
    <n v="3"/>
    <d v="2016-01-12T00:00:00"/>
    <x v="4"/>
    <n v="607"/>
    <n v="607"/>
    <m/>
  </r>
  <r>
    <n v="33437"/>
    <n v="1"/>
    <x v="0"/>
    <n v="3"/>
    <d v="2016-01-12T00:00:00"/>
    <x v="4"/>
    <n v="670"/>
    <n v="670"/>
    <m/>
  </r>
  <r>
    <n v="33438"/>
    <n v="1"/>
    <x v="0"/>
    <n v="3"/>
    <d v="2016-01-12T00:00:00"/>
    <x v="1"/>
    <n v="846"/>
    <n v="846"/>
    <m/>
  </r>
  <r>
    <n v="33439"/>
    <n v="1"/>
    <x v="0"/>
    <n v="3"/>
    <d v="2016-01-12T00:00:00"/>
    <x v="1"/>
    <n v="190"/>
    <n v="190"/>
    <m/>
  </r>
  <r>
    <n v="33440"/>
    <n v="1"/>
    <x v="0"/>
    <n v="3"/>
    <d v="2016-01-12T00:00:00"/>
    <x v="1"/>
    <n v="165"/>
    <n v="165"/>
    <m/>
  </r>
  <r>
    <n v="33441"/>
    <n v="1"/>
    <x v="0"/>
    <n v="3"/>
    <d v="2016-01-12T00:00:00"/>
    <x v="1"/>
    <n v="35"/>
    <n v="35"/>
    <m/>
  </r>
  <r>
    <n v="33442"/>
    <n v="1"/>
    <x v="0"/>
    <n v="3"/>
    <d v="2016-01-12T00:00:00"/>
    <x v="1"/>
    <n v="42"/>
    <n v="42"/>
    <m/>
  </r>
  <r>
    <n v="33443"/>
    <n v="1"/>
    <x v="0"/>
    <n v="3"/>
    <d v="2016-01-12T00:00:00"/>
    <x v="4"/>
    <n v="240.75"/>
    <n v="240.75"/>
    <m/>
  </r>
  <r>
    <n v="33444"/>
    <n v="1"/>
    <x v="0"/>
    <n v="3"/>
    <d v="2016-01-12T00:00:00"/>
    <x v="4"/>
    <n v="702"/>
    <n v="702"/>
    <m/>
  </r>
  <r>
    <n v="33445"/>
    <n v="1"/>
    <x v="0"/>
    <n v="3"/>
    <d v="2016-01-13T00:00:00"/>
    <x v="0"/>
    <n v="864.99999999999989"/>
    <n v="864.99999999999989"/>
    <m/>
  </r>
  <r>
    <n v="33446"/>
    <n v="1"/>
    <x v="0"/>
    <n v="3"/>
    <d v="2016-01-13T00:00:00"/>
    <x v="0"/>
    <n v="2090.4272727272723"/>
    <n v="2090.4272727272723"/>
    <m/>
  </r>
  <r>
    <n v="33447"/>
    <n v="1"/>
    <x v="0"/>
    <n v="3"/>
    <d v="2016-01-13T00:00:00"/>
    <x v="1"/>
    <n v="120"/>
    <n v="120"/>
    <m/>
  </r>
  <r>
    <n v="33448"/>
    <n v="1"/>
    <x v="0"/>
    <n v="3"/>
    <d v="2016-01-13T00:00:00"/>
    <x v="1"/>
    <n v="2345"/>
    <n v="2345"/>
    <m/>
  </r>
  <r>
    <n v="33449"/>
    <n v="1"/>
    <x v="0"/>
    <n v="3"/>
    <d v="2016-01-13T00:00:00"/>
    <x v="1"/>
    <n v="49.5"/>
    <n v="49.5"/>
    <m/>
  </r>
  <r>
    <n v="33450"/>
    <n v="1"/>
    <x v="0"/>
    <n v="3"/>
    <d v="2016-01-13T00:00:00"/>
    <x v="1"/>
    <n v="35"/>
    <n v="35"/>
    <m/>
  </r>
  <r>
    <n v="33451"/>
    <n v="1"/>
    <x v="0"/>
    <n v="3"/>
    <d v="2016-01-13T00:00:00"/>
    <x v="1"/>
    <n v="55"/>
    <n v="55"/>
    <m/>
  </r>
  <r>
    <n v="33452"/>
    <n v="1"/>
    <x v="0"/>
    <n v="3"/>
    <d v="2016-01-13T00:00:00"/>
    <x v="3"/>
    <n v="2050.25"/>
    <n v="2050.25"/>
    <m/>
  </r>
  <r>
    <n v="33453"/>
    <n v="1"/>
    <x v="0"/>
    <n v="3"/>
    <d v="2016-01-13T00:00:00"/>
    <x v="7"/>
    <n v="0"/>
    <m/>
    <m/>
  </r>
  <r>
    <n v="33454"/>
    <n v="1"/>
    <x v="0"/>
    <n v="3"/>
    <d v="2016-01-13T00:00:00"/>
    <x v="4"/>
    <n v="485"/>
    <n v="485"/>
    <m/>
  </r>
  <r>
    <n v="33455"/>
    <n v="1"/>
    <x v="0"/>
    <n v="3"/>
    <d v="2016-01-13T00:00:00"/>
    <x v="5"/>
    <n v="405.08"/>
    <n v="405.08"/>
    <m/>
  </r>
  <r>
    <n v="33456"/>
    <n v="1"/>
    <x v="0"/>
    <n v="3"/>
    <d v="2016-01-13T00:00:00"/>
    <x v="4"/>
    <n v="520"/>
    <n v="520"/>
    <m/>
  </r>
  <r>
    <n v="33457"/>
    <n v="1"/>
    <x v="0"/>
    <n v="3"/>
    <d v="2016-01-13T00:00:00"/>
    <x v="3"/>
    <n v="975"/>
    <n v="975"/>
    <m/>
  </r>
  <r>
    <n v="33458"/>
    <n v="1"/>
    <x v="0"/>
    <n v="3"/>
    <d v="2016-01-13T00:00:00"/>
    <x v="4"/>
    <n v="1084.5"/>
    <n v="1084.5"/>
    <m/>
  </r>
  <r>
    <n v="33459"/>
    <n v="1"/>
    <x v="0"/>
    <n v="3"/>
    <d v="2016-01-14T00:00:00"/>
    <x v="1"/>
    <n v="175"/>
    <n v="175"/>
    <m/>
  </r>
  <r>
    <n v="33460"/>
    <n v="1"/>
    <x v="0"/>
    <n v="3"/>
    <d v="2016-01-14T00:00:00"/>
    <x v="1"/>
    <n v="1261.5"/>
    <n v="1261.5"/>
    <m/>
  </r>
  <r>
    <n v="33461"/>
    <n v="1"/>
    <x v="0"/>
    <n v="3"/>
    <d v="2016-01-14T00:00:00"/>
    <x v="1"/>
    <n v="112"/>
    <n v="112"/>
    <m/>
  </r>
  <r>
    <n v="33462"/>
    <n v="1"/>
    <x v="0"/>
    <n v="3"/>
    <d v="2016-01-14T00:00:00"/>
    <x v="2"/>
    <n v="970.42"/>
    <n v="970.42"/>
    <m/>
  </r>
  <r>
    <n v="33463"/>
    <n v="1"/>
    <x v="0"/>
    <n v="3"/>
    <d v="2016-01-14T00:00:00"/>
    <x v="5"/>
    <n v="0"/>
    <n v="0"/>
    <m/>
  </r>
  <r>
    <n v="33464"/>
    <n v="1"/>
    <x v="0"/>
    <n v="3"/>
    <d v="2016-01-14T00:00:00"/>
    <x v="4"/>
    <n v="232.25"/>
    <n v="232.25"/>
    <m/>
  </r>
  <r>
    <n v="33465"/>
    <n v="1"/>
    <x v="0"/>
    <n v="3"/>
    <d v="2016-01-14T00:00:00"/>
    <x v="4"/>
    <n v="271.5"/>
    <n v="271.5"/>
    <m/>
  </r>
  <r>
    <n v="33466"/>
    <n v="1"/>
    <x v="0"/>
    <n v="3"/>
    <d v="2016-01-14T00:00:00"/>
    <x v="0"/>
    <n v="647.65454545454531"/>
    <n v="647.65454545454531"/>
    <m/>
  </r>
  <r>
    <n v="33467"/>
    <n v="1"/>
    <x v="0"/>
    <n v="3"/>
    <d v="2016-01-14T00:00:00"/>
    <x v="3"/>
    <n v="5448"/>
    <n v="5448"/>
    <m/>
  </r>
  <r>
    <n v="33468"/>
    <n v="1"/>
    <x v="0"/>
    <n v="3"/>
    <d v="2016-01-14T00:00:00"/>
    <x v="3"/>
    <n v="6871.02"/>
    <n v="6871.02"/>
    <m/>
  </r>
  <r>
    <n v="33469"/>
    <n v="1"/>
    <x v="0"/>
    <n v="3"/>
    <d v="2016-01-14T00:00:00"/>
    <x v="3"/>
    <n v="6214.5"/>
    <n v="6214.5"/>
    <m/>
  </r>
  <r>
    <n v="33470"/>
    <n v="1"/>
    <x v="0"/>
    <n v="3"/>
    <d v="2016-01-14T00:00:00"/>
    <x v="2"/>
    <n v="670.04"/>
    <n v="670.04"/>
    <m/>
  </r>
  <r>
    <n v="33471"/>
    <n v="1"/>
    <x v="0"/>
    <n v="3"/>
    <d v="2016-01-14T00:00:00"/>
    <x v="3"/>
    <n v="1132.75"/>
    <n v="1132.75"/>
    <m/>
  </r>
  <r>
    <n v="33472"/>
    <n v="1"/>
    <x v="0"/>
    <n v="3"/>
    <d v="2016-01-14T00:00:00"/>
    <x v="1"/>
    <n v="55"/>
    <n v="55"/>
    <m/>
  </r>
  <r>
    <n v="33473"/>
    <n v="1"/>
    <x v="0"/>
    <n v="3"/>
    <d v="2016-01-14T00:00:00"/>
    <x v="4"/>
    <n v="0"/>
    <n v="0"/>
    <m/>
  </r>
  <r>
    <n v="33474"/>
    <n v="1"/>
    <x v="0"/>
    <n v="3"/>
    <d v="2016-01-14T00:00:00"/>
    <x v="1"/>
    <n v="0"/>
    <m/>
    <m/>
  </r>
  <r>
    <n v="33475"/>
    <n v="1"/>
    <x v="0"/>
    <n v="3"/>
    <d v="2016-01-14T00:00:00"/>
    <x v="3"/>
    <n v="512.75"/>
    <n v="512.75"/>
    <m/>
  </r>
  <r>
    <n v="33476"/>
    <n v="1"/>
    <x v="0"/>
    <n v="3"/>
    <d v="2016-01-14T00:00:00"/>
    <x v="8"/>
    <n v="20918"/>
    <n v="20918"/>
    <m/>
  </r>
  <r>
    <n v="33477"/>
    <n v="1"/>
    <x v="0"/>
    <n v="3"/>
    <d v="2016-01-14T00:00:00"/>
    <x v="3"/>
    <n v="1104.8699999999999"/>
    <n v="1104.8699999999999"/>
    <m/>
  </r>
  <r>
    <n v="33478"/>
    <n v="1"/>
    <x v="0"/>
    <n v="3"/>
    <d v="2016-01-14T00:00:00"/>
    <x v="3"/>
    <n v="650"/>
    <n v="650"/>
    <m/>
  </r>
  <r>
    <n v="33479"/>
    <n v="1"/>
    <x v="0"/>
    <n v="3"/>
    <d v="2016-01-14T00:00:00"/>
    <x v="5"/>
    <n v="436.87"/>
    <n v="436.87"/>
    <m/>
  </r>
  <r>
    <n v="33480"/>
    <n v="1"/>
    <x v="0"/>
    <n v="3"/>
    <d v="2016-01-14T00:00:00"/>
    <x v="2"/>
    <n v="2431.4899999999998"/>
    <n v="2431.4899999999998"/>
    <m/>
  </r>
  <r>
    <n v="33481"/>
    <n v="1"/>
    <x v="0"/>
    <n v="3"/>
    <d v="2016-01-14T00:00:00"/>
    <x v="2"/>
    <n v="330.3"/>
    <n v="330.3"/>
    <m/>
  </r>
  <r>
    <n v="33482"/>
    <n v="1"/>
    <x v="0"/>
    <n v="3"/>
    <d v="2016-01-14T00:00:00"/>
    <x v="0"/>
    <n v="923.99999999999989"/>
    <n v="923.99999999999989"/>
    <m/>
  </r>
  <r>
    <n v="33483"/>
    <n v="1"/>
    <x v="0"/>
    <n v="3"/>
    <d v="2016-01-14T00:00:00"/>
    <x v="0"/>
    <n v="1224.0999999999999"/>
    <n v="1224.0999999999999"/>
    <m/>
  </r>
  <r>
    <n v="33484"/>
    <n v="1"/>
    <x v="0"/>
    <n v="4"/>
    <d v="2016-01-18T00:00:00"/>
    <x v="2"/>
    <n v="8902.86"/>
    <n v="8902.86"/>
    <m/>
  </r>
  <r>
    <n v="33485"/>
    <n v="1"/>
    <x v="0"/>
    <n v="4"/>
    <d v="2016-01-18T00:00:00"/>
    <x v="2"/>
    <n v="326.88"/>
    <n v="326.88"/>
    <m/>
  </r>
  <r>
    <n v="33486"/>
    <n v="1"/>
    <x v="0"/>
    <n v="4"/>
    <d v="2016-01-18T00:00:00"/>
    <x v="3"/>
    <n v="6335.2"/>
    <n v="6335.2"/>
    <m/>
  </r>
  <r>
    <n v="33487"/>
    <n v="1"/>
    <x v="0"/>
    <n v="4"/>
    <d v="2016-01-18T00:00:00"/>
    <x v="0"/>
    <n v="3709"/>
    <n v="3709"/>
    <m/>
  </r>
  <r>
    <n v="33488"/>
    <n v="1"/>
    <x v="0"/>
    <n v="4"/>
    <d v="2016-01-18T00:00:00"/>
    <x v="3"/>
    <n v="0"/>
    <m/>
    <m/>
  </r>
  <r>
    <n v="33489"/>
    <n v="1"/>
    <x v="0"/>
    <n v="4"/>
    <d v="2016-01-18T00:00:00"/>
    <x v="9"/>
    <n v="0"/>
    <n v="0"/>
    <m/>
  </r>
  <r>
    <n v="33490"/>
    <n v="1"/>
    <x v="0"/>
    <n v="4"/>
    <d v="2016-01-18T00:00:00"/>
    <x v="2"/>
    <n v="23366.53"/>
    <n v="23366.53"/>
    <m/>
  </r>
  <r>
    <n v="33491"/>
    <n v="1"/>
    <x v="0"/>
    <n v="4"/>
    <d v="2016-01-18T00:00:00"/>
    <x v="4"/>
    <n v="0"/>
    <m/>
    <m/>
  </r>
  <r>
    <n v="33492"/>
    <n v="1"/>
    <x v="0"/>
    <n v="4"/>
    <d v="2016-01-18T00:00:00"/>
    <x v="4"/>
    <n v="0"/>
    <m/>
    <m/>
  </r>
  <r>
    <n v="33493"/>
    <n v="1"/>
    <x v="0"/>
    <n v="4"/>
    <d v="2016-01-18T00:00:00"/>
    <x v="4"/>
    <n v="1179"/>
    <n v="1179"/>
    <m/>
  </r>
  <r>
    <n v="33494"/>
    <n v="1"/>
    <x v="0"/>
    <n v="4"/>
    <d v="2016-01-18T00:00:00"/>
    <x v="4"/>
    <n v="539"/>
    <n v="539"/>
    <m/>
  </r>
  <r>
    <n v="33495"/>
    <n v="1"/>
    <x v="0"/>
    <n v="4"/>
    <d v="2016-01-18T00:00:00"/>
    <x v="0"/>
    <n v="1560.9999999999998"/>
    <n v="1560.9999999999998"/>
    <m/>
  </r>
  <r>
    <n v="33496"/>
    <n v="1"/>
    <x v="0"/>
    <n v="4"/>
    <d v="2016-01-18T00:00:00"/>
    <x v="3"/>
    <n v="5402"/>
    <n v="5402"/>
    <m/>
  </r>
  <r>
    <n v="33497"/>
    <n v="1"/>
    <x v="0"/>
    <n v="4"/>
    <d v="2016-01-19T00:00:00"/>
    <x v="1"/>
    <n v="37"/>
    <n v="37"/>
    <m/>
  </r>
  <r>
    <n v="33498"/>
    <n v="1"/>
    <x v="0"/>
    <n v="4"/>
    <d v="2016-01-19T00:00:00"/>
    <x v="1"/>
    <n v="41"/>
    <n v="41"/>
    <m/>
  </r>
  <r>
    <n v="33499"/>
    <n v="1"/>
    <x v="0"/>
    <n v="4"/>
    <d v="2016-01-19T00:00:00"/>
    <x v="2"/>
    <n v="340.65"/>
    <n v="340.65"/>
    <m/>
  </r>
  <r>
    <n v="33500"/>
    <n v="1"/>
    <x v="0"/>
    <n v="4"/>
    <d v="2016-01-19T00:00:00"/>
    <x v="0"/>
    <n v="1187"/>
    <n v="1187"/>
    <m/>
  </r>
  <r>
    <n v="33501"/>
    <n v="1"/>
    <x v="0"/>
    <n v="4"/>
    <d v="2016-01-19T00:00:00"/>
    <x v="0"/>
    <n v="977.49999999999989"/>
    <n v="977.49999999999989"/>
    <m/>
  </r>
  <r>
    <n v="33502"/>
    <n v="1"/>
    <x v="0"/>
    <n v="4"/>
    <d v="2016-01-19T00:00:00"/>
    <x v="4"/>
    <n v="380"/>
    <n v="380"/>
    <m/>
  </r>
  <r>
    <n v="33503"/>
    <n v="1"/>
    <x v="0"/>
    <n v="4"/>
    <d v="2016-01-19T00:00:00"/>
    <x v="4"/>
    <n v="10932"/>
    <n v="10932"/>
    <m/>
  </r>
  <r>
    <n v="33504"/>
    <n v="1"/>
    <x v="0"/>
    <n v="4"/>
    <d v="2016-01-19T00:00:00"/>
    <x v="4"/>
    <n v="7777.2"/>
    <n v="7777.2"/>
    <m/>
  </r>
  <r>
    <n v="33505"/>
    <n v="1"/>
    <x v="0"/>
    <n v="4"/>
    <d v="2016-01-19T00:00:00"/>
    <x v="4"/>
    <n v="895"/>
    <n v="895"/>
    <m/>
  </r>
  <r>
    <n v="33506"/>
    <n v="1"/>
    <x v="0"/>
    <n v="4"/>
    <d v="2016-01-20T00:00:00"/>
    <x v="4"/>
    <n v="0"/>
    <m/>
    <m/>
  </r>
  <r>
    <n v="33507"/>
    <n v="1"/>
    <x v="0"/>
    <n v="4"/>
    <d v="2016-01-20T00:00:00"/>
    <x v="7"/>
    <n v="0"/>
    <n v="0"/>
    <m/>
  </r>
  <r>
    <n v="33508"/>
    <n v="1"/>
    <x v="0"/>
    <n v="4"/>
    <d v="2016-01-20T00:00:00"/>
    <x v="10"/>
    <n v="1000"/>
    <n v="1000"/>
    <m/>
  </r>
  <r>
    <n v="33509"/>
    <n v="1"/>
    <x v="0"/>
    <n v="4"/>
    <d v="2016-01-20T00:00:00"/>
    <x v="11"/>
    <n v="6062.17"/>
    <n v="6062.17"/>
    <m/>
  </r>
  <r>
    <n v="33510"/>
    <n v="1"/>
    <x v="0"/>
    <n v="4"/>
    <d v="2016-01-20T00:00:00"/>
    <x v="8"/>
    <n v="31877"/>
    <n v="31877"/>
    <m/>
  </r>
  <r>
    <n v="33511"/>
    <n v="1"/>
    <x v="0"/>
    <n v="4"/>
    <d v="2016-01-20T00:00:00"/>
    <x v="3"/>
    <n v="5265.1"/>
    <n v="5265.1"/>
    <m/>
  </r>
  <r>
    <n v="33512"/>
    <n v="1"/>
    <x v="0"/>
    <n v="4"/>
    <d v="2016-01-20T00:00:00"/>
    <x v="1"/>
    <n v="112"/>
    <n v="112"/>
    <m/>
  </r>
  <r>
    <n v="33513"/>
    <n v="1"/>
    <x v="0"/>
    <n v="4"/>
    <d v="2016-01-20T00:00:00"/>
    <x v="1"/>
    <n v="1195"/>
    <n v="1195"/>
    <m/>
  </r>
  <r>
    <n v="33514"/>
    <n v="1"/>
    <x v="0"/>
    <n v="4"/>
    <d v="2016-01-20T00:00:00"/>
    <x v="1"/>
    <n v="0"/>
    <m/>
    <m/>
  </r>
  <r>
    <n v="33515"/>
    <n v="1"/>
    <x v="0"/>
    <n v="4"/>
    <d v="2016-01-20T00:00:00"/>
    <x v="1"/>
    <n v="650"/>
    <n v="650"/>
    <m/>
  </r>
  <r>
    <n v="33516"/>
    <n v="1"/>
    <x v="0"/>
    <n v="4"/>
    <d v="2016-01-20T00:00:00"/>
    <x v="3"/>
    <n v="501"/>
    <n v="501"/>
    <m/>
  </r>
  <r>
    <n v="33517"/>
    <n v="1"/>
    <x v="0"/>
    <n v="4"/>
    <d v="2016-01-20T00:00:00"/>
    <x v="3"/>
    <n v="4152"/>
    <n v="4152"/>
    <m/>
  </r>
  <r>
    <n v="33518"/>
    <n v="1"/>
    <x v="0"/>
    <n v="4"/>
    <d v="2016-01-20T00:00:00"/>
    <x v="3"/>
    <n v="10747.7"/>
    <n v="10747.7"/>
    <m/>
  </r>
  <r>
    <n v="33519"/>
    <n v="1"/>
    <x v="0"/>
    <n v="4"/>
    <d v="2016-01-21T00:00:00"/>
    <x v="2"/>
    <n v="332.74"/>
    <n v="332.74"/>
    <m/>
  </r>
  <r>
    <n v="33520"/>
    <n v="1"/>
    <x v="0"/>
    <n v="4"/>
    <d v="2016-01-21T00:00:00"/>
    <x v="2"/>
    <n v="955.4"/>
    <n v="955.4"/>
    <m/>
  </r>
  <r>
    <n v="33521"/>
    <n v="1"/>
    <x v="0"/>
    <n v="4"/>
    <d v="2016-01-21T00:00:00"/>
    <x v="1"/>
    <n v="473"/>
    <n v="473"/>
    <m/>
  </r>
  <r>
    <n v="33522"/>
    <n v="1"/>
    <x v="0"/>
    <n v="4"/>
    <d v="2016-01-21T00:00:00"/>
    <x v="1"/>
    <n v="1450"/>
    <n v="1450"/>
    <m/>
  </r>
  <r>
    <n v="33523"/>
    <n v="1"/>
    <x v="0"/>
    <n v="4"/>
    <d v="2016-01-21T00:00:00"/>
    <x v="0"/>
    <n v="3174.9999999999995"/>
    <n v="3174.9999999999995"/>
    <m/>
  </r>
  <r>
    <n v="33524"/>
    <n v="1"/>
    <x v="0"/>
    <n v="4"/>
    <d v="2016-01-21T00:00:00"/>
    <x v="0"/>
    <n v="1033.4999999999998"/>
    <n v="1033.4999999999998"/>
    <m/>
  </r>
  <r>
    <n v="33525"/>
    <n v="1"/>
    <x v="0"/>
    <n v="4"/>
    <d v="2016-01-21T00:00:00"/>
    <x v="4"/>
    <n v="160.75"/>
    <n v="160.75"/>
    <m/>
  </r>
  <r>
    <n v="33526"/>
    <n v="1"/>
    <x v="0"/>
    <n v="4"/>
    <d v="2016-01-21T00:00:00"/>
    <x v="4"/>
    <n v="1422"/>
    <n v="1422"/>
    <m/>
  </r>
  <r>
    <n v="33527"/>
    <n v="1"/>
    <x v="0"/>
    <n v="4"/>
    <d v="2016-01-21T00:00:00"/>
    <x v="4"/>
    <n v="2750"/>
    <n v="2750"/>
    <m/>
  </r>
  <r>
    <n v="33528"/>
    <n v="1"/>
    <x v="0"/>
    <n v="4"/>
    <d v="2016-01-22T00:00:00"/>
    <x v="3"/>
    <n v="1290.3599999999999"/>
    <n v="1290.3599999999999"/>
    <m/>
  </r>
  <r>
    <n v="33529"/>
    <n v="1"/>
    <x v="0"/>
    <n v="4"/>
    <d v="2016-01-22T00:00:00"/>
    <x v="1"/>
    <n v="100"/>
    <n v="100"/>
    <m/>
  </r>
  <r>
    <n v="33530"/>
    <n v="1"/>
    <x v="0"/>
    <n v="4"/>
    <d v="2016-01-22T00:00:00"/>
    <x v="1"/>
    <n v="2825"/>
    <n v="2825"/>
    <m/>
  </r>
  <r>
    <n v="33531"/>
    <n v="1"/>
    <x v="0"/>
    <n v="4"/>
    <d v="2016-01-22T00:00:00"/>
    <x v="4"/>
    <n v="2314"/>
    <n v="2314"/>
    <m/>
  </r>
  <r>
    <n v="33532"/>
    <n v="1"/>
    <x v="0"/>
    <n v="4"/>
    <d v="2016-01-22T00:00:00"/>
    <x v="4"/>
    <n v="1194"/>
    <n v="1194"/>
    <m/>
  </r>
  <r>
    <n v="33533"/>
    <n v="1"/>
    <x v="0"/>
    <n v="4"/>
    <d v="2016-01-22T00:00:00"/>
    <x v="4"/>
    <n v="2859"/>
    <n v="2859"/>
    <m/>
  </r>
  <r>
    <n v="33534"/>
    <n v="1"/>
    <x v="0"/>
    <n v="4"/>
    <d v="2016-01-22T00:00:00"/>
    <x v="4"/>
    <n v="715"/>
    <n v="715"/>
    <m/>
  </r>
  <r>
    <n v="33535"/>
    <n v="1"/>
    <x v="0"/>
    <n v="4"/>
    <d v="2016-01-22T00:00:00"/>
    <x v="4"/>
    <n v="1612.25"/>
    <n v="1612.25"/>
    <m/>
  </r>
  <r>
    <n v="33536"/>
    <n v="1"/>
    <x v="0"/>
    <n v="4"/>
    <d v="2016-01-22T00:00:00"/>
    <x v="4"/>
    <n v="1340.75"/>
    <n v="1340.75"/>
    <m/>
  </r>
  <r>
    <n v="33537"/>
    <n v="1"/>
    <x v="0"/>
    <n v="4"/>
    <d v="2016-01-22T00:00:00"/>
    <x v="4"/>
    <n v="915.8"/>
    <n v="915.8"/>
    <m/>
  </r>
  <r>
    <n v="33538"/>
    <n v="1"/>
    <x v="0"/>
    <n v="4"/>
    <d v="2016-01-22T00:00:00"/>
    <x v="4"/>
    <n v="378.5"/>
    <n v="378.5"/>
    <m/>
  </r>
  <r>
    <n v="33539"/>
    <n v="1"/>
    <x v="0"/>
    <n v="4"/>
    <d v="2016-01-22T00:00:00"/>
    <x v="0"/>
    <n v="266.49999999999994"/>
    <n v="266.49999999999994"/>
    <m/>
  </r>
  <r>
    <n v="33540"/>
    <n v="1"/>
    <x v="0"/>
    <n v="4"/>
    <d v="2016-01-22T00:00:00"/>
    <x v="3"/>
    <n v="1893"/>
    <n v="1893"/>
    <m/>
  </r>
  <r>
    <n v="33541"/>
    <n v="1"/>
    <x v="0"/>
    <n v="4"/>
    <d v="2016-01-22T00:00:00"/>
    <x v="2"/>
    <n v="13551.11"/>
    <n v="13551.11"/>
    <m/>
  </r>
  <r>
    <n v="33542"/>
    <n v="1"/>
    <x v="0"/>
    <n v="4"/>
    <d v="2016-01-22T00:00:00"/>
    <x v="3"/>
    <n v="4321"/>
    <n v="4321"/>
    <m/>
  </r>
  <r>
    <n v="33543"/>
    <n v="1"/>
    <x v="0"/>
    <n v="4"/>
    <d v="2016-01-22T00:00:00"/>
    <x v="0"/>
    <n v="942.15454545454531"/>
    <n v="942.15454545454531"/>
    <m/>
  </r>
  <r>
    <n v="33544"/>
    <n v="1"/>
    <x v="0"/>
    <n v="4"/>
    <d v="2016-01-22T00:00:00"/>
    <x v="0"/>
    <n v="1905.9999999999998"/>
    <n v="1905.9999999999998"/>
    <m/>
  </r>
  <r>
    <n v="33545"/>
    <n v="1"/>
    <x v="0"/>
    <n v="4"/>
    <d v="2016-01-22T00:00:00"/>
    <x v="3"/>
    <n v="0"/>
    <m/>
    <m/>
  </r>
  <r>
    <n v="33546"/>
    <n v="1"/>
    <x v="0"/>
    <n v="4"/>
    <d v="2016-01-22T00:00:00"/>
    <x v="3"/>
    <n v="0"/>
    <m/>
    <m/>
  </r>
  <r>
    <n v="33547"/>
    <n v="1"/>
    <x v="0"/>
    <n v="4"/>
    <d v="2016-01-22T00:00:00"/>
    <x v="0"/>
    <n v="1187"/>
    <n v="1187"/>
    <m/>
  </r>
  <r>
    <n v="33548"/>
    <n v="1"/>
    <x v="0"/>
    <n v="4"/>
    <d v="2016-01-22T00:00:00"/>
    <x v="0"/>
    <n v="977.49999999999989"/>
    <n v="977.49999999999989"/>
    <m/>
  </r>
  <r>
    <n v="33549"/>
    <n v="1"/>
    <x v="0"/>
    <n v="4"/>
    <d v="2016-01-22T00:00:00"/>
    <x v="3"/>
    <n v="165"/>
    <n v="165"/>
    <m/>
  </r>
  <r>
    <n v="33550"/>
    <n v="1"/>
    <x v="0"/>
    <n v="4"/>
    <d v="2016-01-22T00:00:00"/>
    <x v="5"/>
    <n v="1026"/>
    <n v="1026"/>
    <m/>
  </r>
  <r>
    <n v="33551"/>
    <n v="1"/>
    <x v="0"/>
    <n v="4"/>
    <d v="2016-01-22T00:00:00"/>
    <x v="0"/>
    <n v="353"/>
    <n v="353"/>
    <m/>
  </r>
  <r>
    <n v="33552"/>
    <n v="1"/>
    <x v="0"/>
    <n v="4"/>
    <d v="2016-01-22T00:00:00"/>
    <x v="5"/>
    <n v="73.92"/>
    <n v="73.92"/>
    <m/>
  </r>
  <r>
    <n v="33553"/>
    <n v="1"/>
    <x v="0"/>
    <n v="4"/>
    <d v="2016-01-22T00:00:00"/>
    <x v="7"/>
    <n v="0"/>
    <m/>
    <m/>
  </r>
  <r>
    <n v="33554"/>
    <n v="1"/>
    <x v="0"/>
    <n v="4"/>
    <d v="2016-01-22T00:00:00"/>
    <x v="3"/>
    <n v="0"/>
    <m/>
    <m/>
  </r>
  <r>
    <n v="33555"/>
    <n v="1"/>
    <x v="0"/>
    <n v="4"/>
    <d v="2016-01-22T00:00:00"/>
    <x v="2"/>
    <n v="14486.82"/>
    <n v="14486.82"/>
    <m/>
  </r>
  <r>
    <n v="33556"/>
    <n v="1"/>
    <x v="0"/>
    <n v="4"/>
    <d v="2016-01-22T00:00:00"/>
    <x v="2"/>
    <n v="6110.68"/>
    <n v="6110.68"/>
    <m/>
  </r>
  <r>
    <n v="33557"/>
    <n v="1"/>
    <x v="0"/>
    <n v="4"/>
    <d v="2016-01-22T00:00:00"/>
    <x v="2"/>
    <n v="15214.84"/>
    <n v="15214.84"/>
    <m/>
  </r>
  <r>
    <n v="33558"/>
    <n v="1"/>
    <x v="0"/>
    <n v="4"/>
    <d v="2016-01-22T00:00:00"/>
    <x v="2"/>
    <n v="16856.22"/>
    <n v="16856.22"/>
    <m/>
  </r>
  <r>
    <n v="33559"/>
    <n v="1"/>
    <x v="0"/>
    <n v="4"/>
    <d v="2016-01-22T00:00:00"/>
    <x v="2"/>
    <n v="25212.21"/>
    <n v="25212.21"/>
    <m/>
  </r>
  <r>
    <n v="33560"/>
    <n v="1"/>
    <x v="0"/>
    <n v="4"/>
    <d v="2016-01-22T00:00:00"/>
    <x v="2"/>
    <n v="23443.93"/>
    <n v="23443.93"/>
    <m/>
  </r>
  <r>
    <n v="33561"/>
    <n v="1"/>
    <x v="0"/>
    <n v="4"/>
    <d v="2016-01-22T00:00:00"/>
    <x v="2"/>
    <n v="22598.9"/>
    <n v="22598.9"/>
    <m/>
  </r>
  <r>
    <n v="33562"/>
    <n v="1"/>
    <x v="0"/>
    <n v="5"/>
    <d v="2016-01-25T00:00:00"/>
    <x v="3"/>
    <n v="550"/>
    <n v="550"/>
    <m/>
  </r>
  <r>
    <n v="33563"/>
    <n v="1"/>
    <x v="0"/>
    <n v="5"/>
    <d v="2016-01-25T00:00:00"/>
    <x v="4"/>
    <n v="3130"/>
    <n v="3130"/>
    <m/>
  </r>
  <r>
    <n v="33564"/>
    <n v="1"/>
    <x v="0"/>
    <n v="5"/>
    <d v="2016-01-25T00:00:00"/>
    <x v="4"/>
    <n v="773"/>
    <n v="773"/>
    <m/>
  </r>
  <r>
    <n v="33565"/>
    <n v="1"/>
    <x v="0"/>
    <n v="5"/>
    <d v="2016-01-25T00:00:00"/>
    <x v="4"/>
    <n v="1197.75"/>
    <n v="1197.75"/>
    <m/>
  </r>
  <r>
    <n v="33566"/>
    <n v="1"/>
    <x v="0"/>
    <n v="5"/>
    <d v="2016-01-25T00:00:00"/>
    <x v="4"/>
    <n v="1975"/>
    <n v="1975"/>
    <m/>
  </r>
  <r>
    <n v="33567"/>
    <n v="1"/>
    <x v="0"/>
    <n v="5"/>
    <d v="2016-01-25T00:00:00"/>
    <x v="4"/>
    <n v="5053"/>
    <n v="5053"/>
    <m/>
  </r>
  <r>
    <n v="33568"/>
    <n v="1"/>
    <x v="0"/>
    <n v="5"/>
    <d v="2016-01-25T00:00:00"/>
    <x v="4"/>
    <n v="108"/>
    <n v="108"/>
    <m/>
  </r>
  <r>
    <n v="33569"/>
    <n v="1"/>
    <x v="0"/>
    <n v="5"/>
    <d v="2016-01-25T00:00:00"/>
    <x v="2"/>
    <n v="5433.78"/>
    <n v="5433.78"/>
    <m/>
  </r>
  <r>
    <n v="33570"/>
    <n v="1"/>
    <x v="0"/>
    <n v="5"/>
    <d v="2016-01-25T00:00:00"/>
    <x v="5"/>
    <n v="246.15"/>
    <n v="246.15"/>
    <m/>
  </r>
  <r>
    <n v="33571"/>
    <n v="1"/>
    <x v="0"/>
    <n v="5"/>
    <d v="2016-01-25T00:00:00"/>
    <x v="3"/>
    <n v="15820.5"/>
    <n v="15820.5"/>
    <m/>
  </r>
  <r>
    <n v="33572"/>
    <n v="1"/>
    <x v="0"/>
    <n v="5"/>
    <d v="2016-01-25T00:00:00"/>
    <x v="1"/>
    <n v="120"/>
    <n v="120"/>
    <m/>
  </r>
  <r>
    <n v="33573"/>
    <n v="1"/>
    <x v="0"/>
    <n v="5"/>
    <d v="2016-01-25T00:00:00"/>
    <x v="1"/>
    <n v="100"/>
    <n v="100"/>
    <m/>
  </r>
  <r>
    <n v="33574"/>
    <n v="1"/>
    <x v="0"/>
    <n v="5"/>
    <d v="2016-01-25T00:00:00"/>
    <x v="4"/>
    <n v="3580.5"/>
    <n v="3580.5"/>
    <m/>
  </r>
  <r>
    <n v="33575"/>
    <n v="1"/>
    <x v="0"/>
    <n v="5"/>
    <d v="2016-01-26T00:00:00"/>
    <x v="3"/>
    <n v="1549"/>
    <n v="1549"/>
    <m/>
  </r>
  <r>
    <n v="33576"/>
    <n v="1"/>
    <x v="0"/>
    <n v="5"/>
    <d v="2016-01-26T00:00:00"/>
    <x v="3"/>
    <n v="12137.6"/>
    <n v="12137.6"/>
    <m/>
  </r>
  <r>
    <n v="33577"/>
    <n v="1"/>
    <x v="0"/>
    <n v="5"/>
    <d v="2016-01-26T00:00:00"/>
    <x v="4"/>
    <n v="14645"/>
    <n v="14645"/>
    <m/>
  </r>
  <r>
    <n v="33578"/>
    <n v="1"/>
    <x v="0"/>
    <n v="5"/>
    <d v="2016-01-26T00:00:00"/>
    <x v="4"/>
    <n v="1075.25"/>
    <n v="1075.25"/>
    <m/>
  </r>
  <r>
    <n v="33579"/>
    <n v="1"/>
    <x v="0"/>
    <n v="5"/>
    <d v="2016-01-26T00:00:00"/>
    <x v="5"/>
    <n v="155.22999999999999"/>
    <n v="155.22999999999999"/>
    <m/>
  </r>
  <r>
    <n v="33580"/>
    <n v="1"/>
    <x v="0"/>
    <n v="5"/>
    <d v="2016-01-26T00:00:00"/>
    <x v="2"/>
    <n v="222.3"/>
    <n v="222.3"/>
    <m/>
  </r>
  <r>
    <n v="33581"/>
    <n v="1"/>
    <x v="0"/>
    <n v="5"/>
    <d v="2016-01-26T00:00:00"/>
    <x v="12"/>
    <n v="1440"/>
    <n v="1440"/>
    <m/>
  </r>
  <r>
    <n v="33582"/>
    <n v="1"/>
    <x v="0"/>
    <n v="5"/>
    <d v="2016-01-26T00:00:00"/>
    <x v="3"/>
    <n v="761.25"/>
    <n v="761.25"/>
    <m/>
  </r>
  <r>
    <n v="33583"/>
    <n v="1"/>
    <x v="0"/>
    <n v="5"/>
    <d v="2016-01-26T00:00:00"/>
    <x v="3"/>
    <n v="732.75"/>
    <n v="732.75"/>
    <m/>
  </r>
  <r>
    <n v="33584"/>
    <n v="1"/>
    <x v="0"/>
    <n v="5"/>
    <d v="2016-01-26T00:00:00"/>
    <x v="4"/>
    <n v="1381"/>
    <n v="1381"/>
    <m/>
  </r>
  <r>
    <n v="33585"/>
    <n v="1"/>
    <x v="0"/>
    <n v="5"/>
    <d v="2016-01-26T00:00:00"/>
    <x v="3"/>
    <n v="180"/>
    <n v="180"/>
    <m/>
  </r>
  <r>
    <n v="33586"/>
    <n v="1"/>
    <x v="0"/>
    <n v="5"/>
    <d v="2016-01-26T00:00:00"/>
    <x v="1"/>
    <n v="185"/>
    <n v="185"/>
    <m/>
  </r>
  <r>
    <n v="33587"/>
    <n v="1"/>
    <x v="0"/>
    <n v="5"/>
    <d v="2016-01-26T00:00:00"/>
    <x v="1"/>
    <n v="8"/>
    <n v="8"/>
    <m/>
  </r>
  <r>
    <n v="33588"/>
    <n v="1"/>
    <x v="0"/>
    <n v="5"/>
    <d v="2016-01-26T00:00:00"/>
    <x v="0"/>
    <n v="5277.1727272727276"/>
    <n v="5277.1727272727276"/>
    <m/>
  </r>
  <r>
    <n v="33589"/>
    <n v="1"/>
    <x v="0"/>
    <n v="5"/>
    <d v="2016-01-26T00:00:00"/>
    <x v="0"/>
    <n v="59.999999999999993"/>
    <n v="59.999999999999993"/>
    <m/>
  </r>
  <r>
    <n v="33590"/>
    <n v="1"/>
    <x v="0"/>
    <n v="5"/>
    <d v="2016-01-26T00:00:00"/>
    <x v="0"/>
    <n v="4270.2545454545452"/>
    <n v="4270.2545454545452"/>
    <m/>
  </r>
  <r>
    <n v="33591"/>
    <n v="1"/>
    <x v="0"/>
    <n v="5"/>
    <d v="2016-01-26T00:00:00"/>
    <x v="0"/>
    <n v="454.99999999999994"/>
    <n v="454.99999999999994"/>
    <m/>
  </r>
  <r>
    <n v="33592"/>
    <n v="1"/>
    <x v="0"/>
    <n v="5"/>
    <d v="2016-01-27T00:00:00"/>
    <x v="3"/>
    <n v="4270"/>
    <n v="4270"/>
    <m/>
  </r>
  <r>
    <n v="33593"/>
    <n v="1"/>
    <x v="0"/>
    <n v="5"/>
    <d v="2016-01-27T00:00:00"/>
    <x v="3"/>
    <n v="150.5"/>
    <n v="150.5"/>
    <m/>
  </r>
  <r>
    <n v="33594"/>
    <n v="1"/>
    <x v="0"/>
    <n v="5"/>
    <d v="2016-01-27T00:00:00"/>
    <x v="3"/>
    <n v="2604"/>
    <n v="2604"/>
    <m/>
  </r>
  <r>
    <n v="33595"/>
    <n v="1"/>
    <x v="0"/>
    <n v="5"/>
    <d v="2016-01-27T00:00:00"/>
    <x v="4"/>
    <n v="773"/>
    <n v="773"/>
    <m/>
  </r>
  <r>
    <n v="33596"/>
    <n v="1"/>
    <x v="0"/>
    <n v="5"/>
    <d v="2016-01-27T00:00:00"/>
    <x v="4"/>
    <n v="0"/>
    <n v="0"/>
    <m/>
  </r>
  <r>
    <n v="33597"/>
    <n v="1"/>
    <x v="0"/>
    <n v="5"/>
    <d v="2016-01-27T00:00:00"/>
    <x v="0"/>
    <n v="1634.9999999999998"/>
    <n v="1634.9999999999998"/>
    <m/>
  </r>
  <r>
    <n v="33598"/>
    <n v="1"/>
    <x v="0"/>
    <n v="5"/>
    <d v="2016-01-27T00:00:00"/>
    <x v="0"/>
    <n v="2310.9999999999995"/>
    <n v="2310.9999999999995"/>
    <m/>
  </r>
  <r>
    <n v="33599"/>
    <n v="1"/>
    <x v="0"/>
    <n v="5"/>
    <d v="2016-01-27T00:00:00"/>
    <x v="3"/>
    <n v="85"/>
    <n v="85"/>
    <m/>
  </r>
  <r>
    <n v="33600"/>
    <n v="1"/>
    <x v="0"/>
    <n v="5"/>
    <d v="2016-01-27T00:00:00"/>
    <x v="2"/>
    <n v="104.99"/>
    <n v="104.99"/>
    <m/>
  </r>
  <r>
    <n v="33601"/>
    <n v="1"/>
    <x v="0"/>
    <n v="5"/>
    <d v="2016-01-27T00:00:00"/>
    <x v="1"/>
    <n v="1350"/>
    <n v="1350"/>
    <m/>
  </r>
  <r>
    <n v="33602"/>
    <n v="1"/>
    <x v="0"/>
    <n v="5"/>
    <d v="2016-01-27T00:00:00"/>
    <x v="1"/>
    <n v="225"/>
    <n v="225"/>
    <m/>
  </r>
  <r>
    <n v="33603"/>
    <n v="1"/>
    <x v="0"/>
    <n v="5"/>
    <d v="2016-01-27T00:00:00"/>
    <x v="1"/>
    <n v="42"/>
    <n v="42"/>
    <m/>
  </r>
  <r>
    <n v="33604"/>
    <n v="1"/>
    <x v="0"/>
    <n v="5"/>
    <d v="2016-01-27T00:00:00"/>
    <x v="1"/>
    <n v="78"/>
    <n v="78"/>
    <m/>
  </r>
  <r>
    <n v="33605"/>
    <n v="1"/>
    <x v="0"/>
    <n v="5"/>
    <d v="2016-01-27T00:00:00"/>
    <x v="1"/>
    <n v="84"/>
    <n v="84"/>
    <m/>
  </r>
  <r>
    <n v="33606"/>
    <n v="1"/>
    <x v="0"/>
    <n v="5"/>
    <d v="2016-01-27T00:00:00"/>
    <x v="1"/>
    <n v="120"/>
    <n v="120"/>
    <m/>
  </r>
  <r>
    <n v="33607"/>
    <n v="1"/>
    <x v="0"/>
    <n v="5"/>
    <d v="2016-01-27T00:00:00"/>
    <x v="1"/>
    <n v="185"/>
    <n v="185"/>
    <m/>
  </r>
  <r>
    <n v="33608"/>
    <n v="1"/>
    <x v="0"/>
    <n v="5"/>
    <d v="2016-01-27T00:00:00"/>
    <x v="1"/>
    <n v="65"/>
    <n v="65"/>
    <m/>
  </r>
  <r>
    <n v="33609"/>
    <n v="1"/>
    <x v="0"/>
    <n v="5"/>
    <d v="2016-01-27T00:00:00"/>
    <x v="1"/>
    <n v="100"/>
    <n v="100"/>
    <m/>
  </r>
  <r>
    <n v="33610"/>
    <n v="1"/>
    <x v="0"/>
    <n v="5"/>
    <d v="2016-01-27T00:00:00"/>
    <x v="1"/>
    <n v="450"/>
    <n v="450"/>
    <m/>
  </r>
  <r>
    <n v="33611"/>
    <n v="1"/>
    <x v="0"/>
    <n v="5"/>
    <d v="2016-01-27T00:00:00"/>
    <x v="1"/>
    <n v="1175"/>
    <n v="1175"/>
    <m/>
  </r>
  <r>
    <n v="33612"/>
    <n v="1"/>
    <x v="0"/>
    <n v="5"/>
    <d v="2016-01-27T00:00:00"/>
    <x v="1"/>
    <n v="55"/>
    <n v="55"/>
    <m/>
  </r>
  <r>
    <n v="33613"/>
    <n v="1"/>
    <x v="0"/>
    <n v="5"/>
    <d v="2016-01-27T00:00:00"/>
    <x v="1"/>
    <n v="19"/>
    <n v="19"/>
    <m/>
  </r>
  <r>
    <n v="33614"/>
    <n v="1"/>
    <x v="0"/>
    <n v="5"/>
    <d v="2016-01-28T00:00:00"/>
    <x v="3"/>
    <n v="3146"/>
    <n v="3146"/>
    <m/>
  </r>
  <r>
    <n v="33615"/>
    <n v="1"/>
    <x v="0"/>
    <n v="5"/>
    <d v="2016-01-28T00:00:00"/>
    <x v="3"/>
    <n v="3292"/>
    <n v="3292"/>
    <m/>
  </r>
  <r>
    <n v="33616"/>
    <n v="1"/>
    <x v="0"/>
    <n v="5"/>
    <d v="2016-01-28T00:00:00"/>
    <x v="3"/>
    <n v="1713"/>
    <n v="1713"/>
    <m/>
  </r>
  <r>
    <n v="33617"/>
    <n v="1"/>
    <x v="0"/>
    <n v="5"/>
    <d v="2016-01-28T00:00:00"/>
    <x v="3"/>
    <n v="2011"/>
    <n v="2011"/>
    <m/>
  </r>
  <r>
    <n v="33618"/>
    <n v="1"/>
    <x v="0"/>
    <n v="5"/>
    <d v="2016-01-28T00:00:00"/>
    <x v="2"/>
    <n v="0"/>
    <m/>
    <m/>
  </r>
  <r>
    <n v="33619"/>
    <n v="1"/>
    <x v="0"/>
    <n v="5"/>
    <d v="2016-01-28T00:00:00"/>
    <x v="4"/>
    <n v="399"/>
    <n v="399"/>
    <m/>
  </r>
  <r>
    <n v="33620"/>
    <n v="1"/>
    <x v="0"/>
    <n v="5"/>
    <d v="2016-01-28T00:00:00"/>
    <x v="4"/>
    <n v="6700"/>
    <n v="6700"/>
    <m/>
  </r>
  <r>
    <n v="33621"/>
    <n v="1"/>
    <x v="0"/>
    <n v="5"/>
    <d v="2016-01-28T00:00:00"/>
    <x v="4"/>
    <n v="0"/>
    <m/>
    <m/>
  </r>
  <r>
    <n v="33622"/>
    <n v="1"/>
    <x v="0"/>
    <n v="5"/>
    <d v="2016-01-28T00:00:00"/>
    <x v="8"/>
    <n v="0"/>
    <m/>
    <m/>
  </r>
  <r>
    <n v="33623"/>
    <n v="1"/>
    <x v="0"/>
    <n v="5"/>
    <d v="2016-01-28T00:00:00"/>
    <x v="4"/>
    <n v="742"/>
    <n v="742"/>
    <m/>
  </r>
  <r>
    <n v="33624"/>
    <n v="1"/>
    <x v="0"/>
    <n v="5"/>
    <d v="2016-01-28T00:00:00"/>
    <x v="3"/>
    <n v="931.25"/>
    <n v="931.25"/>
    <m/>
  </r>
  <r>
    <n v="33625"/>
    <n v="1"/>
    <x v="0"/>
    <n v="5"/>
    <d v="2016-01-29T00:00:00"/>
    <x v="4"/>
    <n v="1150"/>
    <n v="1150"/>
    <m/>
  </r>
  <r>
    <n v="33626"/>
    <n v="1"/>
    <x v="0"/>
    <n v="5"/>
    <d v="2016-01-29T00:00:00"/>
    <x v="3"/>
    <n v="217"/>
    <n v="217"/>
    <m/>
  </r>
  <r>
    <n v="33627"/>
    <n v="1"/>
    <x v="0"/>
    <n v="5"/>
    <d v="2016-01-29T00:00:00"/>
    <x v="1"/>
    <n v="134"/>
    <n v="134"/>
    <m/>
  </r>
  <r>
    <n v="33628"/>
    <n v="1"/>
    <x v="0"/>
    <n v="5"/>
    <d v="2016-01-29T00:00:00"/>
    <x v="1"/>
    <n v="115"/>
    <n v="115"/>
    <m/>
  </r>
  <r>
    <n v="33629"/>
    <n v="1"/>
    <x v="0"/>
    <n v="5"/>
    <d v="2016-01-29T00:00:00"/>
    <x v="1"/>
    <n v="78"/>
    <n v="78"/>
    <m/>
  </r>
  <r>
    <n v="33630"/>
    <n v="1"/>
    <x v="0"/>
    <n v="5"/>
    <d v="2016-01-29T00:00:00"/>
    <x v="1"/>
    <n v="55"/>
    <n v="55"/>
    <m/>
  </r>
  <r>
    <n v="33631"/>
    <n v="1"/>
    <x v="0"/>
    <n v="5"/>
    <d v="2016-01-29T00:00:00"/>
    <x v="1"/>
    <n v="0"/>
    <m/>
    <m/>
  </r>
  <r>
    <n v="33632"/>
    <n v="1"/>
    <x v="0"/>
    <n v="5"/>
    <d v="2016-01-29T00:00:00"/>
    <x v="1"/>
    <n v="225"/>
    <n v="225"/>
    <m/>
  </r>
  <r>
    <n v="33633"/>
    <n v="1"/>
    <x v="0"/>
    <n v="5"/>
    <d v="2016-01-29T00:00:00"/>
    <x v="2"/>
    <n v="5810.59"/>
    <n v="5810.59"/>
    <m/>
  </r>
  <r>
    <n v="33634"/>
    <n v="1"/>
    <x v="0"/>
    <n v="5"/>
    <d v="2016-01-29T00:00:00"/>
    <x v="2"/>
    <n v="0"/>
    <m/>
    <m/>
  </r>
  <r>
    <n v="33635"/>
    <n v="1"/>
    <x v="0"/>
    <n v="5"/>
    <d v="2016-01-29T00:00:00"/>
    <x v="3"/>
    <n v="651.5"/>
    <n v="651.5"/>
    <m/>
  </r>
  <r>
    <n v="33636"/>
    <n v="1"/>
    <x v="0"/>
    <n v="5"/>
    <d v="2016-01-29T00:00:00"/>
    <x v="3"/>
    <n v="201"/>
    <n v="201"/>
    <m/>
  </r>
  <r>
    <n v="33637"/>
    <n v="1"/>
    <x v="0"/>
    <n v="5"/>
    <d v="2016-01-29T00:00:00"/>
    <x v="3"/>
    <n v="512"/>
    <n v="512"/>
    <m/>
  </r>
  <r>
    <n v="33638"/>
    <n v="1"/>
    <x v="0"/>
    <n v="5"/>
    <d v="2016-01-29T00:00:00"/>
    <x v="3"/>
    <n v="250"/>
    <n v="250"/>
    <m/>
  </r>
  <r>
    <n v="33639"/>
    <n v="1"/>
    <x v="0"/>
    <n v="5"/>
    <d v="2016-01-29T00:00:00"/>
    <x v="7"/>
    <n v="0"/>
    <m/>
    <m/>
  </r>
  <r>
    <n v="33640"/>
    <n v="2"/>
    <x v="0"/>
    <n v="6"/>
    <d v="2016-02-01T00:00:00"/>
    <x v="10"/>
    <n v="1000"/>
    <n v="1000"/>
    <m/>
  </r>
  <r>
    <n v="33641"/>
    <n v="2"/>
    <x v="0"/>
    <n v="6"/>
    <d v="2016-02-01T00:00:00"/>
    <x v="4"/>
    <n v="4585"/>
    <n v="4585"/>
    <m/>
  </r>
  <r>
    <n v="33642"/>
    <n v="2"/>
    <x v="0"/>
    <n v="6"/>
    <d v="2016-02-01T00:00:00"/>
    <x v="3"/>
    <n v="335"/>
    <n v="335"/>
    <m/>
  </r>
  <r>
    <n v="33643"/>
    <n v="2"/>
    <x v="0"/>
    <n v="6"/>
    <d v="2016-02-01T00:00:00"/>
    <x v="0"/>
    <n v="135"/>
    <n v="135"/>
    <m/>
  </r>
  <r>
    <n v="33644"/>
    <n v="2"/>
    <x v="0"/>
    <n v="6"/>
    <d v="2016-02-01T00:00:00"/>
    <x v="3"/>
    <n v="1062"/>
    <n v="1062"/>
    <m/>
  </r>
  <r>
    <n v="33645"/>
    <n v="2"/>
    <x v="0"/>
    <n v="6"/>
    <d v="2016-02-01T00:00:00"/>
    <x v="4"/>
    <n v="7777.2"/>
    <n v="7777.2"/>
    <m/>
  </r>
  <r>
    <n v="33646"/>
    <n v="2"/>
    <x v="0"/>
    <n v="6"/>
    <d v="2016-02-01T00:00:00"/>
    <x v="4"/>
    <n v="5019.6000000000004"/>
    <n v="5019.6000000000004"/>
    <m/>
  </r>
  <r>
    <n v="33647"/>
    <n v="2"/>
    <x v="0"/>
    <n v="6"/>
    <d v="2016-02-01T00:00:00"/>
    <x v="4"/>
    <n v="4281.5"/>
    <n v="4281.5"/>
    <m/>
  </r>
  <r>
    <n v="33648"/>
    <n v="2"/>
    <x v="0"/>
    <n v="6"/>
    <d v="2016-02-02T00:00:00"/>
    <x v="3"/>
    <n v="0"/>
    <m/>
    <m/>
  </r>
  <r>
    <n v="33649"/>
    <n v="2"/>
    <x v="0"/>
    <n v="6"/>
    <d v="2016-02-02T00:00:00"/>
    <x v="3"/>
    <n v="883.36"/>
    <n v="883.36"/>
    <m/>
  </r>
  <r>
    <n v="33650"/>
    <n v="2"/>
    <x v="0"/>
    <n v="6"/>
    <d v="2016-02-02T00:00:00"/>
    <x v="3"/>
    <n v="543"/>
    <n v="543"/>
    <m/>
  </r>
  <r>
    <n v="33651"/>
    <n v="2"/>
    <x v="0"/>
    <n v="6"/>
    <d v="2016-02-02T00:00:00"/>
    <x v="3"/>
    <n v="1230"/>
    <n v="1230"/>
    <m/>
  </r>
  <r>
    <n v="33652"/>
    <n v="2"/>
    <x v="0"/>
    <n v="6"/>
    <d v="2016-02-02T00:00:00"/>
    <x v="2"/>
    <n v="183.67"/>
    <n v="183.67"/>
    <m/>
  </r>
  <r>
    <n v="33653"/>
    <n v="2"/>
    <x v="0"/>
    <n v="6"/>
    <d v="2016-02-02T00:00:00"/>
    <x v="4"/>
    <n v="1195"/>
    <n v="1195"/>
    <m/>
  </r>
  <r>
    <n v="33654"/>
    <n v="2"/>
    <x v="0"/>
    <n v="6"/>
    <d v="2016-02-02T00:00:00"/>
    <x v="3"/>
    <n v="612"/>
    <n v="612"/>
    <m/>
  </r>
  <r>
    <n v="33655"/>
    <n v="2"/>
    <x v="0"/>
    <n v="6"/>
    <d v="2016-02-02T00:00:00"/>
    <x v="3"/>
    <n v="612"/>
    <n v="612"/>
    <m/>
  </r>
  <r>
    <n v="33656"/>
    <n v="2"/>
    <x v="0"/>
    <n v="6"/>
    <d v="2016-02-02T00:00:00"/>
    <x v="3"/>
    <n v="973"/>
    <n v="973"/>
    <m/>
  </r>
  <r>
    <n v="33657"/>
    <n v="2"/>
    <x v="0"/>
    <n v="6"/>
    <d v="2016-02-02T00:00:00"/>
    <x v="0"/>
    <n v="3946.9999999999995"/>
    <n v="3946.9999999999995"/>
    <m/>
  </r>
  <r>
    <n v="33658"/>
    <n v="2"/>
    <x v="0"/>
    <n v="6"/>
    <d v="2016-02-02T00:00:00"/>
    <x v="1"/>
    <n v="961"/>
    <n v="961"/>
    <m/>
  </r>
  <r>
    <n v="33659"/>
    <n v="2"/>
    <x v="0"/>
    <n v="6"/>
    <d v="2016-02-02T00:00:00"/>
    <x v="1"/>
    <n v="4775"/>
    <n v="4775"/>
    <m/>
  </r>
  <r>
    <n v="33660"/>
    <n v="2"/>
    <x v="0"/>
    <n v="6"/>
    <d v="2016-02-02T00:00:00"/>
    <x v="4"/>
    <n v="5844.5"/>
    <n v="5844.5"/>
    <m/>
  </r>
  <r>
    <n v="33661"/>
    <n v="2"/>
    <x v="0"/>
    <n v="6"/>
    <d v="2016-02-02T00:00:00"/>
    <x v="4"/>
    <n v="234"/>
    <n v="234"/>
    <m/>
  </r>
  <r>
    <n v="33662"/>
    <n v="2"/>
    <x v="0"/>
    <n v="6"/>
    <d v="2016-02-02T00:00:00"/>
    <x v="4"/>
    <n v="1375"/>
    <n v="1375"/>
    <m/>
  </r>
  <r>
    <n v="33663"/>
    <n v="2"/>
    <x v="0"/>
    <n v="6"/>
    <d v="2016-02-02T00:00:00"/>
    <x v="3"/>
    <n v="768"/>
    <n v="768"/>
    <m/>
  </r>
  <r>
    <n v="33664"/>
    <n v="2"/>
    <x v="0"/>
    <n v="6"/>
    <d v="2016-02-02T00:00:00"/>
    <x v="3"/>
    <n v="435"/>
    <n v="435"/>
    <m/>
  </r>
  <r>
    <n v="33665"/>
    <n v="2"/>
    <x v="0"/>
    <n v="6"/>
    <d v="2016-02-02T00:00:00"/>
    <x v="0"/>
    <n v="403.99999999999994"/>
    <n v="403.99999999999994"/>
    <m/>
  </r>
  <r>
    <n v="33666"/>
    <n v="2"/>
    <x v="0"/>
    <n v="6"/>
    <d v="2016-02-02T00:00:00"/>
    <x v="0"/>
    <n v="665"/>
    <n v="665"/>
    <m/>
  </r>
  <r>
    <n v="33667"/>
    <n v="2"/>
    <x v="0"/>
    <n v="6"/>
    <d v="2016-02-02T00:00:00"/>
    <x v="1"/>
    <n v="225"/>
    <n v="225"/>
    <m/>
  </r>
  <r>
    <n v="33668"/>
    <n v="2"/>
    <x v="0"/>
    <n v="6"/>
    <d v="2016-02-02T00:00:00"/>
    <x v="1"/>
    <n v="377"/>
    <n v="377"/>
    <m/>
  </r>
  <r>
    <n v="33669"/>
    <n v="2"/>
    <x v="0"/>
    <n v="6"/>
    <d v="2016-02-02T00:00:00"/>
    <x v="1"/>
    <n v="39"/>
    <n v="39"/>
    <m/>
  </r>
  <r>
    <n v="33670"/>
    <n v="2"/>
    <x v="0"/>
    <n v="6"/>
    <d v="2016-02-02T00:00:00"/>
    <x v="1"/>
    <n v="70"/>
    <n v="70"/>
    <m/>
  </r>
  <r>
    <n v="33671"/>
    <n v="2"/>
    <x v="0"/>
    <n v="6"/>
    <d v="2016-02-03T00:00:00"/>
    <x v="1"/>
    <n v="55"/>
    <n v="55"/>
    <m/>
  </r>
  <r>
    <n v="33672"/>
    <n v="2"/>
    <x v="0"/>
    <n v="6"/>
    <d v="2016-02-03T00:00:00"/>
    <x v="1"/>
    <n v="630"/>
    <n v="630"/>
    <m/>
  </r>
  <r>
    <n v="33673"/>
    <n v="2"/>
    <x v="0"/>
    <n v="6"/>
    <d v="2016-02-03T00:00:00"/>
    <x v="0"/>
    <n v="5612.2272727272721"/>
    <n v="5612.2272727272721"/>
    <m/>
  </r>
  <r>
    <n v="33674"/>
    <n v="2"/>
    <x v="0"/>
    <n v="6"/>
    <d v="2016-02-03T00:00:00"/>
    <x v="4"/>
    <n v="1948"/>
    <n v="1948"/>
    <m/>
  </r>
  <r>
    <n v="33675"/>
    <n v="2"/>
    <x v="0"/>
    <n v="6"/>
    <d v="2016-02-03T00:00:00"/>
    <x v="3"/>
    <n v="335"/>
    <n v="335"/>
    <m/>
  </r>
  <r>
    <n v="33676"/>
    <n v="2"/>
    <x v="0"/>
    <n v="6"/>
    <d v="2016-02-03T00:00:00"/>
    <x v="3"/>
    <n v="401"/>
    <n v="401"/>
    <m/>
  </r>
  <r>
    <n v="33677"/>
    <n v="2"/>
    <x v="0"/>
    <n v="6"/>
    <d v="2016-02-03T00:00:00"/>
    <x v="2"/>
    <n v="3304.55"/>
    <n v="3304.55"/>
    <m/>
  </r>
  <r>
    <n v="33678"/>
    <n v="2"/>
    <x v="0"/>
    <n v="6"/>
    <d v="2016-02-04T00:00:00"/>
    <x v="3"/>
    <n v="85"/>
    <n v="85"/>
    <m/>
  </r>
  <r>
    <n v="33679"/>
    <n v="2"/>
    <x v="0"/>
    <n v="6"/>
    <d v="2016-02-04T00:00:00"/>
    <x v="3"/>
    <n v="163"/>
    <n v="163"/>
    <m/>
  </r>
  <r>
    <n v="33680"/>
    <n v="2"/>
    <x v="0"/>
    <n v="6"/>
    <d v="2016-02-04T00:00:00"/>
    <x v="4"/>
    <n v="1845.25"/>
    <n v="1845.25"/>
    <m/>
  </r>
  <r>
    <n v="33681"/>
    <n v="2"/>
    <x v="0"/>
    <n v="6"/>
    <d v="2016-02-04T00:00:00"/>
    <x v="2"/>
    <n v="2469.21"/>
    <n v="2469.21"/>
    <m/>
  </r>
  <r>
    <n v="33682"/>
    <n v="2"/>
    <x v="0"/>
    <n v="6"/>
    <d v="2016-02-04T00:00:00"/>
    <x v="0"/>
    <n v="5653.4090909090901"/>
    <n v="5653.4090909090901"/>
    <m/>
  </r>
  <r>
    <n v="33683"/>
    <n v="2"/>
    <x v="0"/>
    <n v="6"/>
    <d v="2016-02-04T00:00:00"/>
    <x v="0"/>
    <n v="854.99999999999989"/>
    <n v="854.99999999999989"/>
    <m/>
  </r>
  <r>
    <n v="33684"/>
    <n v="2"/>
    <x v="0"/>
    <n v="6"/>
    <d v="2016-02-04T00:00:00"/>
    <x v="1"/>
    <n v="120"/>
    <n v="120"/>
    <m/>
  </r>
  <r>
    <n v="33685"/>
    <n v="2"/>
    <x v="0"/>
    <n v="6"/>
    <d v="2016-02-04T00:00:00"/>
    <x v="1"/>
    <n v="120"/>
    <n v="120"/>
    <m/>
  </r>
  <r>
    <n v="33686"/>
    <n v="2"/>
    <x v="0"/>
    <n v="6"/>
    <d v="2016-02-04T00:00:00"/>
    <x v="1"/>
    <n v="115"/>
    <n v="115"/>
    <m/>
  </r>
  <r>
    <n v="33687"/>
    <n v="2"/>
    <x v="0"/>
    <n v="6"/>
    <d v="2016-02-04T00:00:00"/>
    <x v="1"/>
    <n v="42"/>
    <n v="42"/>
    <m/>
  </r>
  <r>
    <n v="33688"/>
    <n v="2"/>
    <x v="0"/>
    <n v="6"/>
    <d v="2016-02-04T00:00:00"/>
    <x v="1"/>
    <n v="252"/>
    <n v="252"/>
    <m/>
  </r>
  <r>
    <n v="33689"/>
    <n v="2"/>
    <x v="0"/>
    <n v="6"/>
    <d v="2016-02-04T00:00:00"/>
    <x v="1"/>
    <n v="155"/>
    <n v="155"/>
    <m/>
  </r>
  <r>
    <n v="33690"/>
    <n v="2"/>
    <x v="0"/>
    <n v="6"/>
    <d v="2016-02-04T00:00:00"/>
    <x v="1"/>
    <n v="160"/>
    <n v="160"/>
    <m/>
  </r>
  <r>
    <n v="33691"/>
    <n v="2"/>
    <x v="0"/>
    <n v="6"/>
    <d v="2016-02-04T00:00:00"/>
    <x v="3"/>
    <n v="1382"/>
    <n v="1382"/>
    <m/>
  </r>
  <r>
    <n v="33692"/>
    <n v="2"/>
    <x v="0"/>
    <n v="6"/>
    <d v="2016-02-04T00:00:00"/>
    <x v="4"/>
    <n v="921.6"/>
    <n v="921.6"/>
    <m/>
  </r>
  <r>
    <n v="33693"/>
    <n v="2"/>
    <x v="0"/>
    <n v="6"/>
    <d v="2016-02-04T00:00:00"/>
    <x v="4"/>
    <n v="1782"/>
    <n v="1782"/>
    <m/>
  </r>
  <r>
    <n v="33694"/>
    <n v="2"/>
    <x v="0"/>
    <n v="6"/>
    <d v="2016-02-04T00:00:00"/>
    <x v="4"/>
    <n v="1482"/>
    <n v="1482"/>
    <m/>
  </r>
  <r>
    <n v="33695"/>
    <n v="2"/>
    <x v="0"/>
    <n v="6"/>
    <d v="2016-02-05T00:00:00"/>
    <x v="3"/>
    <n v="1142.75"/>
    <n v="1142.75"/>
    <m/>
  </r>
  <r>
    <n v="33696"/>
    <n v="2"/>
    <x v="0"/>
    <n v="6"/>
    <d v="2016-02-05T00:00:00"/>
    <x v="4"/>
    <n v="328"/>
    <n v="328"/>
    <m/>
  </r>
  <r>
    <n v="33697"/>
    <n v="2"/>
    <x v="0"/>
    <n v="6"/>
    <d v="2016-02-05T00:00:00"/>
    <x v="4"/>
    <n v="4192.82"/>
    <n v="4192.82"/>
    <m/>
  </r>
  <r>
    <n v="33698"/>
    <n v="2"/>
    <x v="0"/>
    <n v="6"/>
    <d v="2016-02-05T00:00:00"/>
    <x v="3"/>
    <n v="6690.6"/>
    <n v="6690.6"/>
    <m/>
  </r>
  <r>
    <n v="33699"/>
    <n v="2"/>
    <x v="0"/>
    <n v="6"/>
    <d v="2016-02-05T00:00:00"/>
    <x v="1"/>
    <n v="370"/>
    <n v="370"/>
    <m/>
  </r>
  <r>
    <n v="33700"/>
    <n v="2"/>
    <x v="0"/>
    <n v="6"/>
    <d v="2016-02-05T00:00:00"/>
    <x v="1"/>
    <n v="225"/>
    <n v="225"/>
    <m/>
  </r>
  <r>
    <n v="33701"/>
    <n v="2"/>
    <x v="0"/>
    <n v="6"/>
    <d v="2016-02-05T00:00:00"/>
    <x v="1"/>
    <n v="510"/>
    <n v="510"/>
    <m/>
  </r>
  <r>
    <n v="33702"/>
    <n v="2"/>
    <x v="0"/>
    <n v="6"/>
    <d v="2016-02-05T00:00:00"/>
    <x v="1"/>
    <n v="2304"/>
    <n v="2304"/>
    <m/>
  </r>
  <r>
    <n v="33703"/>
    <n v="2"/>
    <x v="0"/>
    <n v="6"/>
    <d v="2016-02-05T00:00:00"/>
    <x v="1"/>
    <n v="1625"/>
    <n v="1625"/>
    <m/>
  </r>
  <r>
    <n v="33704"/>
    <n v="2"/>
    <x v="0"/>
    <n v="6"/>
    <d v="2016-02-05T00:00:00"/>
    <x v="1"/>
    <n v="1881.5"/>
    <n v="1881.5"/>
    <m/>
  </r>
  <r>
    <n v="33705"/>
    <n v="2"/>
    <x v="0"/>
    <n v="6"/>
    <d v="2016-02-05T00:00:00"/>
    <x v="1"/>
    <n v="635"/>
    <n v="635"/>
    <m/>
  </r>
  <r>
    <n v="33706"/>
    <n v="2"/>
    <x v="0"/>
    <n v="6"/>
    <d v="2016-02-05T00:00:00"/>
    <x v="0"/>
    <n v="2416.9999999999995"/>
    <n v="2416.9999999999995"/>
    <m/>
  </r>
  <r>
    <n v="33707"/>
    <n v="2"/>
    <x v="0"/>
    <n v="6"/>
    <d v="2016-02-05T00:00:00"/>
    <x v="4"/>
    <n v="12714"/>
    <n v="12714"/>
    <m/>
  </r>
  <r>
    <n v="33708"/>
    <n v="2"/>
    <x v="0"/>
    <n v="6"/>
    <d v="2016-02-05T00:00:00"/>
    <x v="0"/>
    <n v="2556.9999999999995"/>
    <n v="2556.9999999999995"/>
    <m/>
  </r>
  <r>
    <n v="33709"/>
    <n v="2"/>
    <x v="0"/>
    <n v="6"/>
    <d v="2016-02-05T00:00:00"/>
    <x v="1"/>
    <n v="22"/>
    <n v="22"/>
    <m/>
  </r>
  <r>
    <n v="33710"/>
    <n v="2"/>
    <x v="0"/>
    <n v="6"/>
    <d v="2016-02-05T00:00:00"/>
    <x v="1"/>
    <n v="35"/>
    <n v="35"/>
    <m/>
  </r>
  <r>
    <n v="33711"/>
    <n v="2"/>
    <x v="0"/>
    <n v="6"/>
    <d v="2016-02-05T00:00:00"/>
    <x v="1"/>
    <n v="225"/>
    <n v="225"/>
    <m/>
  </r>
  <r>
    <n v="33712"/>
    <n v="2"/>
    <x v="0"/>
    <n v="6"/>
    <d v="2016-02-05T00:00:00"/>
    <x v="1"/>
    <n v="35"/>
    <n v="35"/>
    <m/>
  </r>
  <r>
    <n v="33713"/>
    <n v="2"/>
    <x v="0"/>
    <n v="6"/>
    <d v="2016-02-05T00:00:00"/>
    <x v="1"/>
    <n v="99"/>
    <n v="99"/>
    <m/>
  </r>
  <r>
    <n v="33714"/>
    <n v="2"/>
    <x v="0"/>
    <n v="6"/>
    <d v="2016-02-05T00:00:00"/>
    <x v="0"/>
    <n v="29.999999999999996"/>
    <n v="29.999999999999996"/>
    <m/>
  </r>
  <r>
    <n v="33715"/>
    <n v="2"/>
    <x v="0"/>
    <n v="6"/>
    <d v="2016-02-05T00:00:00"/>
    <x v="1"/>
    <n v="0"/>
    <m/>
    <m/>
  </r>
  <r>
    <n v="33716"/>
    <n v="2"/>
    <x v="0"/>
    <n v="6"/>
    <d v="2016-02-05T00:00:00"/>
    <x v="7"/>
    <n v="0"/>
    <m/>
    <m/>
  </r>
  <r>
    <n v="33717"/>
    <n v="2"/>
    <x v="0"/>
    <n v="7"/>
    <d v="2016-02-08T00:00:00"/>
    <x v="3"/>
    <n v="669"/>
    <n v="669"/>
    <m/>
  </r>
  <r>
    <n v="33718"/>
    <n v="2"/>
    <x v="0"/>
    <n v="7"/>
    <d v="2016-02-08T00:00:00"/>
    <x v="0"/>
    <n v="4599.1363636363631"/>
    <n v="4599.1363636363631"/>
    <m/>
  </r>
  <r>
    <n v="33719"/>
    <n v="2"/>
    <x v="0"/>
    <n v="7"/>
    <d v="2016-02-08T00:00:00"/>
    <x v="1"/>
    <n v="199"/>
    <n v="199"/>
    <m/>
  </r>
  <r>
    <n v="33720"/>
    <n v="2"/>
    <x v="0"/>
    <n v="7"/>
    <d v="2016-02-08T00:00:00"/>
    <x v="1"/>
    <n v="115"/>
    <n v="115"/>
    <m/>
  </r>
  <r>
    <n v="33721"/>
    <n v="2"/>
    <x v="0"/>
    <n v="7"/>
    <d v="2016-02-08T00:00:00"/>
    <x v="1"/>
    <n v="115"/>
    <n v="115"/>
    <m/>
  </r>
  <r>
    <n v="33722"/>
    <n v="2"/>
    <x v="0"/>
    <n v="7"/>
    <d v="2016-02-08T00:00:00"/>
    <x v="1"/>
    <n v="50"/>
    <n v="50"/>
    <m/>
  </r>
  <r>
    <n v="33723"/>
    <n v="2"/>
    <x v="0"/>
    <n v="7"/>
    <d v="2016-02-08T00:00:00"/>
    <x v="4"/>
    <n v="0"/>
    <m/>
    <m/>
  </r>
  <r>
    <n v="33724"/>
    <n v="2"/>
    <x v="0"/>
    <n v="7"/>
    <d v="2016-02-08T00:00:00"/>
    <x v="4"/>
    <n v="7275"/>
    <n v="7275"/>
    <m/>
  </r>
  <r>
    <n v="33725"/>
    <n v="2"/>
    <x v="0"/>
    <n v="7"/>
    <d v="2016-02-08T00:00:00"/>
    <x v="4"/>
    <n v="153"/>
    <n v="153"/>
    <m/>
  </r>
  <r>
    <n v="33726"/>
    <n v="2"/>
    <x v="0"/>
    <n v="7"/>
    <d v="2016-02-08T00:00:00"/>
    <x v="3"/>
    <n v="1535"/>
    <n v="1535"/>
    <m/>
  </r>
  <r>
    <n v="33727"/>
    <n v="2"/>
    <x v="0"/>
    <n v="7"/>
    <d v="2016-02-08T00:00:00"/>
    <x v="1"/>
    <n v="19"/>
    <n v="19"/>
    <m/>
  </r>
  <r>
    <n v="33728"/>
    <n v="2"/>
    <x v="0"/>
    <n v="7"/>
    <d v="2016-02-08T00:00:00"/>
    <x v="1"/>
    <n v="150"/>
    <n v="150"/>
    <m/>
  </r>
  <r>
    <n v="33729"/>
    <n v="2"/>
    <x v="0"/>
    <n v="7"/>
    <d v="2016-02-08T00:00:00"/>
    <x v="1"/>
    <n v="134"/>
    <n v="134"/>
    <m/>
  </r>
  <r>
    <n v="33730"/>
    <n v="2"/>
    <x v="0"/>
    <n v="7"/>
    <d v="2016-02-08T00:00:00"/>
    <x v="4"/>
    <n v="525"/>
    <n v="525"/>
    <m/>
  </r>
  <r>
    <n v="33731"/>
    <n v="2"/>
    <x v="0"/>
    <n v="7"/>
    <d v="2016-02-08T00:00:00"/>
    <x v="3"/>
    <n v="4713"/>
    <n v="4713"/>
    <m/>
  </r>
  <r>
    <n v="33732"/>
    <n v="2"/>
    <x v="0"/>
    <n v="7"/>
    <d v="2016-02-09T00:00:00"/>
    <x v="10"/>
    <n v="8797.89"/>
    <n v="8797.89"/>
    <m/>
  </r>
  <r>
    <n v="33733"/>
    <n v="2"/>
    <x v="0"/>
    <n v="7"/>
    <d v="2016-02-09T00:00:00"/>
    <x v="4"/>
    <n v="256"/>
    <n v="256"/>
    <m/>
  </r>
  <r>
    <n v="33734"/>
    <n v="2"/>
    <x v="0"/>
    <n v="7"/>
    <d v="2016-02-09T00:00:00"/>
    <x v="7"/>
    <n v="0"/>
    <m/>
    <m/>
  </r>
  <r>
    <n v="33735"/>
    <n v="2"/>
    <x v="0"/>
    <n v="7"/>
    <d v="2016-02-09T00:00:00"/>
    <x v="7"/>
    <n v="0"/>
    <m/>
    <m/>
  </r>
  <r>
    <n v="33736"/>
    <n v="2"/>
    <x v="0"/>
    <n v="7"/>
    <d v="2016-02-09T00:00:00"/>
    <x v="7"/>
    <n v="0"/>
    <m/>
    <m/>
  </r>
  <r>
    <n v="33737"/>
    <n v="2"/>
    <x v="0"/>
    <n v="7"/>
    <d v="2016-02-10T00:00:00"/>
    <x v="4"/>
    <n v="649"/>
    <n v="649"/>
    <m/>
  </r>
  <r>
    <n v="33738"/>
    <n v="2"/>
    <x v="0"/>
    <n v="7"/>
    <d v="2016-02-10T00:00:00"/>
    <x v="4"/>
    <n v="866"/>
    <n v="866"/>
    <m/>
  </r>
  <r>
    <n v="33739"/>
    <n v="2"/>
    <x v="0"/>
    <n v="7"/>
    <d v="2016-02-10T00:00:00"/>
    <x v="3"/>
    <n v="211"/>
    <n v="211"/>
    <m/>
  </r>
  <r>
    <n v="33740"/>
    <n v="2"/>
    <x v="0"/>
    <n v="7"/>
    <d v="2016-02-10T00:00:00"/>
    <x v="3"/>
    <n v="823.75"/>
    <n v="823.75"/>
    <m/>
  </r>
  <r>
    <n v="33741"/>
    <n v="2"/>
    <x v="0"/>
    <n v="7"/>
    <d v="2016-02-10T00:00:00"/>
    <x v="0"/>
    <n v="2616.5"/>
    <n v="2616.5"/>
    <m/>
  </r>
  <r>
    <n v="33742"/>
    <n v="2"/>
    <x v="0"/>
    <n v="7"/>
    <d v="2016-02-10T00:00:00"/>
    <x v="0"/>
    <n v="1677.4999999999998"/>
    <n v="1677.4999999999998"/>
    <m/>
  </r>
  <r>
    <n v="33743"/>
    <n v="2"/>
    <x v="0"/>
    <n v="7"/>
    <d v="2016-02-10T00:00:00"/>
    <x v="0"/>
    <n v="2580.9999999999995"/>
    <n v="2580.9999999999995"/>
    <m/>
  </r>
  <r>
    <n v="33744"/>
    <n v="2"/>
    <x v="0"/>
    <n v="7"/>
    <d v="2016-02-10T00:00:00"/>
    <x v="4"/>
    <n v="741"/>
    <n v="741"/>
    <m/>
  </r>
  <r>
    <n v="33745"/>
    <n v="2"/>
    <x v="0"/>
    <n v="7"/>
    <d v="2016-02-10T00:00:00"/>
    <x v="3"/>
    <n v="1064"/>
    <n v="1064"/>
    <m/>
  </r>
  <r>
    <n v="33746"/>
    <n v="2"/>
    <x v="0"/>
    <n v="7"/>
    <d v="2016-02-10T00:00:00"/>
    <x v="3"/>
    <n v="2323.8000000000002"/>
    <n v="2323.8000000000002"/>
    <m/>
  </r>
  <r>
    <n v="33747"/>
    <n v="2"/>
    <x v="0"/>
    <n v="7"/>
    <d v="2016-02-10T00:00:00"/>
    <x v="1"/>
    <n v="25"/>
    <n v="25"/>
    <m/>
  </r>
  <r>
    <n v="33748"/>
    <n v="2"/>
    <x v="0"/>
    <n v="7"/>
    <d v="2016-02-10T00:00:00"/>
    <x v="4"/>
    <n v="476"/>
    <n v="476"/>
    <m/>
  </r>
  <r>
    <n v="33749"/>
    <n v="2"/>
    <x v="0"/>
    <n v="7"/>
    <d v="2016-02-10T00:00:00"/>
    <x v="4"/>
    <n v="2062.5"/>
    <n v="2062.5"/>
    <m/>
  </r>
  <r>
    <n v="33750"/>
    <n v="2"/>
    <x v="0"/>
    <n v="7"/>
    <d v="2016-02-10T00:00:00"/>
    <x v="3"/>
    <n v="16058.7"/>
    <n v="16058.7"/>
    <m/>
  </r>
  <r>
    <n v="33751"/>
    <n v="2"/>
    <x v="0"/>
    <n v="7"/>
    <d v="2016-02-10T00:00:00"/>
    <x v="4"/>
    <n v="13810"/>
    <n v="13810"/>
    <m/>
  </r>
  <r>
    <n v="33752"/>
    <n v="2"/>
    <x v="0"/>
    <n v="7"/>
    <d v="2016-02-10T00:00:00"/>
    <x v="1"/>
    <n v="160"/>
    <n v="160"/>
    <m/>
  </r>
  <r>
    <n v="33753"/>
    <n v="2"/>
    <x v="0"/>
    <n v="7"/>
    <d v="2016-02-10T00:00:00"/>
    <x v="1"/>
    <n v="1370"/>
    <n v="1370"/>
    <m/>
  </r>
  <r>
    <n v="33754"/>
    <n v="2"/>
    <x v="0"/>
    <n v="7"/>
    <d v="2016-02-10T00:00:00"/>
    <x v="10"/>
    <n v="1000"/>
    <n v="1000"/>
    <m/>
  </r>
  <r>
    <n v="33755"/>
    <n v="2"/>
    <x v="0"/>
    <n v="7"/>
    <d v="2016-02-10T00:00:00"/>
    <x v="0"/>
    <n v="3296.5"/>
    <n v="3296.5"/>
    <m/>
  </r>
  <r>
    <n v="33756"/>
    <n v="2"/>
    <x v="0"/>
    <n v="7"/>
    <d v="2016-02-10T00:00:00"/>
    <x v="0"/>
    <n v="2887.51"/>
    <n v="2887.51"/>
    <m/>
  </r>
  <r>
    <n v="33757"/>
    <n v="2"/>
    <x v="0"/>
    <n v="7"/>
    <d v="2016-02-10T00:00:00"/>
    <x v="4"/>
    <n v="10492"/>
    <n v="10492"/>
    <m/>
  </r>
  <r>
    <n v="33758"/>
    <n v="2"/>
    <x v="0"/>
    <n v="7"/>
    <d v="2016-02-11T00:00:00"/>
    <x v="7"/>
    <n v="0"/>
    <m/>
    <m/>
  </r>
  <r>
    <n v="33759"/>
    <n v="2"/>
    <x v="0"/>
    <n v="7"/>
    <d v="2016-02-11T00:00:00"/>
    <x v="7"/>
    <n v="0"/>
    <m/>
    <m/>
  </r>
  <r>
    <n v="33760"/>
    <n v="2"/>
    <x v="0"/>
    <n v="7"/>
    <d v="2016-02-11T00:00:00"/>
    <x v="10"/>
    <n v="1000"/>
    <n v="1000"/>
    <m/>
  </r>
  <r>
    <n v="33761"/>
    <n v="2"/>
    <x v="0"/>
    <n v="7"/>
    <d v="2016-02-11T00:00:00"/>
    <x v="3"/>
    <n v="52.5"/>
    <n v="52.5"/>
    <m/>
  </r>
  <r>
    <n v="33762"/>
    <n v="2"/>
    <x v="0"/>
    <n v="7"/>
    <d v="2016-02-11T00:00:00"/>
    <x v="3"/>
    <n v="42.5"/>
    <n v="42.5"/>
    <m/>
  </r>
  <r>
    <n v="33763"/>
    <n v="2"/>
    <x v="0"/>
    <n v="7"/>
    <d v="2016-02-11T00:00:00"/>
    <x v="3"/>
    <n v="339"/>
    <n v="339"/>
    <m/>
  </r>
  <r>
    <n v="33764"/>
    <n v="2"/>
    <x v="0"/>
    <n v="7"/>
    <d v="2016-02-11T00:00:00"/>
    <x v="4"/>
    <n v="1105"/>
    <n v="1105"/>
    <m/>
  </r>
  <r>
    <n v="33765"/>
    <n v="2"/>
    <x v="0"/>
    <n v="7"/>
    <d v="2016-02-11T00:00:00"/>
    <x v="2"/>
    <n v="265.7"/>
    <n v="265.7"/>
    <m/>
  </r>
  <r>
    <n v="33766"/>
    <n v="2"/>
    <x v="0"/>
    <n v="7"/>
    <d v="2016-02-11T00:00:00"/>
    <x v="0"/>
    <n v="827"/>
    <n v="827"/>
    <m/>
  </r>
  <r>
    <n v="33767"/>
    <n v="2"/>
    <x v="0"/>
    <n v="7"/>
    <d v="2016-02-11T00:00:00"/>
    <x v="4"/>
    <n v="0"/>
    <m/>
    <m/>
  </r>
  <r>
    <n v="33768"/>
    <n v="2"/>
    <x v="0"/>
    <n v="7"/>
    <d v="2016-02-11T00:00:00"/>
    <x v="4"/>
    <n v="95"/>
    <n v="95"/>
    <m/>
  </r>
  <r>
    <n v="33769"/>
    <n v="2"/>
    <x v="0"/>
    <n v="7"/>
    <d v="2016-02-11T00:00:00"/>
    <x v="4"/>
    <n v="418.5"/>
    <n v="418.5"/>
    <m/>
  </r>
  <r>
    <n v="33770"/>
    <n v="2"/>
    <x v="0"/>
    <n v="7"/>
    <d v="2016-02-11T00:00:00"/>
    <x v="1"/>
    <n v="0"/>
    <m/>
    <m/>
  </r>
  <r>
    <n v="33771"/>
    <n v="2"/>
    <x v="0"/>
    <n v="7"/>
    <d v="2016-02-11T00:00:00"/>
    <x v="3"/>
    <n v="1867.22"/>
    <n v="1867.22"/>
    <m/>
  </r>
  <r>
    <n v="33772"/>
    <n v="2"/>
    <x v="0"/>
    <n v="7"/>
    <d v="2016-02-12T00:00:00"/>
    <x v="1"/>
    <n v="0"/>
    <m/>
    <m/>
  </r>
  <r>
    <n v="33773"/>
    <n v="2"/>
    <x v="0"/>
    <n v="7"/>
    <d v="2016-02-12T00:00:00"/>
    <x v="1"/>
    <n v="0"/>
    <m/>
    <m/>
  </r>
  <r>
    <n v="33774"/>
    <n v="2"/>
    <x v="0"/>
    <n v="7"/>
    <d v="2016-02-12T00:00:00"/>
    <x v="1"/>
    <n v="0"/>
    <m/>
    <m/>
  </r>
  <r>
    <n v="33775"/>
    <n v="2"/>
    <x v="0"/>
    <n v="7"/>
    <d v="2016-02-12T00:00:00"/>
    <x v="1"/>
    <n v="0"/>
    <m/>
    <m/>
  </r>
  <r>
    <n v="33776"/>
    <n v="2"/>
    <x v="0"/>
    <n v="7"/>
    <d v="2016-02-12T00:00:00"/>
    <x v="4"/>
    <n v="8714.5300000000007"/>
    <n v="8714.5300000000007"/>
    <m/>
  </r>
  <r>
    <n v="33777"/>
    <n v="2"/>
    <x v="0"/>
    <n v="7"/>
    <d v="2016-02-12T00:00:00"/>
    <x v="3"/>
    <n v="1365.22"/>
    <n v="1365.22"/>
    <m/>
  </r>
  <r>
    <n v="33778"/>
    <n v="2"/>
    <x v="0"/>
    <n v="7"/>
    <d v="2016-02-12T00:00:00"/>
    <x v="4"/>
    <n v="359.5"/>
    <n v="359.5"/>
    <m/>
  </r>
  <r>
    <n v="33779"/>
    <n v="2"/>
    <x v="0"/>
    <n v="7"/>
    <d v="2016-02-12T00:00:00"/>
    <x v="13"/>
    <n v="0"/>
    <m/>
    <m/>
  </r>
  <r>
    <n v="33780"/>
    <n v="2"/>
    <x v="0"/>
    <n v="7"/>
    <d v="2016-02-12T00:00:00"/>
    <x v="3"/>
    <n v="95"/>
    <n v="95"/>
    <m/>
  </r>
  <r>
    <n v="33781"/>
    <n v="2"/>
    <x v="0"/>
    <n v="7"/>
    <d v="2016-02-12T00:00:00"/>
    <x v="3"/>
    <n v="154"/>
    <n v="154"/>
    <m/>
  </r>
  <r>
    <n v="33782"/>
    <n v="2"/>
    <x v="0"/>
    <n v="7"/>
    <d v="2016-02-12T00:00:00"/>
    <x v="3"/>
    <n v="154"/>
    <n v="154"/>
    <m/>
  </r>
  <r>
    <n v="33783"/>
    <n v="2"/>
    <x v="0"/>
    <n v="7"/>
    <d v="2016-02-12T00:00:00"/>
    <x v="3"/>
    <n v="644"/>
    <n v="644"/>
    <m/>
  </r>
  <r>
    <n v="33784"/>
    <n v="2"/>
    <x v="0"/>
    <n v="7"/>
    <d v="2016-02-12T00:00:00"/>
    <x v="5"/>
    <n v="2790.78"/>
    <n v="2790.78"/>
    <m/>
  </r>
  <r>
    <n v="33785"/>
    <n v="2"/>
    <x v="0"/>
    <n v="7"/>
    <d v="2016-02-12T00:00:00"/>
    <x v="5"/>
    <n v="1585.22"/>
    <n v="1585.22"/>
    <m/>
  </r>
  <r>
    <n v="33786"/>
    <n v="2"/>
    <x v="0"/>
    <n v="7"/>
    <d v="2016-02-12T00:00:00"/>
    <x v="5"/>
    <n v="5007.88"/>
    <n v="5007.88"/>
    <m/>
  </r>
  <r>
    <n v="33787"/>
    <n v="2"/>
    <x v="0"/>
    <n v="7"/>
    <d v="2016-02-12T00:00:00"/>
    <x v="5"/>
    <n v="4120.3599999999997"/>
    <n v="4120.3599999999997"/>
    <m/>
  </r>
  <r>
    <n v="33788"/>
    <n v="2"/>
    <x v="0"/>
    <n v="7"/>
    <d v="2016-02-12T00:00:00"/>
    <x v="5"/>
    <n v="8517.7800000000007"/>
    <n v="8517.7800000000007"/>
    <m/>
  </r>
  <r>
    <n v="33789"/>
    <n v="2"/>
    <x v="0"/>
    <n v="7"/>
    <d v="2016-02-12T00:00:00"/>
    <x v="5"/>
    <n v="3669.51"/>
    <n v="3669.51"/>
    <m/>
  </r>
  <r>
    <n v="33790"/>
    <n v="2"/>
    <x v="0"/>
    <n v="7"/>
    <d v="2016-02-12T00:00:00"/>
    <x v="5"/>
    <n v="5835.95"/>
    <n v="5835.95"/>
    <m/>
  </r>
  <r>
    <n v="33791"/>
    <n v="2"/>
    <x v="0"/>
    <n v="7"/>
    <d v="2016-02-12T00:00:00"/>
    <x v="5"/>
    <n v="5016.8999999999996"/>
    <n v="5016.8999999999996"/>
    <m/>
  </r>
  <r>
    <n v="33792"/>
    <n v="2"/>
    <x v="0"/>
    <n v="7"/>
    <d v="2016-02-12T00:00:00"/>
    <x v="5"/>
    <n v="5919.53"/>
    <n v="5919.53"/>
    <m/>
  </r>
  <r>
    <n v="33793"/>
    <n v="2"/>
    <x v="0"/>
    <n v="7"/>
    <d v="2016-02-12T00:00:00"/>
    <x v="5"/>
    <n v="7048.3"/>
    <n v="7048.3"/>
    <m/>
  </r>
  <r>
    <n v="33794"/>
    <n v="2"/>
    <x v="0"/>
    <n v="7"/>
    <d v="2016-02-12T00:00:00"/>
    <x v="5"/>
    <n v="4098.13"/>
    <n v="4098.13"/>
    <m/>
  </r>
  <r>
    <n v="33795"/>
    <n v="2"/>
    <x v="0"/>
    <n v="7"/>
    <d v="2016-02-12T00:00:00"/>
    <x v="5"/>
    <n v="6922.57"/>
    <n v="6922.57"/>
    <m/>
  </r>
  <r>
    <n v="33796"/>
    <n v="2"/>
    <x v="0"/>
    <n v="7"/>
    <d v="2016-02-12T00:00:00"/>
    <x v="5"/>
    <n v="7889.49"/>
    <n v="7889.49"/>
    <m/>
  </r>
  <r>
    <n v="33797"/>
    <n v="2"/>
    <x v="0"/>
    <n v="7"/>
    <d v="2016-02-12T00:00:00"/>
    <x v="5"/>
    <n v="9987.76"/>
    <n v="9987.76"/>
    <m/>
  </r>
  <r>
    <n v="33798"/>
    <n v="2"/>
    <x v="0"/>
    <n v="7"/>
    <d v="2016-02-12T00:00:00"/>
    <x v="2"/>
    <n v="955.4"/>
    <n v="955.4"/>
    <m/>
  </r>
  <r>
    <n v="33799"/>
    <n v="2"/>
    <x v="0"/>
    <n v="7"/>
    <d v="2016-02-12T00:00:00"/>
    <x v="2"/>
    <n v="846.21"/>
    <n v="846.21"/>
    <m/>
  </r>
  <r>
    <n v="33800"/>
    <n v="2"/>
    <x v="0"/>
    <n v="7"/>
    <d v="2016-02-12T00:00:00"/>
    <x v="8"/>
    <n v="20532"/>
    <n v="20532"/>
    <m/>
  </r>
  <r>
    <n v="33801"/>
    <n v="2"/>
    <x v="0"/>
    <n v="7"/>
    <d v="2016-02-12T00:00:00"/>
    <x v="8"/>
    <n v="3968"/>
    <n v="3968"/>
    <m/>
  </r>
  <r>
    <n v="33802"/>
    <n v="2"/>
    <x v="0"/>
    <n v="7"/>
    <d v="2016-02-12T00:00:00"/>
    <x v="14"/>
    <n v="6814"/>
    <n v="6814"/>
    <m/>
  </r>
  <r>
    <n v="33803"/>
    <n v="2"/>
    <x v="0"/>
    <n v="7"/>
    <d v="2016-02-12T00:00:00"/>
    <x v="3"/>
    <n v="984.4"/>
    <n v="984.4"/>
    <m/>
  </r>
  <r>
    <n v="33804"/>
    <n v="2"/>
    <x v="0"/>
    <n v="8"/>
    <d v="2016-02-15T00:00:00"/>
    <x v="2"/>
    <n v="846.21"/>
    <n v="846.21"/>
    <m/>
  </r>
  <r>
    <n v="33805"/>
    <n v="2"/>
    <x v="0"/>
    <n v="8"/>
    <d v="2016-02-15T00:00:00"/>
    <x v="4"/>
    <n v="3917"/>
    <n v="3917"/>
    <m/>
  </r>
  <r>
    <n v="33806"/>
    <n v="2"/>
    <x v="0"/>
    <n v="8"/>
    <d v="2016-02-15T00:00:00"/>
    <x v="8"/>
    <n v="33027"/>
    <n v="33027"/>
    <m/>
  </r>
  <r>
    <n v="33807"/>
    <n v="2"/>
    <x v="0"/>
    <n v="8"/>
    <d v="2016-02-15T00:00:00"/>
    <x v="0"/>
    <n v="1365.4999999999998"/>
    <n v="1365.4999999999998"/>
    <m/>
  </r>
  <r>
    <n v="33808"/>
    <n v="2"/>
    <x v="0"/>
    <n v="8"/>
    <d v="2016-02-15T00:00:00"/>
    <x v="0"/>
    <n v="5443"/>
    <n v="5443"/>
    <m/>
  </r>
  <r>
    <n v="33809"/>
    <n v="2"/>
    <x v="0"/>
    <n v="8"/>
    <d v="2016-02-15T00:00:00"/>
    <x v="1"/>
    <n v="100"/>
    <n v="100"/>
    <m/>
  </r>
  <r>
    <n v="33810"/>
    <n v="2"/>
    <x v="0"/>
    <n v="8"/>
    <d v="2016-02-15T00:00:00"/>
    <x v="1"/>
    <n v="100"/>
    <n v="100"/>
    <m/>
  </r>
  <r>
    <n v="33811"/>
    <n v="2"/>
    <x v="0"/>
    <n v="8"/>
    <d v="2016-02-15T00:00:00"/>
    <x v="1"/>
    <n v="50"/>
    <n v="50"/>
    <m/>
  </r>
  <r>
    <n v="33812"/>
    <n v="2"/>
    <x v="0"/>
    <n v="8"/>
    <d v="2016-02-15T00:00:00"/>
    <x v="1"/>
    <n v="750"/>
    <n v="750"/>
    <m/>
  </r>
  <r>
    <n v="33813"/>
    <n v="2"/>
    <x v="0"/>
    <n v="8"/>
    <d v="2016-02-15T00:00:00"/>
    <x v="1"/>
    <n v="50"/>
    <n v="50"/>
    <m/>
  </r>
  <r>
    <n v="33814"/>
    <n v="2"/>
    <x v="0"/>
    <n v="8"/>
    <d v="2016-02-15T00:00:00"/>
    <x v="1"/>
    <n v="50"/>
    <n v="50"/>
    <m/>
  </r>
  <r>
    <n v="33815"/>
    <n v="2"/>
    <x v="0"/>
    <n v="8"/>
    <d v="2016-02-15T00:00:00"/>
    <x v="1"/>
    <n v="50"/>
    <n v="50"/>
    <m/>
  </r>
  <r>
    <n v="33816"/>
    <n v="2"/>
    <x v="0"/>
    <n v="8"/>
    <d v="2016-02-15T00:00:00"/>
    <x v="1"/>
    <n v="650"/>
    <n v="650"/>
    <m/>
  </r>
  <r>
    <n v="33817"/>
    <n v="2"/>
    <x v="0"/>
    <n v="8"/>
    <d v="2016-02-15T00:00:00"/>
    <x v="1"/>
    <n v="1200"/>
    <n v="1200"/>
    <m/>
  </r>
  <r>
    <n v="33818"/>
    <n v="2"/>
    <x v="0"/>
    <n v="8"/>
    <d v="2016-02-15T00:00:00"/>
    <x v="0"/>
    <n v="2725.9999999999995"/>
    <n v="2725.9999999999995"/>
    <m/>
  </r>
  <r>
    <n v="33819"/>
    <n v="3"/>
    <x v="0"/>
    <n v="10"/>
    <d v="2016-03-02T00:00:00"/>
    <x v="3"/>
    <m/>
    <m/>
    <m/>
  </r>
  <r>
    <n v="33820"/>
    <s v=""/>
    <x v="1"/>
    <s v=""/>
    <m/>
    <x v="15"/>
    <m/>
    <m/>
    <m/>
  </r>
  <r>
    <n v="33821"/>
    <s v=""/>
    <x v="1"/>
    <s v=""/>
    <m/>
    <x v="15"/>
    <n v="0"/>
    <m/>
    <m/>
  </r>
  <r>
    <n v="33822"/>
    <s v=""/>
    <x v="1"/>
    <s v=""/>
    <m/>
    <x v="15"/>
    <n v="0"/>
    <m/>
    <m/>
  </r>
  <r>
    <n v="33823"/>
    <s v=""/>
    <x v="1"/>
    <s v=""/>
    <m/>
    <x v="15"/>
    <n v="0"/>
    <m/>
    <m/>
  </r>
  <r>
    <n v="33824"/>
    <s v=""/>
    <x v="1"/>
    <s v=""/>
    <m/>
    <x v="15"/>
    <n v="0"/>
    <m/>
    <m/>
  </r>
  <r>
    <n v="33825"/>
    <s v=""/>
    <x v="1"/>
    <s v=""/>
    <m/>
    <x v="15"/>
    <n v="0"/>
    <m/>
    <m/>
  </r>
  <r>
    <n v="33826"/>
    <s v=""/>
    <x v="1"/>
    <s v=""/>
    <m/>
    <x v="15"/>
    <n v="0"/>
    <m/>
    <m/>
  </r>
  <r>
    <n v="33827"/>
    <s v=""/>
    <x v="1"/>
    <s v=""/>
    <m/>
    <x v="15"/>
    <n v="0"/>
    <m/>
    <m/>
  </r>
  <r>
    <n v="33828"/>
    <s v=""/>
    <x v="1"/>
    <s v=""/>
    <m/>
    <x v="15"/>
    <n v="0"/>
    <m/>
    <m/>
  </r>
  <r>
    <n v="33829"/>
    <s v=""/>
    <x v="1"/>
    <s v=""/>
    <m/>
    <x v="15"/>
    <n v="0"/>
    <m/>
    <m/>
  </r>
  <r>
    <n v="33830"/>
    <s v=""/>
    <x v="1"/>
    <s v=""/>
    <m/>
    <x v="15"/>
    <n v="0"/>
    <m/>
    <m/>
  </r>
  <r>
    <n v="33831"/>
    <s v=""/>
    <x v="1"/>
    <s v=""/>
    <m/>
    <x v="15"/>
    <n v="0"/>
    <m/>
    <m/>
  </r>
  <r>
    <n v="33832"/>
    <s v=""/>
    <x v="1"/>
    <s v=""/>
    <m/>
    <x v="15"/>
    <n v="0"/>
    <m/>
    <m/>
  </r>
  <r>
    <n v="33833"/>
    <s v=""/>
    <x v="1"/>
    <s v=""/>
    <m/>
    <x v="15"/>
    <n v="0"/>
    <m/>
    <m/>
  </r>
  <r>
    <n v="33834"/>
    <s v=""/>
    <x v="1"/>
    <s v=""/>
    <m/>
    <x v="15"/>
    <n v="0"/>
    <m/>
    <m/>
  </r>
  <r>
    <n v="33835"/>
    <s v=""/>
    <x v="1"/>
    <s v=""/>
    <m/>
    <x v="15"/>
    <n v="0"/>
    <m/>
    <m/>
  </r>
  <r>
    <n v="33836"/>
    <s v=""/>
    <x v="1"/>
    <s v=""/>
    <m/>
    <x v="15"/>
    <n v="0"/>
    <m/>
    <m/>
  </r>
  <r>
    <n v="33837"/>
    <s v=""/>
    <x v="1"/>
    <s v=""/>
    <m/>
    <x v="15"/>
    <n v="0"/>
    <m/>
    <m/>
  </r>
  <r>
    <n v="33838"/>
    <s v=""/>
    <x v="1"/>
    <s v=""/>
    <m/>
    <x v="15"/>
    <n v="0"/>
    <m/>
    <m/>
  </r>
  <r>
    <n v="33839"/>
    <s v=""/>
    <x v="1"/>
    <s v=""/>
    <m/>
    <x v="15"/>
    <n v="0"/>
    <m/>
    <m/>
  </r>
  <r>
    <n v="33840"/>
    <s v=""/>
    <x v="1"/>
    <s v=""/>
    <m/>
    <x v="15"/>
    <n v="0"/>
    <m/>
    <m/>
  </r>
  <r>
    <n v="33841"/>
    <s v=""/>
    <x v="1"/>
    <s v=""/>
    <m/>
    <x v="15"/>
    <n v="0"/>
    <m/>
    <m/>
  </r>
  <r>
    <n v="33842"/>
    <s v=""/>
    <x v="1"/>
    <s v=""/>
    <m/>
    <x v="15"/>
    <n v="0"/>
    <m/>
    <m/>
  </r>
  <r>
    <n v="33843"/>
    <s v=""/>
    <x v="1"/>
    <s v=""/>
    <m/>
    <x v="15"/>
    <n v="0"/>
    <m/>
    <m/>
  </r>
  <r>
    <n v="33844"/>
    <s v=""/>
    <x v="1"/>
    <s v=""/>
    <m/>
    <x v="15"/>
    <n v="0"/>
    <m/>
    <m/>
  </r>
  <r>
    <n v="33845"/>
    <s v=""/>
    <x v="1"/>
    <s v=""/>
    <m/>
    <x v="15"/>
    <n v="0"/>
    <m/>
    <m/>
  </r>
  <r>
    <n v="33846"/>
    <s v=""/>
    <x v="1"/>
    <s v=""/>
    <m/>
    <x v="15"/>
    <n v="0"/>
    <m/>
    <m/>
  </r>
  <r>
    <n v="33847"/>
    <s v=""/>
    <x v="1"/>
    <s v=""/>
    <m/>
    <x v="15"/>
    <n v="0"/>
    <m/>
    <m/>
  </r>
  <r>
    <n v="33848"/>
    <s v=""/>
    <x v="1"/>
    <s v=""/>
    <m/>
    <x v="15"/>
    <n v="0"/>
    <m/>
    <m/>
  </r>
  <r>
    <n v="33849"/>
    <s v=""/>
    <x v="1"/>
    <s v=""/>
    <m/>
    <x v="15"/>
    <n v="0"/>
    <m/>
    <m/>
  </r>
  <r>
    <n v="33850"/>
    <s v=""/>
    <x v="1"/>
    <s v=""/>
    <m/>
    <x v="15"/>
    <n v="0"/>
    <m/>
    <m/>
  </r>
  <r>
    <n v="33851"/>
    <s v=""/>
    <x v="1"/>
    <s v=""/>
    <m/>
    <x v="15"/>
    <n v="0"/>
    <m/>
    <m/>
  </r>
  <r>
    <n v="33852"/>
    <s v=""/>
    <x v="1"/>
    <s v=""/>
    <m/>
    <x v="15"/>
    <n v="0"/>
    <m/>
    <m/>
  </r>
  <r>
    <n v="33853"/>
    <s v=""/>
    <x v="1"/>
    <s v=""/>
    <m/>
    <x v="15"/>
    <n v="0"/>
    <m/>
    <m/>
  </r>
  <r>
    <n v="33854"/>
    <s v=""/>
    <x v="1"/>
    <s v=""/>
    <m/>
    <x v="15"/>
    <n v="0"/>
    <m/>
    <m/>
  </r>
  <r>
    <n v="33855"/>
    <s v=""/>
    <x v="1"/>
    <s v=""/>
    <m/>
    <x v="15"/>
    <n v="0"/>
    <m/>
    <m/>
  </r>
  <r>
    <n v="33856"/>
    <s v=""/>
    <x v="1"/>
    <s v=""/>
    <m/>
    <x v="15"/>
    <n v="0"/>
    <m/>
    <m/>
  </r>
  <r>
    <n v="33857"/>
    <s v=""/>
    <x v="1"/>
    <s v=""/>
    <m/>
    <x v="15"/>
    <n v="0"/>
    <m/>
    <m/>
  </r>
  <r>
    <n v="33858"/>
    <s v=""/>
    <x v="1"/>
    <s v=""/>
    <m/>
    <x v="15"/>
    <n v="0"/>
    <m/>
    <m/>
  </r>
  <r>
    <n v="33859"/>
    <s v=""/>
    <x v="1"/>
    <s v=""/>
    <m/>
    <x v="15"/>
    <n v="0"/>
    <m/>
    <m/>
  </r>
  <r>
    <n v="33860"/>
    <s v=""/>
    <x v="1"/>
    <s v=""/>
    <m/>
    <x v="15"/>
    <n v="0"/>
    <m/>
    <m/>
  </r>
  <r>
    <n v="33861"/>
    <s v=""/>
    <x v="1"/>
    <s v=""/>
    <m/>
    <x v="15"/>
    <n v="0"/>
    <m/>
    <m/>
  </r>
  <r>
    <n v="33862"/>
    <s v=""/>
    <x v="1"/>
    <s v=""/>
    <m/>
    <x v="15"/>
    <n v="0"/>
    <m/>
    <m/>
  </r>
  <r>
    <n v="33863"/>
    <s v=""/>
    <x v="1"/>
    <s v=""/>
    <m/>
    <x v="15"/>
    <n v="0"/>
    <m/>
    <m/>
  </r>
  <r>
    <n v="33864"/>
    <s v=""/>
    <x v="1"/>
    <s v=""/>
    <m/>
    <x v="15"/>
    <n v="0"/>
    <m/>
    <m/>
  </r>
  <r>
    <n v="33865"/>
    <s v=""/>
    <x v="1"/>
    <s v=""/>
    <m/>
    <x v="15"/>
    <n v="0"/>
    <m/>
    <m/>
  </r>
  <r>
    <n v="33866"/>
    <s v=""/>
    <x v="1"/>
    <s v=""/>
    <m/>
    <x v="15"/>
    <n v="0"/>
    <m/>
    <m/>
  </r>
  <r>
    <n v="33867"/>
    <s v=""/>
    <x v="1"/>
    <s v=""/>
    <m/>
    <x v="15"/>
    <n v="0"/>
    <m/>
    <m/>
  </r>
  <r>
    <n v="33868"/>
    <s v=""/>
    <x v="1"/>
    <s v=""/>
    <m/>
    <x v="15"/>
    <n v="0"/>
    <m/>
    <m/>
  </r>
  <r>
    <n v="33869"/>
    <s v=""/>
    <x v="1"/>
    <s v=""/>
    <m/>
    <x v="15"/>
    <n v="0"/>
    <m/>
    <m/>
  </r>
  <r>
    <n v="33870"/>
    <s v=""/>
    <x v="1"/>
    <s v=""/>
    <m/>
    <x v="15"/>
    <n v="0"/>
    <m/>
    <m/>
  </r>
  <r>
    <n v="33871"/>
    <s v=""/>
    <x v="1"/>
    <s v=""/>
    <m/>
    <x v="15"/>
    <n v="0"/>
    <m/>
    <m/>
  </r>
  <r>
    <n v="33872"/>
    <s v=""/>
    <x v="1"/>
    <s v=""/>
    <m/>
    <x v="15"/>
    <n v="0"/>
    <m/>
    <m/>
  </r>
  <r>
    <n v="33873"/>
    <s v=""/>
    <x v="1"/>
    <s v=""/>
    <m/>
    <x v="15"/>
    <n v="0"/>
    <m/>
    <m/>
  </r>
  <r>
    <n v="33874"/>
    <s v=""/>
    <x v="1"/>
    <s v=""/>
    <m/>
    <x v="15"/>
    <n v="0"/>
    <m/>
    <m/>
  </r>
  <r>
    <n v="33875"/>
    <s v=""/>
    <x v="1"/>
    <s v=""/>
    <m/>
    <x v="15"/>
    <n v="0"/>
    <m/>
    <m/>
  </r>
  <r>
    <n v="33876"/>
    <s v=""/>
    <x v="1"/>
    <s v=""/>
    <m/>
    <x v="15"/>
    <n v="0"/>
    <m/>
    <m/>
  </r>
  <r>
    <n v="33877"/>
    <s v=""/>
    <x v="1"/>
    <s v=""/>
    <m/>
    <x v="15"/>
    <n v="0"/>
    <m/>
    <m/>
  </r>
  <r>
    <n v="33878"/>
    <s v=""/>
    <x v="1"/>
    <s v=""/>
    <m/>
    <x v="15"/>
    <n v="0"/>
    <m/>
    <m/>
  </r>
  <r>
    <n v="33879"/>
    <s v=""/>
    <x v="1"/>
    <s v=""/>
    <m/>
    <x v="15"/>
    <n v="0"/>
    <m/>
    <m/>
  </r>
  <r>
    <n v="33880"/>
    <s v=""/>
    <x v="1"/>
    <s v=""/>
    <m/>
    <x v="15"/>
    <n v="0"/>
    <m/>
    <m/>
  </r>
  <r>
    <n v="33881"/>
    <s v=""/>
    <x v="1"/>
    <s v=""/>
    <m/>
    <x v="15"/>
    <n v="0"/>
    <m/>
    <m/>
  </r>
  <r>
    <n v="33882"/>
    <s v=""/>
    <x v="1"/>
    <s v=""/>
    <m/>
    <x v="15"/>
    <n v="0"/>
    <m/>
    <m/>
  </r>
  <r>
    <n v="33883"/>
    <s v=""/>
    <x v="1"/>
    <s v=""/>
    <m/>
    <x v="15"/>
    <n v="0"/>
    <m/>
    <m/>
  </r>
  <r>
    <n v="33884"/>
    <s v=""/>
    <x v="1"/>
    <s v=""/>
    <m/>
    <x v="15"/>
    <n v="0"/>
    <m/>
    <m/>
  </r>
  <r>
    <n v="33885"/>
    <s v=""/>
    <x v="1"/>
    <s v=""/>
    <m/>
    <x v="15"/>
    <n v="0"/>
    <m/>
    <m/>
  </r>
  <r>
    <n v="33886"/>
    <s v=""/>
    <x v="1"/>
    <s v=""/>
    <m/>
    <x v="15"/>
    <n v="0"/>
    <m/>
    <m/>
  </r>
  <r>
    <n v="33887"/>
    <s v=""/>
    <x v="1"/>
    <s v=""/>
    <m/>
    <x v="15"/>
    <n v="0"/>
    <m/>
    <m/>
  </r>
  <r>
    <n v="33888"/>
    <s v=""/>
    <x v="1"/>
    <s v=""/>
    <m/>
    <x v="15"/>
    <n v="0"/>
    <m/>
    <m/>
  </r>
  <r>
    <n v="33889"/>
    <s v=""/>
    <x v="1"/>
    <s v=""/>
    <m/>
    <x v="15"/>
    <n v="0"/>
    <m/>
    <m/>
  </r>
  <r>
    <n v="33890"/>
    <s v=""/>
    <x v="1"/>
    <s v=""/>
    <m/>
    <x v="15"/>
    <n v="0"/>
    <m/>
    <m/>
  </r>
  <r>
    <n v="33891"/>
    <s v=""/>
    <x v="1"/>
    <s v=""/>
    <m/>
    <x v="15"/>
    <n v="0"/>
    <m/>
    <m/>
  </r>
  <r>
    <n v="33892"/>
    <s v=""/>
    <x v="1"/>
    <s v=""/>
    <m/>
    <x v="15"/>
    <n v="0"/>
    <m/>
    <m/>
  </r>
  <r>
    <n v="33893"/>
    <s v=""/>
    <x v="1"/>
    <s v=""/>
    <m/>
    <x v="15"/>
    <n v="0"/>
    <m/>
    <m/>
  </r>
  <r>
    <n v="33894"/>
    <s v=""/>
    <x v="1"/>
    <s v=""/>
    <m/>
    <x v="15"/>
    <n v="0"/>
    <m/>
    <m/>
  </r>
  <r>
    <n v="33895"/>
    <s v=""/>
    <x v="1"/>
    <s v=""/>
    <m/>
    <x v="15"/>
    <n v="0"/>
    <m/>
    <m/>
  </r>
  <r>
    <n v="33896"/>
    <s v=""/>
    <x v="1"/>
    <s v=""/>
    <m/>
    <x v="15"/>
    <n v="0"/>
    <m/>
    <m/>
  </r>
  <r>
    <n v="33897"/>
    <s v=""/>
    <x v="1"/>
    <s v=""/>
    <m/>
    <x v="15"/>
    <n v="0"/>
    <m/>
    <m/>
  </r>
  <r>
    <n v="33898"/>
    <s v=""/>
    <x v="1"/>
    <s v=""/>
    <m/>
    <x v="15"/>
    <n v="0"/>
    <m/>
    <m/>
  </r>
  <r>
    <n v="33899"/>
    <s v=""/>
    <x v="1"/>
    <s v=""/>
    <m/>
    <x v="15"/>
    <n v="0"/>
    <m/>
    <m/>
  </r>
  <r>
    <n v="33900"/>
    <s v=""/>
    <x v="1"/>
    <s v=""/>
    <m/>
    <x v="15"/>
    <n v="0"/>
    <m/>
    <m/>
  </r>
  <r>
    <n v="33901"/>
    <s v=""/>
    <x v="1"/>
    <s v=""/>
    <m/>
    <x v="15"/>
    <n v="0"/>
    <m/>
    <m/>
  </r>
  <r>
    <n v="33902"/>
    <s v=""/>
    <x v="1"/>
    <s v=""/>
    <m/>
    <x v="15"/>
    <n v="0"/>
    <m/>
    <m/>
  </r>
  <r>
    <n v="33903"/>
    <s v=""/>
    <x v="1"/>
    <s v=""/>
    <m/>
    <x v="15"/>
    <n v="0"/>
    <m/>
    <m/>
  </r>
  <r>
    <n v="33904"/>
    <s v=""/>
    <x v="1"/>
    <s v=""/>
    <m/>
    <x v="15"/>
    <n v="0"/>
    <m/>
    <m/>
  </r>
  <r>
    <n v="33905"/>
    <s v=""/>
    <x v="1"/>
    <s v=""/>
    <m/>
    <x v="15"/>
    <n v="0"/>
    <m/>
    <m/>
  </r>
  <r>
    <n v="33906"/>
    <s v=""/>
    <x v="1"/>
    <s v=""/>
    <m/>
    <x v="15"/>
    <n v="0"/>
    <m/>
    <m/>
  </r>
  <r>
    <n v="33907"/>
    <s v=""/>
    <x v="1"/>
    <s v=""/>
    <m/>
    <x v="15"/>
    <n v="0"/>
    <m/>
    <m/>
  </r>
  <r>
    <n v="33908"/>
    <s v=""/>
    <x v="1"/>
    <s v=""/>
    <m/>
    <x v="15"/>
    <n v="0"/>
    <m/>
    <m/>
  </r>
  <r>
    <n v="33909"/>
    <s v=""/>
    <x v="1"/>
    <s v=""/>
    <m/>
    <x v="15"/>
    <n v="0"/>
    <m/>
    <m/>
  </r>
  <r>
    <n v="33910"/>
    <s v=""/>
    <x v="1"/>
    <s v=""/>
    <m/>
    <x v="15"/>
    <n v="0"/>
    <m/>
    <m/>
  </r>
  <r>
    <n v="33911"/>
    <s v=""/>
    <x v="1"/>
    <s v=""/>
    <m/>
    <x v="15"/>
    <n v="0"/>
    <m/>
    <m/>
  </r>
  <r>
    <n v="33912"/>
    <m/>
    <x v="2"/>
    <m/>
    <m/>
    <x v="15"/>
    <m/>
    <m/>
    <m/>
  </r>
  <r>
    <n v="33913"/>
    <m/>
    <x v="2"/>
    <m/>
    <m/>
    <x v="15"/>
    <m/>
    <m/>
    <m/>
  </r>
  <r>
    <n v="33914"/>
    <m/>
    <x v="2"/>
    <m/>
    <m/>
    <x v="15"/>
    <m/>
    <m/>
    <m/>
  </r>
  <r>
    <n v="33915"/>
    <m/>
    <x v="2"/>
    <m/>
    <m/>
    <x v="15"/>
    <m/>
    <m/>
    <m/>
  </r>
  <r>
    <n v="33916"/>
    <m/>
    <x v="2"/>
    <m/>
    <m/>
    <x v="15"/>
    <m/>
    <m/>
    <m/>
  </r>
  <r>
    <n v="33917"/>
    <m/>
    <x v="2"/>
    <m/>
    <m/>
    <x v="15"/>
    <m/>
    <m/>
    <m/>
  </r>
  <r>
    <n v="33918"/>
    <m/>
    <x v="2"/>
    <m/>
    <m/>
    <x v="15"/>
    <m/>
    <m/>
    <m/>
  </r>
  <r>
    <n v="33919"/>
    <m/>
    <x v="2"/>
    <m/>
    <m/>
    <x v="15"/>
    <m/>
    <m/>
    <m/>
  </r>
  <r>
    <n v="33920"/>
    <m/>
    <x v="2"/>
    <m/>
    <m/>
    <x v="15"/>
    <m/>
    <m/>
    <m/>
  </r>
  <r>
    <n v="33921"/>
    <m/>
    <x v="2"/>
    <m/>
    <m/>
    <x v="15"/>
    <m/>
    <m/>
    <m/>
  </r>
  <r>
    <n v="33922"/>
    <m/>
    <x v="2"/>
    <m/>
    <m/>
    <x v="15"/>
    <m/>
    <m/>
    <m/>
  </r>
  <r>
    <n v="33923"/>
    <m/>
    <x v="2"/>
    <m/>
    <m/>
    <x v="15"/>
    <m/>
    <m/>
    <m/>
  </r>
  <r>
    <n v="33924"/>
    <m/>
    <x v="2"/>
    <m/>
    <m/>
    <x v="15"/>
    <m/>
    <m/>
    <m/>
  </r>
  <r>
    <n v="33925"/>
    <m/>
    <x v="2"/>
    <m/>
    <m/>
    <x v="15"/>
    <m/>
    <m/>
    <m/>
  </r>
  <r>
    <n v="33926"/>
    <m/>
    <x v="2"/>
    <m/>
    <m/>
    <x v="15"/>
    <m/>
    <m/>
    <m/>
  </r>
  <r>
    <n v="33927"/>
    <m/>
    <x v="2"/>
    <m/>
    <m/>
    <x v="15"/>
    <m/>
    <m/>
    <m/>
  </r>
  <r>
    <n v="33928"/>
    <m/>
    <x v="2"/>
    <m/>
    <m/>
    <x v="15"/>
    <m/>
    <m/>
    <m/>
  </r>
  <r>
    <n v="33929"/>
    <m/>
    <x v="2"/>
    <m/>
    <m/>
    <x v="15"/>
    <m/>
    <m/>
    <m/>
  </r>
  <r>
    <n v="33930"/>
    <m/>
    <x v="2"/>
    <m/>
    <m/>
    <x v="15"/>
    <m/>
    <m/>
    <m/>
  </r>
  <r>
    <n v="33931"/>
    <m/>
    <x v="2"/>
    <m/>
    <m/>
    <x v="15"/>
    <m/>
    <m/>
    <m/>
  </r>
  <r>
    <n v="33932"/>
    <m/>
    <x v="2"/>
    <m/>
    <m/>
    <x v="15"/>
    <m/>
    <m/>
    <m/>
  </r>
  <r>
    <n v="33933"/>
    <m/>
    <x v="2"/>
    <m/>
    <m/>
    <x v="15"/>
    <m/>
    <m/>
    <m/>
  </r>
  <r>
    <n v="33934"/>
    <m/>
    <x v="2"/>
    <m/>
    <m/>
    <x v="15"/>
    <m/>
    <m/>
    <m/>
  </r>
  <r>
    <n v="33935"/>
    <m/>
    <x v="2"/>
    <m/>
    <m/>
    <x v="15"/>
    <m/>
    <m/>
    <m/>
  </r>
  <r>
    <n v="33936"/>
    <m/>
    <x v="2"/>
    <m/>
    <m/>
    <x v="15"/>
    <m/>
    <m/>
    <m/>
  </r>
  <r>
    <n v="33937"/>
    <m/>
    <x v="2"/>
    <m/>
    <m/>
    <x v="15"/>
    <m/>
    <m/>
    <m/>
  </r>
  <r>
    <n v="33938"/>
    <m/>
    <x v="2"/>
    <m/>
    <m/>
    <x v="15"/>
    <m/>
    <m/>
    <m/>
  </r>
  <r>
    <n v="33939"/>
    <m/>
    <x v="2"/>
    <m/>
    <m/>
    <x v="15"/>
    <m/>
    <m/>
    <m/>
  </r>
  <r>
    <n v="33940"/>
    <m/>
    <x v="2"/>
    <m/>
    <m/>
    <x v="15"/>
    <m/>
    <m/>
    <m/>
  </r>
  <r>
    <n v="33941"/>
    <m/>
    <x v="2"/>
    <m/>
    <m/>
    <x v="15"/>
    <m/>
    <m/>
    <m/>
  </r>
  <r>
    <n v="33942"/>
    <m/>
    <x v="2"/>
    <m/>
    <m/>
    <x v="15"/>
    <m/>
    <m/>
    <m/>
  </r>
  <r>
    <n v="33943"/>
    <m/>
    <x v="2"/>
    <m/>
    <m/>
    <x v="15"/>
    <m/>
    <m/>
    <m/>
  </r>
  <r>
    <n v="33944"/>
    <m/>
    <x v="2"/>
    <m/>
    <m/>
    <x v="15"/>
    <m/>
    <m/>
    <m/>
  </r>
  <r>
    <n v="33945"/>
    <m/>
    <x v="2"/>
    <m/>
    <m/>
    <x v="15"/>
    <m/>
    <m/>
    <m/>
  </r>
  <r>
    <n v="33946"/>
    <m/>
    <x v="2"/>
    <m/>
    <m/>
    <x v="15"/>
    <m/>
    <m/>
    <m/>
  </r>
  <r>
    <n v="33947"/>
    <m/>
    <x v="2"/>
    <m/>
    <m/>
    <x v="15"/>
    <m/>
    <m/>
    <m/>
  </r>
  <r>
    <n v="33948"/>
    <m/>
    <x v="2"/>
    <m/>
    <m/>
    <x v="15"/>
    <m/>
    <m/>
    <m/>
  </r>
  <r>
    <n v="33949"/>
    <m/>
    <x v="2"/>
    <m/>
    <m/>
    <x v="15"/>
    <m/>
    <m/>
    <m/>
  </r>
  <r>
    <n v="33950"/>
    <m/>
    <x v="2"/>
    <m/>
    <m/>
    <x v="15"/>
    <m/>
    <m/>
    <m/>
  </r>
  <r>
    <n v="33951"/>
    <m/>
    <x v="2"/>
    <m/>
    <m/>
    <x v="15"/>
    <m/>
    <m/>
    <m/>
  </r>
  <r>
    <n v="33952"/>
    <m/>
    <x v="2"/>
    <m/>
    <m/>
    <x v="15"/>
    <m/>
    <m/>
    <m/>
  </r>
  <r>
    <n v="33953"/>
    <m/>
    <x v="2"/>
    <m/>
    <m/>
    <x v="15"/>
    <m/>
    <m/>
    <m/>
  </r>
  <r>
    <n v="33954"/>
    <m/>
    <x v="2"/>
    <m/>
    <m/>
    <x v="15"/>
    <m/>
    <m/>
    <m/>
  </r>
  <r>
    <n v="33955"/>
    <m/>
    <x v="2"/>
    <m/>
    <m/>
    <x v="15"/>
    <m/>
    <m/>
    <m/>
  </r>
  <r>
    <n v="33956"/>
    <m/>
    <x v="2"/>
    <m/>
    <m/>
    <x v="15"/>
    <m/>
    <m/>
    <m/>
  </r>
  <r>
    <n v="33957"/>
    <m/>
    <x v="2"/>
    <m/>
    <m/>
    <x v="15"/>
    <m/>
    <m/>
    <m/>
  </r>
  <r>
    <n v="33958"/>
    <m/>
    <x v="2"/>
    <m/>
    <m/>
    <x v="15"/>
    <m/>
    <m/>
    <m/>
  </r>
  <r>
    <n v="33959"/>
    <m/>
    <x v="2"/>
    <m/>
    <m/>
    <x v="15"/>
    <m/>
    <m/>
    <m/>
  </r>
  <r>
    <n v="33960"/>
    <m/>
    <x v="2"/>
    <m/>
    <m/>
    <x v="15"/>
    <m/>
    <m/>
    <m/>
  </r>
  <r>
    <n v="33961"/>
    <m/>
    <x v="2"/>
    <m/>
    <m/>
    <x v="15"/>
    <m/>
    <m/>
    <m/>
  </r>
  <r>
    <n v="33962"/>
    <m/>
    <x v="2"/>
    <m/>
    <m/>
    <x v="15"/>
    <m/>
    <m/>
    <m/>
  </r>
  <r>
    <n v="33963"/>
    <m/>
    <x v="2"/>
    <m/>
    <m/>
    <x v="15"/>
    <m/>
    <m/>
    <m/>
  </r>
  <r>
    <n v="33964"/>
    <m/>
    <x v="2"/>
    <m/>
    <m/>
    <x v="15"/>
    <m/>
    <m/>
    <m/>
  </r>
  <r>
    <n v="33965"/>
    <m/>
    <x v="2"/>
    <m/>
    <m/>
    <x v="15"/>
    <m/>
    <m/>
    <m/>
  </r>
  <r>
    <n v="33966"/>
    <m/>
    <x v="2"/>
    <m/>
    <m/>
    <x v="15"/>
    <m/>
    <m/>
    <m/>
  </r>
  <r>
    <n v="33967"/>
    <m/>
    <x v="2"/>
    <m/>
    <m/>
    <x v="15"/>
    <m/>
    <m/>
    <m/>
  </r>
  <r>
    <n v="33968"/>
    <m/>
    <x v="2"/>
    <m/>
    <m/>
    <x v="15"/>
    <m/>
    <m/>
    <m/>
  </r>
  <r>
    <n v="33969"/>
    <m/>
    <x v="2"/>
    <m/>
    <m/>
    <x v="15"/>
    <m/>
    <m/>
    <m/>
  </r>
  <r>
    <n v="33970"/>
    <m/>
    <x v="2"/>
    <m/>
    <m/>
    <x v="15"/>
    <m/>
    <m/>
    <m/>
  </r>
  <r>
    <n v="33971"/>
    <m/>
    <x v="2"/>
    <m/>
    <m/>
    <x v="15"/>
    <m/>
    <m/>
    <m/>
  </r>
  <r>
    <n v="33972"/>
    <m/>
    <x v="2"/>
    <m/>
    <m/>
    <x v="15"/>
    <m/>
    <m/>
    <m/>
  </r>
  <r>
    <n v="33973"/>
    <m/>
    <x v="2"/>
    <m/>
    <m/>
    <x v="15"/>
    <m/>
    <m/>
    <m/>
  </r>
  <r>
    <n v="33974"/>
    <m/>
    <x v="2"/>
    <m/>
    <m/>
    <x v="15"/>
    <m/>
    <m/>
    <m/>
  </r>
  <r>
    <n v="33975"/>
    <m/>
    <x v="2"/>
    <m/>
    <m/>
    <x v="15"/>
    <m/>
    <m/>
    <m/>
  </r>
  <r>
    <n v="33976"/>
    <m/>
    <x v="2"/>
    <m/>
    <m/>
    <x v="15"/>
    <m/>
    <m/>
    <m/>
  </r>
  <r>
    <n v="33977"/>
    <m/>
    <x v="2"/>
    <m/>
    <m/>
    <x v="15"/>
    <m/>
    <m/>
    <m/>
  </r>
  <r>
    <n v="33978"/>
    <m/>
    <x v="2"/>
    <m/>
    <m/>
    <x v="15"/>
    <m/>
    <m/>
    <m/>
  </r>
  <r>
    <n v="33979"/>
    <m/>
    <x v="2"/>
    <m/>
    <m/>
    <x v="15"/>
    <m/>
    <m/>
    <m/>
  </r>
  <r>
    <n v="33980"/>
    <m/>
    <x v="2"/>
    <m/>
    <m/>
    <x v="15"/>
    <m/>
    <m/>
    <m/>
  </r>
  <r>
    <n v="33981"/>
    <m/>
    <x v="2"/>
    <m/>
    <m/>
    <x v="15"/>
    <m/>
    <m/>
    <m/>
  </r>
  <r>
    <n v="33982"/>
    <m/>
    <x v="2"/>
    <m/>
    <m/>
    <x v="15"/>
    <m/>
    <m/>
    <m/>
  </r>
  <r>
    <n v="33983"/>
    <m/>
    <x v="2"/>
    <m/>
    <m/>
    <x v="15"/>
    <m/>
    <m/>
    <m/>
  </r>
  <r>
    <n v="33984"/>
    <m/>
    <x v="2"/>
    <m/>
    <m/>
    <x v="15"/>
    <m/>
    <m/>
    <m/>
  </r>
  <r>
    <n v="33985"/>
    <m/>
    <x v="2"/>
    <m/>
    <m/>
    <x v="15"/>
    <m/>
    <m/>
    <m/>
  </r>
  <r>
    <n v="33986"/>
    <m/>
    <x v="2"/>
    <m/>
    <m/>
    <x v="15"/>
    <m/>
    <m/>
    <m/>
  </r>
  <r>
    <n v="33987"/>
    <m/>
    <x v="2"/>
    <m/>
    <m/>
    <x v="15"/>
    <m/>
    <m/>
    <m/>
  </r>
  <r>
    <n v="33988"/>
    <m/>
    <x v="2"/>
    <m/>
    <m/>
    <x v="15"/>
    <m/>
    <m/>
    <m/>
  </r>
  <r>
    <n v="33989"/>
    <m/>
    <x v="2"/>
    <m/>
    <m/>
    <x v="15"/>
    <m/>
    <m/>
    <m/>
  </r>
  <r>
    <n v="33990"/>
    <m/>
    <x v="2"/>
    <m/>
    <m/>
    <x v="15"/>
    <m/>
    <m/>
    <m/>
  </r>
  <r>
    <n v="33991"/>
    <m/>
    <x v="2"/>
    <m/>
    <m/>
    <x v="15"/>
    <m/>
    <m/>
    <m/>
  </r>
  <r>
    <n v="33992"/>
    <m/>
    <x v="2"/>
    <m/>
    <m/>
    <x v="15"/>
    <m/>
    <m/>
    <m/>
  </r>
  <r>
    <n v="33993"/>
    <m/>
    <x v="2"/>
    <m/>
    <m/>
    <x v="15"/>
    <m/>
    <m/>
    <m/>
  </r>
  <r>
    <n v="33994"/>
    <m/>
    <x v="2"/>
    <m/>
    <m/>
    <x v="15"/>
    <m/>
    <m/>
    <m/>
  </r>
  <r>
    <n v="33995"/>
    <m/>
    <x v="2"/>
    <m/>
    <m/>
    <x v="15"/>
    <m/>
    <m/>
    <m/>
  </r>
  <r>
    <n v="33996"/>
    <m/>
    <x v="2"/>
    <m/>
    <m/>
    <x v="15"/>
    <m/>
    <m/>
    <m/>
  </r>
  <r>
    <n v="33997"/>
    <m/>
    <x v="2"/>
    <m/>
    <m/>
    <x v="15"/>
    <m/>
    <m/>
    <m/>
  </r>
  <r>
    <n v="33998"/>
    <m/>
    <x v="2"/>
    <m/>
    <m/>
    <x v="15"/>
    <m/>
    <m/>
    <m/>
  </r>
  <r>
    <n v="33999"/>
    <m/>
    <x v="2"/>
    <m/>
    <m/>
    <x v="15"/>
    <m/>
    <m/>
    <m/>
  </r>
  <r>
    <n v="34000"/>
    <m/>
    <x v="2"/>
    <m/>
    <m/>
    <x v="15"/>
    <m/>
    <m/>
    <m/>
  </r>
  <r>
    <n v="34001"/>
    <m/>
    <x v="2"/>
    <m/>
    <m/>
    <x v="15"/>
    <m/>
    <m/>
    <m/>
  </r>
  <r>
    <n v="34002"/>
    <m/>
    <x v="2"/>
    <m/>
    <m/>
    <x v="15"/>
    <m/>
    <m/>
    <m/>
  </r>
  <r>
    <n v="34003"/>
    <m/>
    <x v="2"/>
    <m/>
    <m/>
    <x v="15"/>
    <m/>
    <m/>
    <m/>
  </r>
  <r>
    <n v="34004"/>
    <m/>
    <x v="2"/>
    <m/>
    <m/>
    <x v="15"/>
    <m/>
    <m/>
    <m/>
  </r>
  <r>
    <n v="34005"/>
    <m/>
    <x v="2"/>
    <m/>
    <m/>
    <x v="15"/>
    <m/>
    <m/>
    <m/>
  </r>
  <r>
    <n v="34006"/>
    <m/>
    <x v="2"/>
    <m/>
    <m/>
    <x v="15"/>
    <m/>
    <m/>
    <m/>
  </r>
  <r>
    <n v="34007"/>
    <m/>
    <x v="2"/>
    <m/>
    <m/>
    <x v="15"/>
    <m/>
    <m/>
    <m/>
  </r>
  <r>
    <n v="34008"/>
    <m/>
    <x v="2"/>
    <m/>
    <m/>
    <x v="15"/>
    <m/>
    <m/>
    <m/>
  </r>
  <r>
    <n v="34009"/>
    <m/>
    <x v="2"/>
    <m/>
    <m/>
    <x v="15"/>
    <m/>
    <m/>
    <m/>
  </r>
  <r>
    <n v="34010"/>
    <m/>
    <x v="2"/>
    <m/>
    <m/>
    <x v="15"/>
    <m/>
    <m/>
    <m/>
  </r>
  <r>
    <n v="34011"/>
    <m/>
    <x v="2"/>
    <m/>
    <m/>
    <x v="15"/>
    <m/>
    <m/>
    <m/>
  </r>
  <r>
    <n v="34012"/>
    <m/>
    <x v="2"/>
    <m/>
    <m/>
    <x v="15"/>
    <m/>
    <m/>
    <m/>
  </r>
  <r>
    <n v="34013"/>
    <m/>
    <x v="2"/>
    <m/>
    <m/>
    <x v="15"/>
    <m/>
    <m/>
    <m/>
  </r>
  <r>
    <n v="34014"/>
    <m/>
    <x v="2"/>
    <m/>
    <m/>
    <x v="15"/>
    <m/>
    <m/>
    <m/>
  </r>
  <r>
    <n v="34015"/>
    <m/>
    <x v="2"/>
    <m/>
    <m/>
    <x v="15"/>
    <m/>
    <m/>
    <m/>
  </r>
  <r>
    <n v="34016"/>
    <m/>
    <x v="2"/>
    <m/>
    <m/>
    <x v="15"/>
    <m/>
    <m/>
    <m/>
  </r>
  <r>
    <n v="34017"/>
    <m/>
    <x v="2"/>
    <m/>
    <m/>
    <x v="15"/>
    <m/>
    <m/>
    <m/>
  </r>
  <r>
    <n v="34018"/>
    <m/>
    <x v="2"/>
    <m/>
    <m/>
    <x v="15"/>
    <m/>
    <m/>
    <m/>
  </r>
  <r>
    <n v="34019"/>
    <m/>
    <x v="2"/>
    <m/>
    <m/>
    <x v="15"/>
    <m/>
    <m/>
    <m/>
  </r>
  <r>
    <n v="34020"/>
    <m/>
    <x v="2"/>
    <m/>
    <m/>
    <x v="15"/>
    <m/>
    <m/>
    <m/>
  </r>
  <r>
    <n v="34021"/>
    <m/>
    <x v="2"/>
    <m/>
    <m/>
    <x v="15"/>
    <m/>
    <m/>
    <m/>
  </r>
  <r>
    <n v="34022"/>
    <m/>
    <x v="2"/>
    <m/>
    <m/>
    <x v="15"/>
    <m/>
    <m/>
    <m/>
  </r>
  <r>
    <n v="34023"/>
    <m/>
    <x v="2"/>
    <m/>
    <m/>
    <x v="15"/>
    <m/>
    <m/>
    <m/>
  </r>
  <r>
    <n v="34024"/>
    <m/>
    <x v="2"/>
    <m/>
    <m/>
    <x v="15"/>
    <m/>
    <m/>
    <m/>
  </r>
  <r>
    <n v="34025"/>
    <m/>
    <x v="2"/>
    <m/>
    <m/>
    <x v="15"/>
    <m/>
    <m/>
    <m/>
  </r>
  <r>
    <n v="34026"/>
    <m/>
    <x v="2"/>
    <m/>
    <m/>
    <x v="15"/>
    <m/>
    <m/>
    <m/>
  </r>
  <r>
    <n v="34027"/>
    <m/>
    <x v="2"/>
    <m/>
    <m/>
    <x v="15"/>
    <m/>
    <m/>
    <m/>
  </r>
  <r>
    <n v="34028"/>
    <m/>
    <x v="2"/>
    <m/>
    <m/>
    <x v="15"/>
    <m/>
    <m/>
    <m/>
  </r>
  <r>
    <n v="34029"/>
    <m/>
    <x v="2"/>
    <m/>
    <m/>
    <x v="15"/>
    <m/>
    <m/>
    <m/>
  </r>
  <r>
    <n v="34030"/>
    <m/>
    <x v="2"/>
    <m/>
    <m/>
    <x v="15"/>
    <m/>
    <m/>
    <m/>
  </r>
  <r>
    <n v="34031"/>
    <m/>
    <x v="2"/>
    <m/>
    <m/>
    <x v="15"/>
    <m/>
    <m/>
    <m/>
  </r>
  <r>
    <n v="34032"/>
    <m/>
    <x v="2"/>
    <m/>
    <m/>
    <x v="15"/>
    <m/>
    <m/>
    <m/>
  </r>
  <r>
    <n v="34033"/>
    <m/>
    <x v="2"/>
    <m/>
    <m/>
    <x v="15"/>
    <m/>
    <m/>
    <m/>
  </r>
  <r>
    <n v="34034"/>
    <m/>
    <x v="2"/>
    <m/>
    <m/>
    <x v="15"/>
    <m/>
    <m/>
    <m/>
  </r>
  <r>
    <n v="34035"/>
    <m/>
    <x v="2"/>
    <m/>
    <m/>
    <x v="15"/>
    <m/>
    <m/>
    <m/>
  </r>
  <r>
    <n v="34036"/>
    <m/>
    <x v="2"/>
    <m/>
    <m/>
    <x v="15"/>
    <m/>
    <m/>
    <m/>
  </r>
  <r>
    <n v="34037"/>
    <m/>
    <x v="2"/>
    <m/>
    <m/>
    <x v="15"/>
    <m/>
    <m/>
    <m/>
  </r>
  <r>
    <n v="34038"/>
    <m/>
    <x v="2"/>
    <m/>
    <m/>
    <x v="15"/>
    <m/>
    <m/>
    <m/>
  </r>
  <r>
    <n v="34039"/>
    <m/>
    <x v="2"/>
    <m/>
    <m/>
    <x v="15"/>
    <m/>
    <m/>
    <m/>
  </r>
  <r>
    <n v="34040"/>
    <m/>
    <x v="2"/>
    <m/>
    <m/>
    <x v="15"/>
    <m/>
    <m/>
    <m/>
  </r>
  <r>
    <n v="34041"/>
    <m/>
    <x v="2"/>
    <m/>
    <m/>
    <x v="15"/>
    <m/>
    <m/>
    <m/>
  </r>
  <r>
    <n v="34042"/>
    <m/>
    <x v="2"/>
    <m/>
    <m/>
    <x v="15"/>
    <m/>
    <m/>
    <m/>
  </r>
  <r>
    <n v="34043"/>
    <m/>
    <x v="2"/>
    <m/>
    <m/>
    <x v="15"/>
    <m/>
    <m/>
    <m/>
  </r>
  <r>
    <n v="34044"/>
    <m/>
    <x v="2"/>
    <m/>
    <m/>
    <x v="15"/>
    <m/>
    <m/>
    <m/>
  </r>
  <r>
    <n v="34045"/>
    <m/>
    <x v="2"/>
    <m/>
    <m/>
    <x v="15"/>
    <m/>
    <m/>
    <m/>
  </r>
  <r>
    <n v="34046"/>
    <m/>
    <x v="2"/>
    <m/>
    <m/>
    <x v="15"/>
    <m/>
    <m/>
    <m/>
  </r>
  <r>
    <n v="34047"/>
    <m/>
    <x v="2"/>
    <m/>
    <m/>
    <x v="15"/>
    <m/>
    <m/>
    <m/>
  </r>
  <r>
    <n v="34048"/>
    <m/>
    <x v="2"/>
    <m/>
    <m/>
    <x v="15"/>
    <m/>
    <m/>
    <m/>
  </r>
  <r>
    <n v="34049"/>
    <m/>
    <x v="2"/>
    <m/>
    <m/>
    <x v="15"/>
    <m/>
    <m/>
    <m/>
  </r>
  <r>
    <n v="34050"/>
    <m/>
    <x v="2"/>
    <m/>
    <m/>
    <x v="15"/>
    <m/>
    <m/>
    <m/>
  </r>
  <r>
    <n v="34051"/>
    <m/>
    <x v="2"/>
    <m/>
    <m/>
    <x v="15"/>
    <m/>
    <m/>
    <m/>
  </r>
  <r>
    <n v="34052"/>
    <m/>
    <x v="2"/>
    <m/>
    <m/>
    <x v="15"/>
    <m/>
    <m/>
    <m/>
  </r>
  <r>
    <n v="34053"/>
    <m/>
    <x v="2"/>
    <m/>
    <m/>
    <x v="15"/>
    <m/>
    <m/>
    <m/>
  </r>
  <r>
    <n v="34054"/>
    <m/>
    <x v="2"/>
    <m/>
    <m/>
    <x v="15"/>
    <m/>
    <m/>
    <m/>
  </r>
  <r>
    <n v="34055"/>
    <m/>
    <x v="2"/>
    <m/>
    <m/>
    <x v="15"/>
    <m/>
    <m/>
    <m/>
  </r>
  <r>
    <n v="34056"/>
    <m/>
    <x v="2"/>
    <m/>
    <m/>
    <x v="15"/>
    <m/>
    <m/>
    <m/>
  </r>
  <r>
    <n v="34057"/>
    <m/>
    <x v="2"/>
    <m/>
    <m/>
    <x v="15"/>
    <m/>
    <m/>
    <m/>
  </r>
  <r>
    <n v="34058"/>
    <m/>
    <x v="2"/>
    <m/>
    <m/>
    <x v="15"/>
    <m/>
    <m/>
    <m/>
  </r>
  <r>
    <n v="34059"/>
    <m/>
    <x v="2"/>
    <m/>
    <m/>
    <x v="15"/>
    <m/>
    <m/>
    <m/>
  </r>
  <r>
    <n v="34060"/>
    <m/>
    <x v="2"/>
    <m/>
    <m/>
    <x v="15"/>
    <m/>
    <m/>
    <m/>
  </r>
  <r>
    <n v="34061"/>
    <m/>
    <x v="2"/>
    <m/>
    <m/>
    <x v="15"/>
    <m/>
    <m/>
    <m/>
  </r>
  <r>
    <n v="34062"/>
    <m/>
    <x v="2"/>
    <m/>
    <m/>
    <x v="15"/>
    <m/>
    <m/>
    <m/>
  </r>
  <r>
    <n v="34063"/>
    <m/>
    <x v="2"/>
    <m/>
    <m/>
    <x v="15"/>
    <m/>
    <m/>
    <m/>
  </r>
  <r>
    <n v="34064"/>
    <m/>
    <x v="2"/>
    <m/>
    <m/>
    <x v="15"/>
    <m/>
    <m/>
    <m/>
  </r>
  <r>
    <n v="34065"/>
    <m/>
    <x v="2"/>
    <m/>
    <m/>
    <x v="15"/>
    <m/>
    <m/>
    <m/>
  </r>
  <r>
    <n v="34066"/>
    <m/>
    <x v="2"/>
    <m/>
    <m/>
    <x v="15"/>
    <m/>
    <m/>
    <m/>
  </r>
  <r>
    <n v="34067"/>
    <m/>
    <x v="2"/>
    <m/>
    <m/>
    <x v="15"/>
    <m/>
    <m/>
    <m/>
  </r>
  <r>
    <n v="34068"/>
    <m/>
    <x v="2"/>
    <m/>
    <m/>
    <x v="15"/>
    <m/>
    <m/>
    <m/>
  </r>
  <r>
    <n v="34069"/>
    <m/>
    <x v="2"/>
    <m/>
    <m/>
    <x v="15"/>
    <m/>
    <m/>
    <m/>
  </r>
  <r>
    <n v="34070"/>
    <m/>
    <x v="2"/>
    <m/>
    <m/>
    <x v="15"/>
    <m/>
    <m/>
    <m/>
  </r>
  <r>
    <n v="34071"/>
    <m/>
    <x v="2"/>
    <m/>
    <m/>
    <x v="15"/>
    <m/>
    <m/>
    <m/>
  </r>
  <r>
    <n v="34072"/>
    <m/>
    <x v="2"/>
    <m/>
    <m/>
    <x v="15"/>
    <m/>
    <m/>
    <m/>
  </r>
  <r>
    <n v="34073"/>
    <m/>
    <x v="2"/>
    <m/>
    <m/>
    <x v="15"/>
    <m/>
    <m/>
    <m/>
  </r>
  <r>
    <n v="34074"/>
    <m/>
    <x v="2"/>
    <m/>
    <m/>
    <x v="15"/>
    <m/>
    <m/>
    <m/>
  </r>
  <r>
    <n v="34075"/>
    <m/>
    <x v="2"/>
    <m/>
    <m/>
    <x v="15"/>
    <m/>
    <m/>
    <m/>
  </r>
  <r>
    <n v="34076"/>
    <m/>
    <x v="2"/>
    <m/>
    <m/>
    <x v="15"/>
    <m/>
    <m/>
    <m/>
  </r>
  <r>
    <n v="34077"/>
    <m/>
    <x v="2"/>
    <m/>
    <m/>
    <x v="15"/>
    <m/>
    <m/>
    <m/>
  </r>
  <r>
    <n v="34078"/>
    <m/>
    <x v="2"/>
    <m/>
    <m/>
    <x v="15"/>
    <m/>
    <m/>
    <m/>
  </r>
  <r>
    <n v="34079"/>
    <m/>
    <x v="2"/>
    <m/>
    <m/>
    <x v="15"/>
    <m/>
    <m/>
    <m/>
  </r>
  <r>
    <n v="34080"/>
    <m/>
    <x v="2"/>
    <m/>
    <m/>
    <x v="15"/>
    <m/>
    <m/>
    <m/>
  </r>
  <r>
    <n v="34081"/>
    <m/>
    <x v="2"/>
    <m/>
    <m/>
    <x v="15"/>
    <m/>
    <m/>
    <m/>
  </r>
  <r>
    <n v="34082"/>
    <m/>
    <x v="2"/>
    <m/>
    <m/>
    <x v="15"/>
    <m/>
    <m/>
    <m/>
  </r>
  <r>
    <n v="34083"/>
    <m/>
    <x v="2"/>
    <m/>
    <m/>
    <x v="15"/>
    <m/>
    <m/>
    <m/>
  </r>
  <r>
    <n v="34084"/>
    <m/>
    <x v="2"/>
    <m/>
    <m/>
    <x v="15"/>
    <m/>
    <m/>
    <m/>
  </r>
  <r>
    <n v="34085"/>
    <m/>
    <x v="2"/>
    <m/>
    <m/>
    <x v="15"/>
    <m/>
    <m/>
    <m/>
  </r>
  <r>
    <n v="34086"/>
    <m/>
    <x v="2"/>
    <m/>
    <m/>
    <x v="15"/>
    <m/>
    <m/>
    <m/>
  </r>
  <r>
    <n v="34087"/>
    <m/>
    <x v="2"/>
    <m/>
    <m/>
    <x v="15"/>
    <m/>
    <m/>
    <m/>
  </r>
  <r>
    <n v="34088"/>
    <m/>
    <x v="2"/>
    <m/>
    <m/>
    <x v="15"/>
    <m/>
    <m/>
    <m/>
  </r>
  <r>
    <n v="34089"/>
    <m/>
    <x v="2"/>
    <m/>
    <m/>
    <x v="15"/>
    <m/>
    <m/>
    <m/>
  </r>
  <r>
    <n v="34090"/>
    <m/>
    <x v="2"/>
    <m/>
    <m/>
    <x v="15"/>
    <m/>
    <m/>
    <m/>
  </r>
  <r>
    <n v="34091"/>
    <m/>
    <x v="2"/>
    <m/>
    <m/>
    <x v="15"/>
    <m/>
    <m/>
    <m/>
  </r>
  <r>
    <n v="34092"/>
    <m/>
    <x v="2"/>
    <m/>
    <m/>
    <x v="15"/>
    <m/>
    <m/>
    <m/>
  </r>
  <r>
    <n v="34093"/>
    <m/>
    <x v="2"/>
    <m/>
    <m/>
    <x v="15"/>
    <m/>
    <m/>
    <m/>
  </r>
  <r>
    <n v="34094"/>
    <m/>
    <x v="2"/>
    <m/>
    <m/>
    <x v="15"/>
    <m/>
    <m/>
    <m/>
  </r>
  <r>
    <n v="34095"/>
    <m/>
    <x v="2"/>
    <m/>
    <m/>
    <x v="15"/>
    <m/>
    <m/>
    <m/>
  </r>
  <r>
    <n v="34096"/>
    <m/>
    <x v="2"/>
    <m/>
    <m/>
    <x v="15"/>
    <m/>
    <m/>
    <m/>
  </r>
  <r>
    <n v="34097"/>
    <m/>
    <x v="2"/>
    <m/>
    <m/>
    <x v="15"/>
    <m/>
    <m/>
    <m/>
  </r>
  <r>
    <n v="34098"/>
    <m/>
    <x v="2"/>
    <m/>
    <m/>
    <x v="15"/>
    <m/>
    <m/>
    <m/>
  </r>
  <r>
    <n v="34099"/>
    <m/>
    <x v="2"/>
    <m/>
    <m/>
    <x v="15"/>
    <m/>
    <m/>
    <m/>
  </r>
  <r>
    <n v="34100"/>
    <m/>
    <x v="2"/>
    <m/>
    <m/>
    <x v="15"/>
    <m/>
    <m/>
    <m/>
  </r>
  <r>
    <n v="34101"/>
    <m/>
    <x v="2"/>
    <m/>
    <m/>
    <x v="15"/>
    <m/>
    <m/>
    <m/>
  </r>
  <r>
    <n v="34102"/>
    <m/>
    <x v="2"/>
    <m/>
    <m/>
    <x v="15"/>
    <m/>
    <m/>
    <m/>
  </r>
  <r>
    <n v="34103"/>
    <m/>
    <x v="2"/>
    <m/>
    <m/>
    <x v="15"/>
    <m/>
    <m/>
    <m/>
  </r>
  <r>
    <n v="34104"/>
    <m/>
    <x v="2"/>
    <m/>
    <m/>
    <x v="15"/>
    <m/>
    <m/>
    <m/>
  </r>
  <r>
    <n v="34105"/>
    <m/>
    <x v="2"/>
    <m/>
    <m/>
    <x v="15"/>
    <m/>
    <m/>
    <m/>
  </r>
  <r>
    <n v="34106"/>
    <m/>
    <x v="2"/>
    <m/>
    <m/>
    <x v="15"/>
    <m/>
    <m/>
    <m/>
  </r>
  <r>
    <n v="34107"/>
    <m/>
    <x v="2"/>
    <m/>
    <m/>
    <x v="15"/>
    <m/>
    <m/>
    <m/>
  </r>
  <r>
    <n v="34108"/>
    <m/>
    <x v="2"/>
    <m/>
    <m/>
    <x v="15"/>
    <m/>
    <m/>
    <m/>
  </r>
  <r>
    <n v="34109"/>
    <m/>
    <x v="2"/>
    <m/>
    <m/>
    <x v="15"/>
    <m/>
    <m/>
    <m/>
  </r>
  <r>
    <n v="34110"/>
    <m/>
    <x v="2"/>
    <m/>
    <m/>
    <x v="15"/>
    <m/>
    <m/>
    <m/>
  </r>
  <r>
    <n v="34111"/>
    <m/>
    <x v="2"/>
    <m/>
    <m/>
    <x v="15"/>
    <m/>
    <m/>
    <m/>
  </r>
  <r>
    <n v="34112"/>
    <m/>
    <x v="2"/>
    <m/>
    <m/>
    <x v="15"/>
    <m/>
    <m/>
    <m/>
  </r>
  <r>
    <n v="34113"/>
    <m/>
    <x v="2"/>
    <m/>
    <m/>
    <x v="15"/>
    <m/>
    <m/>
    <m/>
  </r>
  <r>
    <n v="34114"/>
    <m/>
    <x v="2"/>
    <m/>
    <m/>
    <x v="15"/>
    <m/>
    <m/>
    <m/>
  </r>
  <r>
    <n v="34115"/>
    <m/>
    <x v="2"/>
    <m/>
    <m/>
    <x v="15"/>
    <m/>
    <m/>
    <m/>
  </r>
  <r>
    <n v="34116"/>
    <m/>
    <x v="2"/>
    <m/>
    <m/>
    <x v="15"/>
    <m/>
    <m/>
    <m/>
  </r>
  <r>
    <n v="34117"/>
    <m/>
    <x v="2"/>
    <m/>
    <m/>
    <x v="15"/>
    <m/>
    <m/>
    <m/>
  </r>
  <r>
    <n v="34118"/>
    <m/>
    <x v="2"/>
    <m/>
    <m/>
    <x v="15"/>
    <m/>
    <m/>
    <m/>
  </r>
  <r>
    <n v="34119"/>
    <m/>
    <x v="2"/>
    <m/>
    <m/>
    <x v="15"/>
    <m/>
    <m/>
    <m/>
  </r>
  <r>
    <n v="34120"/>
    <m/>
    <x v="2"/>
    <m/>
    <m/>
    <x v="15"/>
    <m/>
    <m/>
    <m/>
  </r>
  <r>
    <n v="34121"/>
    <m/>
    <x v="2"/>
    <m/>
    <m/>
    <x v="15"/>
    <m/>
    <m/>
    <m/>
  </r>
  <r>
    <n v="34122"/>
    <m/>
    <x v="2"/>
    <m/>
    <m/>
    <x v="15"/>
    <m/>
    <m/>
    <m/>
  </r>
  <r>
    <n v="34123"/>
    <m/>
    <x v="2"/>
    <m/>
    <m/>
    <x v="15"/>
    <m/>
    <m/>
    <m/>
  </r>
  <r>
    <n v="34124"/>
    <m/>
    <x v="2"/>
    <m/>
    <m/>
    <x v="15"/>
    <m/>
    <m/>
    <m/>
  </r>
  <r>
    <n v="34125"/>
    <m/>
    <x v="2"/>
    <m/>
    <m/>
    <x v="15"/>
    <m/>
    <m/>
    <m/>
  </r>
  <r>
    <n v="34126"/>
    <m/>
    <x v="2"/>
    <m/>
    <m/>
    <x v="15"/>
    <m/>
    <m/>
    <m/>
  </r>
  <r>
    <n v="34127"/>
    <m/>
    <x v="2"/>
    <m/>
    <m/>
    <x v="15"/>
    <m/>
    <m/>
    <m/>
  </r>
  <r>
    <n v="34128"/>
    <m/>
    <x v="2"/>
    <m/>
    <m/>
    <x v="15"/>
    <m/>
    <m/>
    <m/>
  </r>
  <r>
    <n v="34129"/>
    <m/>
    <x v="2"/>
    <m/>
    <m/>
    <x v="15"/>
    <m/>
    <m/>
    <m/>
  </r>
  <r>
    <n v="34130"/>
    <m/>
    <x v="2"/>
    <m/>
    <m/>
    <x v="15"/>
    <m/>
    <m/>
    <m/>
  </r>
  <r>
    <n v="34131"/>
    <m/>
    <x v="2"/>
    <m/>
    <m/>
    <x v="15"/>
    <m/>
    <m/>
    <m/>
  </r>
  <r>
    <n v="34132"/>
    <m/>
    <x v="2"/>
    <m/>
    <m/>
    <x v="15"/>
    <m/>
    <m/>
    <m/>
  </r>
  <r>
    <n v="34133"/>
    <m/>
    <x v="2"/>
    <m/>
    <m/>
    <x v="15"/>
    <m/>
    <m/>
    <m/>
  </r>
  <r>
    <n v="34134"/>
    <m/>
    <x v="2"/>
    <m/>
    <m/>
    <x v="15"/>
    <m/>
    <m/>
    <m/>
  </r>
  <r>
    <n v="34135"/>
    <m/>
    <x v="2"/>
    <m/>
    <m/>
    <x v="15"/>
    <m/>
    <m/>
    <m/>
  </r>
  <r>
    <n v="34136"/>
    <m/>
    <x v="2"/>
    <m/>
    <m/>
    <x v="15"/>
    <m/>
    <m/>
    <m/>
  </r>
  <r>
    <n v="34137"/>
    <m/>
    <x v="2"/>
    <m/>
    <m/>
    <x v="15"/>
    <m/>
    <m/>
    <m/>
  </r>
  <r>
    <n v="34138"/>
    <m/>
    <x v="2"/>
    <m/>
    <m/>
    <x v="15"/>
    <m/>
    <m/>
    <m/>
  </r>
  <r>
    <n v="34139"/>
    <m/>
    <x v="2"/>
    <m/>
    <m/>
    <x v="15"/>
    <m/>
    <m/>
    <m/>
  </r>
  <r>
    <n v="34140"/>
    <m/>
    <x v="2"/>
    <m/>
    <m/>
    <x v="15"/>
    <m/>
    <m/>
    <m/>
  </r>
  <r>
    <n v="34141"/>
    <m/>
    <x v="2"/>
    <m/>
    <m/>
    <x v="15"/>
    <m/>
    <m/>
    <m/>
  </r>
  <r>
    <n v="34142"/>
    <m/>
    <x v="2"/>
    <m/>
    <m/>
    <x v="15"/>
    <m/>
    <m/>
    <m/>
  </r>
  <r>
    <n v="34143"/>
    <m/>
    <x v="2"/>
    <m/>
    <m/>
    <x v="15"/>
    <m/>
    <m/>
    <m/>
  </r>
  <r>
    <n v="34144"/>
    <m/>
    <x v="2"/>
    <m/>
    <m/>
    <x v="15"/>
    <m/>
    <m/>
    <m/>
  </r>
  <r>
    <n v="34145"/>
    <m/>
    <x v="2"/>
    <m/>
    <m/>
    <x v="15"/>
    <m/>
    <m/>
    <m/>
  </r>
  <r>
    <n v="34146"/>
    <m/>
    <x v="2"/>
    <m/>
    <m/>
    <x v="15"/>
    <m/>
    <m/>
    <m/>
  </r>
  <r>
    <n v="34147"/>
    <m/>
    <x v="2"/>
    <m/>
    <m/>
    <x v="15"/>
    <m/>
    <m/>
    <m/>
  </r>
  <r>
    <n v="34148"/>
    <m/>
    <x v="2"/>
    <m/>
    <m/>
    <x v="15"/>
    <m/>
    <m/>
    <m/>
  </r>
  <r>
    <n v="34149"/>
    <m/>
    <x v="2"/>
    <m/>
    <m/>
    <x v="15"/>
    <m/>
    <m/>
    <m/>
  </r>
  <r>
    <n v="34150"/>
    <m/>
    <x v="2"/>
    <m/>
    <m/>
    <x v="15"/>
    <m/>
    <m/>
    <m/>
  </r>
  <r>
    <n v="34151"/>
    <m/>
    <x v="2"/>
    <m/>
    <m/>
    <x v="15"/>
    <m/>
    <m/>
    <m/>
  </r>
  <r>
    <n v="34152"/>
    <m/>
    <x v="2"/>
    <m/>
    <m/>
    <x v="15"/>
    <m/>
    <m/>
    <m/>
  </r>
  <r>
    <n v="34153"/>
    <m/>
    <x v="2"/>
    <m/>
    <m/>
    <x v="15"/>
    <m/>
    <m/>
    <m/>
  </r>
  <r>
    <n v="34154"/>
    <m/>
    <x v="2"/>
    <m/>
    <m/>
    <x v="15"/>
    <m/>
    <m/>
    <m/>
  </r>
  <r>
    <n v="34155"/>
    <m/>
    <x v="2"/>
    <m/>
    <m/>
    <x v="15"/>
    <m/>
    <m/>
    <m/>
  </r>
  <r>
    <n v="34156"/>
    <m/>
    <x v="2"/>
    <m/>
    <m/>
    <x v="15"/>
    <m/>
    <m/>
    <m/>
  </r>
  <r>
    <n v="34157"/>
    <m/>
    <x v="2"/>
    <m/>
    <m/>
    <x v="15"/>
    <m/>
    <m/>
    <m/>
  </r>
  <r>
    <n v="34158"/>
    <m/>
    <x v="2"/>
    <m/>
    <m/>
    <x v="15"/>
    <m/>
    <m/>
    <m/>
  </r>
  <r>
    <n v="34159"/>
    <m/>
    <x v="2"/>
    <m/>
    <m/>
    <x v="15"/>
    <m/>
    <m/>
    <m/>
  </r>
  <r>
    <n v="34160"/>
    <m/>
    <x v="2"/>
    <m/>
    <m/>
    <x v="15"/>
    <m/>
    <m/>
    <m/>
  </r>
  <r>
    <n v="34161"/>
    <m/>
    <x v="2"/>
    <m/>
    <m/>
    <x v="15"/>
    <m/>
    <m/>
    <m/>
  </r>
  <r>
    <n v="34162"/>
    <m/>
    <x v="2"/>
    <m/>
    <m/>
    <x v="15"/>
    <m/>
    <m/>
    <m/>
  </r>
  <r>
    <n v="34163"/>
    <m/>
    <x v="2"/>
    <m/>
    <m/>
    <x v="15"/>
    <m/>
    <m/>
    <m/>
  </r>
  <r>
    <n v="34164"/>
    <m/>
    <x v="2"/>
    <m/>
    <m/>
    <x v="15"/>
    <m/>
    <m/>
    <m/>
  </r>
  <r>
    <n v="34165"/>
    <m/>
    <x v="2"/>
    <m/>
    <m/>
    <x v="15"/>
    <m/>
    <m/>
    <m/>
  </r>
  <r>
    <n v="34166"/>
    <m/>
    <x v="2"/>
    <m/>
    <m/>
    <x v="15"/>
    <m/>
    <m/>
    <m/>
  </r>
  <r>
    <n v="34167"/>
    <m/>
    <x v="2"/>
    <m/>
    <m/>
    <x v="15"/>
    <m/>
    <m/>
    <m/>
  </r>
  <r>
    <n v="34168"/>
    <m/>
    <x v="2"/>
    <m/>
    <m/>
    <x v="15"/>
    <m/>
    <m/>
    <m/>
  </r>
  <r>
    <n v="34169"/>
    <m/>
    <x v="2"/>
    <m/>
    <m/>
    <x v="15"/>
    <m/>
    <m/>
    <m/>
  </r>
  <r>
    <n v="34170"/>
    <m/>
    <x v="2"/>
    <m/>
    <m/>
    <x v="15"/>
    <m/>
    <m/>
    <m/>
  </r>
  <r>
    <n v="34171"/>
    <m/>
    <x v="2"/>
    <m/>
    <m/>
    <x v="15"/>
    <m/>
    <m/>
    <m/>
  </r>
  <r>
    <n v="34172"/>
    <m/>
    <x v="2"/>
    <m/>
    <m/>
    <x v="15"/>
    <m/>
    <m/>
    <m/>
  </r>
  <r>
    <n v="34173"/>
    <m/>
    <x v="2"/>
    <m/>
    <m/>
    <x v="15"/>
    <m/>
    <m/>
    <m/>
  </r>
  <r>
    <n v="34174"/>
    <m/>
    <x v="2"/>
    <m/>
    <m/>
    <x v="15"/>
    <m/>
    <m/>
    <m/>
  </r>
  <r>
    <n v="34175"/>
    <m/>
    <x v="2"/>
    <m/>
    <m/>
    <x v="15"/>
    <m/>
    <m/>
    <m/>
  </r>
  <r>
    <n v="34176"/>
    <m/>
    <x v="2"/>
    <m/>
    <m/>
    <x v="15"/>
    <m/>
    <m/>
    <m/>
  </r>
  <r>
    <n v="34177"/>
    <m/>
    <x v="2"/>
    <m/>
    <m/>
    <x v="15"/>
    <m/>
    <m/>
    <m/>
  </r>
  <r>
    <n v="34178"/>
    <m/>
    <x v="2"/>
    <m/>
    <m/>
    <x v="15"/>
    <m/>
    <m/>
    <m/>
  </r>
  <r>
    <n v="34179"/>
    <m/>
    <x v="2"/>
    <m/>
    <m/>
    <x v="15"/>
    <m/>
    <m/>
    <m/>
  </r>
  <r>
    <n v="34180"/>
    <m/>
    <x v="2"/>
    <m/>
    <m/>
    <x v="15"/>
    <m/>
    <m/>
    <m/>
  </r>
  <r>
    <n v="34181"/>
    <m/>
    <x v="2"/>
    <m/>
    <m/>
    <x v="15"/>
    <m/>
    <m/>
    <m/>
  </r>
  <r>
    <n v="34182"/>
    <m/>
    <x v="2"/>
    <m/>
    <m/>
    <x v="15"/>
    <m/>
    <m/>
    <m/>
  </r>
  <r>
    <n v="34183"/>
    <m/>
    <x v="2"/>
    <m/>
    <m/>
    <x v="15"/>
    <m/>
    <m/>
    <m/>
  </r>
  <r>
    <n v="34184"/>
    <m/>
    <x v="2"/>
    <m/>
    <m/>
    <x v="15"/>
    <m/>
    <m/>
    <m/>
  </r>
  <r>
    <n v="34185"/>
    <m/>
    <x v="2"/>
    <m/>
    <m/>
    <x v="15"/>
    <m/>
    <m/>
    <m/>
  </r>
  <r>
    <n v="34186"/>
    <m/>
    <x v="2"/>
    <m/>
    <m/>
    <x v="15"/>
    <m/>
    <m/>
    <m/>
  </r>
  <r>
    <n v="34187"/>
    <m/>
    <x v="2"/>
    <m/>
    <m/>
    <x v="15"/>
    <m/>
    <m/>
    <m/>
  </r>
  <r>
    <n v="34188"/>
    <m/>
    <x v="2"/>
    <m/>
    <m/>
    <x v="15"/>
    <m/>
    <m/>
    <m/>
  </r>
  <r>
    <n v="34189"/>
    <m/>
    <x v="2"/>
    <m/>
    <m/>
    <x v="15"/>
    <m/>
    <m/>
    <m/>
  </r>
  <r>
    <n v="34190"/>
    <m/>
    <x v="2"/>
    <m/>
    <m/>
    <x v="15"/>
    <m/>
    <m/>
    <m/>
  </r>
  <r>
    <n v="34191"/>
    <m/>
    <x v="2"/>
    <m/>
    <m/>
    <x v="15"/>
    <m/>
    <m/>
    <m/>
  </r>
  <r>
    <n v="34192"/>
    <m/>
    <x v="2"/>
    <m/>
    <m/>
    <x v="15"/>
    <m/>
    <m/>
    <m/>
  </r>
  <r>
    <n v="34193"/>
    <m/>
    <x v="2"/>
    <m/>
    <m/>
    <x v="15"/>
    <m/>
    <m/>
    <m/>
  </r>
  <r>
    <n v="34194"/>
    <m/>
    <x v="2"/>
    <m/>
    <m/>
    <x v="15"/>
    <m/>
    <m/>
    <m/>
  </r>
  <r>
    <n v="34195"/>
    <m/>
    <x v="2"/>
    <m/>
    <m/>
    <x v="15"/>
    <m/>
    <m/>
    <m/>
  </r>
  <r>
    <n v="34196"/>
    <m/>
    <x v="2"/>
    <m/>
    <m/>
    <x v="15"/>
    <m/>
    <m/>
    <m/>
  </r>
  <r>
    <n v="34197"/>
    <m/>
    <x v="2"/>
    <m/>
    <m/>
    <x v="15"/>
    <m/>
    <m/>
    <m/>
  </r>
  <r>
    <n v="34198"/>
    <m/>
    <x v="2"/>
    <m/>
    <m/>
    <x v="15"/>
    <m/>
    <m/>
    <m/>
  </r>
  <r>
    <n v="34199"/>
    <m/>
    <x v="2"/>
    <m/>
    <m/>
    <x v="15"/>
    <m/>
    <m/>
    <m/>
  </r>
  <r>
    <n v="34200"/>
    <m/>
    <x v="2"/>
    <m/>
    <m/>
    <x v="15"/>
    <m/>
    <m/>
    <m/>
  </r>
  <r>
    <n v="34201"/>
    <m/>
    <x v="2"/>
    <m/>
    <m/>
    <x v="15"/>
    <m/>
    <m/>
    <m/>
  </r>
  <r>
    <n v="34202"/>
    <m/>
    <x v="2"/>
    <m/>
    <m/>
    <x v="15"/>
    <m/>
    <m/>
    <m/>
  </r>
  <r>
    <n v="34203"/>
    <m/>
    <x v="2"/>
    <m/>
    <m/>
    <x v="15"/>
    <m/>
    <m/>
    <m/>
  </r>
  <r>
    <n v="34204"/>
    <m/>
    <x v="2"/>
    <m/>
    <m/>
    <x v="15"/>
    <m/>
    <m/>
    <m/>
  </r>
  <r>
    <n v="34205"/>
    <m/>
    <x v="2"/>
    <m/>
    <m/>
    <x v="15"/>
    <m/>
    <m/>
    <m/>
  </r>
  <r>
    <n v="34206"/>
    <m/>
    <x v="2"/>
    <m/>
    <m/>
    <x v="15"/>
    <m/>
    <m/>
    <m/>
  </r>
  <r>
    <n v="34207"/>
    <m/>
    <x v="2"/>
    <m/>
    <m/>
    <x v="15"/>
    <m/>
    <m/>
    <m/>
  </r>
  <r>
    <n v="34208"/>
    <m/>
    <x v="2"/>
    <m/>
    <m/>
    <x v="15"/>
    <m/>
    <m/>
    <m/>
  </r>
  <r>
    <n v="34209"/>
    <m/>
    <x v="2"/>
    <m/>
    <m/>
    <x v="15"/>
    <m/>
    <m/>
    <m/>
  </r>
  <r>
    <n v="34210"/>
    <m/>
    <x v="2"/>
    <m/>
    <m/>
    <x v="15"/>
    <m/>
    <m/>
    <m/>
  </r>
  <r>
    <n v="34211"/>
    <m/>
    <x v="2"/>
    <m/>
    <m/>
    <x v="15"/>
    <m/>
    <m/>
    <m/>
  </r>
  <r>
    <n v="34212"/>
    <m/>
    <x v="2"/>
    <m/>
    <m/>
    <x v="15"/>
    <m/>
    <m/>
    <m/>
  </r>
  <r>
    <n v="34213"/>
    <m/>
    <x v="2"/>
    <m/>
    <m/>
    <x v="15"/>
    <m/>
    <m/>
    <m/>
  </r>
  <r>
    <n v="34214"/>
    <m/>
    <x v="2"/>
    <m/>
    <m/>
    <x v="15"/>
    <m/>
    <m/>
    <m/>
  </r>
  <r>
    <n v="34215"/>
    <m/>
    <x v="2"/>
    <m/>
    <m/>
    <x v="15"/>
    <m/>
    <m/>
    <m/>
  </r>
  <r>
    <m/>
    <m/>
    <x v="2"/>
    <m/>
    <m/>
    <x v="1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9" cacheId="159" applyNumberFormats="0" applyBorderFormats="0" applyFontFormats="0" applyPatternFormats="0" applyAlignmentFormats="0" applyWidthHeightFormats="1" dataCaption="Données" updatedVersion="5" minRefreshableVersion="3" showMemberPropertyTips="0" useAutoFormatting="1" itemPrintTitles="1" createdVersion="5" indent="0" compact="0" compactData="0" gridDropZones="1">
  <location ref="A3:D25" firstHeaderRow="1" firstDataRow="2" firstDataCol="2"/>
  <pivotFields count="9">
    <pivotField dataField="1"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4">
        <item x="0"/>
        <item x="1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17">
        <item x="1"/>
        <item x="8"/>
        <item x="12"/>
        <item x="2"/>
        <item x="5"/>
        <item x="7"/>
        <item x="14"/>
        <item x="13"/>
        <item x="9"/>
        <item x="3"/>
        <item x="4"/>
        <item x="10"/>
        <item x="6"/>
        <item x="11"/>
        <item x="0"/>
        <item x="15"/>
        <item t="default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2"/>
    <field x="5"/>
  </rowFields>
  <rowItems count="21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t="default">
      <x/>
    </i>
    <i>
      <x v="1"/>
      <x v="15"/>
    </i>
    <i t="default">
      <x v="1"/>
    </i>
    <i>
      <x v="2"/>
      <x v="15"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 HT OS" fld="6" baseField="5" baseItem="0"/>
    <dataField name="Nombre de N° Chantier" fld="0" subtotal="count" baseField="0" baseItem="0"/>
  </dataFields>
  <formats count="1">
    <format dxfId="4">
      <pivotArea outline="0" fieldPosition="0">
        <references count="2">
          <reference field="4294967294" count="1" selected="0">
            <x v="0"/>
          </reference>
          <reference field="2" count="1" selected="0" defaultSubtotal="1">
            <x v="0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9"/>
  <sheetViews>
    <sheetView zoomScaleNormal="100" workbookViewId="0">
      <selection activeCell="F3" sqref="F3:F7"/>
    </sheetView>
  </sheetViews>
  <sheetFormatPr baseColWidth="10" defaultRowHeight="12.75" outlineLevelCol="1" x14ac:dyDescent="0.2"/>
  <cols>
    <col min="1" max="1" width="7.42578125" customWidth="1"/>
    <col min="2" max="3" width="14.42578125" style="2" bestFit="1" customWidth="1"/>
    <col min="4" max="4" width="4.5703125" customWidth="1"/>
    <col min="5" max="7" width="15.5703125" customWidth="1"/>
    <col min="8" max="8" width="16" customWidth="1" outlineLevel="1"/>
    <col min="9" max="9" width="5.5703125" customWidth="1"/>
    <col min="10" max="11" width="15.5703125" customWidth="1"/>
    <col min="12" max="12" width="6.28515625" customWidth="1"/>
    <col min="13" max="14" width="15.5703125" customWidth="1"/>
  </cols>
  <sheetData>
    <row r="1" spans="1:16" ht="28.5" customHeight="1" thickBot="1" x14ac:dyDescent="0.25">
      <c r="A1" s="147" t="s">
        <v>36</v>
      </c>
      <c r="B1" s="148"/>
      <c r="C1" s="148"/>
      <c r="D1" s="149" t="s">
        <v>22</v>
      </c>
      <c r="E1" s="150"/>
      <c r="F1" s="150"/>
      <c r="G1" s="151"/>
      <c r="H1" s="26"/>
      <c r="I1" s="119" t="s">
        <v>7</v>
      </c>
      <c r="J1" s="120"/>
      <c r="K1" s="121"/>
      <c r="L1" s="118" t="s">
        <v>16</v>
      </c>
      <c r="M1" s="118"/>
      <c r="N1" s="118"/>
      <c r="O1" s="1"/>
      <c r="P1" s="1"/>
    </row>
    <row r="2" spans="1:16" ht="28.5" customHeight="1" thickBot="1" x14ac:dyDescent="0.25">
      <c r="A2" s="3" t="s">
        <v>38</v>
      </c>
      <c r="B2" s="4" t="s">
        <v>37</v>
      </c>
      <c r="C2" s="4" t="s">
        <v>24</v>
      </c>
      <c r="D2" s="5" t="s">
        <v>39</v>
      </c>
      <c r="E2" s="5" t="s">
        <v>37</v>
      </c>
      <c r="F2" s="5" t="s">
        <v>24</v>
      </c>
      <c r="G2" s="5" t="s">
        <v>25</v>
      </c>
      <c r="H2" s="27" t="s">
        <v>27</v>
      </c>
      <c r="I2" s="22" t="s">
        <v>38</v>
      </c>
      <c r="J2" s="22" t="s">
        <v>37</v>
      </c>
      <c r="K2" s="22" t="s">
        <v>24</v>
      </c>
      <c r="L2" s="6" t="s">
        <v>1</v>
      </c>
      <c r="M2" s="6" t="s">
        <v>37</v>
      </c>
      <c r="N2" s="6" t="s">
        <v>24</v>
      </c>
      <c r="O2" s="1"/>
      <c r="P2" s="1"/>
    </row>
    <row r="3" spans="1:16" ht="16.5" customHeight="1" x14ac:dyDescent="0.2">
      <c r="A3" s="17">
        <v>1</v>
      </c>
      <c r="B3" s="10">
        <f>SUMIF(CHANTIERS_2016!D:D,"=1",CHANTIERS_2016!G:G)</f>
        <v>0</v>
      </c>
      <c r="C3" s="7" t="e">
        <f>SUMIF(CHANTIERS_2016!D:D,"=1",CHANTIERS_2016!#REF!)</f>
        <v>#REF!</v>
      </c>
      <c r="D3" s="107" t="s">
        <v>12</v>
      </c>
      <c r="E3" s="98">
        <f>SUMIF(CHANTIERS_2016!B:B,"=1",CHANTIERS_2016!G:G)</f>
        <v>766380.54363636358</v>
      </c>
      <c r="F3" s="98" t="e">
        <f>SUMIF(CHANTIERS_2016!B:B,"=1",CHANTIERS_2016!#REF!)</f>
        <v>#REF!</v>
      </c>
      <c r="G3" s="152"/>
      <c r="H3" s="89"/>
      <c r="I3" s="101" t="s">
        <v>8</v>
      </c>
      <c r="J3" s="98">
        <f>E3+E8+E12</f>
        <v>1159684.6263636365</v>
      </c>
      <c r="K3" s="98" t="e">
        <f>F3+F8+F12</f>
        <v>#REF!</v>
      </c>
      <c r="L3" s="124">
        <v>2015</v>
      </c>
      <c r="M3" s="133">
        <f>J3+J16+J29+J42</f>
        <v>1159684.6263636365</v>
      </c>
      <c r="N3" s="133" t="e">
        <f>K3+K16+K29+K42</f>
        <v>#REF!</v>
      </c>
      <c r="O3" s="1"/>
      <c r="P3" s="1"/>
    </row>
    <row r="4" spans="1:16" ht="16.5" x14ac:dyDescent="0.2">
      <c r="A4" s="18">
        <v>2</v>
      </c>
      <c r="B4" s="11">
        <f>SUMIF(CHANTIERS_2016!D:D,"=2",CHANTIERS_2016!G:G)</f>
        <v>201776.22</v>
      </c>
      <c r="C4" s="8" t="e">
        <f>SUMIF(CHANTIERS_2016!D:D,"=2",CHANTIERS_2016!#REF!)</f>
        <v>#REF!</v>
      </c>
      <c r="D4" s="108"/>
      <c r="E4" s="116"/>
      <c r="F4" s="116"/>
      <c r="G4" s="153"/>
      <c r="H4" s="90"/>
      <c r="I4" s="122"/>
      <c r="J4" s="92"/>
      <c r="K4" s="92"/>
      <c r="L4" s="125"/>
      <c r="M4" s="134"/>
      <c r="N4" s="134"/>
      <c r="O4" s="1"/>
      <c r="P4" s="1"/>
    </row>
    <row r="5" spans="1:16" ht="16.5" x14ac:dyDescent="0.2">
      <c r="A5" s="18">
        <v>3</v>
      </c>
      <c r="B5" s="11">
        <f>SUMIF(CHANTIERS_2016!D:D,"=3",CHANTIERS_2016!G:G)</f>
        <v>124433.38181818181</v>
      </c>
      <c r="C5" s="8" t="e">
        <f>SUMIF(CHANTIERS_2016!D:D,"=3",CHANTIERS_2016!#REF!)</f>
        <v>#REF!</v>
      </c>
      <c r="D5" s="108"/>
      <c r="E5" s="116"/>
      <c r="F5" s="116"/>
      <c r="G5" s="153"/>
      <c r="H5" s="90"/>
      <c r="I5" s="122"/>
      <c r="J5" s="92"/>
      <c r="K5" s="92"/>
      <c r="L5" s="125"/>
      <c r="M5" s="134"/>
      <c r="N5" s="134"/>
      <c r="O5" s="1"/>
      <c r="P5" s="1"/>
    </row>
    <row r="6" spans="1:16" ht="16.5" x14ac:dyDescent="0.2">
      <c r="A6" s="19">
        <v>4</v>
      </c>
      <c r="B6" s="13">
        <f>SUMIF(CHANTIERS_2016!D:D,"=4",CHANTIERS_2016!G:G)</f>
        <v>313333.62454545451</v>
      </c>
      <c r="C6" s="14" t="e">
        <f>SUMIF(CHANTIERS_2016!D:D,"=4",CHANTIERS_2016!#REF!)</f>
        <v>#REF!</v>
      </c>
      <c r="D6" s="108"/>
      <c r="E6" s="116"/>
      <c r="F6" s="116"/>
      <c r="G6" s="153"/>
      <c r="H6" s="90"/>
      <c r="I6" s="122"/>
      <c r="J6" s="92"/>
      <c r="K6" s="92"/>
      <c r="L6" s="125"/>
      <c r="M6" s="134"/>
      <c r="N6" s="134"/>
      <c r="O6" s="1"/>
      <c r="P6" s="1"/>
    </row>
    <row r="7" spans="1:16" ht="17.25" customHeight="1" thickBot="1" x14ac:dyDescent="0.25">
      <c r="A7" s="20">
        <v>5</v>
      </c>
      <c r="B7" s="25">
        <f>SUMIF(CHANTIERS_2016!D:D,"=5",CHANTIERS_2016!G:G)</f>
        <v>126837.31727272728</v>
      </c>
      <c r="C7" s="9" t="e">
        <f>SUMIF(CHANTIERS_2016!D:D,"=5",CHANTIERS_2016!#REF!)</f>
        <v>#REF!</v>
      </c>
      <c r="D7" s="109"/>
      <c r="E7" s="117"/>
      <c r="F7" s="117"/>
      <c r="G7" s="154"/>
      <c r="H7" s="91"/>
      <c r="I7" s="122"/>
      <c r="J7" s="92"/>
      <c r="K7" s="92"/>
      <c r="L7" s="125"/>
      <c r="M7" s="135"/>
      <c r="N7" s="135"/>
      <c r="O7" s="1"/>
      <c r="P7" s="1"/>
    </row>
    <row r="8" spans="1:16" ht="16.5" customHeight="1" x14ac:dyDescent="0.2">
      <c r="A8" s="17">
        <v>6</v>
      </c>
      <c r="B8" s="10">
        <f>SUMIF(CHANTIERS_2016!D:D,"=6",CHANTIERS_2016!G:G)</f>
        <v>118473.74636363637</v>
      </c>
      <c r="C8" s="7" t="e">
        <f>SUMIF(CHANTIERS_2016!D:D,"=6",CHANTIERS_2016!#REF!)</f>
        <v>#REF!</v>
      </c>
      <c r="D8" s="107" t="s">
        <v>4</v>
      </c>
      <c r="E8" s="104">
        <f>SUMIF(CHANTIERS_2016!B:B,"=2",CHANTIERS_2016!G:G)</f>
        <v>393304.08272727294</v>
      </c>
      <c r="F8" s="104" t="e">
        <f>SUMIF(CHANTIERS_2016!B:B,"=2",CHANTIERS_2016!#REF!)</f>
        <v>#REF!</v>
      </c>
      <c r="G8" s="113"/>
      <c r="H8" s="94"/>
      <c r="I8" s="122"/>
      <c r="J8" s="92"/>
      <c r="K8" s="92"/>
      <c r="L8" s="125"/>
      <c r="M8" s="136" t="s">
        <v>25</v>
      </c>
      <c r="N8" s="128"/>
      <c r="O8" s="1"/>
      <c r="P8" s="1"/>
    </row>
    <row r="9" spans="1:16" ht="17.25" thickBot="1" x14ac:dyDescent="0.25">
      <c r="A9" s="18">
        <v>7</v>
      </c>
      <c r="B9" s="11">
        <f>SUMIF(CHANTIERS_2016!D:D,"=7",CHANTIERS_2016!G:G)</f>
        <v>224505.62636363637</v>
      </c>
      <c r="C9" s="8" t="e">
        <f>SUMIF(CHANTIERS_2016!D:D,"=7",CHANTIERS_2016!#REF!)</f>
        <v>#REF!</v>
      </c>
      <c r="D9" s="108"/>
      <c r="E9" s="105"/>
      <c r="F9" s="105"/>
      <c r="G9" s="114"/>
      <c r="H9" s="92"/>
      <c r="I9" s="122"/>
      <c r="J9" s="92"/>
      <c r="K9" s="92"/>
      <c r="L9" s="125"/>
      <c r="M9" s="129"/>
      <c r="N9" s="130"/>
      <c r="O9" s="1"/>
      <c r="P9" s="1"/>
    </row>
    <row r="10" spans="1:16" ht="16.5" x14ac:dyDescent="0.2">
      <c r="A10" s="19">
        <v>8</v>
      </c>
      <c r="B10" s="13">
        <f>SUMIF(CHANTIERS_2016!D:D,"=8",CHANTIERS_2016!G:G)</f>
        <v>50324.71</v>
      </c>
      <c r="C10" s="14" t="e">
        <f>SUMIF(CHANTIERS_2016!D:D,"=8",CHANTIERS_2016!#REF!)</f>
        <v>#REF!</v>
      </c>
      <c r="D10" s="108"/>
      <c r="E10" s="105"/>
      <c r="F10" s="105"/>
      <c r="G10" s="114"/>
      <c r="H10" s="92"/>
      <c r="I10" s="122"/>
      <c r="J10" s="92"/>
      <c r="K10" s="92"/>
      <c r="L10" s="125"/>
      <c r="M10" s="127">
        <f>SUM(G3:G55)</f>
        <v>0</v>
      </c>
      <c r="N10" s="128"/>
      <c r="O10" s="1"/>
      <c r="P10" s="1"/>
    </row>
    <row r="11" spans="1:16" ht="16.5" customHeight="1" thickBot="1" x14ac:dyDescent="0.25">
      <c r="A11" s="20">
        <v>9</v>
      </c>
      <c r="B11" s="12">
        <f>SUMIF(CHANTIERS_2016!D:D,"=9",CHANTIERS_2016!G:G)</f>
        <v>0</v>
      </c>
      <c r="C11" s="9" t="e">
        <f>SUMIF(CHANTIERS_2016!D:D,"=9",CHANTIERS_2016!#REF!)</f>
        <v>#REF!</v>
      </c>
      <c r="D11" s="109"/>
      <c r="E11" s="106"/>
      <c r="F11" s="106"/>
      <c r="G11" s="115"/>
      <c r="H11" s="93"/>
      <c r="I11" s="122"/>
      <c r="J11" s="92"/>
      <c r="K11" s="92"/>
      <c r="L11" s="125"/>
      <c r="M11" s="129"/>
      <c r="N11" s="130"/>
      <c r="O11" s="1"/>
      <c r="P11" s="1"/>
    </row>
    <row r="12" spans="1:16" ht="16.5" x14ac:dyDescent="0.2">
      <c r="A12" s="21">
        <v>10</v>
      </c>
      <c r="B12" s="33">
        <f>SUMIF(CHANTIERS_2016!D:D,"=10",CHANTIERS_2016!G:G)</f>
        <v>0</v>
      </c>
      <c r="C12" s="16" t="e">
        <f>SUMIF(CHANTIERS_2016!D:D,"=10",CHANTIERS_2016!#REF!)</f>
        <v>#REF!</v>
      </c>
      <c r="D12" s="108" t="s">
        <v>13</v>
      </c>
      <c r="E12" s="105">
        <f>SUMIF(CHANTIERS_2016!B:B,"=3",CHANTIERS_2016!G:G)</f>
        <v>0</v>
      </c>
      <c r="F12" s="105" t="e">
        <f>SUMIF(CHANTIERS_2016!B:B,"=3",CHANTIERS_2016!#REF!)</f>
        <v>#REF!</v>
      </c>
      <c r="G12" s="116"/>
      <c r="H12" s="92"/>
      <c r="I12" s="122"/>
      <c r="J12" s="92"/>
      <c r="K12" s="92"/>
      <c r="L12" s="125"/>
      <c r="M12" s="129"/>
      <c r="N12" s="130"/>
      <c r="O12" s="1"/>
      <c r="P12" s="1"/>
    </row>
    <row r="13" spans="1:16" ht="16.5" x14ac:dyDescent="0.2">
      <c r="A13" s="18">
        <v>11</v>
      </c>
      <c r="B13" s="24">
        <f>SUMIF(CHANTIERS_2016!D:D,"=11",CHANTIERS_2016!G:G)</f>
        <v>0</v>
      </c>
      <c r="C13" s="8" t="e">
        <f>SUMIF(CHANTIERS_2016!D:D,"=11",CHANTIERS_2016!#REF!)</f>
        <v>#REF!</v>
      </c>
      <c r="D13" s="108"/>
      <c r="E13" s="105"/>
      <c r="F13" s="105"/>
      <c r="G13" s="116"/>
      <c r="H13" s="92"/>
      <c r="I13" s="122"/>
      <c r="J13" s="92"/>
      <c r="K13" s="92"/>
      <c r="L13" s="125"/>
      <c r="M13" s="129"/>
      <c r="N13" s="130"/>
      <c r="O13" s="1"/>
      <c r="P13" s="1"/>
    </row>
    <row r="14" spans="1:16" ht="16.5" x14ac:dyDescent="0.2">
      <c r="A14" s="18">
        <v>12</v>
      </c>
      <c r="B14" s="24">
        <f>SUMIF(CHANTIERS_2016!D:D,"=12",CHANTIERS_2016!G:G)</f>
        <v>0</v>
      </c>
      <c r="C14" s="8" t="e">
        <f>SUMIF(CHANTIERS_2016!D:D,"=12",CHANTIERS_2016!#REF!)</f>
        <v>#REF!</v>
      </c>
      <c r="D14" s="108"/>
      <c r="E14" s="105"/>
      <c r="F14" s="105"/>
      <c r="G14" s="116"/>
      <c r="H14" s="92"/>
      <c r="I14" s="122"/>
      <c r="J14" s="92"/>
      <c r="K14" s="92"/>
      <c r="L14" s="125"/>
      <c r="M14" s="129"/>
      <c r="N14" s="130"/>
      <c r="O14" s="1"/>
      <c r="P14" s="1"/>
    </row>
    <row r="15" spans="1:16" ht="17.25" thickBot="1" x14ac:dyDescent="0.25">
      <c r="A15" s="20">
        <v>13</v>
      </c>
      <c r="B15" s="25">
        <f>SUMIF(CHANTIERS_2016!D:D,"=13",CHANTIERS_2016!G:G)</f>
        <v>0</v>
      </c>
      <c r="C15" s="9" t="e">
        <f>SUMIF(CHANTIERS_2016!D:D,"=13",CHANTIERS_2016!#REF!)</f>
        <v>#REF!</v>
      </c>
      <c r="D15" s="109"/>
      <c r="E15" s="106"/>
      <c r="F15" s="106"/>
      <c r="G15" s="117"/>
      <c r="H15" s="93"/>
      <c r="I15" s="123"/>
      <c r="J15" s="93"/>
      <c r="K15" s="93"/>
      <c r="L15" s="126"/>
      <c r="M15" s="131"/>
      <c r="N15" s="132"/>
      <c r="O15" s="1"/>
      <c r="P15" s="1"/>
    </row>
    <row r="16" spans="1:16" ht="16.5" customHeight="1" x14ac:dyDescent="0.2">
      <c r="A16" s="17">
        <v>14</v>
      </c>
      <c r="B16" s="10">
        <f>SUMIF(CHANTIERS_2016!D:D,"=14",CHANTIERS_2016!G:G)</f>
        <v>0</v>
      </c>
      <c r="C16" s="7" t="e">
        <f>SUMIF(CHANTIERS_2016!D:D,"=14",CHANTIERS_2016!#REF!)</f>
        <v>#REF!</v>
      </c>
      <c r="D16" s="107" t="s">
        <v>14</v>
      </c>
      <c r="E16" s="98">
        <f>SUMIF(CHANTIERS_2016!B:B,"=4",CHANTIERS_2016!G:G)</f>
        <v>0</v>
      </c>
      <c r="F16" s="98" t="e">
        <f>SUMIF(CHANTIERS_2016!B:B,"=4",CHANTIERS_2016!#REF!)</f>
        <v>#REF!</v>
      </c>
      <c r="G16" s="95"/>
      <c r="H16" s="95"/>
      <c r="I16" s="101" t="s">
        <v>34</v>
      </c>
      <c r="J16" s="98">
        <f>E16+E21+E25</f>
        <v>0</v>
      </c>
      <c r="K16" s="98" t="e">
        <f>F16+F21+F25</f>
        <v>#REF!</v>
      </c>
      <c r="L16" s="1"/>
      <c r="M16" s="1"/>
      <c r="N16" s="1"/>
      <c r="O16" s="1"/>
      <c r="P16" s="1"/>
    </row>
    <row r="17" spans="1:16" ht="16.5" x14ac:dyDescent="0.2">
      <c r="A17" s="18">
        <v>15</v>
      </c>
      <c r="B17" s="11">
        <f>SUMIF(CHANTIERS_2016!D:D,"=15",CHANTIERS_2016!G:G)</f>
        <v>0</v>
      </c>
      <c r="C17" s="8" t="e">
        <f>SUMIF(CHANTIERS_2016!D:D,"=15",CHANTIERS_2016!#REF!)</f>
        <v>#REF!</v>
      </c>
      <c r="D17" s="108"/>
      <c r="E17" s="116"/>
      <c r="F17" s="116"/>
      <c r="G17" s="96"/>
      <c r="H17" s="96"/>
      <c r="I17" s="102"/>
      <c r="J17" s="99"/>
      <c r="K17" s="99"/>
      <c r="L17" s="1"/>
      <c r="M17" s="32"/>
      <c r="N17" s="1"/>
      <c r="O17" s="1"/>
      <c r="P17" s="1"/>
    </row>
    <row r="18" spans="1:16" ht="16.5" x14ac:dyDescent="0.2">
      <c r="A18" s="18">
        <v>16</v>
      </c>
      <c r="B18" s="11">
        <f>SUMIF(CHANTIERS_2016!D:D,"=16",CHANTIERS_2016!G:G)</f>
        <v>0</v>
      </c>
      <c r="C18" s="8" t="e">
        <f>SUMIF(CHANTIERS_2016!D:D,"=16",CHANTIERS_2016!#REF!)</f>
        <v>#REF!</v>
      </c>
      <c r="D18" s="108"/>
      <c r="E18" s="116"/>
      <c r="F18" s="116"/>
      <c r="G18" s="96"/>
      <c r="H18" s="96"/>
      <c r="I18" s="102"/>
      <c r="J18" s="99"/>
      <c r="K18" s="99"/>
      <c r="L18" s="1"/>
      <c r="M18" s="1"/>
      <c r="N18" s="1"/>
      <c r="O18" s="1"/>
      <c r="P18" s="1"/>
    </row>
    <row r="19" spans="1:16" ht="16.5" x14ac:dyDescent="0.2">
      <c r="A19" s="19">
        <v>17</v>
      </c>
      <c r="B19" s="46">
        <f>SUMIF(CHANTIERS_2016!D:D,"=17",CHANTIERS_2016!G:G)</f>
        <v>0</v>
      </c>
      <c r="C19" s="14" t="e">
        <f>SUMIF(CHANTIERS_2016!D:D,"=17",CHANTIERS_2016!#REF!)</f>
        <v>#REF!</v>
      </c>
      <c r="D19" s="108"/>
      <c r="E19" s="116"/>
      <c r="F19" s="116"/>
      <c r="G19" s="96"/>
      <c r="H19" s="96"/>
      <c r="I19" s="102"/>
      <c r="J19" s="99"/>
      <c r="K19" s="99"/>
      <c r="L19" s="1"/>
      <c r="M19" s="1"/>
      <c r="N19" s="1"/>
      <c r="O19" s="1"/>
      <c r="P19" s="1"/>
    </row>
    <row r="20" spans="1:16" ht="16.5" customHeight="1" thickBot="1" x14ac:dyDescent="0.25">
      <c r="A20" s="20">
        <v>18</v>
      </c>
      <c r="B20" s="12">
        <f>SUMIF(CHANTIERS_2016!D:D,"=18",CHANTIERS_2016!G:G)</f>
        <v>0</v>
      </c>
      <c r="C20" s="9" t="e">
        <f>SUMIF(CHANTIERS_2016!D:D,"=18",CHANTIERS_2016!#REF!)</f>
        <v>#REF!</v>
      </c>
      <c r="D20" s="109"/>
      <c r="E20" s="117"/>
      <c r="F20" s="117"/>
      <c r="G20" s="97"/>
      <c r="H20" s="97"/>
      <c r="I20" s="102"/>
      <c r="J20" s="99"/>
      <c r="K20" s="99"/>
    </row>
    <row r="21" spans="1:16" ht="16.5" customHeight="1" x14ac:dyDescent="0.2">
      <c r="A21" s="21">
        <v>19</v>
      </c>
      <c r="B21" s="15">
        <f>SUMIF(CHANTIERS_2016!D:D,"=19",CHANTIERS_2016!G:G)</f>
        <v>0</v>
      </c>
      <c r="C21" s="16" t="e">
        <f>SUMIF(CHANTIERS_2016!D:D,"=19",CHANTIERS_2016!#REF!)</f>
        <v>#REF!</v>
      </c>
      <c r="D21" s="107" t="s">
        <v>30</v>
      </c>
      <c r="E21" s="104">
        <f>SUMIF(CHANTIERS_2016!B:B,"=5",CHANTIERS_2016!G:G)</f>
        <v>0</v>
      </c>
      <c r="F21" s="104" t="e">
        <f>SUMIF(CHANTIERS_2016!B:B,"=5",CHANTIERS_2016!#REF!)</f>
        <v>#REF!</v>
      </c>
      <c r="G21" s="110"/>
      <c r="H21" s="94"/>
      <c r="I21" s="102"/>
      <c r="J21" s="99"/>
      <c r="K21" s="99"/>
      <c r="M21" s="2"/>
    </row>
    <row r="22" spans="1:16" ht="16.5" x14ac:dyDescent="0.2">
      <c r="A22" s="18">
        <v>20</v>
      </c>
      <c r="B22" s="11">
        <f>SUMIF(CHANTIERS_2016!D:D,"=20",CHANTIERS_2016!G:G)</f>
        <v>0</v>
      </c>
      <c r="C22" s="8" t="e">
        <f>SUMIF(CHANTIERS_2016!D:D,"=20",CHANTIERS_2016!#REF!)</f>
        <v>#REF!</v>
      </c>
      <c r="D22" s="108"/>
      <c r="E22" s="105"/>
      <c r="F22" s="105"/>
      <c r="G22" s="111"/>
      <c r="H22" s="92"/>
      <c r="I22" s="102"/>
      <c r="J22" s="99"/>
      <c r="K22" s="99"/>
    </row>
    <row r="23" spans="1:16" ht="16.5" x14ac:dyDescent="0.2">
      <c r="A23" s="19">
        <v>21</v>
      </c>
      <c r="B23" s="13">
        <f>SUMIF(CHANTIERS_2016!D:D,"=21",CHANTIERS_2016!G:G)</f>
        <v>0</v>
      </c>
      <c r="C23" s="14" t="e">
        <f>SUMIF(CHANTIERS_2016!D:D,"=21",CHANTIERS_2016!#REF!)</f>
        <v>#REF!</v>
      </c>
      <c r="D23" s="108"/>
      <c r="E23" s="105"/>
      <c r="F23" s="105"/>
      <c r="G23" s="111"/>
      <c r="H23" s="92"/>
      <c r="I23" s="102"/>
      <c r="J23" s="99"/>
      <c r="K23" s="99"/>
    </row>
    <row r="24" spans="1:16" ht="16.5" customHeight="1" thickBot="1" x14ac:dyDescent="0.25">
      <c r="A24" s="20">
        <v>22</v>
      </c>
      <c r="B24" s="12">
        <f>SUMIF(CHANTIERS_2016!D:D,"=22",CHANTIERS_2016!G:G)</f>
        <v>0</v>
      </c>
      <c r="C24" s="9" t="e">
        <f>SUMIF(CHANTIERS_2016!D:D,"=22",CHANTIERS_2016!#REF!)</f>
        <v>#REF!</v>
      </c>
      <c r="D24" s="109"/>
      <c r="E24" s="106"/>
      <c r="F24" s="106"/>
      <c r="G24" s="112"/>
      <c r="H24" s="93"/>
      <c r="I24" s="102"/>
      <c r="J24" s="99"/>
      <c r="K24" s="99"/>
    </row>
    <row r="25" spans="1:16" ht="16.5" customHeight="1" x14ac:dyDescent="0.2">
      <c r="A25" s="21">
        <v>23</v>
      </c>
      <c r="B25" s="15">
        <f>SUMIF(CHANTIERS_2016!D:D,"=23",CHANTIERS_2016!G:G)</f>
        <v>0</v>
      </c>
      <c r="C25" s="16" t="e">
        <f>SUMIF(CHANTIERS_2016!D:D,"=23",CHANTIERS_2016!#REF!)</f>
        <v>#REF!</v>
      </c>
      <c r="D25" s="107" t="s">
        <v>11</v>
      </c>
      <c r="E25" s="104">
        <f>SUMIF(CHANTIERS_2016!B:B,"=6",CHANTIERS_2016!G:G)</f>
        <v>0</v>
      </c>
      <c r="F25" s="104" t="e">
        <f>SUMIF(CHANTIERS_2016!B:B,"=6",CHANTIERS_2016!#REF!)</f>
        <v>#REF!</v>
      </c>
      <c r="G25" s="110"/>
      <c r="H25" s="94"/>
      <c r="I25" s="102"/>
      <c r="J25" s="99"/>
      <c r="K25" s="99"/>
    </row>
    <row r="26" spans="1:16" ht="16.5" x14ac:dyDescent="0.2">
      <c r="A26" s="18">
        <v>24</v>
      </c>
      <c r="B26" s="11">
        <f>SUMIF(CHANTIERS_2016!D:D,"=24",CHANTIERS_2016!G:G)</f>
        <v>0</v>
      </c>
      <c r="C26" s="8" t="e">
        <f>SUMIF(CHANTIERS_2016!D:D,"=24",CHANTIERS_2016!#REF!)</f>
        <v>#REF!</v>
      </c>
      <c r="D26" s="108"/>
      <c r="E26" s="105"/>
      <c r="F26" s="105"/>
      <c r="G26" s="111"/>
      <c r="H26" s="92"/>
      <c r="I26" s="102"/>
      <c r="J26" s="99"/>
      <c r="K26" s="99"/>
    </row>
    <row r="27" spans="1:16" ht="16.5" x14ac:dyDescent="0.2">
      <c r="A27" s="18">
        <v>25</v>
      </c>
      <c r="B27" s="11">
        <f>SUMIF(CHANTIERS_2016!D:D,"=25",CHANTIERS_2016!G:G)</f>
        <v>0</v>
      </c>
      <c r="C27" s="8" t="e">
        <f>SUMIF(CHANTIERS_2016!D:D,"=25",CHANTIERS_2016!#REF!)</f>
        <v>#REF!</v>
      </c>
      <c r="D27" s="108"/>
      <c r="E27" s="105"/>
      <c r="F27" s="105"/>
      <c r="G27" s="111"/>
      <c r="H27" s="92"/>
      <c r="I27" s="102"/>
      <c r="J27" s="99"/>
      <c r="K27" s="99"/>
    </row>
    <row r="28" spans="1:16" ht="17.25" thickBot="1" x14ac:dyDescent="0.25">
      <c r="A28" s="20">
        <v>26</v>
      </c>
      <c r="B28" s="12">
        <f>SUMIF(CHANTIERS_2016!D:D,"=26",CHANTIERS_2016!G:G)</f>
        <v>0</v>
      </c>
      <c r="C28" s="9" t="e">
        <f>SUMIF(CHANTIERS_2016!D:D,"=26",CHANTIERS_2016!#REF!)</f>
        <v>#REF!</v>
      </c>
      <c r="D28" s="109"/>
      <c r="E28" s="106"/>
      <c r="F28" s="106"/>
      <c r="G28" s="112"/>
      <c r="H28" s="93"/>
      <c r="I28" s="103"/>
      <c r="J28" s="100"/>
      <c r="K28" s="100"/>
    </row>
    <row r="29" spans="1:16" ht="16.5" x14ac:dyDescent="0.2">
      <c r="A29" s="17">
        <v>27</v>
      </c>
      <c r="B29" s="10">
        <f>SUMIF(CHANTIERS_2016!D:D,"=27",CHANTIERS_2016!G:G)</f>
        <v>0</v>
      </c>
      <c r="C29" s="7" t="e">
        <f>SUMIF(CHANTIERS_2016!D:D,"=27",CHANTIERS_2016!#REF!)</f>
        <v>#REF!</v>
      </c>
      <c r="D29" s="144" t="s">
        <v>31</v>
      </c>
      <c r="E29" s="98">
        <f>SUMIF(CHANTIERS_2016!B:B,"=7",CHANTIERS_2016!G:G)</f>
        <v>0</v>
      </c>
      <c r="F29" s="98" t="e">
        <f>SUMIF(CHANTIERS_2016!B:B,"=7",CHANTIERS_2016!#REF!)</f>
        <v>#REF!</v>
      </c>
      <c r="G29" s="163"/>
      <c r="H29" s="160"/>
      <c r="I29" s="155" t="s">
        <v>35</v>
      </c>
      <c r="J29" s="98">
        <f>E29+E33+E38</f>
        <v>0</v>
      </c>
      <c r="K29" s="98" t="e">
        <f>F29+F33+F38</f>
        <v>#REF!</v>
      </c>
    </row>
    <row r="30" spans="1:16" ht="16.5" x14ac:dyDescent="0.2">
      <c r="A30" s="18">
        <v>28</v>
      </c>
      <c r="B30" s="11">
        <f>SUMIF(CHANTIERS_2016!D:D,"=28",CHANTIERS_2016!G:G)</f>
        <v>0</v>
      </c>
      <c r="C30" s="8" t="e">
        <f>SUMIF(CHANTIERS_2016!D:D,"=28",CHANTIERS_2016!#REF!)</f>
        <v>#REF!</v>
      </c>
      <c r="D30" s="145"/>
      <c r="E30" s="140"/>
      <c r="F30" s="140"/>
      <c r="G30" s="111"/>
      <c r="H30" s="92"/>
      <c r="I30" s="156"/>
      <c r="J30" s="140"/>
      <c r="K30" s="140"/>
    </row>
    <row r="31" spans="1:16" ht="16.5" x14ac:dyDescent="0.2">
      <c r="A31" s="18">
        <v>29</v>
      </c>
      <c r="B31" s="11">
        <f>SUMIF(CHANTIERS_2016!D:D,"=29",CHANTIERS_2016!G:G)</f>
        <v>0</v>
      </c>
      <c r="C31" s="8" t="e">
        <f>SUMIF(CHANTIERS_2016!D:D,"=29",CHANTIERS_2016!#REF!)</f>
        <v>#REF!</v>
      </c>
      <c r="D31" s="145"/>
      <c r="E31" s="140"/>
      <c r="F31" s="140"/>
      <c r="G31" s="111"/>
      <c r="H31" s="92"/>
      <c r="I31" s="156"/>
      <c r="J31" s="140"/>
      <c r="K31" s="140"/>
    </row>
    <row r="32" spans="1:16" ht="17.25" thickBot="1" x14ac:dyDescent="0.25">
      <c r="A32" s="20">
        <v>30</v>
      </c>
      <c r="B32" s="25">
        <f>SUMIF(CHANTIERS_2016!D:D,"=30",CHANTIERS_2016!G:G)</f>
        <v>0</v>
      </c>
      <c r="C32" s="9" t="e">
        <f>SUMIF(CHANTIERS_2016!D:D,"=30",CHANTIERS_2016!#REF!)</f>
        <v>#REF!</v>
      </c>
      <c r="D32" s="146"/>
      <c r="E32" s="141"/>
      <c r="F32" s="141"/>
      <c r="G32" s="112"/>
      <c r="H32" s="93"/>
      <c r="I32" s="156"/>
      <c r="J32" s="140"/>
      <c r="K32" s="140"/>
    </row>
    <row r="33" spans="1:11" ht="16.5" x14ac:dyDescent="0.2">
      <c r="A33" s="17">
        <v>31</v>
      </c>
      <c r="B33" s="10">
        <f>SUMIF(CHANTIERS_2016!D:D,"=31",CHANTIERS_2016!G:G)</f>
        <v>0</v>
      </c>
      <c r="C33" s="7" t="e">
        <f>SUMIF(CHANTIERS_2016!D:D,"=31",CHANTIERS_2016!#REF!)</f>
        <v>#REF!</v>
      </c>
      <c r="D33" s="137" t="s">
        <v>32</v>
      </c>
      <c r="E33" s="98">
        <f>SUMIF(CHANTIERS_2016!B:B,"=8",CHANTIERS_2016!G:G)</f>
        <v>0</v>
      </c>
      <c r="F33" s="98" t="e">
        <f>SUMIF(CHANTIERS_2016!B:B,"=8",CHANTIERS_2016!#REF!)</f>
        <v>#REF!</v>
      </c>
      <c r="G33" s="163"/>
      <c r="H33" s="164"/>
      <c r="I33" s="156"/>
      <c r="J33" s="140"/>
      <c r="K33" s="140"/>
    </row>
    <row r="34" spans="1:11" ht="16.5" x14ac:dyDescent="0.2">
      <c r="A34" s="21">
        <v>32</v>
      </c>
      <c r="B34" s="15">
        <f>SUMIF(CHANTIERS_2016!D:D,"=32",CHANTIERS_2016!G:G)</f>
        <v>0</v>
      </c>
      <c r="C34" s="16" t="e">
        <f>SUMIF(CHANTIERS_2016!D:D,"=32",CHANTIERS_2016!#REF!)</f>
        <v>#REF!</v>
      </c>
      <c r="D34" s="138"/>
      <c r="E34" s="140"/>
      <c r="F34" s="140"/>
      <c r="G34" s="111"/>
      <c r="H34" s="92"/>
      <c r="I34" s="156"/>
      <c r="J34" s="140"/>
      <c r="K34" s="140"/>
    </row>
    <row r="35" spans="1:11" ht="16.5" x14ac:dyDescent="0.2">
      <c r="A35" s="18">
        <v>33</v>
      </c>
      <c r="B35" s="11">
        <f>SUMIF(CHANTIERS_2016!D:D,"=33",CHANTIERS_2016!G:G)</f>
        <v>0</v>
      </c>
      <c r="C35" s="8" t="e">
        <f>SUMIF(CHANTIERS_2016!D:D,"=33",CHANTIERS_2016!#REF!)</f>
        <v>#REF!</v>
      </c>
      <c r="D35" s="138"/>
      <c r="E35" s="140"/>
      <c r="F35" s="140"/>
      <c r="G35" s="111"/>
      <c r="H35" s="92"/>
      <c r="I35" s="156"/>
      <c r="J35" s="140"/>
      <c r="K35" s="140"/>
    </row>
    <row r="36" spans="1:11" ht="16.5" x14ac:dyDescent="0.2">
      <c r="A36" s="18">
        <v>34</v>
      </c>
      <c r="B36" s="11">
        <f>SUMIF(CHANTIERS_2016!D:D,"=34",CHANTIERS_2016!G:G)</f>
        <v>0</v>
      </c>
      <c r="C36" s="8" t="e">
        <f>SUMIF(CHANTIERS_2016!D:D,"=34",CHANTIERS_2016!#REF!)</f>
        <v>#REF!</v>
      </c>
      <c r="D36" s="138"/>
      <c r="E36" s="140"/>
      <c r="F36" s="140"/>
      <c r="G36" s="111"/>
      <c r="H36" s="92"/>
      <c r="I36" s="156"/>
      <c r="J36" s="140"/>
      <c r="K36" s="140"/>
    </row>
    <row r="37" spans="1:11" ht="17.25" thickBot="1" x14ac:dyDescent="0.25">
      <c r="A37" s="19">
        <v>35</v>
      </c>
      <c r="B37" s="13">
        <f>SUMIF(CHANTIERS_2016!D:D,"=35",CHANTIERS_2016!G:G)</f>
        <v>0</v>
      </c>
      <c r="C37" s="14" t="e">
        <f>SUMIF(CHANTIERS_2016!D:D,"=35",CHANTIERS_2016!#REF!)</f>
        <v>#REF!</v>
      </c>
      <c r="D37" s="139"/>
      <c r="E37" s="141"/>
      <c r="F37" s="141"/>
      <c r="G37" s="112"/>
      <c r="H37" s="93"/>
      <c r="I37" s="156"/>
      <c r="J37" s="140"/>
      <c r="K37" s="140"/>
    </row>
    <row r="38" spans="1:11" ht="16.5" x14ac:dyDescent="0.2">
      <c r="A38" s="17">
        <v>36</v>
      </c>
      <c r="B38" s="10">
        <f>SUMIF(CHANTIERS_2016!D:D,"=36",CHANTIERS_2016!G:G)</f>
        <v>0</v>
      </c>
      <c r="C38" s="7" t="e">
        <f>SUMIF(CHANTIERS_2016!D:D,"=36",CHANTIERS_2016!#REF!)</f>
        <v>#REF!</v>
      </c>
      <c r="D38" s="137" t="s">
        <v>15</v>
      </c>
      <c r="E38" s="98">
        <f>SUMIF(CHANTIERS_2016!B:B,"=9",CHANTIERS_2016!G:G)</f>
        <v>0</v>
      </c>
      <c r="F38" s="98" t="e">
        <f>SUMIF(CHANTIERS_2016!B:B,"=9",CHANTIERS_2016!#REF!)</f>
        <v>#REF!</v>
      </c>
      <c r="G38" s="158"/>
      <c r="H38" s="28"/>
      <c r="I38" s="156"/>
      <c r="J38" s="140"/>
      <c r="K38" s="140"/>
    </row>
    <row r="39" spans="1:11" ht="16.5" x14ac:dyDescent="0.2">
      <c r="A39" s="18">
        <v>37</v>
      </c>
      <c r="B39" s="11">
        <f>SUMIF(CHANTIERS_2016!D:D,"=37",CHANTIERS_2016!G:G)</f>
        <v>0</v>
      </c>
      <c r="C39" s="8" t="e">
        <f>SUMIF(CHANTIERS_2016!D:D,"=37",CHANTIERS_2016!#REF!)</f>
        <v>#REF!</v>
      </c>
      <c r="D39" s="142"/>
      <c r="E39" s="116"/>
      <c r="F39" s="116"/>
      <c r="G39" s="158"/>
      <c r="H39" s="28"/>
      <c r="I39" s="156"/>
      <c r="J39" s="140"/>
      <c r="K39" s="140"/>
    </row>
    <row r="40" spans="1:11" ht="16.5" x14ac:dyDescent="0.2">
      <c r="A40" s="18">
        <v>38</v>
      </c>
      <c r="B40" s="11">
        <f>SUMIF(CHANTIERS_2016!D:D,"=38",CHANTIERS_2016!G:G)</f>
        <v>0</v>
      </c>
      <c r="C40" s="8" t="e">
        <f>SUMIF(CHANTIERS_2016!D:D,"=38",CHANTIERS_2016!#REF!)</f>
        <v>#REF!</v>
      </c>
      <c r="D40" s="142"/>
      <c r="E40" s="116"/>
      <c r="F40" s="116"/>
      <c r="G40" s="158"/>
      <c r="H40" s="28"/>
      <c r="I40" s="156"/>
      <c r="J40" s="140"/>
      <c r="K40" s="140"/>
    </row>
    <row r="41" spans="1:11" ht="17.25" thickBot="1" x14ac:dyDescent="0.25">
      <c r="A41" s="20">
        <v>39</v>
      </c>
      <c r="B41" s="12">
        <f>SUMIF(CHANTIERS_2016!D:D,"=39",CHANTIERS_2016!G:G)</f>
        <v>0</v>
      </c>
      <c r="C41" s="9" t="e">
        <f>SUMIF(CHANTIERS_2016!D:D,"=39",CHANTIERS_2016!#REF!)</f>
        <v>#REF!</v>
      </c>
      <c r="D41" s="143"/>
      <c r="E41" s="117"/>
      <c r="F41" s="117"/>
      <c r="G41" s="159"/>
      <c r="H41" s="29"/>
      <c r="I41" s="157"/>
      <c r="J41" s="141"/>
      <c r="K41" s="141"/>
    </row>
    <row r="42" spans="1:11" ht="16.5" x14ac:dyDescent="0.2">
      <c r="A42" s="17">
        <v>40</v>
      </c>
      <c r="B42" s="10">
        <f>SUMIF(CHANTIERS_2016!D:D,"=40",CHANTIERS_2016!G:G)</f>
        <v>0</v>
      </c>
      <c r="C42" s="7" t="e">
        <f>SUMIF(CHANTIERS_2016!D:D,"=40",CHANTIERS_2016!#REF!)</f>
        <v>#REF!</v>
      </c>
      <c r="D42" s="144" t="s">
        <v>33</v>
      </c>
      <c r="E42" s="98">
        <f>SUMIF(CHANTIERS_2016!B:B,"=10",CHANTIERS_2016!G:G)</f>
        <v>0</v>
      </c>
      <c r="F42" s="98" t="e">
        <f>SUMIF(CHANTIERS_2016!B:B,"=10",CHANTIERS_2016!#REF!)</f>
        <v>#REF!</v>
      </c>
      <c r="G42" s="160"/>
      <c r="H42" s="160"/>
      <c r="I42" s="155" t="s">
        <v>23</v>
      </c>
      <c r="J42" s="98">
        <f>E42+E46+E51</f>
        <v>0</v>
      </c>
      <c r="K42" s="98" t="e">
        <f>F42+F46+F51</f>
        <v>#REF!</v>
      </c>
    </row>
    <row r="43" spans="1:11" ht="16.5" x14ac:dyDescent="0.2">
      <c r="A43" s="18">
        <v>41</v>
      </c>
      <c r="B43" s="11">
        <f>SUMIF(CHANTIERS_2016!D:D,"=41",CHANTIERS_2016!G:G)</f>
        <v>0</v>
      </c>
      <c r="C43" s="8" t="e">
        <f>SUMIF(CHANTIERS_2016!D:D,"=41",CHANTIERS_2016!#REF!)</f>
        <v>#REF!</v>
      </c>
      <c r="D43" s="145"/>
      <c r="E43" s="140"/>
      <c r="F43" s="140"/>
      <c r="G43" s="161"/>
      <c r="H43" s="92"/>
      <c r="I43" s="156"/>
      <c r="J43" s="140"/>
      <c r="K43" s="140"/>
    </row>
    <row r="44" spans="1:11" ht="16.5" x14ac:dyDescent="0.2">
      <c r="A44" s="18">
        <v>42</v>
      </c>
      <c r="B44" s="11">
        <f>SUMIF(CHANTIERS_2016!D:D,"=42",CHANTIERS_2016!G:G)</f>
        <v>0</v>
      </c>
      <c r="C44" s="8" t="e">
        <f>SUMIF(CHANTIERS_2016!D:D,"=42",CHANTIERS_2016!#REF!)</f>
        <v>#REF!</v>
      </c>
      <c r="D44" s="145"/>
      <c r="E44" s="140"/>
      <c r="F44" s="140"/>
      <c r="G44" s="161"/>
      <c r="H44" s="92"/>
      <c r="I44" s="156"/>
      <c r="J44" s="140"/>
      <c r="K44" s="140"/>
    </row>
    <row r="45" spans="1:11" ht="17.25" thickBot="1" x14ac:dyDescent="0.25">
      <c r="A45" s="20">
        <v>43</v>
      </c>
      <c r="B45" s="25">
        <f>SUMIF(CHANTIERS_2016!D:D,"=43",CHANTIERS_2016!G:G)</f>
        <v>0</v>
      </c>
      <c r="C45" s="9" t="e">
        <f>SUMIF(CHANTIERS_2016!D:D,"=43",CHANTIERS_2016!#REF!)</f>
        <v>#REF!</v>
      </c>
      <c r="D45" s="146"/>
      <c r="E45" s="141"/>
      <c r="F45" s="141"/>
      <c r="G45" s="162"/>
      <c r="H45" s="93"/>
      <c r="I45" s="156"/>
      <c r="J45" s="140"/>
      <c r="K45" s="140"/>
    </row>
    <row r="46" spans="1:11" ht="16.5" x14ac:dyDescent="0.2">
      <c r="A46" s="17">
        <v>44</v>
      </c>
      <c r="B46" s="10">
        <f>SUMIF(CHANTIERS_2016!D:D,"=44",CHANTIERS_2016!G:G)</f>
        <v>0</v>
      </c>
      <c r="C46" s="7" t="e">
        <f>SUMIF(CHANTIERS_2016!D:D,"=44",CHANTIERS_2016!#REF!)</f>
        <v>#REF!</v>
      </c>
      <c r="D46" s="137" t="s">
        <v>28</v>
      </c>
      <c r="E46" s="98">
        <f>SUMIF(CHANTIERS_2016!B:B,"=11",CHANTIERS_2016!G:G)</f>
        <v>0</v>
      </c>
      <c r="F46" s="98" t="e">
        <f>SUMIF(CHANTIERS_2016!B:B,"=11",CHANTIERS_2016!#REF!)</f>
        <v>#REF!</v>
      </c>
      <c r="G46" s="160"/>
      <c r="H46" s="160"/>
      <c r="I46" s="156"/>
      <c r="J46" s="140"/>
      <c r="K46" s="140"/>
    </row>
    <row r="47" spans="1:11" ht="16.5" x14ac:dyDescent="0.2">
      <c r="A47" s="21">
        <v>45</v>
      </c>
      <c r="B47" s="15">
        <f>SUMIF(CHANTIERS_2016!D:D,"=45",CHANTIERS_2016!G:G)</f>
        <v>0</v>
      </c>
      <c r="C47" s="16" t="e">
        <f>SUMIF(CHANTIERS_2016!D:D,"=45",CHANTIERS_2016!#REF!)</f>
        <v>#REF!</v>
      </c>
      <c r="D47" s="138"/>
      <c r="E47" s="140"/>
      <c r="F47" s="140"/>
      <c r="G47" s="161"/>
      <c r="H47" s="92"/>
      <c r="I47" s="156"/>
      <c r="J47" s="140"/>
      <c r="K47" s="140"/>
    </row>
    <row r="48" spans="1:11" ht="16.5" x14ac:dyDescent="0.2">
      <c r="A48" s="18">
        <v>46</v>
      </c>
      <c r="B48" s="11">
        <f>SUMIF(CHANTIERS_2016!D:D,"=46",CHANTIERS_2016!G:G)</f>
        <v>0</v>
      </c>
      <c r="C48" s="8" t="e">
        <f>SUMIF(CHANTIERS_2016!D:D,"=46",CHANTIERS_2016!#REF!)</f>
        <v>#REF!</v>
      </c>
      <c r="D48" s="138"/>
      <c r="E48" s="140"/>
      <c r="F48" s="140"/>
      <c r="G48" s="161"/>
      <c r="H48" s="92"/>
      <c r="I48" s="156"/>
      <c r="J48" s="140"/>
      <c r="K48" s="140"/>
    </row>
    <row r="49" spans="1:11" ht="16.5" x14ac:dyDescent="0.2">
      <c r="A49" s="18">
        <v>47</v>
      </c>
      <c r="B49" s="11">
        <f>SUMIF(CHANTIERS_2016!D:D,"=47",CHANTIERS_2016!G:G)</f>
        <v>0</v>
      </c>
      <c r="C49" s="8" t="e">
        <f>SUMIF(CHANTIERS_2016!D:D,"=47",CHANTIERS_2016!#REF!)</f>
        <v>#REF!</v>
      </c>
      <c r="D49" s="138"/>
      <c r="E49" s="140"/>
      <c r="F49" s="140"/>
      <c r="G49" s="161"/>
      <c r="H49" s="92"/>
      <c r="I49" s="156"/>
      <c r="J49" s="140"/>
      <c r="K49" s="140"/>
    </row>
    <row r="50" spans="1:11" ht="17.25" thickBot="1" x14ac:dyDescent="0.25">
      <c r="A50" s="19">
        <v>48</v>
      </c>
      <c r="B50" s="13">
        <f>SUMIF(CHANTIERS_2016!D:D,"=48",CHANTIERS_2016!G:G)</f>
        <v>0</v>
      </c>
      <c r="C50" s="14" t="e">
        <f>SUMIF(CHANTIERS_2016!D:D,"=48",CHANTIERS_2016!#REF!)</f>
        <v>#REF!</v>
      </c>
      <c r="D50" s="139"/>
      <c r="E50" s="141"/>
      <c r="F50" s="141"/>
      <c r="G50" s="162"/>
      <c r="H50" s="93"/>
      <c r="I50" s="156"/>
      <c r="J50" s="140"/>
      <c r="K50" s="140"/>
    </row>
    <row r="51" spans="1:11" ht="16.5" x14ac:dyDescent="0.2">
      <c r="A51" s="17">
        <v>49</v>
      </c>
      <c r="B51" s="10">
        <f>SUMIF(CHANTIERS_2016!D:D,"=49",CHANTIERS_2016!G:G)</f>
        <v>0</v>
      </c>
      <c r="C51" s="7" t="e">
        <f>SUMIF(CHANTIERS_2016!D:D,"=49",CHANTIERS_2016!#REF!)</f>
        <v>#REF!</v>
      </c>
      <c r="D51" s="137" t="s">
        <v>29</v>
      </c>
      <c r="E51" s="98">
        <f>SUMIF(CHANTIERS_2016!B:B,"=12",CHANTIERS_2016!G:G)</f>
        <v>0</v>
      </c>
      <c r="F51" s="98" t="e">
        <f>SUMIF(CHANTIERS_2016!B:B,"=12",CHANTIERS_2016!#REF!)</f>
        <v>#REF!</v>
      </c>
      <c r="G51" s="158"/>
      <c r="H51" s="28"/>
      <c r="I51" s="156"/>
      <c r="J51" s="140"/>
      <c r="K51" s="140"/>
    </row>
    <row r="52" spans="1:11" ht="18" customHeight="1" x14ac:dyDescent="0.2">
      <c r="A52" s="18">
        <v>50</v>
      </c>
      <c r="B52" s="11">
        <f>SUMIF(CHANTIERS_2016!D:D,"=50",CHANTIERS_2016!G:G)</f>
        <v>0</v>
      </c>
      <c r="C52" s="8" t="e">
        <f>SUMIF(CHANTIERS_2016!D:D,"=50",CHANTIERS_2016!#REF!)</f>
        <v>#REF!</v>
      </c>
      <c r="D52" s="142"/>
      <c r="E52" s="116"/>
      <c r="F52" s="116"/>
      <c r="G52" s="158"/>
      <c r="H52" s="30"/>
      <c r="I52" s="156"/>
      <c r="J52" s="140"/>
      <c r="K52" s="140"/>
    </row>
    <row r="53" spans="1:11" ht="16.5" x14ac:dyDescent="0.2">
      <c r="A53" s="18">
        <v>51</v>
      </c>
      <c r="B53" s="11">
        <f>SUMIF(CHANTIERS_2016!D:D,"=51",CHANTIERS_2016!G:G)</f>
        <v>0</v>
      </c>
      <c r="C53" s="8" t="e">
        <f>SUMIF(CHANTIERS_2016!D:D,"=51",CHANTIERS_2016!#REF!)</f>
        <v>#REF!</v>
      </c>
      <c r="D53" s="142"/>
      <c r="E53" s="116"/>
      <c r="F53" s="116"/>
      <c r="G53" s="158"/>
      <c r="H53" s="28"/>
      <c r="I53" s="156"/>
      <c r="J53" s="140"/>
      <c r="K53" s="140"/>
    </row>
    <row r="54" spans="1:11" ht="16.5" x14ac:dyDescent="0.2">
      <c r="A54" s="18">
        <v>52</v>
      </c>
      <c r="B54" s="11">
        <f>SUMIF(CHANTIERS_2016!D:D,"=52",CHANTIERS_2016!G:G)</f>
        <v>0</v>
      </c>
      <c r="C54" s="8" t="e">
        <f>SUMIF(CHANTIERS_2016!D:D,"=52",CHANTIERS_2016!#REF!)</f>
        <v>#REF!</v>
      </c>
      <c r="D54" s="142"/>
      <c r="E54" s="116"/>
      <c r="F54" s="116"/>
      <c r="G54" s="158"/>
      <c r="H54" s="28"/>
      <c r="I54" s="156"/>
      <c r="J54" s="140"/>
      <c r="K54" s="140"/>
    </row>
    <row r="55" spans="1:11" ht="17.25" thickBot="1" x14ac:dyDescent="0.25">
      <c r="A55" s="20">
        <v>53</v>
      </c>
      <c r="B55" s="12">
        <f>SUMIF(CHANTIERS_2016!D:D,"=53",CHANTIERS_2016!G:G)</f>
        <v>0</v>
      </c>
      <c r="C55" s="9" t="e">
        <f>SUMIF(CHANTIERS_2016!D:D,"=53",CHANTIERS_2016!#REF!)</f>
        <v>#REF!</v>
      </c>
      <c r="D55" s="143"/>
      <c r="E55" s="117"/>
      <c r="F55" s="117"/>
      <c r="G55" s="159"/>
      <c r="H55" s="29"/>
      <c r="I55" s="157"/>
      <c r="J55" s="141"/>
      <c r="K55" s="141"/>
    </row>
    <row r="56" spans="1:11" x14ac:dyDescent="0.2">
      <c r="E56" s="39"/>
    </row>
    <row r="59" spans="1:11" x14ac:dyDescent="0.2">
      <c r="E59" s="23"/>
      <c r="F59" s="23"/>
      <c r="G59" s="23"/>
      <c r="H59" s="23"/>
      <c r="J59" s="23"/>
      <c r="K59" s="23"/>
    </row>
  </sheetData>
  <mergeCells count="79">
    <mergeCell ref="K29:K41"/>
    <mergeCell ref="G46:G50"/>
    <mergeCell ref="G29:G32"/>
    <mergeCell ref="J29:J41"/>
    <mergeCell ref="I29:I41"/>
    <mergeCell ref="J42:J55"/>
    <mergeCell ref="K42:K55"/>
    <mergeCell ref="G38:G41"/>
    <mergeCell ref="H29:H32"/>
    <mergeCell ref="G33:G37"/>
    <mergeCell ref="H33:H37"/>
    <mergeCell ref="G42:G45"/>
    <mergeCell ref="H42:H45"/>
    <mergeCell ref="H46:H50"/>
    <mergeCell ref="F29:F32"/>
    <mergeCell ref="D21:D24"/>
    <mergeCell ref="I42:I55"/>
    <mergeCell ref="D51:D55"/>
    <mergeCell ref="D42:D45"/>
    <mergeCell ref="E46:E50"/>
    <mergeCell ref="E51:E55"/>
    <mergeCell ref="D46:D50"/>
    <mergeCell ref="E42:E45"/>
    <mergeCell ref="G51:G55"/>
    <mergeCell ref="F51:F55"/>
    <mergeCell ref="F46:F50"/>
    <mergeCell ref="F38:F41"/>
    <mergeCell ref="F42:F45"/>
    <mergeCell ref="F33:F37"/>
    <mergeCell ref="A1:C1"/>
    <mergeCell ref="D1:G1"/>
    <mergeCell ref="E3:E7"/>
    <mergeCell ref="F3:F7"/>
    <mergeCell ref="D3:D7"/>
    <mergeCell ref="G3:G7"/>
    <mergeCell ref="E25:E28"/>
    <mergeCell ref="E38:E41"/>
    <mergeCell ref="D33:D37"/>
    <mergeCell ref="D25:D28"/>
    <mergeCell ref="E33:E37"/>
    <mergeCell ref="D38:D41"/>
    <mergeCell ref="D29:D32"/>
    <mergeCell ref="E29:E32"/>
    <mergeCell ref="G25:G28"/>
    <mergeCell ref="F16:F20"/>
    <mergeCell ref="F21:F24"/>
    <mergeCell ref="F25:F28"/>
    <mergeCell ref="G16:G20"/>
    <mergeCell ref="L1:N1"/>
    <mergeCell ref="I1:K1"/>
    <mergeCell ref="I3:I15"/>
    <mergeCell ref="L3:L15"/>
    <mergeCell ref="J3:J15"/>
    <mergeCell ref="M10:N15"/>
    <mergeCell ref="M3:M7"/>
    <mergeCell ref="N3:N7"/>
    <mergeCell ref="M8:N9"/>
    <mergeCell ref="K3:K15"/>
    <mergeCell ref="E8:E11"/>
    <mergeCell ref="D8:D11"/>
    <mergeCell ref="G21:G24"/>
    <mergeCell ref="H21:H24"/>
    <mergeCell ref="E12:E15"/>
    <mergeCell ref="E21:E24"/>
    <mergeCell ref="F8:F11"/>
    <mergeCell ref="G8:G11"/>
    <mergeCell ref="G12:G15"/>
    <mergeCell ref="E16:E20"/>
    <mergeCell ref="F12:F15"/>
    <mergeCell ref="D12:D15"/>
    <mergeCell ref="D16:D20"/>
    <mergeCell ref="H3:H7"/>
    <mergeCell ref="H12:H15"/>
    <mergeCell ref="H8:H11"/>
    <mergeCell ref="H16:H20"/>
    <mergeCell ref="K16:K28"/>
    <mergeCell ref="J16:J28"/>
    <mergeCell ref="I16:I28"/>
    <mergeCell ref="H25:H28"/>
  </mergeCells>
  <phoneticPr fontId="2" type="noConversion"/>
  <pageMargins left="0.39370078740157483" right="0.39370078740157483" top="0.86614173228346458" bottom="0.39370078740157483" header="0.35433070866141736" footer="0.51181102362204722"/>
  <pageSetup paperSize="9" scale="75" orientation="landscape" r:id="rId1"/>
  <headerFooter alignWithMargins="0">
    <oddHeader>&amp;CACEE CHANTIERS 2012</oddHeader>
    <oddFooter>&amp;C&amp;P</oddFooter>
  </headerFooter>
  <rowBreaks count="3" manualBreakCount="3">
    <brk id="15" max="16383" man="1"/>
    <brk id="28" max="16383" man="1"/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D25"/>
  <sheetViews>
    <sheetView tabSelected="1" workbookViewId="0">
      <selection activeCell="D7" sqref="D7"/>
    </sheetView>
  </sheetViews>
  <sheetFormatPr baseColWidth="10" defaultRowHeight="12.75" x14ac:dyDescent="0.2"/>
  <cols>
    <col min="1" max="1" width="12.7109375" bestFit="1" customWidth="1"/>
    <col min="2" max="2" width="15.28515625" bestFit="1" customWidth="1"/>
    <col min="3" max="3" width="19.42578125" customWidth="1"/>
    <col min="4" max="6" width="20.140625" customWidth="1"/>
  </cols>
  <sheetData>
    <row r="3" spans="1:4" x14ac:dyDescent="0.2">
      <c r="A3" s="73"/>
      <c r="B3" s="74"/>
      <c r="C3" s="77" t="s">
        <v>55</v>
      </c>
      <c r="D3" s="75"/>
    </row>
    <row r="4" spans="1:4" x14ac:dyDescent="0.2">
      <c r="A4" s="77" t="s">
        <v>16</v>
      </c>
      <c r="B4" s="77" t="s">
        <v>41</v>
      </c>
      <c r="C4" s="73" t="s">
        <v>48</v>
      </c>
      <c r="D4" s="81" t="s">
        <v>50</v>
      </c>
    </row>
    <row r="5" spans="1:4" x14ac:dyDescent="0.2">
      <c r="A5" s="73">
        <v>2016</v>
      </c>
      <c r="B5" s="73" t="s">
        <v>19</v>
      </c>
      <c r="C5" s="82">
        <v>54497.5</v>
      </c>
      <c r="D5" s="83">
        <v>128</v>
      </c>
    </row>
    <row r="6" spans="1:4" x14ac:dyDescent="0.2">
      <c r="A6" s="76"/>
      <c r="B6" s="79" t="s">
        <v>10</v>
      </c>
      <c r="C6" s="86">
        <v>110322</v>
      </c>
      <c r="D6" s="87">
        <v>6</v>
      </c>
    </row>
    <row r="7" spans="1:4" x14ac:dyDescent="0.2">
      <c r="A7" s="76"/>
      <c r="B7" s="79" t="s">
        <v>45</v>
      </c>
      <c r="C7" s="86">
        <v>1440</v>
      </c>
      <c r="D7" s="87">
        <v>1</v>
      </c>
    </row>
    <row r="8" spans="1:4" x14ac:dyDescent="0.2">
      <c r="A8" s="76"/>
      <c r="B8" s="79" t="s">
        <v>26</v>
      </c>
      <c r="C8" s="86">
        <v>208652.16999999993</v>
      </c>
      <c r="D8" s="87">
        <v>38</v>
      </c>
    </row>
    <row r="9" spans="1:4" x14ac:dyDescent="0.2">
      <c r="A9" s="76"/>
      <c r="B9" s="79" t="s">
        <v>5</v>
      </c>
      <c r="C9" s="86">
        <v>88114.540000000008</v>
      </c>
      <c r="D9" s="87">
        <v>23</v>
      </c>
    </row>
    <row r="10" spans="1:4" x14ac:dyDescent="0.2">
      <c r="A10" s="76"/>
      <c r="B10" s="79" t="s">
        <v>9</v>
      </c>
      <c r="C10" s="86">
        <v>0</v>
      </c>
      <c r="D10" s="87">
        <v>10</v>
      </c>
    </row>
    <row r="11" spans="1:4" x14ac:dyDescent="0.2">
      <c r="A11" s="76"/>
      <c r="B11" s="79" t="s">
        <v>6</v>
      </c>
      <c r="C11" s="86">
        <v>6814</v>
      </c>
      <c r="D11" s="87">
        <v>1</v>
      </c>
    </row>
    <row r="12" spans="1:4" x14ac:dyDescent="0.2">
      <c r="A12" s="76"/>
      <c r="B12" s="79" t="s">
        <v>46</v>
      </c>
      <c r="C12" s="86">
        <v>0</v>
      </c>
      <c r="D12" s="87">
        <v>1</v>
      </c>
    </row>
    <row r="13" spans="1:4" x14ac:dyDescent="0.2">
      <c r="A13" s="76"/>
      <c r="B13" s="79" t="s">
        <v>44</v>
      </c>
      <c r="C13" s="86">
        <v>0</v>
      </c>
      <c r="D13" s="87">
        <v>1</v>
      </c>
    </row>
    <row r="14" spans="1:4" x14ac:dyDescent="0.2">
      <c r="A14" s="76"/>
      <c r="B14" s="79" t="s">
        <v>3</v>
      </c>
      <c r="C14" s="86">
        <v>252917.9</v>
      </c>
      <c r="D14" s="87">
        <v>105</v>
      </c>
    </row>
    <row r="15" spans="1:4" x14ac:dyDescent="0.2">
      <c r="A15" s="76"/>
      <c r="B15" s="79" t="s">
        <v>0</v>
      </c>
      <c r="C15" s="86">
        <v>321843.91000000003</v>
      </c>
      <c r="D15" s="87">
        <v>102</v>
      </c>
    </row>
    <row r="16" spans="1:4" x14ac:dyDescent="0.2">
      <c r="A16" s="76"/>
      <c r="B16" s="79" t="s">
        <v>2</v>
      </c>
      <c r="C16" s="86">
        <v>12797.89</v>
      </c>
      <c r="D16" s="87">
        <v>5</v>
      </c>
    </row>
    <row r="17" spans="1:4" x14ac:dyDescent="0.2">
      <c r="A17" s="76"/>
      <c r="B17" s="79" t="s">
        <v>43</v>
      </c>
      <c r="C17" s="86">
        <v>0</v>
      </c>
      <c r="D17" s="87">
        <v>1</v>
      </c>
    </row>
    <row r="18" spans="1:4" x14ac:dyDescent="0.2">
      <c r="A18" s="76"/>
      <c r="B18" s="79" t="s">
        <v>21</v>
      </c>
      <c r="C18" s="86">
        <v>6062.17</v>
      </c>
      <c r="D18" s="87">
        <v>1</v>
      </c>
    </row>
    <row r="19" spans="1:4" x14ac:dyDescent="0.2">
      <c r="A19" s="76"/>
      <c r="B19" s="79" t="s">
        <v>40</v>
      </c>
      <c r="C19" s="86">
        <v>96222.546363636357</v>
      </c>
      <c r="D19" s="87">
        <v>50</v>
      </c>
    </row>
    <row r="20" spans="1:4" x14ac:dyDescent="0.2">
      <c r="A20" s="73" t="s">
        <v>52</v>
      </c>
      <c r="B20" s="74"/>
      <c r="C20" s="88">
        <v>1159684.6263636365</v>
      </c>
      <c r="D20" s="83">
        <v>473</v>
      </c>
    </row>
    <row r="21" spans="1:4" hidden="1" x14ac:dyDescent="0.2">
      <c r="A21" s="73" t="s">
        <v>53</v>
      </c>
      <c r="B21" s="73" t="s">
        <v>51</v>
      </c>
      <c r="C21" s="82">
        <v>0</v>
      </c>
      <c r="D21" s="83">
        <v>92</v>
      </c>
    </row>
    <row r="22" spans="1:4" hidden="1" x14ac:dyDescent="0.2">
      <c r="A22" s="73" t="s">
        <v>54</v>
      </c>
      <c r="B22" s="74"/>
      <c r="C22" s="82">
        <v>0</v>
      </c>
      <c r="D22" s="83">
        <v>92</v>
      </c>
    </row>
    <row r="23" spans="1:4" hidden="1" x14ac:dyDescent="0.2">
      <c r="A23" s="73" t="s">
        <v>51</v>
      </c>
      <c r="B23" s="73" t="s">
        <v>51</v>
      </c>
      <c r="C23" s="82"/>
      <c r="D23" s="83">
        <v>304</v>
      </c>
    </row>
    <row r="24" spans="1:4" hidden="1" x14ac:dyDescent="0.2">
      <c r="A24" s="73" t="s">
        <v>56</v>
      </c>
      <c r="B24" s="74"/>
      <c r="C24" s="82"/>
      <c r="D24" s="83">
        <v>304</v>
      </c>
    </row>
    <row r="25" spans="1:4" hidden="1" x14ac:dyDescent="0.2">
      <c r="A25" s="78" t="s">
        <v>49</v>
      </c>
      <c r="B25" s="80"/>
      <c r="C25" s="84">
        <v>1159684.6263636365</v>
      </c>
      <c r="D25" s="85">
        <v>869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70"/>
  <sheetViews>
    <sheetView zoomScaleNormal="55" zoomScaleSheetLayoutView="145" workbookViewId="0">
      <pane ySplit="1" topLeftCell="A551" activePane="bottomLeft" state="frozenSplit"/>
      <selection activeCell="E1" sqref="E1"/>
      <selection pane="bottomLeft" activeCell="G567" sqref="G567"/>
    </sheetView>
  </sheetViews>
  <sheetFormatPr baseColWidth="10" defaultRowHeight="13.5" outlineLevelCol="1" x14ac:dyDescent="0.25"/>
  <cols>
    <col min="1" max="1" width="10.5703125" style="55" customWidth="1"/>
    <col min="2" max="2" width="9.5703125" style="42" hidden="1" customWidth="1" outlineLevel="1"/>
    <col min="3" max="3" width="6.28515625" style="42" hidden="1" customWidth="1" outlineLevel="1"/>
    <col min="4" max="4" width="10" style="42" hidden="1" customWidth="1" outlineLevel="1"/>
    <col min="5" max="5" width="10" style="41" customWidth="1" collapsed="1"/>
    <col min="6" max="6" width="13.7109375" style="40" customWidth="1"/>
    <col min="7" max="7" width="14" style="37" customWidth="1"/>
    <col min="8" max="8" width="12.5703125" style="43" customWidth="1"/>
    <col min="9" max="9" width="12.5703125" style="43" customWidth="1" outlineLevel="1"/>
    <col min="10" max="11" width="11.42578125" style="31" customWidth="1"/>
    <col min="13" max="13" width="11" customWidth="1"/>
  </cols>
  <sheetData>
    <row r="1" spans="1:10" ht="38.25" customHeight="1" thickBot="1" x14ac:dyDescent="0.25">
      <c r="A1" s="54" t="s">
        <v>18</v>
      </c>
      <c r="B1" s="52" t="s">
        <v>22</v>
      </c>
      <c r="C1" s="34" t="s">
        <v>16</v>
      </c>
      <c r="D1" s="34" t="s">
        <v>17</v>
      </c>
      <c r="E1" s="36" t="s">
        <v>42</v>
      </c>
      <c r="F1" s="35" t="s">
        <v>41</v>
      </c>
      <c r="G1" s="44" t="s">
        <v>37</v>
      </c>
      <c r="H1" s="38" t="s">
        <v>20</v>
      </c>
      <c r="I1" s="38" t="s">
        <v>47</v>
      </c>
    </row>
    <row r="2" spans="1:10" s="48" customFormat="1" x14ac:dyDescent="0.25">
      <c r="A2" s="56">
        <v>33347</v>
      </c>
      <c r="B2" s="59">
        <f>IF(E2="","",MONTH(E2))</f>
        <v>1</v>
      </c>
      <c r="C2" s="60">
        <f>IF(E2="","",YEAR(E2))</f>
        <v>2016</v>
      </c>
      <c r="D2" s="60">
        <f t="shared" ref="D2:D64" si="0">IF(E2="","",WEEKNUM(E2,2))</f>
        <v>2</v>
      </c>
      <c r="E2" s="57">
        <v>42373</v>
      </c>
      <c r="F2" s="56" t="s">
        <v>40</v>
      </c>
      <c r="G2" s="56">
        <f>H2+(I2*0.06)</f>
        <v>1057.5</v>
      </c>
      <c r="H2" s="58">
        <f>1163.25/1.1</f>
        <v>1057.5</v>
      </c>
      <c r="I2" s="58"/>
      <c r="J2" s="47"/>
    </row>
    <row r="3" spans="1:10" s="48" customFormat="1" x14ac:dyDescent="0.25">
      <c r="A3" s="56">
        <v>33348</v>
      </c>
      <c r="B3" s="59">
        <f t="shared" ref="B3:B66" si="1">IF(E3="","",MONTH(E3))</f>
        <v>1</v>
      </c>
      <c r="C3" s="60">
        <f t="shared" ref="C3:C66" si="2">IF(E3="","",YEAR(E3))</f>
        <v>2016</v>
      </c>
      <c r="D3" s="60">
        <f t="shared" si="0"/>
        <v>2</v>
      </c>
      <c r="E3" s="57">
        <v>42373</v>
      </c>
      <c r="F3" s="56" t="s">
        <v>40</v>
      </c>
      <c r="G3" s="56">
        <f>H3+(I3*0.06)</f>
        <v>103.49999999999999</v>
      </c>
      <c r="H3" s="58">
        <f>113.85/1.1</f>
        <v>103.49999999999999</v>
      </c>
      <c r="I3" s="58"/>
      <c r="J3" s="47"/>
    </row>
    <row r="4" spans="1:10" s="48" customFormat="1" x14ac:dyDescent="0.25">
      <c r="A4" s="56">
        <v>33349</v>
      </c>
      <c r="B4" s="59">
        <f t="shared" si="1"/>
        <v>1</v>
      </c>
      <c r="C4" s="60">
        <f t="shared" si="2"/>
        <v>2016</v>
      </c>
      <c r="D4" s="60">
        <f t="shared" si="0"/>
        <v>2</v>
      </c>
      <c r="E4" s="57">
        <v>42373</v>
      </c>
      <c r="F4" s="56" t="s">
        <v>19</v>
      </c>
      <c r="G4" s="56">
        <f>H4+(I4*0.06)</f>
        <v>148</v>
      </c>
      <c r="H4" s="58">
        <v>148</v>
      </c>
      <c r="I4" s="58"/>
      <c r="J4" s="47"/>
    </row>
    <row r="5" spans="1:10" s="48" customFormat="1" x14ac:dyDescent="0.25">
      <c r="A5" s="49">
        <v>33350</v>
      </c>
      <c r="B5" s="53">
        <f t="shared" si="1"/>
        <v>1</v>
      </c>
      <c r="C5" s="50">
        <f t="shared" si="2"/>
        <v>2016</v>
      </c>
      <c r="D5" s="50">
        <f t="shared" si="0"/>
        <v>2</v>
      </c>
      <c r="E5" s="51">
        <v>42373</v>
      </c>
      <c r="F5" s="49" t="s">
        <v>19</v>
      </c>
      <c r="G5" s="45">
        <f>H5+(I5*0.06)</f>
        <v>175</v>
      </c>
      <c r="H5" s="45">
        <v>175</v>
      </c>
      <c r="I5" s="45"/>
      <c r="J5" s="47"/>
    </row>
    <row r="6" spans="1:10" s="48" customFormat="1" x14ac:dyDescent="0.25">
      <c r="A6" s="49">
        <v>33351</v>
      </c>
      <c r="B6" s="53">
        <f t="shared" si="1"/>
        <v>1</v>
      </c>
      <c r="C6" s="50">
        <f t="shared" si="2"/>
        <v>2016</v>
      </c>
      <c r="D6" s="50">
        <f t="shared" si="0"/>
        <v>2</v>
      </c>
      <c r="E6" s="51">
        <v>42373</v>
      </c>
      <c r="F6" s="49" t="s">
        <v>19</v>
      </c>
      <c r="G6" s="45">
        <f>H6+(I6*0.06)</f>
        <v>175</v>
      </c>
      <c r="H6" s="45">
        <v>175</v>
      </c>
      <c r="I6" s="45"/>
      <c r="J6" s="47"/>
    </row>
    <row r="7" spans="1:10" s="48" customFormat="1" x14ac:dyDescent="0.25">
      <c r="A7" s="49">
        <v>33352</v>
      </c>
      <c r="B7" s="53">
        <f t="shared" si="1"/>
        <v>1</v>
      </c>
      <c r="C7" s="50">
        <f t="shared" si="2"/>
        <v>2016</v>
      </c>
      <c r="D7" s="50">
        <f t="shared" si="0"/>
        <v>2</v>
      </c>
      <c r="E7" s="51">
        <v>42373</v>
      </c>
      <c r="F7" s="49" t="s">
        <v>26</v>
      </c>
      <c r="G7" s="45">
        <f>H7+(I7*0.06)</f>
        <v>2361.21</v>
      </c>
      <c r="H7" s="45">
        <v>2361.21</v>
      </c>
      <c r="I7" s="45"/>
      <c r="J7" s="47"/>
    </row>
    <row r="8" spans="1:10" s="48" customFormat="1" x14ac:dyDescent="0.25">
      <c r="A8" s="49">
        <v>33353</v>
      </c>
      <c r="B8" s="53">
        <f t="shared" si="1"/>
        <v>1</v>
      </c>
      <c r="C8" s="50">
        <f t="shared" si="2"/>
        <v>2016</v>
      </c>
      <c r="D8" s="50">
        <f t="shared" si="0"/>
        <v>2</v>
      </c>
      <c r="E8" s="51">
        <v>42374</v>
      </c>
      <c r="F8" s="49" t="s">
        <v>3</v>
      </c>
      <c r="G8" s="45">
        <f>H8+(I8*0.06)</f>
        <v>8263.5</v>
      </c>
      <c r="H8" s="45">
        <v>8263.5</v>
      </c>
      <c r="I8" s="45"/>
      <c r="J8" s="47"/>
    </row>
    <row r="9" spans="1:10" s="48" customFormat="1" x14ac:dyDescent="0.25">
      <c r="A9" s="49">
        <v>33354</v>
      </c>
      <c r="B9" s="53">
        <f t="shared" si="1"/>
        <v>1</v>
      </c>
      <c r="C9" s="50">
        <f t="shared" si="2"/>
        <v>2016</v>
      </c>
      <c r="D9" s="50">
        <f t="shared" si="0"/>
        <v>2</v>
      </c>
      <c r="E9" s="51">
        <v>42374</v>
      </c>
      <c r="F9" s="49" t="s">
        <v>3</v>
      </c>
      <c r="G9" s="45">
        <f>H9+(I9*0.06)</f>
        <v>3780.5</v>
      </c>
      <c r="H9" s="45">
        <v>3780.5</v>
      </c>
      <c r="I9" s="45"/>
      <c r="J9" s="47"/>
    </row>
    <row r="10" spans="1:10" s="48" customFormat="1" x14ac:dyDescent="0.25">
      <c r="A10" s="49">
        <v>33355</v>
      </c>
      <c r="B10" s="53">
        <f t="shared" si="1"/>
        <v>1</v>
      </c>
      <c r="C10" s="50">
        <f t="shared" si="2"/>
        <v>2016</v>
      </c>
      <c r="D10" s="50">
        <f t="shared" si="0"/>
        <v>2</v>
      </c>
      <c r="E10" s="51">
        <v>42374</v>
      </c>
      <c r="F10" s="49" t="s">
        <v>3</v>
      </c>
      <c r="G10" s="45">
        <f>H10+(I10*0.06)</f>
        <v>6287</v>
      </c>
      <c r="H10" s="45">
        <v>6287</v>
      </c>
      <c r="I10" s="45"/>
      <c r="J10" s="47"/>
    </row>
    <row r="11" spans="1:10" s="48" customFormat="1" x14ac:dyDescent="0.25">
      <c r="A11" s="49">
        <v>33356</v>
      </c>
      <c r="B11" s="53">
        <f t="shared" si="1"/>
        <v>1</v>
      </c>
      <c r="C11" s="50">
        <f t="shared" si="2"/>
        <v>2016</v>
      </c>
      <c r="D11" s="50">
        <f t="shared" si="0"/>
        <v>2</v>
      </c>
      <c r="E11" s="51">
        <v>42374</v>
      </c>
      <c r="F11" s="49" t="s">
        <v>19</v>
      </c>
      <c r="G11" s="45">
        <f>H11+(I11*0.06)</f>
        <v>35</v>
      </c>
      <c r="H11" s="45">
        <v>35</v>
      </c>
      <c r="I11" s="45"/>
      <c r="J11" s="47"/>
    </row>
    <row r="12" spans="1:10" s="48" customFormat="1" x14ac:dyDescent="0.25">
      <c r="A12" s="49">
        <v>33357</v>
      </c>
      <c r="B12" s="53">
        <f t="shared" si="1"/>
        <v>1</v>
      </c>
      <c r="C12" s="50">
        <f t="shared" si="2"/>
        <v>2016</v>
      </c>
      <c r="D12" s="50">
        <f t="shared" si="0"/>
        <v>2</v>
      </c>
      <c r="E12" s="51">
        <v>42374</v>
      </c>
      <c r="F12" s="49" t="s">
        <v>19</v>
      </c>
      <c r="G12" s="45">
        <f>H12+(I12*0.06)</f>
        <v>55</v>
      </c>
      <c r="H12" s="45">
        <v>55</v>
      </c>
      <c r="I12" s="45"/>
      <c r="J12" s="47"/>
    </row>
    <row r="13" spans="1:10" s="48" customFormat="1" x14ac:dyDescent="0.25">
      <c r="A13" s="56">
        <v>33358</v>
      </c>
      <c r="B13" s="53">
        <f t="shared" si="1"/>
        <v>1</v>
      </c>
      <c r="C13" s="50">
        <f t="shared" si="2"/>
        <v>2016</v>
      </c>
      <c r="D13" s="50">
        <f t="shared" si="0"/>
        <v>2</v>
      </c>
      <c r="E13" s="57">
        <v>42374</v>
      </c>
      <c r="F13" s="56" t="s">
        <v>19</v>
      </c>
      <c r="G13" s="72">
        <f>H13+(I13*0.06)</f>
        <v>37</v>
      </c>
      <c r="H13" s="58">
        <v>37</v>
      </c>
      <c r="I13" s="58"/>
      <c r="J13" s="47"/>
    </row>
    <row r="14" spans="1:10" s="48" customFormat="1" x14ac:dyDescent="0.25">
      <c r="A14" s="49">
        <v>33359</v>
      </c>
      <c r="B14" s="53">
        <f t="shared" si="1"/>
        <v>1</v>
      </c>
      <c r="C14" s="50">
        <f t="shared" si="2"/>
        <v>2016</v>
      </c>
      <c r="D14" s="50">
        <f t="shared" si="0"/>
        <v>2</v>
      </c>
      <c r="E14" s="51">
        <v>42374</v>
      </c>
      <c r="F14" s="49" t="s">
        <v>19</v>
      </c>
      <c r="G14" s="45">
        <f>H14+(I14*0.06)</f>
        <v>745</v>
      </c>
      <c r="H14" s="45">
        <v>745</v>
      </c>
      <c r="I14" s="45"/>
      <c r="J14" s="47"/>
    </row>
    <row r="15" spans="1:10" s="48" customFormat="1" x14ac:dyDescent="0.25">
      <c r="A15" s="56">
        <v>33360</v>
      </c>
      <c r="B15" s="59">
        <f t="shared" si="1"/>
        <v>1</v>
      </c>
      <c r="C15" s="60">
        <f t="shared" si="2"/>
        <v>2016</v>
      </c>
      <c r="D15" s="60">
        <f t="shared" si="0"/>
        <v>2</v>
      </c>
      <c r="E15" s="57">
        <v>42374</v>
      </c>
      <c r="F15" s="56" t="s">
        <v>0</v>
      </c>
      <c r="G15" s="72">
        <f>H15+(I15*0.06)</f>
        <v>4161.2</v>
      </c>
      <c r="H15" s="58">
        <v>4161.2</v>
      </c>
      <c r="I15" s="58"/>
      <c r="J15" s="47"/>
    </row>
    <row r="16" spans="1:10" s="48" customFormat="1" x14ac:dyDescent="0.25">
      <c r="A16" s="56">
        <v>33361</v>
      </c>
      <c r="B16" s="53">
        <f t="shared" si="1"/>
        <v>1</v>
      </c>
      <c r="C16" s="50">
        <f t="shared" si="2"/>
        <v>2016</v>
      </c>
      <c r="D16" s="50">
        <f t="shared" si="0"/>
        <v>2</v>
      </c>
      <c r="E16" s="57">
        <v>42374</v>
      </c>
      <c r="F16" s="56" t="s">
        <v>19</v>
      </c>
      <c r="G16" s="72">
        <f>H16+(I16*0.06)</f>
        <v>1286</v>
      </c>
      <c r="H16" s="58">
        <v>1286</v>
      </c>
      <c r="I16" s="58"/>
      <c r="J16" s="47"/>
    </row>
    <row r="17" spans="1:10" s="48" customFormat="1" x14ac:dyDescent="0.25">
      <c r="A17" s="49">
        <v>33362</v>
      </c>
      <c r="B17" s="53">
        <f t="shared" si="1"/>
        <v>1</v>
      </c>
      <c r="C17" s="50">
        <f t="shared" si="2"/>
        <v>2016</v>
      </c>
      <c r="D17" s="50">
        <f t="shared" si="0"/>
        <v>2</v>
      </c>
      <c r="E17" s="51">
        <v>42374</v>
      </c>
      <c r="F17" s="49" t="s">
        <v>19</v>
      </c>
      <c r="G17" s="45">
        <f>H17+(I17*0.06)</f>
        <v>0</v>
      </c>
      <c r="H17" s="45"/>
      <c r="I17" s="45"/>
      <c r="J17" s="47"/>
    </row>
    <row r="18" spans="1:10" s="48" customFormat="1" x14ac:dyDescent="0.25">
      <c r="A18" s="56">
        <v>33363</v>
      </c>
      <c r="B18" s="59">
        <f t="shared" si="1"/>
        <v>1</v>
      </c>
      <c r="C18" s="60">
        <f t="shared" si="2"/>
        <v>2016</v>
      </c>
      <c r="D18" s="60">
        <f t="shared" si="0"/>
        <v>2</v>
      </c>
      <c r="E18" s="57">
        <v>42374</v>
      </c>
      <c r="F18" s="56" t="s">
        <v>40</v>
      </c>
      <c r="G18" s="72">
        <f>H18+(I18*0.06)</f>
        <v>1537.9999999999998</v>
      </c>
      <c r="H18" s="58">
        <f>1691.8/1.1</f>
        <v>1537.9999999999998</v>
      </c>
      <c r="I18" s="58"/>
      <c r="J18" s="47"/>
    </row>
    <row r="19" spans="1:10" s="48" customFormat="1" x14ac:dyDescent="0.25">
      <c r="A19" s="49">
        <v>33364</v>
      </c>
      <c r="B19" s="53">
        <f t="shared" si="1"/>
        <v>1</v>
      </c>
      <c r="C19" s="50">
        <f t="shared" si="2"/>
        <v>2016</v>
      </c>
      <c r="D19" s="50">
        <f t="shared" si="0"/>
        <v>2</v>
      </c>
      <c r="E19" s="51">
        <v>42374</v>
      </c>
      <c r="F19" s="49" t="s">
        <v>26</v>
      </c>
      <c r="G19" s="45">
        <f>H19+(I19*0.06)</f>
        <v>1391.52</v>
      </c>
      <c r="H19" s="45">
        <v>1391.52</v>
      </c>
      <c r="I19" s="45"/>
      <c r="J19" s="47"/>
    </row>
    <row r="20" spans="1:10" s="48" customFormat="1" x14ac:dyDescent="0.25">
      <c r="A20" s="56">
        <v>33365</v>
      </c>
      <c r="B20" s="59">
        <f t="shared" si="1"/>
        <v>1</v>
      </c>
      <c r="C20" s="60">
        <f t="shared" si="2"/>
        <v>2016</v>
      </c>
      <c r="D20" s="60">
        <f t="shared" si="0"/>
        <v>2</v>
      </c>
      <c r="E20" s="57">
        <v>42374</v>
      </c>
      <c r="F20" s="56" t="s">
        <v>0</v>
      </c>
      <c r="G20" s="72">
        <f>H20+(I20*0.06)</f>
        <v>778.73</v>
      </c>
      <c r="H20" s="58">
        <v>778.73</v>
      </c>
      <c r="I20" s="58"/>
      <c r="J20" s="47"/>
    </row>
    <row r="21" spans="1:10" s="48" customFormat="1" x14ac:dyDescent="0.25">
      <c r="A21" s="56">
        <v>33366</v>
      </c>
      <c r="B21" s="53">
        <f t="shared" si="1"/>
        <v>1</v>
      </c>
      <c r="C21" s="50">
        <f t="shared" si="2"/>
        <v>2016</v>
      </c>
      <c r="D21" s="50">
        <f t="shared" si="0"/>
        <v>2</v>
      </c>
      <c r="E21" s="57">
        <v>42374</v>
      </c>
      <c r="F21" s="56" t="s">
        <v>5</v>
      </c>
      <c r="G21" s="72">
        <f>H21+(I21*0.06)</f>
        <v>3100.42</v>
      </c>
      <c r="H21" s="58">
        <v>3100.42</v>
      </c>
      <c r="I21" s="58"/>
      <c r="J21" s="47"/>
    </row>
    <row r="22" spans="1:10" s="48" customFormat="1" x14ac:dyDescent="0.25">
      <c r="A22" s="56">
        <v>33367</v>
      </c>
      <c r="B22" s="59">
        <f t="shared" si="1"/>
        <v>1</v>
      </c>
      <c r="C22" s="60">
        <f t="shared" si="2"/>
        <v>2016</v>
      </c>
      <c r="D22" s="60">
        <f t="shared" si="0"/>
        <v>2</v>
      </c>
      <c r="E22" s="57">
        <v>42374</v>
      </c>
      <c r="F22" s="56" t="s">
        <v>0</v>
      </c>
      <c r="G22" s="72">
        <f>H22+(I22*0.06)</f>
        <v>437.25</v>
      </c>
      <c r="H22" s="58">
        <v>437.25</v>
      </c>
      <c r="I22" s="58"/>
      <c r="J22" s="47"/>
    </row>
    <row r="23" spans="1:10" s="48" customFormat="1" x14ac:dyDescent="0.25">
      <c r="A23" s="56">
        <v>33368</v>
      </c>
      <c r="B23" s="53">
        <f t="shared" si="1"/>
        <v>1</v>
      </c>
      <c r="C23" s="50">
        <f t="shared" si="2"/>
        <v>2016</v>
      </c>
      <c r="D23" s="50">
        <f t="shared" si="0"/>
        <v>2</v>
      </c>
      <c r="E23" s="57">
        <v>42374</v>
      </c>
      <c r="F23" s="56" t="s">
        <v>3</v>
      </c>
      <c r="G23" s="72">
        <f>H23+(I23*0.06)</f>
        <v>1900</v>
      </c>
      <c r="H23" s="58">
        <v>1900</v>
      </c>
      <c r="I23" s="58"/>
      <c r="J23" s="47"/>
    </row>
    <row r="24" spans="1:10" s="48" customFormat="1" x14ac:dyDescent="0.25">
      <c r="A24" s="49">
        <v>33369</v>
      </c>
      <c r="B24" s="53">
        <f t="shared" si="1"/>
        <v>1</v>
      </c>
      <c r="C24" s="50">
        <f t="shared" si="2"/>
        <v>2016</v>
      </c>
      <c r="D24" s="50">
        <f t="shared" si="0"/>
        <v>2</v>
      </c>
      <c r="E24" s="51">
        <v>42374</v>
      </c>
      <c r="F24" s="49" t="s">
        <v>0</v>
      </c>
      <c r="G24" s="45">
        <f>H24+(I24*0.06)</f>
        <v>3249.3</v>
      </c>
      <c r="H24" s="45">
        <v>3249.3</v>
      </c>
      <c r="I24" s="45"/>
      <c r="J24" s="47"/>
    </row>
    <row r="25" spans="1:10" s="48" customFormat="1" x14ac:dyDescent="0.25">
      <c r="A25" s="49">
        <v>33370</v>
      </c>
      <c r="B25" s="53">
        <f t="shared" si="1"/>
        <v>1</v>
      </c>
      <c r="C25" s="50">
        <f t="shared" si="2"/>
        <v>2016</v>
      </c>
      <c r="D25" s="50">
        <f t="shared" si="0"/>
        <v>2</v>
      </c>
      <c r="E25" s="51">
        <v>42374</v>
      </c>
      <c r="F25" s="49" t="s">
        <v>0</v>
      </c>
      <c r="G25" s="45">
        <f>H25+(I25*0.06)</f>
        <v>40737.43</v>
      </c>
      <c r="H25" s="45">
        <v>40737.43</v>
      </c>
      <c r="I25" s="45"/>
      <c r="J25" s="47"/>
    </row>
    <row r="26" spans="1:10" s="48" customFormat="1" x14ac:dyDescent="0.25">
      <c r="A26" s="49">
        <v>33371</v>
      </c>
      <c r="B26" s="53">
        <f t="shared" si="1"/>
        <v>1</v>
      </c>
      <c r="C26" s="50">
        <f t="shared" si="2"/>
        <v>2016</v>
      </c>
      <c r="D26" s="50">
        <f t="shared" si="0"/>
        <v>2</v>
      </c>
      <c r="E26" s="51">
        <v>42375</v>
      </c>
      <c r="F26" s="49" t="s">
        <v>0</v>
      </c>
      <c r="G26" s="45">
        <f>H26+(I26*0.06)</f>
        <v>0</v>
      </c>
      <c r="H26" s="45"/>
      <c r="I26" s="45"/>
      <c r="J26" s="47"/>
    </row>
    <row r="27" spans="1:10" s="48" customFormat="1" x14ac:dyDescent="0.25">
      <c r="A27" s="56">
        <v>33372</v>
      </c>
      <c r="B27" s="59">
        <f t="shared" si="1"/>
        <v>1</v>
      </c>
      <c r="C27" s="60">
        <f t="shared" si="2"/>
        <v>2016</v>
      </c>
      <c r="D27" s="60">
        <f t="shared" si="0"/>
        <v>2</v>
      </c>
      <c r="E27" s="57">
        <v>42375</v>
      </c>
      <c r="F27" s="56" t="s">
        <v>19</v>
      </c>
      <c r="G27" s="72">
        <f>H27+(I27*0.06)</f>
        <v>134</v>
      </c>
      <c r="H27" s="58">
        <v>134</v>
      </c>
      <c r="I27" s="58"/>
      <c r="J27" s="47"/>
    </row>
    <row r="28" spans="1:10" s="48" customFormat="1" x14ac:dyDescent="0.25">
      <c r="A28" s="56">
        <v>33373</v>
      </c>
      <c r="B28" s="59">
        <f t="shared" si="1"/>
        <v>1</v>
      </c>
      <c r="C28" s="60">
        <f t="shared" si="2"/>
        <v>2016</v>
      </c>
      <c r="D28" s="60">
        <f t="shared" si="0"/>
        <v>2</v>
      </c>
      <c r="E28" s="57">
        <v>42375</v>
      </c>
      <c r="F28" s="56" t="s">
        <v>19</v>
      </c>
      <c r="G28" s="72">
        <f>H28+(I28*0.06)</f>
        <v>4075</v>
      </c>
      <c r="H28" s="58">
        <v>4075</v>
      </c>
      <c r="I28" s="58"/>
      <c r="J28" s="47"/>
    </row>
    <row r="29" spans="1:10" s="48" customFormat="1" x14ac:dyDescent="0.25">
      <c r="A29" s="56">
        <v>33374</v>
      </c>
      <c r="B29" s="59">
        <f t="shared" si="1"/>
        <v>1</v>
      </c>
      <c r="C29" s="60">
        <f t="shared" si="2"/>
        <v>2016</v>
      </c>
      <c r="D29" s="60">
        <f t="shared" si="0"/>
        <v>2</v>
      </c>
      <c r="E29" s="57">
        <v>42375</v>
      </c>
      <c r="F29" s="56" t="s">
        <v>19</v>
      </c>
      <c r="G29" s="72">
        <f>H29+(I29*0.06)</f>
        <v>712</v>
      </c>
      <c r="H29" s="58">
        <v>712</v>
      </c>
      <c r="I29" s="58"/>
      <c r="J29" s="47"/>
    </row>
    <row r="30" spans="1:10" s="48" customFormat="1" x14ac:dyDescent="0.25">
      <c r="A30" s="49">
        <v>33375</v>
      </c>
      <c r="B30" s="53">
        <f t="shared" si="1"/>
        <v>1</v>
      </c>
      <c r="C30" s="50">
        <f t="shared" si="2"/>
        <v>2016</v>
      </c>
      <c r="D30" s="50">
        <f t="shared" si="0"/>
        <v>2</v>
      </c>
      <c r="E30" s="51">
        <v>42375</v>
      </c>
      <c r="F30" s="49" t="s">
        <v>19</v>
      </c>
      <c r="G30" s="45">
        <f>H30+(I30*0.06)</f>
        <v>525</v>
      </c>
      <c r="H30" s="45">
        <v>525</v>
      </c>
      <c r="I30" s="45"/>
      <c r="J30" s="47"/>
    </row>
    <row r="31" spans="1:10" s="48" customFormat="1" x14ac:dyDescent="0.25">
      <c r="A31" s="56">
        <v>33376</v>
      </c>
      <c r="B31" s="53">
        <f t="shared" si="1"/>
        <v>1</v>
      </c>
      <c r="C31" s="50">
        <f t="shared" si="2"/>
        <v>2016</v>
      </c>
      <c r="D31" s="50">
        <f t="shared" si="0"/>
        <v>2</v>
      </c>
      <c r="E31" s="57">
        <v>42375</v>
      </c>
      <c r="F31" s="56" t="s">
        <v>40</v>
      </c>
      <c r="G31" s="72">
        <f>H31+(I31*0.06)</f>
        <v>4039.8636363636365</v>
      </c>
      <c r="H31" s="58">
        <f>4443.85/1.1</f>
        <v>4039.8636363636365</v>
      </c>
      <c r="I31" s="58"/>
      <c r="J31" s="47"/>
    </row>
    <row r="32" spans="1:10" s="48" customFormat="1" x14ac:dyDescent="0.25">
      <c r="A32" s="56">
        <v>33377</v>
      </c>
      <c r="B32" s="53">
        <f t="shared" si="1"/>
        <v>1</v>
      </c>
      <c r="C32" s="50">
        <f t="shared" si="2"/>
        <v>2016</v>
      </c>
      <c r="D32" s="50">
        <f t="shared" si="0"/>
        <v>2</v>
      </c>
      <c r="E32" s="57">
        <v>42375</v>
      </c>
      <c r="F32" s="56" t="s">
        <v>40</v>
      </c>
      <c r="G32" s="72">
        <f>H32+(I32*0.06)</f>
        <v>163.63636363636363</v>
      </c>
      <c r="H32" s="58">
        <f>180/1.1</f>
        <v>163.63636363636363</v>
      </c>
      <c r="I32" s="58"/>
      <c r="J32" s="47"/>
    </row>
    <row r="33" spans="1:10" s="48" customFormat="1" x14ac:dyDescent="0.25">
      <c r="A33" s="56">
        <v>33378</v>
      </c>
      <c r="B33" s="59">
        <f t="shared" si="1"/>
        <v>1</v>
      </c>
      <c r="C33" s="60">
        <f t="shared" si="2"/>
        <v>2016</v>
      </c>
      <c r="D33" s="60">
        <f t="shared" si="0"/>
        <v>2</v>
      </c>
      <c r="E33" s="57">
        <v>42375</v>
      </c>
      <c r="F33" s="56" t="s">
        <v>3</v>
      </c>
      <c r="G33" s="72">
        <f>H33+(I33*0.06)</f>
        <v>662</v>
      </c>
      <c r="H33" s="58">
        <v>662</v>
      </c>
      <c r="I33" s="58"/>
      <c r="J33" s="47"/>
    </row>
    <row r="34" spans="1:10" s="48" customFormat="1" x14ac:dyDescent="0.25">
      <c r="A34" s="56">
        <v>33379</v>
      </c>
      <c r="B34" s="59">
        <f t="shared" si="1"/>
        <v>1</v>
      </c>
      <c r="C34" s="60">
        <f t="shared" si="2"/>
        <v>2016</v>
      </c>
      <c r="D34" s="60">
        <f t="shared" si="0"/>
        <v>2</v>
      </c>
      <c r="E34" s="57">
        <v>42376</v>
      </c>
      <c r="F34" s="56" t="s">
        <v>26</v>
      </c>
      <c r="G34" s="72">
        <f>H34+(I34*0.06)</f>
        <v>338</v>
      </c>
      <c r="H34" s="58">
        <v>338</v>
      </c>
      <c r="I34" s="58"/>
      <c r="J34" s="47"/>
    </row>
    <row r="35" spans="1:10" s="48" customFormat="1" x14ac:dyDescent="0.25">
      <c r="A35" s="56">
        <v>33380</v>
      </c>
      <c r="B35" s="59">
        <f t="shared" si="1"/>
        <v>1</v>
      </c>
      <c r="C35" s="60">
        <f t="shared" si="2"/>
        <v>2016</v>
      </c>
      <c r="D35" s="60">
        <f t="shared" si="0"/>
        <v>2</v>
      </c>
      <c r="E35" s="57">
        <v>42376</v>
      </c>
      <c r="F35" s="56" t="s">
        <v>26</v>
      </c>
      <c r="G35" s="72">
        <f>H35+(I35*0.06)</f>
        <v>982.7</v>
      </c>
      <c r="H35" s="58">
        <v>982.7</v>
      </c>
      <c r="I35" s="58"/>
      <c r="J35" s="47"/>
    </row>
    <row r="36" spans="1:10" s="48" customFormat="1" x14ac:dyDescent="0.25">
      <c r="A36" s="49">
        <v>33381</v>
      </c>
      <c r="B36" s="53">
        <f t="shared" si="1"/>
        <v>1</v>
      </c>
      <c r="C36" s="50">
        <f t="shared" si="2"/>
        <v>2016</v>
      </c>
      <c r="D36" s="50">
        <f t="shared" si="0"/>
        <v>2</v>
      </c>
      <c r="E36" s="51">
        <v>42376</v>
      </c>
      <c r="F36" s="49" t="s">
        <v>19</v>
      </c>
      <c r="G36" s="45">
        <f>H36+(I36*0.06)</f>
        <v>0</v>
      </c>
      <c r="H36" s="45"/>
      <c r="I36" s="45"/>
      <c r="J36" s="47"/>
    </row>
    <row r="37" spans="1:10" s="48" customFormat="1" x14ac:dyDescent="0.25">
      <c r="A37" s="56">
        <v>33382</v>
      </c>
      <c r="B37" s="59">
        <f t="shared" si="1"/>
        <v>1</v>
      </c>
      <c r="C37" s="60">
        <f t="shared" si="2"/>
        <v>2016</v>
      </c>
      <c r="D37" s="60">
        <f t="shared" si="0"/>
        <v>2</v>
      </c>
      <c r="E37" s="57">
        <v>42376</v>
      </c>
      <c r="F37" s="56" t="s">
        <v>19</v>
      </c>
      <c r="G37" s="72">
        <f>H37+(I37*0.06)</f>
        <v>285</v>
      </c>
      <c r="H37" s="58">
        <v>285</v>
      </c>
      <c r="I37" s="58"/>
      <c r="J37" s="47"/>
    </row>
    <row r="38" spans="1:10" s="48" customFormat="1" x14ac:dyDescent="0.25">
      <c r="A38" s="56">
        <v>33383</v>
      </c>
      <c r="B38" s="59">
        <f t="shared" si="1"/>
        <v>1</v>
      </c>
      <c r="C38" s="60">
        <f t="shared" si="2"/>
        <v>2016</v>
      </c>
      <c r="D38" s="60">
        <f t="shared" si="0"/>
        <v>2</v>
      </c>
      <c r="E38" s="57">
        <v>42376</v>
      </c>
      <c r="F38" s="56" t="s">
        <v>19</v>
      </c>
      <c r="G38" s="72">
        <f>H38+(I38*0.06)</f>
        <v>450</v>
      </c>
      <c r="H38" s="58">
        <v>450</v>
      </c>
      <c r="I38" s="58"/>
      <c r="J38" s="47"/>
    </row>
    <row r="39" spans="1:10" s="48" customFormat="1" x14ac:dyDescent="0.25">
      <c r="A39" s="56">
        <v>33384</v>
      </c>
      <c r="B39" s="59">
        <f t="shared" si="1"/>
        <v>1</v>
      </c>
      <c r="C39" s="60">
        <f t="shared" si="2"/>
        <v>2016</v>
      </c>
      <c r="D39" s="60">
        <f t="shared" si="0"/>
        <v>2</v>
      </c>
      <c r="E39" s="57">
        <v>42376</v>
      </c>
      <c r="F39" s="56" t="s">
        <v>19</v>
      </c>
      <c r="G39" s="72">
        <f>H39+(I39*0.06)</f>
        <v>15</v>
      </c>
      <c r="H39" s="58">
        <v>15</v>
      </c>
      <c r="I39" s="58"/>
      <c r="J39" s="47"/>
    </row>
    <row r="40" spans="1:10" s="48" customFormat="1" x14ac:dyDescent="0.25">
      <c r="A40" s="49">
        <v>33385</v>
      </c>
      <c r="B40" s="53">
        <f t="shared" si="1"/>
        <v>1</v>
      </c>
      <c r="C40" s="50">
        <f t="shared" si="2"/>
        <v>2016</v>
      </c>
      <c r="D40" s="50">
        <f t="shared" si="0"/>
        <v>2</v>
      </c>
      <c r="E40" s="51">
        <v>42376</v>
      </c>
      <c r="F40" s="49" t="s">
        <v>19</v>
      </c>
      <c r="G40" s="45">
        <f>H40+(I40*0.06)</f>
        <v>35</v>
      </c>
      <c r="H40" s="45">
        <v>35</v>
      </c>
      <c r="I40" s="45"/>
      <c r="J40" s="47"/>
    </row>
    <row r="41" spans="1:10" s="48" customFormat="1" x14ac:dyDescent="0.25">
      <c r="A41" s="49">
        <v>33386</v>
      </c>
      <c r="B41" s="53">
        <f t="shared" si="1"/>
        <v>1</v>
      </c>
      <c r="C41" s="50">
        <f t="shared" si="2"/>
        <v>2016</v>
      </c>
      <c r="D41" s="50">
        <f t="shared" si="0"/>
        <v>2</v>
      </c>
      <c r="E41" s="51">
        <v>42376</v>
      </c>
      <c r="F41" s="49" t="s">
        <v>19</v>
      </c>
      <c r="G41" s="45">
        <f>H41+(I41*0.06)</f>
        <v>55</v>
      </c>
      <c r="H41" s="45">
        <v>55</v>
      </c>
      <c r="I41" s="45"/>
      <c r="J41" s="47"/>
    </row>
    <row r="42" spans="1:10" s="48" customFormat="1" x14ac:dyDescent="0.25">
      <c r="A42" s="49">
        <v>33387</v>
      </c>
      <c r="B42" s="53">
        <f t="shared" si="1"/>
        <v>1</v>
      </c>
      <c r="C42" s="50">
        <f t="shared" si="2"/>
        <v>2016</v>
      </c>
      <c r="D42" s="50">
        <f t="shared" si="0"/>
        <v>2</v>
      </c>
      <c r="E42" s="51">
        <v>42376</v>
      </c>
      <c r="F42" s="49" t="s">
        <v>19</v>
      </c>
      <c r="G42" s="45">
        <f>H42+(I42*0.06)</f>
        <v>1559</v>
      </c>
      <c r="H42" s="45">
        <v>1559</v>
      </c>
      <c r="I42" s="45"/>
      <c r="J42" s="47"/>
    </row>
    <row r="43" spans="1:10" s="48" customFormat="1" x14ac:dyDescent="0.25">
      <c r="A43" s="49">
        <v>33388</v>
      </c>
      <c r="B43" s="53">
        <f t="shared" si="1"/>
        <v>1</v>
      </c>
      <c r="C43" s="50">
        <f t="shared" si="2"/>
        <v>2016</v>
      </c>
      <c r="D43" s="50">
        <f t="shared" si="0"/>
        <v>2</v>
      </c>
      <c r="E43" s="51">
        <v>42376</v>
      </c>
      <c r="F43" s="49" t="s">
        <v>19</v>
      </c>
      <c r="G43" s="45">
        <f>H43+(I43*0.06)</f>
        <v>1275</v>
      </c>
      <c r="H43" s="45">
        <v>1275</v>
      </c>
      <c r="I43" s="45"/>
      <c r="J43" s="47"/>
    </row>
    <row r="44" spans="1:10" s="48" customFormat="1" x14ac:dyDescent="0.25">
      <c r="A44" s="56">
        <v>33389</v>
      </c>
      <c r="B44" s="53">
        <f t="shared" si="1"/>
        <v>1</v>
      </c>
      <c r="C44" s="50">
        <f t="shared" si="2"/>
        <v>2016</v>
      </c>
      <c r="D44" s="50">
        <f t="shared" si="0"/>
        <v>2</v>
      </c>
      <c r="E44" s="57">
        <v>42376</v>
      </c>
      <c r="F44" s="56" t="s">
        <v>19</v>
      </c>
      <c r="G44" s="72">
        <f>H44+(I44*0.06)</f>
        <v>2456</v>
      </c>
      <c r="H44" s="58">
        <v>2456</v>
      </c>
      <c r="I44" s="58"/>
      <c r="J44" s="47"/>
    </row>
    <row r="45" spans="1:10" s="48" customFormat="1" x14ac:dyDescent="0.25">
      <c r="A45" s="49">
        <v>33390</v>
      </c>
      <c r="B45" s="53">
        <f t="shared" si="1"/>
        <v>1</v>
      </c>
      <c r="C45" s="50">
        <f t="shared" si="2"/>
        <v>2016</v>
      </c>
      <c r="D45" s="50">
        <f t="shared" si="0"/>
        <v>2</v>
      </c>
      <c r="E45" s="51">
        <v>42376</v>
      </c>
      <c r="F45" s="49" t="s">
        <v>3</v>
      </c>
      <c r="G45" s="45">
        <f>H45+(I45*0.06)</f>
        <v>4334</v>
      </c>
      <c r="H45" s="45">
        <v>4334</v>
      </c>
      <c r="I45" s="45"/>
      <c r="J45" s="47"/>
    </row>
    <row r="46" spans="1:10" s="48" customFormat="1" x14ac:dyDescent="0.25">
      <c r="A46" s="49">
        <v>33391</v>
      </c>
      <c r="B46" s="53">
        <f t="shared" si="1"/>
        <v>1</v>
      </c>
      <c r="C46" s="50">
        <f t="shared" si="2"/>
        <v>2016</v>
      </c>
      <c r="D46" s="50">
        <f t="shared" si="0"/>
        <v>2</v>
      </c>
      <c r="E46" s="51">
        <v>42376</v>
      </c>
      <c r="F46" s="49" t="s">
        <v>3</v>
      </c>
      <c r="G46" s="45">
        <f>H46+(I46*0.06)</f>
        <v>8559</v>
      </c>
      <c r="H46" s="45">
        <v>8559</v>
      </c>
      <c r="I46" s="45"/>
      <c r="J46" s="47"/>
    </row>
    <row r="47" spans="1:10" s="48" customFormat="1" x14ac:dyDescent="0.25">
      <c r="A47" s="49">
        <v>33392</v>
      </c>
      <c r="B47" s="53">
        <f t="shared" si="1"/>
        <v>1</v>
      </c>
      <c r="C47" s="50">
        <f t="shared" si="2"/>
        <v>2016</v>
      </c>
      <c r="D47" s="50">
        <f t="shared" si="0"/>
        <v>2</v>
      </c>
      <c r="E47" s="51">
        <v>42376</v>
      </c>
      <c r="F47" s="49" t="s">
        <v>0</v>
      </c>
      <c r="G47" s="45">
        <f>H47+(I47*0.06)</f>
        <v>16058</v>
      </c>
      <c r="H47" s="45">
        <v>16058</v>
      </c>
      <c r="I47" s="45"/>
      <c r="J47" s="47"/>
    </row>
    <row r="48" spans="1:10" s="48" customFormat="1" x14ac:dyDescent="0.25">
      <c r="A48" s="49">
        <v>33393</v>
      </c>
      <c r="B48" s="53">
        <f t="shared" si="1"/>
        <v>1</v>
      </c>
      <c r="C48" s="50">
        <f t="shared" si="2"/>
        <v>2016</v>
      </c>
      <c r="D48" s="50">
        <f t="shared" si="0"/>
        <v>2</v>
      </c>
      <c r="E48" s="51">
        <v>42376</v>
      </c>
      <c r="F48" s="49" t="s">
        <v>3</v>
      </c>
      <c r="G48" s="45">
        <f>H48+(I48*0.06)</f>
        <v>140.75</v>
      </c>
      <c r="H48" s="45">
        <v>140.75</v>
      </c>
      <c r="I48" s="45"/>
      <c r="J48" s="47"/>
    </row>
    <row r="49" spans="1:10" s="48" customFormat="1" x14ac:dyDescent="0.25">
      <c r="A49" s="49">
        <v>33394</v>
      </c>
      <c r="B49" s="53">
        <f t="shared" si="1"/>
        <v>1</v>
      </c>
      <c r="C49" s="50">
        <f t="shared" si="2"/>
        <v>2016</v>
      </c>
      <c r="D49" s="50">
        <f t="shared" si="0"/>
        <v>2</v>
      </c>
      <c r="E49" s="51">
        <v>42376</v>
      </c>
      <c r="F49" s="49" t="s">
        <v>3</v>
      </c>
      <c r="G49" s="45">
        <f>H49+(I49*0.06)</f>
        <v>7805</v>
      </c>
      <c r="H49" s="45">
        <v>7805</v>
      </c>
      <c r="I49" s="45"/>
      <c r="J49" s="47"/>
    </row>
    <row r="50" spans="1:10" s="48" customFormat="1" x14ac:dyDescent="0.25">
      <c r="A50" s="56">
        <v>33395</v>
      </c>
      <c r="B50" s="59">
        <f t="shared" si="1"/>
        <v>1</v>
      </c>
      <c r="C50" s="60">
        <f t="shared" si="2"/>
        <v>2016</v>
      </c>
      <c r="D50" s="60">
        <f t="shared" si="0"/>
        <v>2</v>
      </c>
      <c r="E50" s="57">
        <v>42376</v>
      </c>
      <c r="F50" s="56" t="s">
        <v>3</v>
      </c>
      <c r="G50" s="72">
        <f>H50+(I50*0.06)</f>
        <v>8350.4</v>
      </c>
      <c r="H50" s="58">
        <v>8350.4</v>
      </c>
      <c r="I50" s="58"/>
      <c r="J50" s="47"/>
    </row>
    <row r="51" spans="1:10" s="48" customFormat="1" x14ac:dyDescent="0.25">
      <c r="A51" s="49">
        <v>33396</v>
      </c>
      <c r="B51" s="53">
        <f t="shared" si="1"/>
        <v>1</v>
      </c>
      <c r="C51" s="50">
        <f t="shared" si="2"/>
        <v>2016</v>
      </c>
      <c r="D51" s="50">
        <f t="shared" si="0"/>
        <v>2</v>
      </c>
      <c r="E51" s="51">
        <v>42376</v>
      </c>
      <c r="F51" s="49" t="s">
        <v>3</v>
      </c>
      <c r="G51" s="45">
        <f>H51+(I51*0.06)</f>
        <v>8022</v>
      </c>
      <c r="H51" s="45">
        <v>8022</v>
      </c>
      <c r="I51" s="45"/>
      <c r="J51" s="47"/>
    </row>
    <row r="52" spans="1:10" s="48" customFormat="1" x14ac:dyDescent="0.25">
      <c r="A52" s="49">
        <v>33397</v>
      </c>
      <c r="B52" s="53">
        <f t="shared" si="1"/>
        <v>1</v>
      </c>
      <c r="C52" s="50">
        <f t="shared" si="2"/>
        <v>2016</v>
      </c>
      <c r="D52" s="50">
        <f t="shared" si="0"/>
        <v>2</v>
      </c>
      <c r="E52" s="51">
        <v>42376</v>
      </c>
      <c r="F52" s="49" t="s">
        <v>3</v>
      </c>
      <c r="G52" s="45">
        <f>H52+(I52*0.06)</f>
        <v>3351.7</v>
      </c>
      <c r="H52" s="45">
        <v>3351.7</v>
      </c>
      <c r="I52" s="45"/>
      <c r="J52" s="47"/>
    </row>
    <row r="53" spans="1:10" s="48" customFormat="1" x14ac:dyDescent="0.25">
      <c r="A53" s="56">
        <v>33398</v>
      </c>
      <c r="B53" s="53">
        <f t="shared" si="1"/>
        <v>1</v>
      </c>
      <c r="C53" s="50">
        <f t="shared" si="2"/>
        <v>2016</v>
      </c>
      <c r="D53" s="50">
        <f t="shared" si="0"/>
        <v>2</v>
      </c>
      <c r="E53" s="57">
        <v>42376</v>
      </c>
      <c r="F53" s="56" t="s">
        <v>40</v>
      </c>
      <c r="G53" s="72">
        <f>H53+(I53*0.06)</f>
        <v>1544.9999999999998</v>
      </c>
      <c r="H53" s="58">
        <f>1699.5/1.1</f>
        <v>1544.9999999999998</v>
      </c>
      <c r="I53" s="58"/>
      <c r="J53" s="47"/>
    </row>
    <row r="54" spans="1:10" s="48" customFormat="1" x14ac:dyDescent="0.25">
      <c r="A54" s="56">
        <v>33399</v>
      </c>
      <c r="B54" s="59">
        <f t="shared" si="1"/>
        <v>1</v>
      </c>
      <c r="C54" s="60">
        <f t="shared" si="2"/>
        <v>2016</v>
      </c>
      <c r="D54" s="60">
        <f t="shared" si="0"/>
        <v>2</v>
      </c>
      <c r="E54" s="57">
        <v>42377</v>
      </c>
      <c r="F54" s="56" t="s">
        <v>0</v>
      </c>
      <c r="G54" s="72">
        <f>H54+(I54*0.06)</f>
        <v>362</v>
      </c>
      <c r="H54" s="58">
        <v>362</v>
      </c>
      <c r="I54" s="58"/>
      <c r="J54" s="47"/>
    </row>
    <row r="55" spans="1:10" s="48" customFormat="1" x14ac:dyDescent="0.25">
      <c r="A55" s="56">
        <v>33400</v>
      </c>
      <c r="B55" s="59">
        <f t="shared" si="1"/>
        <v>1</v>
      </c>
      <c r="C55" s="60">
        <f t="shared" si="2"/>
        <v>2016</v>
      </c>
      <c r="D55" s="60">
        <f t="shared" si="0"/>
        <v>2</v>
      </c>
      <c r="E55" s="57">
        <v>42377</v>
      </c>
      <c r="F55" s="56" t="s">
        <v>0</v>
      </c>
      <c r="G55" s="72">
        <f>H55+(I55*0.06)</f>
        <v>132</v>
      </c>
      <c r="H55" s="58">
        <v>132</v>
      </c>
      <c r="I55" s="58"/>
      <c r="J55" s="47"/>
    </row>
    <row r="56" spans="1:10" s="48" customFormat="1" x14ac:dyDescent="0.25">
      <c r="A56" s="49">
        <v>33401</v>
      </c>
      <c r="B56" s="53">
        <f t="shared" si="1"/>
        <v>1</v>
      </c>
      <c r="C56" s="50">
        <f t="shared" si="2"/>
        <v>2016</v>
      </c>
      <c r="D56" s="50">
        <f t="shared" si="0"/>
        <v>2</v>
      </c>
      <c r="E56" s="51">
        <v>42377</v>
      </c>
      <c r="F56" s="49" t="s">
        <v>0</v>
      </c>
      <c r="G56" s="45">
        <f>H56+(I56*0.06)</f>
        <v>16423.5</v>
      </c>
      <c r="H56" s="45">
        <v>16423.5</v>
      </c>
      <c r="I56" s="45"/>
      <c r="J56" s="47"/>
    </row>
    <row r="57" spans="1:10" s="48" customFormat="1" x14ac:dyDescent="0.25">
      <c r="A57" s="56">
        <v>33402</v>
      </c>
      <c r="B57" s="59">
        <f t="shared" si="1"/>
        <v>1</v>
      </c>
      <c r="C57" s="60">
        <f t="shared" si="2"/>
        <v>2016</v>
      </c>
      <c r="D57" s="60">
        <f t="shared" si="0"/>
        <v>2</v>
      </c>
      <c r="E57" s="57">
        <v>42377</v>
      </c>
      <c r="F57" s="56" t="s">
        <v>0</v>
      </c>
      <c r="G57" s="72">
        <f>H57+(I57*0.06)</f>
        <v>11246.5</v>
      </c>
      <c r="H57" s="58">
        <v>11246.5</v>
      </c>
      <c r="I57" s="58"/>
      <c r="J57" s="47"/>
    </row>
    <row r="58" spans="1:10" s="48" customFormat="1" x14ac:dyDescent="0.25">
      <c r="A58" s="56">
        <v>33403</v>
      </c>
      <c r="B58" s="59">
        <f t="shared" si="1"/>
        <v>1</v>
      </c>
      <c r="C58" s="60">
        <f t="shared" si="2"/>
        <v>2016</v>
      </c>
      <c r="D58" s="60">
        <f t="shared" si="0"/>
        <v>2</v>
      </c>
      <c r="E58" s="57">
        <v>42377</v>
      </c>
      <c r="F58" s="56" t="s">
        <v>3</v>
      </c>
      <c r="G58" s="72">
        <f>H58+(I58*0.06)</f>
        <v>1650.4</v>
      </c>
      <c r="H58" s="58">
        <v>1650.4</v>
      </c>
      <c r="I58" s="58"/>
      <c r="J58" s="47"/>
    </row>
    <row r="59" spans="1:10" s="48" customFormat="1" x14ac:dyDescent="0.25">
      <c r="A59" s="56">
        <v>33404</v>
      </c>
      <c r="B59" s="53">
        <f t="shared" si="1"/>
        <v>1</v>
      </c>
      <c r="C59" s="50">
        <f t="shared" si="2"/>
        <v>2016</v>
      </c>
      <c r="D59" s="50">
        <f t="shared" si="0"/>
        <v>2</v>
      </c>
      <c r="E59" s="57">
        <v>42377</v>
      </c>
      <c r="F59" s="56" t="s">
        <v>19</v>
      </c>
      <c r="G59" s="72">
        <f>H59+(I59*0.06)</f>
        <v>232</v>
      </c>
      <c r="H59" s="58">
        <v>232</v>
      </c>
      <c r="I59" s="58"/>
      <c r="J59" s="47"/>
    </row>
    <row r="60" spans="1:10" s="48" customFormat="1" x14ac:dyDescent="0.25">
      <c r="A60" s="56">
        <v>33405</v>
      </c>
      <c r="B60" s="59">
        <f t="shared" si="1"/>
        <v>1</v>
      </c>
      <c r="C60" s="60">
        <f t="shared" si="2"/>
        <v>2016</v>
      </c>
      <c r="D60" s="60">
        <f t="shared" si="0"/>
        <v>2</v>
      </c>
      <c r="E60" s="57">
        <v>42377</v>
      </c>
      <c r="F60" s="56" t="s">
        <v>5</v>
      </c>
      <c r="G60" s="72">
        <f>H60+(I60*0.06)</f>
        <v>4260.71</v>
      </c>
      <c r="H60" s="58">
        <v>4260.71</v>
      </c>
      <c r="I60" s="58"/>
      <c r="J60" s="47"/>
    </row>
    <row r="61" spans="1:10" s="48" customFormat="1" x14ac:dyDescent="0.25">
      <c r="A61" s="56">
        <v>33406</v>
      </c>
      <c r="B61" s="53">
        <f t="shared" si="1"/>
        <v>1</v>
      </c>
      <c r="C61" s="50">
        <f t="shared" si="2"/>
        <v>2016</v>
      </c>
      <c r="D61" s="50">
        <f t="shared" si="0"/>
        <v>2</v>
      </c>
      <c r="E61" s="57">
        <v>42377</v>
      </c>
      <c r="F61" s="56" t="s">
        <v>3</v>
      </c>
      <c r="G61" s="72">
        <f>H61+(I61*0.06)</f>
        <v>313</v>
      </c>
      <c r="H61" s="58">
        <v>313</v>
      </c>
      <c r="I61" s="58"/>
      <c r="J61" s="47"/>
    </row>
    <row r="62" spans="1:10" s="48" customFormat="1" x14ac:dyDescent="0.25">
      <c r="A62" s="49">
        <v>33407</v>
      </c>
      <c r="B62" s="53">
        <f t="shared" si="1"/>
        <v>1</v>
      </c>
      <c r="C62" s="50">
        <f t="shared" si="2"/>
        <v>2016</v>
      </c>
      <c r="D62" s="50">
        <f t="shared" si="0"/>
        <v>2</v>
      </c>
      <c r="E62" s="51">
        <v>42377</v>
      </c>
      <c r="F62" s="49" t="s">
        <v>3</v>
      </c>
      <c r="G62" s="45">
        <f>H62+(I62*0.06)</f>
        <v>0</v>
      </c>
      <c r="H62" s="45"/>
      <c r="I62" s="45"/>
      <c r="J62" s="47"/>
    </row>
    <row r="63" spans="1:10" s="48" customFormat="1" x14ac:dyDescent="0.25">
      <c r="A63" s="56">
        <v>33408</v>
      </c>
      <c r="B63" s="53">
        <f t="shared" si="1"/>
        <v>1</v>
      </c>
      <c r="C63" s="50">
        <f t="shared" si="2"/>
        <v>2016</v>
      </c>
      <c r="D63" s="50">
        <f t="shared" si="0"/>
        <v>2</v>
      </c>
      <c r="E63" s="57">
        <v>42377</v>
      </c>
      <c r="F63" s="56" t="s">
        <v>19</v>
      </c>
      <c r="G63" s="72">
        <f>H63+(I63*0.06)</f>
        <v>110</v>
      </c>
      <c r="H63" s="58">
        <v>110</v>
      </c>
      <c r="I63" s="58"/>
      <c r="J63" s="47"/>
    </row>
    <row r="64" spans="1:10" s="48" customFormat="1" x14ac:dyDescent="0.25">
      <c r="A64" s="49">
        <v>33409</v>
      </c>
      <c r="B64" s="53">
        <f t="shared" si="1"/>
        <v>1</v>
      </c>
      <c r="C64" s="50">
        <f t="shared" si="2"/>
        <v>2016</v>
      </c>
      <c r="D64" s="50">
        <f t="shared" si="0"/>
        <v>2</v>
      </c>
      <c r="E64" s="51">
        <v>42377</v>
      </c>
      <c r="F64" s="49" t="s">
        <v>19</v>
      </c>
      <c r="G64" s="45">
        <f>H64+(I64*0.06)</f>
        <v>609</v>
      </c>
      <c r="H64" s="45">
        <v>609</v>
      </c>
      <c r="I64" s="45"/>
      <c r="J64" s="47"/>
    </row>
    <row r="65" spans="1:10" s="48" customFormat="1" x14ac:dyDescent="0.25">
      <c r="A65" s="49">
        <v>33410</v>
      </c>
      <c r="B65" s="53">
        <f t="shared" si="1"/>
        <v>1</v>
      </c>
      <c r="C65" s="50">
        <f t="shared" si="2"/>
        <v>2016</v>
      </c>
      <c r="D65" s="50">
        <f t="shared" ref="D65:D128" si="3">IF(E65="","",WEEKNUM(E65,2))</f>
        <v>2</v>
      </c>
      <c r="E65" s="51">
        <v>42377</v>
      </c>
      <c r="F65" s="49" t="s">
        <v>0</v>
      </c>
      <c r="G65" s="45">
        <f>H65+(I65*0.06)</f>
        <v>8706</v>
      </c>
      <c r="H65" s="45">
        <v>8706</v>
      </c>
      <c r="I65" s="45"/>
      <c r="J65" s="47"/>
    </row>
    <row r="66" spans="1:10" s="48" customFormat="1" x14ac:dyDescent="0.25">
      <c r="A66" s="49">
        <v>33411</v>
      </c>
      <c r="B66" s="53">
        <f t="shared" si="1"/>
        <v>1</v>
      </c>
      <c r="C66" s="50">
        <f t="shared" si="2"/>
        <v>2016</v>
      </c>
      <c r="D66" s="50">
        <f t="shared" si="3"/>
        <v>3</v>
      </c>
      <c r="E66" s="51">
        <v>42380</v>
      </c>
      <c r="F66" s="49" t="s">
        <v>0</v>
      </c>
      <c r="G66" s="45">
        <f>H66+(I66*0.06)</f>
        <v>0</v>
      </c>
      <c r="H66" s="45"/>
      <c r="I66" s="45"/>
      <c r="J66" s="47"/>
    </row>
    <row r="67" spans="1:10" s="48" customFormat="1" x14ac:dyDescent="0.25">
      <c r="A67" s="56">
        <v>33412</v>
      </c>
      <c r="B67" s="53">
        <f t="shared" ref="B67:B113" si="4">IF(E67="","",MONTH(E67))</f>
        <v>1</v>
      </c>
      <c r="C67" s="50">
        <f t="shared" ref="C67:C113" si="5">IF(E67="","",YEAR(E67))</f>
        <v>2016</v>
      </c>
      <c r="D67" s="50">
        <f t="shared" si="3"/>
        <v>3</v>
      </c>
      <c r="E67" s="57">
        <v>42380</v>
      </c>
      <c r="F67" s="56" t="s">
        <v>3</v>
      </c>
      <c r="G67" s="45">
        <f>H67+(I67*0.06)</f>
        <v>160</v>
      </c>
      <c r="H67" s="58">
        <v>160</v>
      </c>
      <c r="I67" s="58"/>
      <c r="J67" s="47"/>
    </row>
    <row r="68" spans="1:10" s="48" customFormat="1" x14ac:dyDescent="0.25">
      <c r="A68" s="49">
        <v>33413</v>
      </c>
      <c r="B68" s="53">
        <f t="shared" si="4"/>
        <v>1</v>
      </c>
      <c r="C68" s="50">
        <f t="shared" si="5"/>
        <v>2016</v>
      </c>
      <c r="D68" s="50">
        <f t="shared" si="3"/>
        <v>3</v>
      </c>
      <c r="E68" s="51">
        <v>42380</v>
      </c>
      <c r="F68" s="49" t="s">
        <v>0</v>
      </c>
      <c r="G68" s="45">
        <f>H68+(I68*0.06)</f>
        <v>5369</v>
      </c>
      <c r="H68" s="45">
        <v>5369</v>
      </c>
      <c r="I68" s="45"/>
      <c r="J68" s="47"/>
    </row>
    <row r="69" spans="1:10" s="48" customFormat="1" x14ac:dyDescent="0.25">
      <c r="A69" s="49">
        <v>33414</v>
      </c>
      <c r="B69" s="53">
        <f t="shared" si="4"/>
        <v>1</v>
      </c>
      <c r="C69" s="50">
        <f t="shared" si="5"/>
        <v>2016</v>
      </c>
      <c r="D69" s="50">
        <f t="shared" si="3"/>
        <v>3</v>
      </c>
      <c r="E69" s="51">
        <v>42380</v>
      </c>
      <c r="F69" s="49" t="s">
        <v>0</v>
      </c>
      <c r="G69" s="45">
        <f>H69+(I69*0.06)</f>
        <v>7727.6</v>
      </c>
      <c r="H69" s="45">
        <v>7727.6</v>
      </c>
      <c r="I69" s="45"/>
      <c r="J69" s="47"/>
    </row>
    <row r="70" spans="1:10" s="48" customFormat="1" x14ac:dyDescent="0.25">
      <c r="A70" s="49">
        <v>33415</v>
      </c>
      <c r="B70" s="53">
        <f t="shared" si="4"/>
        <v>1</v>
      </c>
      <c r="C70" s="50">
        <f t="shared" si="5"/>
        <v>2016</v>
      </c>
      <c r="D70" s="50">
        <f t="shared" si="3"/>
        <v>3</v>
      </c>
      <c r="E70" s="51">
        <v>42380</v>
      </c>
      <c r="F70" s="49" t="s">
        <v>0</v>
      </c>
      <c r="G70" s="45">
        <f>H70+(I70*0.06)</f>
        <v>7029.2</v>
      </c>
      <c r="H70" s="45">
        <v>7029.2</v>
      </c>
      <c r="I70" s="45"/>
      <c r="J70" s="47"/>
    </row>
    <row r="71" spans="1:10" s="48" customFormat="1" x14ac:dyDescent="0.25">
      <c r="A71" s="56">
        <v>33416</v>
      </c>
      <c r="B71" s="59">
        <f t="shared" si="4"/>
        <v>1</v>
      </c>
      <c r="C71" s="60">
        <f t="shared" si="5"/>
        <v>2016</v>
      </c>
      <c r="D71" s="60">
        <f t="shared" si="3"/>
        <v>3</v>
      </c>
      <c r="E71" s="57">
        <v>42380</v>
      </c>
      <c r="F71" s="56" t="s">
        <v>0</v>
      </c>
      <c r="G71" s="45">
        <f>H71+(I71*0.06)</f>
        <v>4274.7</v>
      </c>
      <c r="H71" s="58">
        <v>4274.7</v>
      </c>
      <c r="I71" s="58"/>
      <c r="J71" s="47"/>
    </row>
    <row r="72" spans="1:10" s="48" customFormat="1" x14ac:dyDescent="0.25">
      <c r="A72" s="56">
        <v>33417</v>
      </c>
      <c r="B72" s="59">
        <f t="shared" si="4"/>
        <v>1</v>
      </c>
      <c r="C72" s="60">
        <f t="shared" si="5"/>
        <v>2016</v>
      </c>
      <c r="D72" s="60">
        <f t="shared" si="3"/>
        <v>3</v>
      </c>
      <c r="E72" s="57">
        <v>42380</v>
      </c>
      <c r="F72" s="56" t="s">
        <v>3</v>
      </c>
      <c r="G72" s="45">
        <f>H72+(I72*0.06)</f>
        <v>2078</v>
      </c>
      <c r="H72" s="58">
        <v>2078</v>
      </c>
      <c r="I72" s="58"/>
      <c r="J72" s="47"/>
    </row>
    <row r="73" spans="1:10" s="48" customFormat="1" x14ac:dyDescent="0.25">
      <c r="A73" s="56">
        <v>33418</v>
      </c>
      <c r="B73" s="53">
        <f t="shared" si="4"/>
        <v>1</v>
      </c>
      <c r="C73" s="50">
        <f t="shared" si="5"/>
        <v>2016</v>
      </c>
      <c r="D73" s="50">
        <f t="shared" si="3"/>
        <v>3</v>
      </c>
      <c r="E73" s="57">
        <v>42380</v>
      </c>
      <c r="F73" s="56" t="s">
        <v>3</v>
      </c>
      <c r="G73" s="45">
        <f>H73+(I73*0.06)</f>
        <v>165</v>
      </c>
      <c r="H73" s="58">
        <v>165</v>
      </c>
      <c r="I73" s="58"/>
      <c r="J73" s="47"/>
    </row>
    <row r="74" spans="1:10" s="48" customFormat="1" x14ac:dyDescent="0.25">
      <c r="A74" s="56">
        <v>33419</v>
      </c>
      <c r="B74" s="59">
        <f t="shared" si="4"/>
        <v>1</v>
      </c>
      <c r="C74" s="60">
        <f t="shared" si="5"/>
        <v>2016</v>
      </c>
      <c r="D74" s="60">
        <f t="shared" si="3"/>
        <v>3</v>
      </c>
      <c r="E74" s="57">
        <v>42380</v>
      </c>
      <c r="F74" s="56" t="s">
        <v>0</v>
      </c>
      <c r="G74" s="45">
        <f>H74+(I74*0.06)</f>
        <v>150</v>
      </c>
      <c r="H74" s="58">
        <v>150</v>
      </c>
      <c r="I74" s="58"/>
      <c r="J74" s="47"/>
    </row>
    <row r="75" spans="1:10" s="48" customFormat="1" x14ac:dyDescent="0.25">
      <c r="A75" s="49">
        <v>33420</v>
      </c>
      <c r="B75" s="53">
        <f t="shared" si="4"/>
        <v>1</v>
      </c>
      <c r="C75" s="50">
        <f t="shared" si="5"/>
        <v>2016</v>
      </c>
      <c r="D75" s="50">
        <f t="shared" si="3"/>
        <v>3</v>
      </c>
      <c r="E75" s="51">
        <v>42380</v>
      </c>
      <c r="F75" s="49" t="s">
        <v>19</v>
      </c>
      <c r="G75" s="45">
        <f>H75+(I75*0.06)</f>
        <v>55</v>
      </c>
      <c r="H75" s="45">
        <v>55</v>
      </c>
      <c r="I75" s="45"/>
      <c r="J75" s="47"/>
    </row>
    <row r="76" spans="1:10" s="48" customFormat="1" x14ac:dyDescent="0.25">
      <c r="A76" s="56">
        <v>33421</v>
      </c>
      <c r="B76" s="59">
        <f t="shared" si="4"/>
        <v>1</v>
      </c>
      <c r="C76" s="60">
        <f t="shared" si="5"/>
        <v>2016</v>
      </c>
      <c r="D76" s="60">
        <f t="shared" si="3"/>
        <v>3</v>
      </c>
      <c r="E76" s="57">
        <v>42380</v>
      </c>
      <c r="F76" s="56" t="s">
        <v>19</v>
      </c>
      <c r="G76" s="45">
        <f>H76+(I76*0.06)</f>
        <v>55</v>
      </c>
      <c r="H76" s="58">
        <v>55</v>
      </c>
      <c r="I76" s="58"/>
      <c r="J76" s="47"/>
    </row>
    <row r="77" spans="1:10" s="48" customFormat="1" x14ac:dyDescent="0.25">
      <c r="A77" s="49">
        <v>33422</v>
      </c>
      <c r="B77" s="53">
        <f t="shared" si="4"/>
        <v>1</v>
      </c>
      <c r="C77" s="50">
        <f t="shared" si="5"/>
        <v>2016</v>
      </c>
      <c r="D77" s="50">
        <f t="shared" si="3"/>
        <v>3</v>
      </c>
      <c r="E77" s="51">
        <v>42380</v>
      </c>
      <c r="F77" s="49" t="s">
        <v>43</v>
      </c>
      <c r="G77" s="45">
        <f>H77+(I77*0.06)</f>
        <v>0</v>
      </c>
      <c r="H77" s="45"/>
      <c r="I77" s="45"/>
      <c r="J77" s="47"/>
    </row>
    <row r="78" spans="1:10" s="48" customFormat="1" x14ac:dyDescent="0.25">
      <c r="A78" s="56">
        <v>33423</v>
      </c>
      <c r="B78" s="59">
        <f t="shared" si="4"/>
        <v>1</v>
      </c>
      <c r="C78" s="60">
        <f t="shared" si="5"/>
        <v>2016</v>
      </c>
      <c r="D78" s="60">
        <f t="shared" si="3"/>
        <v>3</v>
      </c>
      <c r="E78" s="57">
        <v>42380</v>
      </c>
      <c r="F78" s="56" t="s">
        <v>3</v>
      </c>
      <c r="G78" s="45">
        <f>H78+(I78*0.06)</f>
        <v>1740</v>
      </c>
      <c r="H78" s="58">
        <v>1740</v>
      </c>
      <c r="I78" s="58"/>
      <c r="J78" s="47"/>
    </row>
    <row r="79" spans="1:10" s="48" customFormat="1" x14ac:dyDescent="0.25">
      <c r="A79" s="56">
        <v>33424</v>
      </c>
      <c r="B79" s="59">
        <f t="shared" si="4"/>
        <v>1</v>
      </c>
      <c r="C79" s="60">
        <f t="shared" si="5"/>
        <v>2016</v>
      </c>
      <c r="D79" s="60">
        <f t="shared" si="3"/>
        <v>3</v>
      </c>
      <c r="E79" s="57">
        <v>42380</v>
      </c>
      <c r="F79" s="56" t="s">
        <v>26</v>
      </c>
      <c r="G79" s="45">
        <f>H79+(I79*0.06)</f>
        <v>2879.43</v>
      </c>
      <c r="H79" s="58">
        <v>2879.43</v>
      </c>
      <c r="I79" s="58"/>
      <c r="J79" s="47"/>
    </row>
    <row r="80" spans="1:10" s="48" customFormat="1" x14ac:dyDescent="0.25">
      <c r="A80" s="56">
        <v>33425</v>
      </c>
      <c r="B80" s="59">
        <f t="shared" si="4"/>
        <v>1</v>
      </c>
      <c r="C80" s="60">
        <f t="shared" si="5"/>
        <v>2016</v>
      </c>
      <c r="D80" s="60">
        <f t="shared" si="3"/>
        <v>3</v>
      </c>
      <c r="E80" s="57">
        <v>42380</v>
      </c>
      <c r="F80" s="56" t="s">
        <v>26</v>
      </c>
      <c r="G80" s="45">
        <f>H80+(I80*0.06)</f>
        <v>1970.92</v>
      </c>
      <c r="H80" s="58">
        <v>1970.92</v>
      </c>
      <c r="I80" s="58"/>
      <c r="J80" s="47"/>
    </row>
    <row r="81" spans="1:10" s="48" customFormat="1" x14ac:dyDescent="0.25">
      <c r="A81" s="56">
        <v>33426</v>
      </c>
      <c r="B81" s="59">
        <f t="shared" si="4"/>
        <v>1</v>
      </c>
      <c r="C81" s="60">
        <f t="shared" si="5"/>
        <v>2016</v>
      </c>
      <c r="D81" s="60">
        <f t="shared" si="3"/>
        <v>3</v>
      </c>
      <c r="E81" s="57">
        <v>42380</v>
      </c>
      <c r="F81" s="56" t="s">
        <v>19</v>
      </c>
      <c r="G81" s="45">
        <f>H81+(I81*0.06)</f>
        <v>468</v>
      </c>
      <c r="H81" s="58">
        <v>468</v>
      </c>
      <c r="I81" s="58"/>
      <c r="J81" s="47"/>
    </row>
    <row r="82" spans="1:10" s="48" customFormat="1" x14ac:dyDescent="0.25">
      <c r="A82" s="56">
        <v>33427</v>
      </c>
      <c r="B82" s="53">
        <f t="shared" si="4"/>
        <v>1</v>
      </c>
      <c r="C82" s="50">
        <f t="shared" si="5"/>
        <v>2016</v>
      </c>
      <c r="D82" s="50">
        <f t="shared" si="3"/>
        <v>3</v>
      </c>
      <c r="E82" s="57">
        <v>42380</v>
      </c>
      <c r="F82" s="56" t="s">
        <v>26</v>
      </c>
      <c r="G82" s="45">
        <f>H82+(I82*0.06)</f>
        <v>2183.7600000000002</v>
      </c>
      <c r="H82" s="58">
        <v>2183.7600000000002</v>
      </c>
      <c r="I82" s="58"/>
      <c r="J82" s="47"/>
    </row>
    <row r="83" spans="1:10" s="48" customFormat="1" x14ac:dyDescent="0.25">
      <c r="A83" s="49">
        <v>33428</v>
      </c>
      <c r="B83" s="53">
        <f t="shared" si="4"/>
        <v>1</v>
      </c>
      <c r="C83" s="50">
        <f t="shared" si="5"/>
        <v>2016</v>
      </c>
      <c r="D83" s="50">
        <f t="shared" si="3"/>
        <v>3</v>
      </c>
      <c r="E83" s="51">
        <v>42380</v>
      </c>
      <c r="F83" s="49" t="s">
        <v>3</v>
      </c>
      <c r="G83" s="45">
        <f>H83+(I83*0.06)</f>
        <v>12418.5</v>
      </c>
      <c r="H83" s="45">
        <v>12418.5</v>
      </c>
      <c r="I83" s="45"/>
      <c r="J83" s="47"/>
    </row>
    <row r="84" spans="1:10" s="48" customFormat="1" x14ac:dyDescent="0.25">
      <c r="A84" s="56">
        <v>33429</v>
      </c>
      <c r="B84" s="53">
        <f t="shared" si="4"/>
        <v>1</v>
      </c>
      <c r="C84" s="50">
        <f t="shared" si="5"/>
        <v>2016</v>
      </c>
      <c r="D84" s="50">
        <f t="shared" si="3"/>
        <v>3</v>
      </c>
      <c r="E84" s="57">
        <v>42380</v>
      </c>
      <c r="F84" s="56" t="s">
        <v>40</v>
      </c>
      <c r="G84" s="45">
        <f>H84+(I84*0.06)</f>
        <v>444.99999999999994</v>
      </c>
      <c r="H84" s="58">
        <f>489.5/1.1</f>
        <v>444.99999999999994</v>
      </c>
      <c r="I84" s="58"/>
      <c r="J84" s="47"/>
    </row>
    <row r="85" spans="1:10" s="48" customFormat="1" x14ac:dyDescent="0.25">
      <c r="A85" s="56">
        <v>33430</v>
      </c>
      <c r="B85" s="59">
        <f t="shared" si="4"/>
        <v>1</v>
      </c>
      <c r="C85" s="60">
        <f t="shared" si="5"/>
        <v>2016</v>
      </c>
      <c r="D85" s="60">
        <f t="shared" si="3"/>
        <v>3</v>
      </c>
      <c r="E85" s="57">
        <v>42380</v>
      </c>
      <c r="F85" s="56" t="s">
        <v>3</v>
      </c>
      <c r="G85" s="45">
        <f>H85+(I85*0.06)</f>
        <v>1474</v>
      </c>
      <c r="H85" s="58">
        <v>1474</v>
      </c>
      <c r="I85" s="58"/>
      <c r="J85" s="47"/>
    </row>
    <row r="86" spans="1:10" s="48" customFormat="1" x14ac:dyDescent="0.25">
      <c r="A86" s="56">
        <v>33431</v>
      </c>
      <c r="B86" s="59">
        <f t="shared" si="4"/>
        <v>1</v>
      </c>
      <c r="C86" s="60">
        <f t="shared" si="5"/>
        <v>2016</v>
      </c>
      <c r="D86" s="60">
        <f t="shared" si="3"/>
        <v>3</v>
      </c>
      <c r="E86" s="57">
        <v>42380</v>
      </c>
      <c r="F86" s="56" t="s">
        <v>3</v>
      </c>
      <c r="G86" s="45">
        <f>H86+(I86*0.06)</f>
        <v>1511.5</v>
      </c>
      <c r="H86" s="58">
        <v>1511.5</v>
      </c>
      <c r="I86" s="58"/>
      <c r="J86" s="47"/>
    </row>
    <row r="87" spans="1:10" s="48" customFormat="1" x14ac:dyDescent="0.25">
      <c r="A87" s="56">
        <v>33432</v>
      </c>
      <c r="B87" s="59">
        <f t="shared" si="4"/>
        <v>1</v>
      </c>
      <c r="C87" s="60">
        <f t="shared" si="5"/>
        <v>2016</v>
      </c>
      <c r="D87" s="60">
        <f t="shared" si="3"/>
        <v>3</v>
      </c>
      <c r="E87" s="57">
        <v>42380</v>
      </c>
      <c r="F87" s="56" t="s">
        <v>3</v>
      </c>
      <c r="G87" s="45">
        <f>H87+(I87*0.06)</f>
        <v>2406</v>
      </c>
      <c r="H87" s="58">
        <v>2406</v>
      </c>
      <c r="I87" s="58"/>
      <c r="J87" s="47"/>
    </row>
    <row r="88" spans="1:10" s="48" customFormat="1" x14ac:dyDescent="0.25">
      <c r="A88" s="49">
        <v>33433</v>
      </c>
      <c r="B88" s="53">
        <f t="shared" si="4"/>
        <v>1</v>
      </c>
      <c r="C88" s="50">
        <f t="shared" si="5"/>
        <v>2016</v>
      </c>
      <c r="D88" s="50">
        <f t="shared" si="3"/>
        <v>3</v>
      </c>
      <c r="E88" s="51">
        <v>42381</v>
      </c>
      <c r="F88" s="49" t="s">
        <v>0</v>
      </c>
      <c r="G88" s="45">
        <f>H88+(I88*0.06)</f>
        <v>2372.5</v>
      </c>
      <c r="H88" s="45">
        <v>2372.5</v>
      </c>
      <c r="I88" s="45"/>
      <c r="J88" s="47"/>
    </row>
    <row r="89" spans="1:10" s="48" customFormat="1" x14ac:dyDescent="0.25">
      <c r="A89" s="61">
        <v>33434</v>
      </c>
      <c r="B89" s="62">
        <f t="shared" si="4"/>
        <v>1</v>
      </c>
      <c r="C89" s="63">
        <f t="shared" si="5"/>
        <v>2016</v>
      </c>
      <c r="D89" s="63">
        <f t="shared" si="3"/>
        <v>3</v>
      </c>
      <c r="E89" s="64">
        <v>42381</v>
      </c>
      <c r="F89" s="61" t="s">
        <v>3</v>
      </c>
      <c r="G89" s="45">
        <f>H89+(I89*0.06)</f>
        <v>0</v>
      </c>
      <c r="H89" s="65">
        <v>0</v>
      </c>
      <c r="I89" s="65"/>
      <c r="J89" s="47"/>
    </row>
    <row r="90" spans="1:10" s="48" customFormat="1" x14ac:dyDescent="0.25">
      <c r="A90" s="56">
        <v>33435</v>
      </c>
      <c r="B90" s="59">
        <f t="shared" si="4"/>
        <v>1</v>
      </c>
      <c r="C90" s="60">
        <f t="shared" si="5"/>
        <v>2016</v>
      </c>
      <c r="D90" s="60">
        <f t="shared" si="3"/>
        <v>3</v>
      </c>
      <c r="E90" s="57">
        <v>42381</v>
      </c>
      <c r="F90" s="56" t="s">
        <v>0</v>
      </c>
      <c r="G90" s="45">
        <f>H90+(I90*0.06)</f>
        <v>328.75</v>
      </c>
      <c r="H90" s="58">
        <v>328.75</v>
      </c>
      <c r="I90" s="58"/>
      <c r="J90" s="47"/>
    </row>
    <row r="91" spans="1:10" s="48" customFormat="1" x14ac:dyDescent="0.25">
      <c r="A91" s="56">
        <v>33436</v>
      </c>
      <c r="B91" s="59">
        <f t="shared" si="4"/>
        <v>1</v>
      </c>
      <c r="C91" s="60">
        <f t="shared" si="5"/>
        <v>2016</v>
      </c>
      <c r="D91" s="60">
        <f t="shared" si="3"/>
        <v>3</v>
      </c>
      <c r="E91" s="57">
        <v>42381</v>
      </c>
      <c r="F91" s="56" t="s">
        <v>0</v>
      </c>
      <c r="G91" s="45">
        <f>H91+(I91*0.06)</f>
        <v>607</v>
      </c>
      <c r="H91" s="58">
        <v>607</v>
      </c>
      <c r="I91" s="58"/>
      <c r="J91" s="47"/>
    </row>
    <row r="92" spans="1:10" s="48" customFormat="1" x14ac:dyDescent="0.25">
      <c r="A92" s="56">
        <v>33437</v>
      </c>
      <c r="B92" s="59">
        <f t="shared" si="4"/>
        <v>1</v>
      </c>
      <c r="C92" s="60">
        <f t="shared" si="5"/>
        <v>2016</v>
      </c>
      <c r="D92" s="60">
        <f t="shared" si="3"/>
        <v>3</v>
      </c>
      <c r="E92" s="57">
        <v>42381</v>
      </c>
      <c r="F92" s="56" t="s">
        <v>0</v>
      </c>
      <c r="G92" s="45">
        <f>H92+(I92*0.06)</f>
        <v>670</v>
      </c>
      <c r="H92" s="58">
        <v>670</v>
      </c>
      <c r="I92" s="58"/>
      <c r="J92" s="47"/>
    </row>
    <row r="93" spans="1:10" s="48" customFormat="1" x14ac:dyDescent="0.25">
      <c r="A93" s="56">
        <v>33438</v>
      </c>
      <c r="B93" s="59">
        <f t="shared" si="4"/>
        <v>1</v>
      </c>
      <c r="C93" s="60">
        <f t="shared" si="5"/>
        <v>2016</v>
      </c>
      <c r="D93" s="60">
        <f t="shared" si="3"/>
        <v>3</v>
      </c>
      <c r="E93" s="57">
        <v>42381</v>
      </c>
      <c r="F93" s="56" t="s">
        <v>19</v>
      </c>
      <c r="G93" s="45">
        <f>H93+(I93*0.06)</f>
        <v>846</v>
      </c>
      <c r="H93" s="58">
        <v>846</v>
      </c>
      <c r="I93" s="58"/>
      <c r="J93" s="47"/>
    </row>
    <row r="94" spans="1:10" s="48" customFormat="1" x14ac:dyDescent="0.25">
      <c r="A94" s="49">
        <v>33439</v>
      </c>
      <c r="B94" s="53">
        <f t="shared" si="4"/>
        <v>1</v>
      </c>
      <c r="C94" s="50">
        <f t="shared" si="5"/>
        <v>2016</v>
      </c>
      <c r="D94" s="50">
        <f t="shared" si="3"/>
        <v>3</v>
      </c>
      <c r="E94" s="51">
        <v>42381</v>
      </c>
      <c r="F94" s="49" t="s">
        <v>19</v>
      </c>
      <c r="G94" s="45">
        <f>H94+(I94*0.06)</f>
        <v>190</v>
      </c>
      <c r="H94" s="45">
        <v>190</v>
      </c>
      <c r="I94" s="45"/>
      <c r="J94" s="47"/>
    </row>
    <row r="95" spans="1:10" s="48" customFormat="1" x14ac:dyDescent="0.25">
      <c r="A95" s="49">
        <v>33440</v>
      </c>
      <c r="B95" s="53">
        <f t="shared" si="4"/>
        <v>1</v>
      </c>
      <c r="C95" s="50">
        <f t="shared" si="5"/>
        <v>2016</v>
      </c>
      <c r="D95" s="50">
        <f t="shared" si="3"/>
        <v>3</v>
      </c>
      <c r="E95" s="51">
        <v>42381</v>
      </c>
      <c r="F95" s="49" t="s">
        <v>19</v>
      </c>
      <c r="G95" s="45">
        <f>H95+(I95*0.06)</f>
        <v>165</v>
      </c>
      <c r="H95" s="45">
        <v>165</v>
      </c>
      <c r="I95" s="45"/>
      <c r="J95" s="47"/>
    </row>
    <row r="96" spans="1:10" s="48" customFormat="1" x14ac:dyDescent="0.25">
      <c r="A96" s="49">
        <v>33441</v>
      </c>
      <c r="B96" s="53">
        <f t="shared" si="4"/>
        <v>1</v>
      </c>
      <c r="C96" s="50">
        <f t="shared" si="5"/>
        <v>2016</v>
      </c>
      <c r="D96" s="50">
        <f t="shared" si="3"/>
        <v>3</v>
      </c>
      <c r="E96" s="51">
        <v>42381</v>
      </c>
      <c r="F96" s="49" t="s">
        <v>19</v>
      </c>
      <c r="G96" s="45">
        <f>H96+(I96*0.06)</f>
        <v>35</v>
      </c>
      <c r="H96" s="45">
        <v>35</v>
      </c>
      <c r="I96" s="45"/>
      <c r="J96" s="47"/>
    </row>
    <row r="97" spans="1:10" s="48" customFormat="1" x14ac:dyDescent="0.25">
      <c r="A97" s="56">
        <v>33442</v>
      </c>
      <c r="B97" s="59">
        <f t="shared" si="4"/>
        <v>1</v>
      </c>
      <c r="C97" s="60">
        <f t="shared" si="5"/>
        <v>2016</v>
      </c>
      <c r="D97" s="60">
        <f t="shared" si="3"/>
        <v>3</v>
      </c>
      <c r="E97" s="57">
        <v>42381</v>
      </c>
      <c r="F97" s="56" t="s">
        <v>19</v>
      </c>
      <c r="G97" s="45">
        <f>H97+(I97*0.06)</f>
        <v>42</v>
      </c>
      <c r="H97" s="58">
        <v>42</v>
      </c>
      <c r="I97" s="58"/>
      <c r="J97" s="47"/>
    </row>
    <row r="98" spans="1:10" s="48" customFormat="1" x14ac:dyDescent="0.25">
      <c r="A98" s="56">
        <v>33443</v>
      </c>
      <c r="B98" s="59">
        <f t="shared" si="4"/>
        <v>1</v>
      </c>
      <c r="C98" s="60">
        <f t="shared" si="5"/>
        <v>2016</v>
      </c>
      <c r="D98" s="60">
        <f t="shared" si="3"/>
        <v>3</v>
      </c>
      <c r="E98" s="57">
        <v>42381</v>
      </c>
      <c r="F98" s="56" t="s">
        <v>0</v>
      </c>
      <c r="G98" s="45">
        <f>H98+(I98*0.06)</f>
        <v>240.75</v>
      </c>
      <c r="H98" s="58">
        <v>240.75</v>
      </c>
      <c r="I98" s="58"/>
      <c r="J98" s="47"/>
    </row>
    <row r="99" spans="1:10" s="48" customFormat="1" x14ac:dyDescent="0.25">
      <c r="A99" s="56">
        <v>33444</v>
      </c>
      <c r="B99" s="59">
        <f t="shared" si="4"/>
        <v>1</v>
      </c>
      <c r="C99" s="60">
        <f t="shared" si="5"/>
        <v>2016</v>
      </c>
      <c r="D99" s="60">
        <f t="shared" si="3"/>
        <v>3</v>
      </c>
      <c r="E99" s="57">
        <v>42381</v>
      </c>
      <c r="F99" s="56" t="s">
        <v>0</v>
      </c>
      <c r="G99" s="45">
        <f>H99+(I99*0.06)</f>
        <v>702</v>
      </c>
      <c r="H99" s="58">
        <v>702</v>
      </c>
      <c r="I99" s="58"/>
      <c r="J99" s="47"/>
    </row>
    <row r="100" spans="1:10" s="48" customFormat="1" x14ac:dyDescent="0.25">
      <c r="A100" s="49">
        <v>33445</v>
      </c>
      <c r="B100" s="53">
        <f t="shared" si="4"/>
        <v>1</v>
      </c>
      <c r="C100" s="50">
        <f t="shared" si="5"/>
        <v>2016</v>
      </c>
      <c r="D100" s="50">
        <f t="shared" si="3"/>
        <v>3</v>
      </c>
      <c r="E100" s="51">
        <v>42382</v>
      </c>
      <c r="F100" s="49" t="s">
        <v>40</v>
      </c>
      <c r="G100" s="45">
        <f>H100+(I100*0.06)</f>
        <v>864.99999999999989</v>
      </c>
      <c r="H100" s="45">
        <f>951.5/1.1</f>
        <v>864.99999999999989</v>
      </c>
      <c r="I100" s="45"/>
      <c r="J100" s="47"/>
    </row>
    <row r="101" spans="1:10" s="48" customFormat="1" x14ac:dyDescent="0.25">
      <c r="A101" s="56">
        <v>33446</v>
      </c>
      <c r="B101" s="53">
        <f t="shared" si="4"/>
        <v>1</v>
      </c>
      <c r="C101" s="50">
        <f t="shared" si="5"/>
        <v>2016</v>
      </c>
      <c r="D101" s="50">
        <f t="shared" si="3"/>
        <v>3</v>
      </c>
      <c r="E101" s="57">
        <v>42382</v>
      </c>
      <c r="F101" s="56" t="s">
        <v>40</v>
      </c>
      <c r="G101" s="45">
        <f>H101+(I101*0.06)</f>
        <v>2090.4272727272723</v>
      </c>
      <c r="H101" s="58">
        <f>2299.47/1.1</f>
        <v>2090.4272727272723</v>
      </c>
      <c r="I101" s="58"/>
      <c r="J101" s="47"/>
    </row>
    <row r="102" spans="1:10" s="48" customFormat="1" x14ac:dyDescent="0.25">
      <c r="A102" s="56">
        <v>33447</v>
      </c>
      <c r="B102" s="59">
        <f t="shared" si="4"/>
        <v>1</v>
      </c>
      <c r="C102" s="60">
        <f t="shared" si="5"/>
        <v>2016</v>
      </c>
      <c r="D102" s="60">
        <f t="shared" si="3"/>
        <v>3</v>
      </c>
      <c r="E102" s="57">
        <v>42382</v>
      </c>
      <c r="F102" s="56" t="s">
        <v>19</v>
      </c>
      <c r="G102" s="45">
        <f>H102+(I102*0.06)</f>
        <v>120</v>
      </c>
      <c r="H102" s="58">
        <v>120</v>
      </c>
      <c r="I102" s="58"/>
      <c r="J102" s="47"/>
    </row>
    <row r="103" spans="1:10" s="48" customFormat="1" x14ac:dyDescent="0.25">
      <c r="A103" s="56">
        <v>33448</v>
      </c>
      <c r="B103" s="59">
        <f t="shared" si="4"/>
        <v>1</v>
      </c>
      <c r="C103" s="60">
        <f t="shared" si="5"/>
        <v>2016</v>
      </c>
      <c r="D103" s="60">
        <f t="shared" si="3"/>
        <v>3</v>
      </c>
      <c r="E103" s="57">
        <v>42382</v>
      </c>
      <c r="F103" s="56" t="s">
        <v>19</v>
      </c>
      <c r="G103" s="45">
        <f>H103+(I103*0.06)</f>
        <v>2345</v>
      </c>
      <c r="H103" s="58">
        <v>2345</v>
      </c>
      <c r="I103" s="58"/>
      <c r="J103" s="47"/>
    </row>
    <row r="104" spans="1:10" s="48" customFormat="1" x14ac:dyDescent="0.25">
      <c r="A104" s="56">
        <v>33449</v>
      </c>
      <c r="B104" s="59">
        <f t="shared" si="4"/>
        <v>1</v>
      </c>
      <c r="C104" s="60">
        <f t="shared" si="5"/>
        <v>2016</v>
      </c>
      <c r="D104" s="60">
        <f t="shared" si="3"/>
        <v>3</v>
      </c>
      <c r="E104" s="57">
        <v>42382</v>
      </c>
      <c r="F104" s="56" t="s">
        <v>19</v>
      </c>
      <c r="G104" s="45">
        <f>H104+(I104*0.06)</f>
        <v>49.5</v>
      </c>
      <c r="H104" s="58">
        <v>49.5</v>
      </c>
      <c r="I104" s="58"/>
      <c r="J104" s="47"/>
    </row>
    <row r="105" spans="1:10" s="48" customFormat="1" x14ac:dyDescent="0.25">
      <c r="A105" s="56">
        <v>33450</v>
      </c>
      <c r="B105" s="59">
        <f t="shared" si="4"/>
        <v>1</v>
      </c>
      <c r="C105" s="60">
        <f t="shared" si="5"/>
        <v>2016</v>
      </c>
      <c r="D105" s="60">
        <f t="shared" si="3"/>
        <v>3</v>
      </c>
      <c r="E105" s="57">
        <v>42382</v>
      </c>
      <c r="F105" s="56" t="s">
        <v>19</v>
      </c>
      <c r="G105" s="45">
        <f>H105+(I105*0.06)</f>
        <v>35</v>
      </c>
      <c r="H105" s="58">
        <v>35</v>
      </c>
      <c r="I105" s="58"/>
      <c r="J105" s="47"/>
    </row>
    <row r="106" spans="1:10" s="48" customFormat="1" x14ac:dyDescent="0.25">
      <c r="A106" s="56">
        <v>33451</v>
      </c>
      <c r="B106" s="59">
        <f t="shared" si="4"/>
        <v>1</v>
      </c>
      <c r="C106" s="60">
        <f t="shared" si="5"/>
        <v>2016</v>
      </c>
      <c r="D106" s="60">
        <f t="shared" si="3"/>
        <v>3</v>
      </c>
      <c r="E106" s="57">
        <v>42382</v>
      </c>
      <c r="F106" s="56" t="s">
        <v>19</v>
      </c>
      <c r="G106" s="45">
        <f>H106+(I106*0.06)</f>
        <v>55</v>
      </c>
      <c r="H106" s="58">
        <v>55</v>
      </c>
      <c r="I106" s="58"/>
      <c r="J106" s="47"/>
    </row>
    <row r="107" spans="1:10" s="48" customFormat="1" x14ac:dyDescent="0.25">
      <c r="A107" s="56">
        <v>33452</v>
      </c>
      <c r="B107" s="59">
        <f t="shared" si="4"/>
        <v>1</v>
      </c>
      <c r="C107" s="60">
        <f t="shared" si="5"/>
        <v>2016</v>
      </c>
      <c r="D107" s="60">
        <f t="shared" si="3"/>
        <v>3</v>
      </c>
      <c r="E107" s="57">
        <v>42382</v>
      </c>
      <c r="F107" s="56" t="s">
        <v>3</v>
      </c>
      <c r="G107" s="45">
        <f>H107+(I107*0.06)</f>
        <v>2050.25</v>
      </c>
      <c r="H107" s="58">
        <v>2050.25</v>
      </c>
      <c r="I107" s="58"/>
      <c r="J107" s="47"/>
    </row>
    <row r="108" spans="1:10" s="48" customFormat="1" x14ac:dyDescent="0.25">
      <c r="A108" s="49">
        <v>33453</v>
      </c>
      <c r="B108" s="53">
        <f t="shared" si="4"/>
        <v>1</v>
      </c>
      <c r="C108" s="50">
        <f t="shared" si="5"/>
        <v>2016</v>
      </c>
      <c r="D108" s="50">
        <f t="shared" si="3"/>
        <v>3</v>
      </c>
      <c r="E108" s="51">
        <v>42382</v>
      </c>
      <c r="F108" s="49" t="s">
        <v>9</v>
      </c>
      <c r="G108" s="45">
        <f>H108+(I108*0.06)</f>
        <v>0</v>
      </c>
      <c r="H108" s="45"/>
      <c r="I108" s="45"/>
      <c r="J108" s="47"/>
    </row>
    <row r="109" spans="1:10" s="48" customFormat="1" x14ac:dyDescent="0.25">
      <c r="A109" s="56">
        <v>33454</v>
      </c>
      <c r="B109" s="53">
        <f t="shared" si="4"/>
        <v>1</v>
      </c>
      <c r="C109" s="50">
        <f t="shared" si="5"/>
        <v>2016</v>
      </c>
      <c r="D109" s="50">
        <f t="shared" si="3"/>
        <v>3</v>
      </c>
      <c r="E109" s="57">
        <v>42382</v>
      </c>
      <c r="F109" s="56" t="s">
        <v>0</v>
      </c>
      <c r="G109" s="45">
        <f>H109+(I109*0.06)</f>
        <v>485</v>
      </c>
      <c r="H109" s="58">
        <v>485</v>
      </c>
      <c r="I109" s="58"/>
      <c r="J109" s="47"/>
    </row>
    <row r="110" spans="1:10" s="48" customFormat="1" x14ac:dyDescent="0.25">
      <c r="A110" s="56">
        <v>33455</v>
      </c>
      <c r="B110" s="59">
        <f t="shared" si="4"/>
        <v>1</v>
      </c>
      <c r="C110" s="60">
        <f t="shared" si="5"/>
        <v>2016</v>
      </c>
      <c r="D110" s="60">
        <f t="shared" si="3"/>
        <v>3</v>
      </c>
      <c r="E110" s="57">
        <v>42382</v>
      </c>
      <c r="F110" s="56" t="s">
        <v>5</v>
      </c>
      <c r="G110" s="45">
        <f>H110+(I110*0.06)</f>
        <v>405.08</v>
      </c>
      <c r="H110" s="58">
        <v>405.08</v>
      </c>
      <c r="I110" s="58"/>
      <c r="J110" s="47"/>
    </row>
    <row r="111" spans="1:10" s="48" customFormat="1" x14ac:dyDescent="0.25">
      <c r="A111" s="49">
        <v>33456</v>
      </c>
      <c r="B111" s="53">
        <f t="shared" si="4"/>
        <v>1</v>
      </c>
      <c r="C111" s="50">
        <f t="shared" si="5"/>
        <v>2016</v>
      </c>
      <c r="D111" s="50">
        <f t="shared" si="3"/>
        <v>3</v>
      </c>
      <c r="E111" s="51">
        <v>42382</v>
      </c>
      <c r="F111" s="49" t="s">
        <v>0</v>
      </c>
      <c r="G111" s="45">
        <f>H111+(I111*0.06)</f>
        <v>520</v>
      </c>
      <c r="H111" s="45">
        <v>520</v>
      </c>
      <c r="I111" s="45"/>
      <c r="J111" s="47"/>
    </row>
    <row r="112" spans="1:10" s="48" customFormat="1" x14ac:dyDescent="0.25">
      <c r="A112" s="49">
        <v>33457</v>
      </c>
      <c r="B112" s="53">
        <f t="shared" si="4"/>
        <v>1</v>
      </c>
      <c r="C112" s="50">
        <f t="shared" si="5"/>
        <v>2016</v>
      </c>
      <c r="D112" s="50">
        <f t="shared" si="3"/>
        <v>3</v>
      </c>
      <c r="E112" s="51">
        <v>42382</v>
      </c>
      <c r="F112" s="49" t="s">
        <v>3</v>
      </c>
      <c r="G112" s="45">
        <f>H112+(I112*0.06)</f>
        <v>975</v>
      </c>
      <c r="H112" s="45">
        <v>975</v>
      </c>
      <c r="I112" s="45"/>
      <c r="J112" s="47"/>
    </row>
    <row r="113" spans="1:10" s="48" customFormat="1" x14ac:dyDescent="0.25">
      <c r="A113" s="56">
        <v>33458</v>
      </c>
      <c r="B113" s="59">
        <f t="shared" si="4"/>
        <v>1</v>
      </c>
      <c r="C113" s="60">
        <f t="shared" si="5"/>
        <v>2016</v>
      </c>
      <c r="D113" s="60">
        <f t="shared" si="3"/>
        <v>3</v>
      </c>
      <c r="E113" s="57">
        <v>42382</v>
      </c>
      <c r="F113" s="56" t="s">
        <v>0</v>
      </c>
      <c r="G113" s="45">
        <f>H113+(I113*0.06)</f>
        <v>1084.5</v>
      </c>
      <c r="H113" s="58">
        <v>1084.5</v>
      </c>
      <c r="I113" s="58"/>
      <c r="J113" s="47"/>
    </row>
    <row r="114" spans="1:10" s="48" customFormat="1" x14ac:dyDescent="0.25">
      <c r="A114" s="49">
        <v>33459</v>
      </c>
      <c r="B114" s="53">
        <f t="shared" ref="B114:B177" si="6">IF(E114="","",MONTH(E114))</f>
        <v>1</v>
      </c>
      <c r="C114" s="50">
        <f t="shared" ref="C114:C177" si="7">IF(E114="","",YEAR(E114))</f>
        <v>2016</v>
      </c>
      <c r="D114" s="50">
        <f t="shared" si="3"/>
        <v>3</v>
      </c>
      <c r="E114" s="51">
        <v>42383</v>
      </c>
      <c r="F114" s="49" t="s">
        <v>19</v>
      </c>
      <c r="G114" s="45">
        <f>H114+(I114*0.06)</f>
        <v>175</v>
      </c>
      <c r="H114" s="45">
        <v>175</v>
      </c>
      <c r="I114" s="45"/>
      <c r="J114" s="47"/>
    </row>
    <row r="115" spans="1:10" s="48" customFormat="1" x14ac:dyDescent="0.25">
      <c r="A115" s="56">
        <v>33460</v>
      </c>
      <c r="B115" s="53">
        <f t="shared" si="6"/>
        <v>1</v>
      </c>
      <c r="C115" s="50">
        <f t="shared" si="7"/>
        <v>2016</v>
      </c>
      <c r="D115" s="50">
        <f t="shared" si="3"/>
        <v>3</v>
      </c>
      <c r="E115" s="57">
        <v>42383</v>
      </c>
      <c r="F115" s="56" t="s">
        <v>19</v>
      </c>
      <c r="G115" s="45">
        <f>H115+(I115*0.06)</f>
        <v>1261.5</v>
      </c>
      <c r="H115" s="58">
        <v>1261.5</v>
      </c>
      <c r="I115" s="58"/>
      <c r="J115" s="47"/>
    </row>
    <row r="116" spans="1:10" s="48" customFormat="1" x14ac:dyDescent="0.25">
      <c r="A116" s="49">
        <v>33461</v>
      </c>
      <c r="B116" s="53">
        <f t="shared" si="6"/>
        <v>1</v>
      </c>
      <c r="C116" s="50">
        <f t="shared" si="7"/>
        <v>2016</v>
      </c>
      <c r="D116" s="50">
        <f t="shared" si="3"/>
        <v>3</v>
      </c>
      <c r="E116" s="51">
        <v>42383</v>
      </c>
      <c r="F116" s="49" t="s">
        <v>19</v>
      </c>
      <c r="G116" s="45">
        <f>H116+(I116*0.06)</f>
        <v>112</v>
      </c>
      <c r="H116" s="45">
        <v>112</v>
      </c>
      <c r="I116" s="45"/>
      <c r="J116" s="47"/>
    </row>
    <row r="117" spans="1:10" s="48" customFormat="1" x14ac:dyDescent="0.25">
      <c r="A117" s="56">
        <v>33462</v>
      </c>
      <c r="B117" s="53">
        <f t="shared" si="6"/>
        <v>1</v>
      </c>
      <c r="C117" s="50">
        <f t="shared" si="7"/>
        <v>2016</v>
      </c>
      <c r="D117" s="50">
        <f t="shared" si="3"/>
        <v>3</v>
      </c>
      <c r="E117" s="57">
        <v>42383</v>
      </c>
      <c r="F117" s="56" t="s">
        <v>26</v>
      </c>
      <c r="G117" s="45">
        <f>H117+(I117*0.06)</f>
        <v>970.42</v>
      </c>
      <c r="H117" s="58">
        <v>970.42</v>
      </c>
      <c r="I117" s="58"/>
      <c r="J117" s="47"/>
    </row>
    <row r="118" spans="1:10" s="48" customFormat="1" x14ac:dyDescent="0.25">
      <c r="A118" s="61">
        <v>33463</v>
      </c>
      <c r="B118" s="62">
        <f t="shared" si="6"/>
        <v>1</v>
      </c>
      <c r="C118" s="63">
        <f t="shared" si="7"/>
        <v>2016</v>
      </c>
      <c r="D118" s="63">
        <f t="shared" si="3"/>
        <v>3</v>
      </c>
      <c r="E118" s="64">
        <v>42383</v>
      </c>
      <c r="F118" s="61" t="s">
        <v>5</v>
      </c>
      <c r="G118" s="45">
        <f>H118+(I118*0.06)</f>
        <v>0</v>
      </c>
      <c r="H118" s="65">
        <v>0</v>
      </c>
      <c r="I118" s="65"/>
      <c r="J118" s="47"/>
    </row>
    <row r="119" spans="1:10" s="48" customFormat="1" x14ac:dyDescent="0.25">
      <c r="A119" s="56">
        <v>33464</v>
      </c>
      <c r="B119" s="59">
        <f t="shared" si="6"/>
        <v>1</v>
      </c>
      <c r="C119" s="60">
        <f t="shared" si="7"/>
        <v>2016</v>
      </c>
      <c r="D119" s="60">
        <f t="shared" si="3"/>
        <v>3</v>
      </c>
      <c r="E119" s="57">
        <v>42383</v>
      </c>
      <c r="F119" s="56" t="s">
        <v>0</v>
      </c>
      <c r="G119" s="45">
        <f>H119+(I119*0.06)</f>
        <v>232.25</v>
      </c>
      <c r="H119" s="58">
        <v>232.25</v>
      </c>
      <c r="I119" s="58"/>
      <c r="J119" s="47"/>
    </row>
    <row r="120" spans="1:10" s="48" customFormat="1" x14ac:dyDescent="0.25">
      <c r="A120" s="56">
        <v>33465</v>
      </c>
      <c r="B120" s="59">
        <f t="shared" si="6"/>
        <v>1</v>
      </c>
      <c r="C120" s="60">
        <f t="shared" si="7"/>
        <v>2016</v>
      </c>
      <c r="D120" s="60">
        <f t="shared" si="3"/>
        <v>3</v>
      </c>
      <c r="E120" s="57">
        <v>42383</v>
      </c>
      <c r="F120" s="56" t="s">
        <v>0</v>
      </c>
      <c r="G120" s="45">
        <f>H120+(I120*0.06)</f>
        <v>271.5</v>
      </c>
      <c r="H120" s="58">
        <v>271.5</v>
      </c>
      <c r="I120" s="58"/>
      <c r="J120" s="47"/>
    </row>
    <row r="121" spans="1:10" s="48" customFormat="1" x14ac:dyDescent="0.25">
      <c r="A121" s="56">
        <v>33466</v>
      </c>
      <c r="B121" s="53">
        <f t="shared" si="6"/>
        <v>1</v>
      </c>
      <c r="C121" s="50">
        <f t="shared" si="7"/>
        <v>2016</v>
      </c>
      <c r="D121" s="50">
        <f t="shared" si="3"/>
        <v>3</v>
      </c>
      <c r="E121" s="57">
        <v>42383</v>
      </c>
      <c r="F121" s="56" t="s">
        <v>40</v>
      </c>
      <c r="G121" s="45">
        <f>H121+(I121*0.06)</f>
        <v>647.65454545454531</v>
      </c>
      <c r="H121" s="58">
        <f>712.42/1.1</f>
        <v>647.65454545454531</v>
      </c>
      <c r="I121" s="58"/>
      <c r="J121" s="47"/>
    </row>
    <row r="122" spans="1:10" s="48" customFormat="1" x14ac:dyDescent="0.25">
      <c r="A122" s="49">
        <v>33467</v>
      </c>
      <c r="B122" s="53">
        <f t="shared" si="6"/>
        <v>1</v>
      </c>
      <c r="C122" s="50">
        <f t="shared" si="7"/>
        <v>2016</v>
      </c>
      <c r="D122" s="50">
        <f t="shared" si="3"/>
        <v>3</v>
      </c>
      <c r="E122" s="51">
        <v>42383</v>
      </c>
      <c r="F122" s="49" t="s">
        <v>3</v>
      </c>
      <c r="G122" s="45">
        <f>H122+(I122*0.06)</f>
        <v>5448</v>
      </c>
      <c r="H122" s="45">
        <v>5448</v>
      </c>
      <c r="I122" s="45"/>
      <c r="J122" s="47"/>
    </row>
    <row r="123" spans="1:10" s="48" customFormat="1" x14ac:dyDescent="0.25">
      <c r="A123" s="49">
        <v>33468</v>
      </c>
      <c r="B123" s="53">
        <f t="shared" si="6"/>
        <v>1</v>
      </c>
      <c r="C123" s="50">
        <f t="shared" si="7"/>
        <v>2016</v>
      </c>
      <c r="D123" s="50">
        <f t="shared" si="3"/>
        <v>3</v>
      </c>
      <c r="E123" s="51">
        <v>42383</v>
      </c>
      <c r="F123" s="49" t="s">
        <v>3</v>
      </c>
      <c r="G123" s="45">
        <f>H123+(I123*0.06)</f>
        <v>6871.02</v>
      </c>
      <c r="H123" s="45">
        <v>6871.02</v>
      </c>
      <c r="I123" s="45"/>
      <c r="J123" s="47"/>
    </row>
    <row r="124" spans="1:10" s="48" customFormat="1" x14ac:dyDescent="0.25">
      <c r="A124" s="49">
        <v>33469</v>
      </c>
      <c r="B124" s="53">
        <f t="shared" si="6"/>
        <v>1</v>
      </c>
      <c r="C124" s="50">
        <f t="shared" si="7"/>
        <v>2016</v>
      </c>
      <c r="D124" s="50">
        <f t="shared" si="3"/>
        <v>3</v>
      </c>
      <c r="E124" s="51">
        <v>42383</v>
      </c>
      <c r="F124" s="49" t="s">
        <v>3</v>
      </c>
      <c r="G124" s="45">
        <f>H124+(I124*0.06)</f>
        <v>6214.5</v>
      </c>
      <c r="H124" s="45">
        <v>6214.5</v>
      </c>
      <c r="I124" s="45"/>
      <c r="J124" s="47"/>
    </row>
    <row r="125" spans="1:10" s="48" customFormat="1" x14ac:dyDescent="0.25">
      <c r="A125" s="49">
        <v>33470</v>
      </c>
      <c r="B125" s="53">
        <f t="shared" si="6"/>
        <v>1</v>
      </c>
      <c r="C125" s="50">
        <f t="shared" si="7"/>
        <v>2016</v>
      </c>
      <c r="D125" s="50">
        <f t="shared" si="3"/>
        <v>3</v>
      </c>
      <c r="E125" s="51">
        <v>42383</v>
      </c>
      <c r="F125" s="49" t="s">
        <v>26</v>
      </c>
      <c r="G125" s="45">
        <f>H125+(I125*0.06)</f>
        <v>670.04</v>
      </c>
      <c r="H125" s="45">
        <v>670.04</v>
      </c>
      <c r="I125" s="45"/>
      <c r="J125" s="47"/>
    </row>
    <row r="126" spans="1:10" s="48" customFormat="1" x14ac:dyDescent="0.25">
      <c r="A126" s="49">
        <v>33471</v>
      </c>
      <c r="B126" s="53">
        <f t="shared" si="6"/>
        <v>1</v>
      </c>
      <c r="C126" s="50">
        <f t="shared" si="7"/>
        <v>2016</v>
      </c>
      <c r="D126" s="50">
        <f t="shared" si="3"/>
        <v>3</v>
      </c>
      <c r="E126" s="51">
        <v>42383</v>
      </c>
      <c r="F126" s="49" t="s">
        <v>3</v>
      </c>
      <c r="G126" s="45">
        <f>H126+(I126*0.06)</f>
        <v>1132.75</v>
      </c>
      <c r="H126" s="45">
        <v>1132.75</v>
      </c>
      <c r="I126" s="45"/>
      <c r="J126" s="47"/>
    </row>
    <row r="127" spans="1:10" s="48" customFormat="1" x14ac:dyDescent="0.25">
      <c r="A127" s="49">
        <v>33472</v>
      </c>
      <c r="B127" s="53">
        <f t="shared" si="6"/>
        <v>1</v>
      </c>
      <c r="C127" s="50">
        <f t="shared" si="7"/>
        <v>2016</v>
      </c>
      <c r="D127" s="50">
        <f t="shared" si="3"/>
        <v>3</v>
      </c>
      <c r="E127" s="51">
        <v>42383</v>
      </c>
      <c r="F127" s="49" t="s">
        <v>19</v>
      </c>
      <c r="G127" s="45">
        <f>H127+(I127*0.06)</f>
        <v>55</v>
      </c>
      <c r="H127" s="45">
        <v>55</v>
      </c>
      <c r="I127" s="45"/>
      <c r="J127" s="47"/>
    </row>
    <row r="128" spans="1:10" s="48" customFormat="1" x14ac:dyDescent="0.25">
      <c r="A128" s="66">
        <v>33473</v>
      </c>
      <c r="B128" s="67">
        <f t="shared" si="6"/>
        <v>1</v>
      </c>
      <c r="C128" s="68">
        <f t="shared" si="7"/>
        <v>2016</v>
      </c>
      <c r="D128" s="68">
        <f t="shared" si="3"/>
        <v>3</v>
      </c>
      <c r="E128" s="69">
        <v>42383</v>
      </c>
      <c r="F128" s="66" t="s">
        <v>0</v>
      </c>
      <c r="G128" s="45">
        <f>H128+(I128*0.06)</f>
        <v>0</v>
      </c>
      <c r="H128" s="70">
        <v>0</v>
      </c>
      <c r="I128" s="70"/>
      <c r="J128" s="47"/>
    </row>
    <row r="129" spans="1:10" s="48" customFormat="1" x14ac:dyDescent="0.25">
      <c r="A129" s="49">
        <v>33474</v>
      </c>
      <c r="B129" s="53">
        <f t="shared" si="6"/>
        <v>1</v>
      </c>
      <c r="C129" s="50">
        <f t="shared" si="7"/>
        <v>2016</v>
      </c>
      <c r="D129" s="50">
        <f t="shared" ref="D129:D192" si="8">IF(E129="","",WEEKNUM(E129,2))</f>
        <v>3</v>
      </c>
      <c r="E129" s="51">
        <v>42383</v>
      </c>
      <c r="F129" s="49" t="s">
        <v>19</v>
      </c>
      <c r="G129" s="45">
        <f>H129+(I129*0.06)</f>
        <v>0</v>
      </c>
      <c r="H129" s="45"/>
      <c r="I129" s="45"/>
      <c r="J129" s="47"/>
    </row>
    <row r="130" spans="1:10" s="48" customFormat="1" x14ac:dyDescent="0.25">
      <c r="A130" s="56">
        <v>33475</v>
      </c>
      <c r="B130" s="53">
        <f t="shared" si="6"/>
        <v>1</v>
      </c>
      <c r="C130" s="50">
        <f t="shared" si="7"/>
        <v>2016</v>
      </c>
      <c r="D130" s="50">
        <f t="shared" si="8"/>
        <v>3</v>
      </c>
      <c r="E130" s="57">
        <v>42383</v>
      </c>
      <c r="F130" s="56" t="s">
        <v>3</v>
      </c>
      <c r="G130" s="45">
        <f>H130+(I130*0.06)</f>
        <v>512.75</v>
      </c>
      <c r="H130" s="58">
        <v>512.75</v>
      </c>
      <c r="I130" s="58"/>
      <c r="J130" s="47"/>
    </row>
    <row r="131" spans="1:10" s="48" customFormat="1" x14ac:dyDescent="0.25">
      <c r="A131" s="49">
        <v>33476</v>
      </c>
      <c r="B131" s="53">
        <f t="shared" si="6"/>
        <v>1</v>
      </c>
      <c r="C131" s="50">
        <f t="shared" si="7"/>
        <v>2016</v>
      </c>
      <c r="D131" s="50">
        <f t="shared" si="8"/>
        <v>3</v>
      </c>
      <c r="E131" s="51">
        <v>42383</v>
      </c>
      <c r="F131" s="49" t="s">
        <v>10</v>
      </c>
      <c r="G131" s="45">
        <f>H131+(I131*0.06)</f>
        <v>20918</v>
      </c>
      <c r="H131" s="45">
        <v>20918</v>
      </c>
      <c r="I131" s="45"/>
      <c r="J131" s="47"/>
    </row>
    <row r="132" spans="1:10" s="48" customFormat="1" x14ac:dyDescent="0.25">
      <c r="A132" s="56">
        <v>33477</v>
      </c>
      <c r="B132" s="59">
        <f t="shared" si="6"/>
        <v>1</v>
      </c>
      <c r="C132" s="60">
        <f t="shared" si="7"/>
        <v>2016</v>
      </c>
      <c r="D132" s="60">
        <f t="shared" si="8"/>
        <v>3</v>
      </c>
      <c r="E132" s="57">
        <v>42383</v>
      </c>
      <c r="F132" s="56" t="s">
        <v>3</v>
      </c>
      <c r="G132" s="45">
        <f>H132+(I132*0.06)</f>
        <v>1104.8699999999999</v>
      </c>
      <c r="H132" s="58">
        <v>1104.8699999999999</v>
      </c>
      <c r="I132" s="58"/>
      <c r="J132" s="47"/>
    </row>
    <row r="133" spans="1:10" s="48" customFormat="1" x14ac:dyDescent="0.25">
      <c r="A133" s="49">
        <v>33478</v>
      </c>
      <c r="B133" s="53">
        <f t="shared" si="6"/>
        <v>1</v>
      </c>
      <c r="C133" s="50">
        <f t="shared" si="7"/>
        <v>2016</v>
      </c>
      <c r="D133" s="50">
        <f t="shared" si="8"/>
        <v>3</v>
      </c>
      <c r="E133" s="51">
        <v>42383</v>
      </c>
      <c r="F133" s="49" t="s">
        <v>3</v>
      </c>
      <c r="G133" s="45">
        <f>H133+(I133*0.06)</f>
        <v>650</v>
      </c>
      <c r="H133" s="45">
        <v>650</v>
      </c>
      <c r="I133" s="45"/>
      <c r="J133" s="47"/>
    </row>
    <row r="134" spans="1:10" s="48" customFormat="1" x14ac:dyDescent="0.25">
      <c r="A134" s="49">
        <v>33479</v>
      </c>
      <c r="B134" s="53">
        <f t="shared" si="6"/>
        <v>1</v>
      </c>
      <c r="C134" s="50">
        <f t="shared" si="7"/>
        <v>2016</v>
      </c>
      <c r="D134" s="50">
        <f t="shared" si="8"/>
        <v>3</v>
      </c>
      <c r="E134" s="51">
        <v>42383</v>
      </c>
      <c r="F134" s="49" t="s">
        <v>5</v>
      </c>
      <c r="G134" s="45">
        <f>H134+(I134*0.06)</f>
        <v>436.87</v>
      </c>
      <c r="H134" s="45">
        <v>436.87</v>
      </c>
      <c r="I134" s="45"/>
      <c r="J134" s="47"/>
    </row>
    <row r="135" spans="1:10" s="48" customFormat="1" x14ac:dyDescent="0.25">
      <c r="A135" s="49">
        <v>33480</v>
      </c>
      <c r="B135" s="53">
        <f t="shared" si="6"/>
        <v>1</v>
      </c>
      <c r="C135" s="50">
        <f t="shared" si="7"/>
        <v>2016</v>
      </c>
      <c r="D135" s="50">
        <f t="shared" si="8"/>
        <v>3</v>
      </c>
      <c r="E135" s="51">
        <v>42383</v>
      </c>
      <c r="F135" s="49" t="s">
        <v>26</v>
      </c>
      <c r="G135" s="45">
        <f>H135+(I135*0.06)</f>
        <v>2431.4899999999998</v>
      </c>
      <c r="H135" s="45">
        <v>2431.4899999999998</v>
      </c>
      <c r="I135" s="45"/>
      <c r="J135" s="47"/>
    </row>
    <row r="136" spans="1:10" s="48" customFormat="1" x14ac:dyDescent="0.25">
      <c r="A136" s="49">
        <v>33481</v>
      </c>
      <c r="B136" s="53">
        <f t="shared" si="6"/>
        <v>1</v>
      </c>
      <c r="C136" s="50">
        <f t="shared" si="7"/>
        <v>2016</v>
      </c>
      <c r="D136" s="50">
        <f t="shared" si="8"/>
        <v>3</v>
      </c>
      <c r="E136" s="51">
        <v>42383</v>
      </c>
      <c r="F136" s="49" t="s">
        <v>26</v>
      </c>
      <c r="G136" s="45">
        <f>H136+(I136*0.06)</f>
        <v>330.3</v>
      </c>
      <c r="H136" s="45">
        <v>330.3</v>
      </c>
      <c r="I136" s="45"/>
      <c r="J136" s="47"/>
    </row>
    <row r="137" spans="1:10" s="48" customFormat="1" x14ac:dyDescent="0.25">
      <c r="A137" s="56">
        <v>33482</v>
      </c>
      <c r="B137" s="53">
        <f t="shared" si="6"/>
        <v>1</v>
      </c>
      <c r="C137" s="50">
        <f t="shared" si="7"/>
        <v>2016</v>
      </c>
      <c r="D137" s="50">
        <f t="shared" si="8"/>
        <v>3</v>
      </c>
      <c r="E137" s="57">
        <v>42383</v>
      </c>
      <c r="F137" s="56" t="s">
        <v>40</v>
      </c>
      <c r="G137" s="45">
        <f>H137+(I137*0.06)</f>
        <v>923.99999999999989</v>
      </c>
      <c r="H137" s="58">
        <f>1016.4/1.1</f>
        <v>923.99999999999989</v>
      </c>
      <c r="I137" s="58"/>
      <c r="J137" s="47"/>
    </row>
    <row r="138" spans="1:10" s="48" customFormat="1" x14ac:dyDescent="0.25">
      <c r="A138" s="56">
        <v>33483</v>
      </c>
      <c r="B138" s="53">
        <f t="shared" si="6"/>
        <v>1</v>
      </c>
      <c r="C138" s="50">
        <f t="shared" si="7"/>
        <v>2016</v>
      </c>
      <c r="D138" s="50">
        <f t="shared" si="8"/>
        <v>3</v>
      </c>
      <c r="E138" s="57">
        <v>42383</v>
      </c>
      <c r="F138" s="56" t="s">
        <v>40</v>
      </c>
      <c r="G138" s="45">
        <f>H138+(I138*0.06)</f>
        <v>1224.0999999999999</v>
      </c>
      <c r="H138" s="58">
        <f>1346.51/1.1</f>
        <v>1224.0999999999999</v>
      </c>
      <c r="I138" s="58"/>
      <c r="J138" s="47"/>
    </row>
    <row r="139" spans="1:10" s="48" customFormat="1" x14ac:dyDescent="0.25">
      <c r="A139" s="49">
        <v>33484</v>
      </c>
      <c r="B139" s="53">
        <f t="shared" si="6"/>
        <v>1</v>
      </c>
      <c r="C139" s="50">
        <f t="shared" si="7"/>
        <v>2016</v>
      </c>
      <c r="D139" s="50">
        <f t="shared" si="8"/>
        <v>4</v>
      </c>
      <c r="E139" s="51">
        <v>42387</v>
      </c>
      <c r="F139" s="49" t="s">
        <v>26</v>
      </c>
      <c r="G139" s="45">
        <f>H139+(I139*0.06)</f>
        <v>8902.86</v>
      </c>
      <c r="H139" s="45">
        <v>8902.86</v>
      </c>
      <c r="I139" s="45"/>
      <c r="J139" s="47"/>
    </row>
    <row r="140" spans="1:10" s="48" customFormat="1" x14ac:dyDescent="0.25">
      <c r="A140" s="56">
        <v>33485</v>
      </c>
      <c r="B140" s="53">
        <f t="shared" si="6"/>
        <v>1</v>
      </c>
      <c r="C140" s="50">
        <f t="shared" si="7"/>
        <v>2016</v>
      </c>
      <c r="D140" s="50">
        <f t="shared" si="8"/>
        <v>4</v>
      </c>
      <c r="E140" s="57">
        <v>42387</v>
      </c>
      <c r="F140" s="56" t="s">
        <v>26</v>
      </c>
      <c r="G140" s="45">
        <f>H140+(I140*0.06)</f>
        <v>326.88</v>
      </c>
      <c r="H140" s="58">
        <v>326.88</v>
      </c>
      <c r="I140" s="58"/>
      <c r="J140" s="47"/>
    </row>
    <row r="141" spans="1:10" s="48" customFormat="1" x14ac:dyDescent="0.25">
      <c r="A141" s="49">
        <v>33486</v>
      </c>
      <c r="B141" s="53">
        <f t="shared" si="6"/>
        <v>1</v>
      </c>
      <c r="C141" s="50">
        <f t="shared" si="7"/>
        <v>2016</v>
      </c>
      <c r="D141" s="50">
        <f t="shared" si="8"/>
        <v>4</v>
      </c>
      <c r="E141" s="51">
        <v>42387</v>
      </c>
      <c r="F141" s="49" t="s">
        <v>3</v>
      </c>
      <c r="G141" s="45">
        <f>H141+(I141*0.06)</f>
        <v>6335.2</v>
      </c>
      <c r="H141" s="45">
        <v>6335.2</v>
      </c>
      <c r="I141" s="45"/>
      <c r="J141" s="47"/>
    </row>
    <row r="142" spans="1:10" s="48" customFormat="1" x14ac:dyDescent="0.25">
      <c r="A142" s="56">
        <v>33487</v>
      </c>
      <c r="B142" s="53">
        <f t="shared" si="6"/>
        <v>1</v>
      </c>
      <c r="C142" s="50">
        <f t="shared" si="7"/>
        <v>2016</v>
      </c>
      <c r="D142" s="50">
        <f t="shared" si="8"/>
        <v>4</v>
      </c>
      <c r="E142" s="57">
        <v>42387</v>
      </c>
      <c r="F142" s="56" t="s">
        <v>40</v>
      </c>
      <c r="G142" s="45">
        <f>H142+(I142*0.06)</f>
        <v>3709</v>
      </c>
      <c r="H142" s="58">
        <f>4079.9/1.1</f>
        <v>3709</v>
      </c>
      <c r="I142" s="58"/>
      <c r="J142" s="47"/>
    </row>
    <row r="143" spans="1:10" s="48" customFormat="1" x14ac:dyDescent="0.25">
      <c r="A143" s="49">
        <v>33488</v>
      </c>
      <c r="B143" s="53">
        <f t="shared" si="6"/>
        <v>1</v>
      </c>
      <c r="C143" s="50">
        <f t="shared" si="7"/>
        <v>2016</v>
      </c>
      <c r="D143" s="50">
        <f t="shared" si="8"/>
        <v>4</v>
      </c>
      <c r="E143" s="51">
        <v>42387</v>
      </c>
      <c r="F143" s="49" t="s">
        <v>3</v>
      </c>
      <c r="G143" s="45">
        <f>H143+(I143*0.06)</f>
        <v>0</v>
      </c>
      <c r="H143" s="45"/>
      <c r="I143" s="45"/>
      <c r="J143" s="47"/>
    </row>
    <row r="144" spans="1:10" s="48" customFormat="1" x14ac:dyDescent="0.25">
      <c r="A144" s="61">
        <v>33489</v>
      </c>
      <c r="B144" s="53">
        <f t="shared" si="6"/>
        <v>1</v>
      </c>
      <c r="C144" s="50">
        <f t="shared" si="7"/>
        <v>2016</v>
      </c>
      <c r="D144" s="50">
        <f t="shared" si="8"/>
        <v>4</v>
      </c>
      <c r="E144" s="64">
        <v>42387</v>
      </c>
      <c r="F144" s="61" t="s">
        <v>44</v>
      </c>
      <c r="G144" s="45">
        <f>H144+(I144*0.06)</f>
        <v>0</v>
      </c>
      <c r="H144" s="65">
        <v>0</v>
      </c>
      <c r="I144" s="65"/>
      <c r="J144" s="47"/>
    </row>
    <row r="145" spans="1:10" s="48" customFormat="1" x14ac:dyDescent="0.25">
      <c r="A145" s="49">
        <v>33490</v>
      </c>
      <c r="B145" s="53">
        <f t="shared" si="6"/>
        <v>1</v>
      </c>
      <c r="C145" s="50">
        <f t="shared" si="7"/>
        <v>2016</v>
      </c>
      <c r="D145" s="50">
        <f t="shared" si="8"/>
        <v>4</v>
      </c>
      <c r="E145" s="51">
        <v>42387</v>
      </c>
      <c r="F145" s="49" t="s">
        <v>26</v>
      </c>
      <c r="G145" s="45">
        <f>H145+(I145*0.06)</f>
        <v>23366.53</v>
      </c>
      <c r="H145" s="45">
        <v>23366.53</v>
      </c>
      <c r="I145" s="45"/>
      <c r="J145" s="47"/>
    </row>
    <row r="146" spans="1:10" s="48" customFormat="1" x14ac:dyDescent="0.25">
      <c r="A146" s="49">
        <v>33491</v>
      </c>
      <c r="B146" s="53">
        <f t="shared" si="6"/>
        <v>1</v>
      </c>
      <c r="C146" s="50">
        <f t="shared" si="7"/>
        <v>2016</v>
      </c>
      <c r="D146" s="50">
        <f t="shared" si="8"/>
        <v>4</v>
      </c>
      <c r="E146" s="51">
        <v>42387</v>
      </c>
      <c r="F146" s="49" t="s">
        <v>0</v>
      </c>
      <c r="G146" s="45">
        <f>H146+(I146*0.06)</f>
        <v>0</v>
      </c>
      <c r="H146" s="45"/>
      <c r="I146" s="45"/>
      <c r="J146" s="47"/>
    </row>
    <row r="147" spans="1:10" s="48" customFormat="1" x14ac:dyDescent="0.25">
      <c r="A147" s="49">
        <v>33492</v>
      </c>
      <c r="B147" s="53">
        <f t="shared" si="6"/>
        <v>1</v>
      </c>
      <c r="C147" s="50">
        <f t="shared" si="7"/>
        <v>2016</v>
      </c>
      <c r="D147" s="50">
        <f t="shared" si="8"/>
        <v>4</v>
      </c>
      <c r="E147" s="51">
        <v>42387</v>
      </c>
      <c r="F147" s="49" t="s">
        <v>0</v>
      </c>
      <c r="G147" s="45">
        <f>H147+(I147*0.06)</f>
        <v>0</v>
      </c>
      <c r="H147" s="45"/>
      <c r="I147" s="45"/>
      <c r="J147" s="47"/>
    </row>
    <row r="148" spans="1:10" s="48" customFormat="1" x14ac:dyDescent="0.25">
      <c r="A148" s="56">
        <v>33493</v>
      </c>
      <c r="B148" s="59">
        <f t="shared" si="6"/>
        <v>1</v>
      </c>
      <c r="C148" s="60">
        <f t="shared" si="7"/>
        <v>2016</v>
      </c>
      <c r="D148" s="60">
        <f t="shared" si="8"/>
        <v>4</v>
      </c>
      <c r="E148" s="57">
        <v>42387</v>
      </c>
      <c r="F148" s="56" t="s">
        <v>0</v>
      </c>
      <c r="G148" s="45">
        <f>H148+(I148*0.06)</f>
        <v>1179</v>
      </c>
      <c r="H148" s="58">
        <v>1179</v>
      </c>
      <c r="I148" s="58"/>
      <c r="J148" s="47"/>
    </row>
    <row r="149" spans="1:10" s="48" customFormat="1" x14ac:dyDescent="0.25">
      <c r="A149" s="56">
        <v>33494</v>
      </c>
      <c r="B149" s="59">
        <f t="shared" si="6"/>
        <v>1</v>
      </c>
      <c r="C149" s="60">
        <f t="shared" si="7"/>
        <v>2016</v>
      </c>
      <c r="D149" s="60">
        <f t="shared" si="8"/>
        <v>4</v>
      </c>
      <c r="E149" s="57">
        <v>42387</v>
      </c>
      <c r="F149" s="56" t="s">
        <v>0</v>
      </c>
      <c r="G149" s="45">
        <f>H149+(I149*0.06)</f>
        <v>539</v>
      </c>
      <c r="H149" s="58">
        <v>539</v>
      </c>
      <c r="I149" s="58"/>
      <c r="J149" s="47"/>
    </row>
    <row r="150" spans="1:10" s="48" customFormat="1" x14ac:dyDescent="0.25">
      <c r="A150" s="56">
        <v>33495</v>
      </c>
      <c r="B150" s="59">
        <f t="shared" si="6"/>
        <v>1</v>
      </c>
      <c r="C150" s="60">
        <f t="shared" si="7"/>
        <v>2016</v>
      </c>
      <c r="D150" s="60">
        <f t="shared" si="8"/>
        <v>4</v>
      </c>
      <c r="E150" s="57">
        <v>42387</v>
      </c>
      <c r="F150" s="56" t="s">
        <v>40</v>
      </c>
      <c r="G150" s="45">
        <f>H150+(I150*0.06)</f>
        <v>1560.9999999999998</v>
      </c>
      <c r="H150" s="58">
        <f>1717.1/1.1</f>
        <v>1560.9999999999998</v>
      </c>
      <c r="I150" s="58"/>
      <c r="J150" s="47"/>
    </row>
    <row r="151" spans="1:10" s="48" customFormat="1" x14ac:dyDescent="0.25">
      <c r="A151" s="49">
        <v>33496</v>
      </c>
      <c r="B151" s="53">
        <f t="shared" si="6"/>
        <v>1</v>
      </c>
      <c r="C151" s="50">
        <f t="shared" si="7"/>
        <v>2016</v>
      </c>
      <c r="D151" s="50">
        <f t="shared" si="8"/>
        <v>4</v>
      </c>
      <c r="E151" s="51">
        <v>42387</v>
      </c>
      <c r="F151" s="49" t="s">
        <v>3</v>
      </c>
      <c r="G151" s="45">
        <f>H151+(I151*0.06)</f>
        <v>5402</v>
      </c>
      <c r="H151" s="45">
        <v>5402</v>
      </c>
      <c r="I151" s="45"/>
      <c r="J151" s="47"/>
    </row>
    <row r="152" spans="1:10" s="48" customFormat="1" x14ac:dyDescent="0.25">
      <c r="A152" s="49">
        <v>33497</v>
      </c>
      <c r="B152" s="53">
        <f t="shared" si="6"/>
        <v>1</v>
      </c>
      <c r="C152" s="50">
        <f t="shared" si="7"/>
        <v>2016</v>
      </c>
      <c r="D152" s="50">
        <f t="shared" si="8"/>
        <v>4</v>
      </c>
      <c r="E152" s="51">
        <v>42388</v>
      </c>
      <c r="F152" s="49" t="s">
        <v>19</v>
      </c>
      <c r="G152" s="45">
        <f>H152+(I152*0.06)</f>
        <v>37</v>
      </c>
      <c r="H152" s="45">
        <v>37</v>
      </c>
      <c r="I152" s="45"/>
      <c r="J152" s="47"/>
    </row>
    <row r="153" spans="1:10" s="48" customFormat="1" x14ac:dyDescent="0.25">
      <c r="A153" s="56">
        <v>33498</v>
      </c>
      <c r="B153" s="53">
        <f t="shared" si="6"/>
        <v>1</v>
      </c>
      <c r="C153" s="50">
        <f t="shared" si="7"/>
        <v>2016</v>
      </c>
      <c r="D153" s="50">
        <f t="shared" si="8"/>
        <v>4</v>
      </c>
      <c r="E153" s="57">
        <v>42388</v>
      </c>
      <c r="F153" s="56" t="s">
        <v>19</v>
      </c>
      <c r="G153" s="45">
        <f>H153+(I153*0.06)</f>
        <v>41</v>
      </c>
      <c r="H153" s="58">
        <v>41</v>
      </c>
      <c r="I153" s="58"/>
      <c r="J153" s="47"/>
    </row>
    <row r="154" spans="1:10" s="48" customFormat="1" x14ac:dyDescent="0.25">
      <c r="A154" s="56">
        <v>33499</v>
      </c>
      <c r="B154" s="53">
        <f t="shared" si="6"/>
        <v>1</v>
      </c>
      <c r="C154" s="50">
        <f t="shared" si="7"/>
        <v>2016</v>
      </c>
      <c r="D154" s="50">
        <f t="shared" si="8"/>
        <v>4</v>
      </c>
      <c r="E154" s="57">
        <v>42388</v>
      </c>
      <c r="F154" s="56" t="s">
        <v>26</v>
      </c>
      <c r="G154" s="45">
        <f>H154+(I154*0.06)</f>
        <v>340.65</v>
      </c>
      <c r="H154" s="58">
        <v>340.65</v>
      </c>
      <c r="I154" s="58"/>
      <c r="J154" s="47"/>
    </row>
    <row r="155" spans="1:10" s="48" customFormat="1" x14ac:dyDescent="0.25">
      <c r="A155" s="56">
        <v>33500</v>
      </c>
      <c r="B155" s="53">
        <f t="shared" si="6"/>
        <v>1</v>
      </c>
      <c r="C155" s="50">
        <f t="shared" si="7"/>
        <v>2016</v>
      </c>
      <c r="D155" s="50">
        <f t="shared" si="8"/>
        <v>4</v>
      </c>
      <c r="E155" s="57">
        <v>42388</v>
      </c>
      <c r="F155" s="56" t="s">
        <v>40</v>
      </c>
      <c r="G155" s="45">
        <f>H155+(I155*0.06)</f>
        <v>1187</v>
      </c>
      <c r="H155" s="58">
        <f>1305.7/1.1</f>
        <v>1187</v>
      </c>
      <c r="I155" s="58"/>
      <c r="J155" s="47"/>
    </row>
    <row r="156" spans="1:10" s="48" customFormat="1" x14ac:dyDescent="0.25">
      <c r="A156" s="56">
        <v>33501</v>
      </c>
      <c r="B156" s="53">
        <f t="shared" si="6"/>
        <v>1</v>
      </c>
      <c r="C156" s="50">
        <f t="shared" si="7"/>
        <v>2016</v>
      </c>
      <c r="D156" s="50">
        <f t="shared" si="8"/>
        <v>4</v>
      </c>
      <c r="E156" s="57">
        <v>42388</v>
      </c>
      <c r="F156" s="56" t="s">
        <v>40</v>
      </c>
      <c r="G156" s="45">
        <f>H156+(I156*0.06)</f>
        <v>977.49999999999989</v>
      </c>
      <c r="H156" s="58">
        <f>1075.25/1.1</f>
        <v>977.49999999999989</v>
      </c>
      <c r="I156" s="58"/>
      <c r="J156" s="47"/>
    </row>
    <row r="157" spans="1:10" s="48" customFormat="1" x14ac:dyDescent="0.25">
      <c r="A157" s="56">
        <v>33502</v>
      </c>
      <c r="B157" s="59">
        <f t="shared" si="6"/>
        <v>1</v>
      </c>
      <c r="C157" s="60">
        <f t="shared" si="7"/>
        <v>2016</v>
      </c>
      <c r="D157" s="60">
        <f t="shared" si="8"/>
        <v>4</v>
      </c>
      <c r="E157" s="57">
        <v>42388</v>
      </c>
      <c r="F157" s="56" t="s">
        <v>0</v>
      </c>
      <c r="G157" s="45">
        <f>H157+(I157*0.06)</f>
        <v>380</v>
      </c>
      <c r="H157" s="58">
        <v>380</v>
      </c>
      <c r="I157" s="58"/>
      <c r="J157" s="47"/>
    </row>
    <row r="158" spans="1:10" s="48" customFormat="1" x14ac:dyDescent="0.25">
      <c r="A158" s="49">
        <v>33503</v>
      </c>
      <c r="B158" s="53">
        <f t="shared" si="6"/>
        <v>1</v>
      </c>
      <c r="C158" s="50">
        <f t="shared" si="7"/>
        <v>2016</v>
      </c>
      <c r="D158" s="50">
        <f t="shared" si="8"/>
        <v>4</v>
      </c>
      <c r="E158" s="51">
        <v>42388</v>
      </c>
      <c r="F158" s="49" t="s">
        <v>0</v>
      </c>
      <c r="G158" s="45">
        <f>H158+(I158*0.06)</f>
        <v>10932</v>
      </c>
      <c r="H158" s="45">
        <v>10932</v>
      </c>
      <c r="I158" s="45"/>
      <c r="J158" s="47"/>
    </row>
    <row r="159" spans="1:10" s="48" customFormat="1" x14ac:dyDescent="0.25">
      <c r="A159" s="49">
        <v>33504</v>
      </c>
      <c r="B159" s="53">
        <f t="shared" si="6"/>
        <v>1</v>
      </c>
      <c r="C159" s="50">
        <f t="shared" si="7"/>
        <v>2016</v>
      </c>
      <c r="D159" s="50">
        <f t="shared" si="8"/>
        <v>4</v>
      </c>
      <c r="E159" s="51">
        <v>42388</v>
      </c>
      <c r="F159" s="49" t="s">
        <v>0</v>
      </c>
      <c r="G159" s="45">
        <f>H159+(I159*0.06)</f>
        <v>7777.2</v>
      </c>
      <c r="H159" s="45">
        <v>7777.2</v>
      </c>
      <c r="I159" s="45"/>
      <c r="J159" s="47"/>
    </row>
    <row r="160" spans="1:10" s="48" customFormat="1" x14ac:dyDescent="0.25">
      <c r="A160" s="49">
        <v>33505</v>
      </c>
      <c r="B160" s="53">
        <f t="shared" si="6"/>
        <v>1</v>
      </c>
      <c r="C160" s="50">
        <f t="shared" si="7"/>
        <v>2016</v>
      </c>
      <c r="D160" s="50">
        <f t="shared" si="8"/>
        <v>4</v>
      </c>
      <c r="E160" s="51">
        <v>42388</v>
      </c>
      <c r="F160" s="49" t="s">
        <v>0</v>
      </c>
      <c r="G160" s="45">
        <f>H160+(I160*0.06)</f>
        <v>895</v>
      </c>
      <c r="H160" s="45">
        <v>895</v>
      </c>
      <c r="I160" s="45"/>
      <c r="J160" s="47"/>
    </row>
    <row r="161" spans="1:10" s="48" customFormat="1" x14ac:dyDescent="0.25">
      <c r="A161" s="49">
        <v>33506</v>
      </c>
      <c r="B161" s="53">
        <f t="shared" si="6"/>
        <v>1</v>
      </c>
      <c r="C161" s="50">
        <f t="shared" si="7"/>
        <v>2016</v>
      </c>
      <c r="D161" s="50">
        <f t="shared" si="8"/>
        <v>4</v>
      </c>
      <c r="E161" s="51">
        <v>42389</v>
      </c>
      <c r="F161" s="49" t="s">
        <v>0</v>
      </c>
      <c r="G161" s="45">
        <f>H161+(I161*0.06)</f>
        <v>0</v>
      </c>
      <c r="H161" s="45"/>
      <c r="I161" s="45"/>
      <c r="J161" s="47"/>
    </row>
    <row r="162" spans="1:10" s="48" customFormat="1" x14ac:dyDescent="0.25">
      <c r="A162" s="61">
        <v>33507</v>
      </c>
      <c r="B162" s="53">
        <f t="shared" si="6"/>
        <v>1</v>
      </c>
      <c r="C162" s="50">
        <f t="shared" si="7"/>
        <v>2016</v>
      </c>
      <c r="D162" s="50">
        <f t="shared" si="8"/>
        <v>4</v>
      </c>
      <c r="E162" s="64">
        <v>42389</v>
      </c>
      <c r="F162" s="61" t="s">
        <v>9</v>
      </c>
      <c r="G162" s="45">
        <f>H162+(I162*0.06)</f>
        <v>0</v>
      </c>
      <c r="H162" s="65">
        <v>0</v>
      </c>
      <c r="I162" s="65"/>
      <c r="J162" s="47"/>
    </row>
    <row r="163" spans="1:10" s="48" customFormat="1" x14ac:dyDescent="0.25">
      <c r="A163" s="56">
        <v>33508</v>
      </c>
      <c r="B163" s="59">
        <f t="shared" si="6"/>
        <v>1</v>
      </c>
      <c r="C163" s="60">
        <f t="shared" si="7"/>
        <v>2016</v>
      </c>
      <c r="D163" s="60">
        <f t="shared" si="8"/>
        <v>4</v>
      </c>
      <c r="E163" s="57">
        <v>42389</v>
      </c>
      <c r="F163" s="56" t="s">
        <v>2</v>
      </c>
      <c r="G163" s="45">
        <f>H163+(I163*0.06)</f>
        <v>1000</v>
      </c>
      <c r="H163" s="58">
        <v>1000</v>
      </c>
      <c r="I163" s="58"/>
      <c r="J163" s="47"/>
    </row>
    <row r="164" spans="1:10" s="48" customFormat="1" x14ac:dyDescent="0.25">
      <c r="A164" s="49">
        <v>33509</v>
      </c>
      <c r="B164" s="53">
        <f t="shared" si="6"/>
        <v>1</v>
      </c>
      <c r="C164" s="50">
        <f t="shared" si="7"/>
        <v>2016</v>
      </c>
      <c r="D164" s="50">
        <f t="shared" si="8"/>
        <v>4</v>
      </c>
      <c r="E164" s="51">
        <v>42389</v>
      </c>
      <c r="F164" s="49" t="s">
        <v>21</v>
      </c>
      <c r="G164" s="45">
        <f>H164+(I164*0.06)</f>
        <v>6062.17</v>
      </c>
      <c r="H164" s="45">
        <v>6062.17</v>
      </c>
      <c r="I164" s="45"/>
      <c r="J164" s="47"/>
    </row>
    <row r="165" spans="1:10" s="48" customFormat="1" x14ac:dyDescent="0.25">
      <c r="A165" s="49">
        <v>33510</v>
      </c>
      <c r="B165" s="53">
        <f t="shared" si="6"/>
        <v>1</v>
      </c>
      <c r="C165" s="50">
        <f t="shared" si="7"/>
        <v>2016</v>
      </c>
      <c r="D165" s="50">
        <f t="shared" si="8"/>
        <v>4</v>
      </c>
      <c r="E165" s="51">
        <v>42389</v>
      </c>
      <c r="F165" s="49" t="s">
        <v>10</v>
      </c>
      <c r="G165" s="45">
        <f>H165+(I165*0.06)</f>
        <v>31877</v>
      </c>
      <c r="H165" s="45">
        <v>31877</v>
      </c>
      <c r="I165" s="45"/>
      <c r="J165" s="47"/>
    </row>
    <row r="166" spans="1:10" s="48" customFormat="1" x14ac:dyDescent="0.25">
      <c r="A166" s="49">
        <v>33511</v>
      </c>
      <c r="B166" s="53">
        <f t="shared" si="6"/>
        <v>1</v>
      </c>
      <c r="C166" s="50">
        <f t="shared" si="7"/>
        <v>2016</v>
      </c>
      <c r="D166" s="50">
        <f t="shared" si="8"/>
        <v>4</v>
      </c>
      <c r="E166" s="51">
        <v>42389</v>
      </c>
      <c r="F166" s="49" t="s">
        <v>3</v>
      </c>
      <c r="G166" s="45">
        <f>H166+(I166*0.06)</f>
        <v>5265.1</v>
      </c>
      <c r="H166" s="45">
        <v>5265.1</v>
      </c>
      <c r="I166" s="45"/>
      <c r="J166" s="47"/>
    </row>
    <row r="167" spans="1:10" s="48" customFormat="1" x14ac:dyDescent="0.25">
      <c r="A167" s="49">
        <v>33512</v>
      </c>
      <c r="B167" s="53">
        <f t="shared" si="6"/>
        <v>1</v>
      </c>
      <c r="C167" s="50">
        <f t="shared" si="7"/>
        <v>2016</v>
      </c>
      <c r="D167" s="50">
        <f t="shared" si="8"/>
        <v>4</v>
      </c>
      <c r="E167" s="51">
        <v>42389</v>
      </c>
      <c r="F167" s="49" t="s">
        <v>19</v>
      </c>
      <c r="G167" s="45">
        <f>H167+(I167*0.06)</f>
        <v>112</v>
      </c>
      <c r="H167" s="45">
        <v>112</v>
      </c>
      <c r="I167" s="45"/>
      <c r="J167" s="47"/>
    </row>
    <row r="168" spans="1:10" s="48" customFormat="1" x14ac:dyDescent="0.25">
      <c r="A168" s="49">
        <v>33513</v>
      </c>
      <c r="B168" s="53">
        <f t="shared" si="6"/>
        <v>1</v>
      </c>
      <c r="C168" s="50">
        <f t="shared" si="7"/>
        <v>2016</v>
      </c>
      <c r="D168" s="50">
        <f t="shared" si="8"/>
        <v>4</v>
      </c>
      <c r="E168" s="51">
        <v>42389</v>
      </c>
      <c r="F168" s="49" t="s">
        <v>19</v>
      </c>
      <c r="G168" s="45">
        <f>H168+(I168*0.06)</f>
        <v>1195</v>
      </c>
      <c r="H168" s="45">
        <v>1195</v>
      </c>
      <c r="I168" s="45"/>
      <c r="J168" s="47"/>
    </row>
    <row r="169" spans="1:10" s="48" customFormat="1" x14ac:dyDescent="0.25">
      <c r="A169" s="49">
        <v>33514</v>
      </c>
      <c r="B169" s="53">
        <f t="shared" si="6"/>
        <v>1</v>
      </c>
      <c r="C169" s="50">
        <f t="shared" si="7"/>
        <v>2016</v>
      </c>
      <c r="D169" s="50">
        <f t="shared" si="8"/>
        <v>4</v>
      </c>
      <c r="E169" s="51">
        <v>42389</v>
      </c>
      <c r="F169" s="49" t="s">
        <v>19</v>
      </c>
      <c r="G169" s="45">
        <f>H169+(I169*0.06)</f>
        <v>0</v>
      </c>
      <c r="H169" s="45"/>
      <c r="I169" s="45"/>
      <c r="J169" s="47"/>
    </row>
    <row r="170" spans="1:10" s="48" customFormat="1" x14ac:dyDescent="0.25">
      <c r="A170" s="56">
        <v>33515</v>
      </c>
      <c r="B170" s="53">
        <f t="shared" si="6"/>
        <v>1</v>
      </c>
      <c r="C170" s="50">
        <f t="shared" si="7"/>
        <v>2016</v>
      </c>
      <c r="D170" s="50">
        <f t="shared" si="8"/>
        <v>4</v>
      </c>
      <c r="E170" s="57">
        <v>42389</v>
      </c>
      <c r="F170" s="56" t="s">
        <v>19</v>
      </c>
      <c r="G170" s="45">
        <f>H170+(I170*0.06)</f>
        <v>650</v>
      </c>
      <c r="H170" s="58">
        <v>650</v>
      </c>
      <c r="I170" s="58"/>
      <c r="J170" s="47"/>
    </row>
    <row r="171" spans="1:10" s="48" customFormat="1" x14ac:dyDescent="0.25">
      <c r="A171" s="61">
        <v>33516</v>
      </c>
      <c r="B171" s="62">
        <f t="shared" si="6"/>
        <v>1</v>
      </c>
      <c r="C171" s="63">
        <f t="shared" si="7"/>
        <v>2016</v>
      </c>
      <c r="D171" s="63">
        <f t="shared" si="8"/>
        <v>4</v>
      </c>
      <c r="E171" s="64">
        <v>42389</v>
      </c>
      <c r="F171" s="61" t="s">
        <v>3</v>
      </c>
      <c r="G171" s="45">
        <f>H171+(I171*0.06)</f>
        <v>501</v>
      </c>
      <c r="H171" s="65">
        <v>501</v>
      </c>
      <c r="I171" s="65"/>
      <c r="J171" s="47"/>
    </row>
    <row r="172" spans="1:10" s="48" customFormat="1" x14ac:dyDescent="0.25">
      <c r="A172" s="49">
        <v>33517</v>
      </c>
      <c r="B172" s="53">
        <f t="shared" si="6"/>
        <v>1</v>
      </c>
      <c r="C172" s="50">
        <f t="shared" si="7"/>
        <v>2016</v>
      </c>
      <c r="D172" s="50">
        <f t="shared" si="8"/>
        <v>4</v>
      </c>
      <c r="E172" s="51">
        <v>42389</v>
      </c>
      <c r="F172" s="49" t="s">
        <v>3</v>
      </c>
      <c r="G172" s="45">
        <f>H172+(I172*0.06)</f>
        <v>4152</v>
      </c>
      <c r="H172" s="45">
        <v>4152</v>
      </c>
      <c r="I172" s="45"/>
      <c r="J172" s="47"/>
    </row>
    <row r="173" spans="1:10" s="48" customFormat="1" x14ac:dyDescent="0.25">
      <c r="A173" s="49">
        <v>33518</v>
      </c>
      <c r="B173" s="53">
        <f t="shared" si="6"/>
        <v>1</v>
      </c>
      <c r="C173" s="50">
        <f t="shared" si="7"/>
        <v>2016</v>
      </c>
      <c r="D173" s="50">
        <f t="shared" si="8"/>
        <v>4</v>
      </c>
      <c r="E173" s="51">
        <v>42389</v>
      </c>
      <c r="F173" s="49" t="s">
        <v>3</v>
      </c>
      <c r="G173" s="45">
        <f>H173+(I173*0.06)</f>
        <v>10747.7</v>
      </c>
      <c r="H173" s="45">
        <v>10747.7</v>
      </c>
      <c r="I173" s="45"/>
      <c r="J173" s="47"/>
    </row>
    <row r="174" spans="1:10" s="48" customFormat="1" x14ac:dyDescent="0.25">
      <c r="A174" s="56">
        <v>33519</v>
      </c>
      <c r="B174" s="53">
        <f t="shared" si="6"/>
        <v>1</v>
      </c>
      <c r="C174" s="50">
        <f t="shared" si="7"/>
        <v>2016</v>
      </c>
      <c r="D174" s="50">
        <f t="shared" si="8"/>
        <v>4</v>
      </c>
      <c r="E174" s="57">
        <v>42390</v>
      </c>
      <c r="F174" s="56" t="s">
        <v>26</v>
      </c>
      <c r="G174" s="45">
        <f>H174+(I174*0.06)</f>
        <v>332.74</v>
      </c>
      <c r="H174" s="58">
        <v>332.74</v>
      </c>
      <c r="I174" s="58"/>
      <c r="J174" s="47"/>
    </row>
    <row r="175" spans="1:10" s="48" customFormat="1" x14ac:dyDescent="0.25">
      <c r="A175" s="56">
        <v>33520</v>
      </c>
      <c r="B175" s="53">
        <f t="shared" si="6"/>
        <v>1</v>
      </c>
      <c r="C175" s="50">
        <f t="shared" si="7"/>
        <v>2016</v>
      </c>
      <c r="D175" s="50">
        <f t="shared" si="8"/>
        <v>4</v>
      </c>
      <c r="E175" s="57">
        <v>42390</v>
      </c>
      <c r="F175" s="56" t="s">
        <v>26</v>
      </c>
      <c r="G175" s="45">
        <f>H175+(I175*0.06)</f>
        <v>955.4</v>
      </c>
      <c r="H175" s="58">
        <v>955.4</v>
      </c>
      <c r="I175" s="58"/>
      <c r="J175" s="47"/>
    </row>
    <row r="176" spans="1:10" s="48" customFormat="1" x14ac:dyDescent="0.25">
      <c r="A176" s="56">
        <v>33521</v>
      </c>
      <c r="B176" s="53">
        <f t="shared" si="6"/>
        <v>1</v>
      </c>
      <c r="C176" s="50">
        <f t="shared" si="7"/>
        <v>2016</v>
      </c>
      <c r="D176" s="50">
        <f t="shared" si="8"/>
        <v>4</v>
      </c>
      <c r="E176" s="57">
        <v>42390</v>
      </c>
      <c r="F176" s="56" t="s">
        <v>19</v>
      </c>
      <c r="G176" s="45">
        <f>H176+(I176*0.06)</f>
        <v>473</v>
      </c>
      <c r="H176" s="58">
        <v>473</v>
      </c>
      <c r="I176" s="58"/>
      <c r="J176" s="47"/>
    </row>
    <row r="177" spans="1:10" s="48" customFormat="1" x14ac:dyDescent="0.25">
      <c r="A177" s="56">
        <v>33522</v>
      </c>
      <c r="B177" s="59">
        <f t="shared" si="6"/>
        <v>1</v>
      </c>
      <c r="C177" s="60">
        <f t="shared" si="7"/>
        <v>2016</v>
      </c>
      <c r="D177" s="60">
        <f t="shared" si="8"/>
        <v>4</v>
      </c>
      <c r="E177" s="57">
        <v>42390</v>
      </c>
      <c r="F177" s="56" t="s">
        <v>19</v>
      </c>
      <c r="G177" s="45">
        <f>H177+(I177*0.06)</f>
        <v>1450</v>
      </c>
      <c r="H177" s="58">
        <v>1450</v>
      </c>
      <c r="I177" s="58"/>
      <c r="J177" s="47"/>
    </row>
    <row r="178" spans="1:10" s="48" customFormat="1" x14ac:dyDescent="0.25">
      <c r="A178" s="56">
        <v>33523</v>
      </c>
      <c r="B178" s="59">
        <f t="shared" ref="B178:B216" si="9">IF(E178="","",MONTH(E178))</f>
        <v>1</v>
      </c>
      <c r="C178" s="60">
        <f t="shared" ref="C178:C216" si="10">IF(E178="","",YEAR(E178))</f>
        <v>2016</v>
      </c>
      <c r="D178" s="60">
        <f t="shared" si="8"/>
        <v>4</v>
      </c>
      <c r="E178" s="57">
        <v>42390</v>
      </c>
      <c r="F178" s="56" t="s">
        <v>40</v>
      </c>
      <c r="G178" s="45">
        <f>H178+(I178*0.06)</f>
        <v>3174.9999999999995</v>
      </c>
      <c r="H178" s="58">
        <f>3492.5/1.1</f>
        <v>3174.9999999999995</v>
      </c>
      <c r="I178" s="58"/>
      <c r="J178" s="47"/>
    </row>
    <row r="179" spans="1:10" s="48" customFormat="1" x14ac:dyDescent="0.25">
      <c r="A179" s="56">
        <v>33524</v>
      </c>
      <c r="B179" s="59">
        <f t="shared" si="9"/>
        <v>1</v>
      </c>
      <c r="C179" s="60">
        <f t="shared" si="10"/>
        <v>2016</v>
      </c>
      <c r="D179" s="60">
        <f t="shared" si="8"/>
        <v>4</v>
      </c>
      <c r="E179" s="57">
        <v>42390</v>
      </c>
      <c r="F179" s="56" t="s">
        <v>40</v>
      </c>
      <c r="G179" s="45">
        <f>H179+(I179*0.06)</f>
        <v>1033.4999999999998</v>
      </c>
      <c r="H179" s="58">
        <f>1136.85/1.1</f>
        <v>1033.4999999999998</v>
      </c>
      <c r="I179" s="58"/>
      <c r="J179" s="47"/>
    </row>
    <row r="180" spans="1:10" s="48" customFormat="1" x14ac:dyDescent="0.25">
      <c r="A180" s="56">
        <v>33525</v>
      </c>
      <c r="B180" s="59">
        <f t="shared" si="9"/>
        <v>1</v>
      </c>
      <c r="C180" s="60">
        <f t="shared" si="10"/>
        <v>2016</v>
      </c>
      <c r="D180" s="60">
        <f t="shared" si="8"/>
        <v>4</v>
      </c>
      <c r="E180" s="57">
        <v>42390</v>
      </c>
      <c r="F180" s="56" t="s">
        <v>0</v>
      </c>
      <c r="G180" s="45">
        <f>H180+(I180*0.06)</f>
        <v>160.75</v>
      </c>
      <c r="H180" s="58">
        <v>160.75</v>
      </c>
      <c r="I180" s="58"/>
      <c r="J180" s="47"/>
    </row>
    <row r="181" spans="1:10" s="48" customFormat="1" x14ac:dyDescent="0.25">
      <c r="A181" s="56">
        <v>33526</v>
      </c>
      <c r="B181" s="59">
        <f t="shared" si="9"/>
        <v>1</v>
      </c>
      <c r="C181" s="60">
        <f t="shared" si="10"/>
        <v>2016</v>
      </c>
      <c r="D181" s="60">
        <f t="shared" si="8"/>
        <v>4</v>
      </c>
      <c r="E181" s="57">
        <v>42390</v>
      </c>
      <c r="F181" s="56" t="s">
        <v>0</v>
      </c>
      <c r="G181" s="45">
        <f>H181+(I181*0.06)</f>
        <v>1422</v>
      </c>
      <c r="H181" s="58">
        <v>1422</v>
      </c>
      <c r="I181" s="58"/>
      <c r="J181" s="47"/>
    </row>
    <row r="182" spans="1:10" s="48" customFormat="1" x14ac:dyDescent="0.25">
      <c r="A182" s="49">
        <v>33527</v>
      </c>
      <c r="B182" s="53">
        <f t="shared" si="9"/>
        <v>1</v>
      </c>
      <c r="C182" s="50">
        <f t="shared" si="10"/>
        <v>2016</v>
      </c>
      <c r="D182" s="50">
        <f t="shared" si="8"/>
        <v>4</v>
      </c>
      <c r="E182" s="51">
        <v>42390</v>
      </c>
      <c r="F182" s="49" t="s">
        <v>0</v>
      </c>
      <c r="G182" s="45">
        <f>H182+(I182*0.06)</f>
        <v>2750</v>
      </c>
      <c r="H182" s="45">
        <v>2750</v>
      </c>
      <c r="I182" s="45"/>
      <c r="J182" s="47"/>
    </row>
    <row r="183" spans="1:10" s="48" customFormat="1" x14ac:dyDescent="0.25">
      <c r="A183" s="49">
        <v>33528</v>
      </c>
      <c r="B183" s="53">
        <f t="shared" si="9"/>
        <v>1</v>
      </c>
      <c r="C183" s="50">
        <f t="shared" si="10"/>
        <v>2016</v>
      </c>
      <c r="D183" s="50">
        <f t="shared" si="8"/>
        <v>4</v>
      </c>
      <c r="E183" s="51">
        <v>42391</v>
      </c>
      <c r="F183" s="49" t="s">
        <v>3</v>
      </c>
      <c r="G183" s="45">
        <f>H183+(I183*0.06)</f>
        <v>1290.3599999999999</v>
      </c>
      <c r="H183" s="45">
        <v>1290.3599999999999</v>
      </c>
      <c r="I183" s="45"/>
      <c r="J183" s="47"/>
    </row>
    <row r="184" spans="1:10" s="48" customFormat="1" x14ac:dyDescent="0.25">
      <c r="A184" s="49">
        <v>33529</v>
      </c>
      <c r="B184" s="53">
        <f t="shared" si="9"/>
        <v>1</v>
      </c>
      <c r="C184" s="50">
        <f t="shared" si="10"/>
        <v>2016</v>
      </c>
      <c r="D184" s="50">
        <f t="shared" si="8"/>
        <v>4</v>
      </c>
      <c r="E184" s="51">
        <v>42391</v>
      </c>
      <c r="F184" s="49" t="s">
        <v>19</v>
      </c>
      <c r="G184" s="45">
        <f>H184+(I184*0.06)</f>
        <v>100</v>
      </c>
      <c r="H184" s="45">
        <v>100</v>
      </c>
      <c r="I184" s="45"/>
      <c r="J184" s="47"/>
    </row>
    <row r="185" spans="1:10" s="48" customFormat="1" x14ac:dyDescent="0.25">
      <c r="A185" s="49">
        <v>33530</v>
      </c>
      <c r="B185" s="53">
        <f t="shared" si="9"/>
        <v>1</v>
      </c>
      <c r="C185" s="50">
        <f t="shared" si="10"/>
        <v>2016</v>
      </c>
      <c r="D185" s="50">
        <f t="shared" si="8"/>
        <v>4</v>
      </c>
      <c r="E185" s="51">
        <v>42391</v>
      </c>
      <c r="F185" s="49" t="s">
        <v>19</v>
      </c>
      <c r="G185" s="45">
        <f>H185+(I185*0.06)</f>
        <v>2825</v>
      </c>
      <c r="H185" s="45">
        <v>2825</v>
      </c>
      <c r="I185" s="45"/>
      <c r="J185" s="47"/>
    </row>
    <row r="186" spans="1:10" s="48" customFormat="1" x14ac:dyDescent="0.25">
      <c r="A186" s="56">
        <v>33531</v>
      </c>
      <c r="B186" s="59">
        <f t="shared" si="9"/>
        <v>1</v>
      </c>
      <c r="C186" s="60">
        <f t="shared" si="10"/>
        <v>2016</v>
      </c>
      <c r="D186" s="60">
        <f t="shared" si="8"/>
        <v>4</v>
      </c>
      <c r="E186" s="57">
        <v>42391</v>
      </c>
      <c r="F186" s="56" t="s">
        <v>0</v>
      </c>
      <c r="G186" s="45">
        <f>H186+(I186*0.06)</f>
        <v>2314</v>
      </c>
      <c r="H186" s="58">
        <v>2314</v>
      </c>
      <c r="I186" s="58"/>
      <c r="J186" s="47"/>
    </row>
    <row r="187" spans="1:10" s="48" customFormat="1" x14ac:dyDescent="0.25">
      <c r="A187" s="56">
        <v>33532</v>
      </c>
      <c r="B187" s="59">
        <f t="shared" si="9"/>
        <v>1</v>
      </c>
      <c r="C187" s="60">
        <f t="shared" si="10"/>
        <v>2016</v>
      </c>
      <c r="D187" s="60">
        <f t="shared" si="8"/>
        <v>4</v>
      </c>
      <c r="E187" s="57">
        <v>42391</v>
      </c>
      <c r="F187" s="56" t="s">
        <v>0</v>
      </c>
      <c r="G187" s="45">
        <f>H187+(I187*0.06)</f>
        <v>1194</v>
      </c>
      <c r="H187" s="58">
        <v>1194</v>
      </c>
      <c r="I187" s="58"/>
      <c r="J187" s="47"/>
    </row>
    <row r="188" spans="1:10" s="48" customFormat="1" x14ac:dyDescent="0.25">
      <c r="A188" s="56">
        <v>33533</v>
      </c>
      <c r="B188" s="59">
        <f t="shared" si="9"/>
        <v>1</v>
      </c>
      <c r="C188" s="60">
        <f t="shared" si="10"/>
        <v>2016</v>
      </c>
      <c r="D188" s="60">
        <f t="shared" si="8"/>
        <v>4</v>
      </c>
      <c r="E188" s="57">
        <v>42391</v>
      </c>
      <c r="F188" s="56" t="s">
        <v>0</v>
      </c>
      <c r="G188" s="45">
        <f>H188+(I188*0.06)</f>
        <v>2859</v>
      </c>
      <c r="H188" s="58">
        <v>2859</v>
      </c>
      <c r="I188" s="58"/>
      <c r="J188" s="47"/>
    </row>
    <row r="189" spans="1:10" s="48" customFormat="1" x14ac:dyDescent="0.25">
      <c r="A189" s="56">
        <v>33534</v>
      </c>
      <c r="B189" s="53">
        <f t="shared" si="9"/>
        <v>1</v>
      </c>
      <c r="C189" s="50">
        <f t="shared" si="10"/>
        <v>2016</v>
      </c>
      <c r="D189" s="50">
        <f t="shared" si="8"/>
        <v>4</v>
      </c>
      <c r="E189" s="57">
        <v>42391</v>
      </c>
      <c r="F189" s="56" t="s">
        <v>0</v>
      </c>
      <c r="G189" s="45">
        <f>H189+(I189*0.06)</f>
        <v>715</v>
      </c>
      <c r="H189" s="58">
        <v>715</v>
      </c>
      <c r="I189" s="58"/>
      <c r="J189" s="47"/>
    </row>
    <row r="190" spans="1:10" s="48" customFormat="1" x14ac:dyDescent="0.25">
      <c r="A190" s="56">
        <v>33535</v>
      </c>
      <c r="B190" s="59">
        <f t="shared" si="9"/>
        <v>1</v>
      </c>
      <c r="C190" s="60">
        <f t="shared" si="10"/>
        <v>2016</v>
      </c>
      <c r="D190" s="60">
        <f t="shared" si="8"/>
        <v>4</v>
      </c>
      <c r="E190" s="57">
        <v>42391</v>
      </c>
      <c r="F190" s="56" t="s">
        <v>0</v>
      </c>
      <c r="G190" s="45">
        <f>H190+(I190*0.06)</f>
        <v>1612.25</v>
      </c>
      <c r="H190" s="58">
        <v>1612.25</v>
      </c>
      <c r="I190" s="58"/>
      <c r="J190" s="47"/>
    </row>
    <row r="191" spans="1:10" s="48" customFormat="1" x14ac:dyDescent="0.25">
      <c r="A191" s="56">
        <v>33536</v>
      </c>
      <c r="B191" s="59">
        <f t="shared" si="9"/>
        <v>1</v>
      </c>
      <c r="C191" s="60">
        <f t="shared" si="10"/>
        <v>2016</v>
      </c>
      <c r="D191" s="60">
        <f t="shared" si="8"/>
        <v>4</v>
      </c>
      <c r="E191" s="57">
        <v>42391</v>
      </c>
      <c r="F191" s="56" t="s">
        <v>0</v>
      </c>
      <c r="G191" s="45">
        <f>H191+(I191*0.06)</f>
        <v>1340.75</v>
      </c>
      <c r="H191" s="58">
        <v>1340.75</v>
      </c>
      <c r="I191" s="58"/>
      <c r="J191" s="47"/>
    </row>
    <row r="192" spans="1:10" s="48" customFormat="1" x14ac:dyDescent="0.25">
      <c r="A192" s="49">
        <v>33537</v>
      </c>
      <c r="B192" s="53">
        <f t="shared" si="9"/>
        <v>1</v>
      </c>
      <c r="C192" s="50">
        <f t="shared" si="10"/>
        <v>2016</v>
      </c>
      <c r="D192" s="50">
        <f t="shared" si="8"/>
        <v>4</v>
      </c>
      <c r="E192" s="51">
        <v>42391</v>
      </c>
      <c r="F192" s="49" t="s">
        <v>0</v>
      </c>
      <c r="G192" s="45">
        <f>H192+(I192*0.06)</f>
        <v>915.8</v>
      </c>
      <c r="H192" s="45">
        <v>915.8</v>
      </c>
      <c r="I192" s="45"/>
      <c r="J192" s="47"/>
    </row>
    <row r="193" spans="1:10" s="48" customFormat="1" x14ac:dyDescent="0.25">
      <c r="A193" s="49">
        <v>33538</v>
      </c>
      <c r="B193" s="53">
        <f t="shared" si="9"/>
        <v>1</v>
      </c>
      <c r="C193" s="50">
        <f t="shared" si="10"/>
        <v>2016</v>
      </c>
      <c r="D193" s="50">
        <f t="shared" ref="D193:D216" si="11">IF(E193="","",WEEKNUM(E193,2))</f>
        <v>4</v>
      </c>
      <c r="E193" s="51">
        <v>42391</v>
      </c>
      <c r="F193" s="49" t="s">
        <v>0</v>
      </c>
      <c r="G193" s="45">
        <f>H193+(I193*0.06)</f>
        <v>378.5</v>
      </c>
      <c r="H193" s="45">
        <v>378.5</v>
      </c>
      <c r="I193" s="45"/>
      <c r="J193" s="47"/>
    </row>
    <row r="194" spans="1:10" s="48" customFormat="1" x14ac:dyDescent="0.25">
      <c r="A194" s="56">
        <v>33539</v>
      </c>
      <c r="B194" s="53">
        <f t="shared" si="9"/>
        <v>1</v>
      </c>
      <c r="C194" s="50">
        <f t="shared" si="10"/>
        <v>2016</v>
      </c>
      <c r="D194" s="50">
        <f t="shared" si="11"/>
        <v>4</v>
      </c>
      <c r="E194" s="57">
        <v>42391</v>
      </c>
      <c r="F194" s="56" t="s">
        <v>40</v>
      </c>
      <c r="G194" s="45">
        <f>H194+(I194*0.06)</f>
        <v>266.49999999999994</v>
      </c>
      <c r="H194" s="58">
        <f>293.15/1.1</f>
        <v>266.49999999999994</v>
      </c>
      <c r="I194" s="58"/>
      <c r="J194" s="47"/>
    </row>
    <row r="195" spans="1:10" s="48" customFormat="1" x14ac:dyDescent="0.25">
      <c r="A195" s="49">
        <v>33540</v>
      </c>
      <c r="B195" s="53">
        <f t="shared" si="9"/>
        <v>1</v>
      </c>
      <c r="C195" s="50">
        <f t="shared" si="10"/>
        <v>2016</v>
      </c>
      <c r="D195" s="50">
        <f t="shared" si="11"/>
        <v>4</v>
      </c>
      <c r="E195" s="51">
        <v>42391</v>
      </c>
      <c r="F195" s="49" t="s">
        <v>3</v>
      </c>
      <c r="G195" s="45">
        <f>H195+(I195*0.06)</f>
        <v>1893</v>
      </c>
      <c r="H195" s="45">
        <v>1893</v>
      </c>
      <c r="I195" s="45"/>
      <c r="J195" s="47"/>
    </row>
    <row r="196" spans="1:10" s="48" customFormat="1" x14ac:dyDescent="0.25">
      <c r="A196" s="49">
        <v>33541</v>
      </c>
      <c r="B196" s="53">
        <f t="shared" si="9"/>
        <v>1</v>
      </c>
      <c r="C196" s="50">
        <f t="shared" si="10"/>
        <v>2016</v>
      </c>
      <c r="D196" s="50">
        <f t="shared" si="11"/>
        <v>4</v>
      </c>
      <c r="E196" s="51">
        <v>42391</v>
      </c>
      <c r="F196" s="49" t="s">
        <v>26</v>
      </c>
      <c r="G196" s="45">
        <f>H196+(I196*0.06)</f>
        <v>13551.11</v>
      </c>
      <c r="H196" s="45">
        <v>13551.11</v>
      </c>
      <c r="I196" s="45"/>
      <c r="J196" s="47"/>
    </row>
    <row r="197" spans="1:10" s="48" customFormat="1" x14ac:dyDescent="0.25">
      <c r="A197" s="49">
        <v>33542</v>
      </c>
      <c r="B197" s="53">
        <f t="shared" si="9"/>
        <v>1</v>
      </c>
      <c r="C197" s="50">
        <f t="shared" si="10"/>
        <v>2016</v>
      </c>
      <c r="D197" s="50">
        <f t="shared" si="11"/>
        <v>4</v>
      </c>
      <c r="E197" s="51">
        <v>42391</v>
      </c>
      <c r="F197" s="49" t="s">
        <v>3</v>
      </c>
      <c r="G197" s="45">
        <f>H197+(I197*0.06)</f>
        <v>4321</v>
      </c>
      <c r="H197" s="45">
        <v>4321</v>
      </c>
      <c r="I197" s="45"/>
      <c r="J197" s="47"/>
    </row>
    <row r="198" spans="1:10" s="48" customFormat="1" x14ac:dyDescent="0.25">
      <c r="A198" s="56">
        <v>33543</v>
      </c>
      <c r="B198" s="59">
        <f t="shared" si="9"/>
        <v>1</v>
      </c>
      <c r="C198" s="60">
        <f t="shared" si="10"/>
        <v>2016</v>
      </c>
      <c r="D198" s="60">
        <f t="shared" si="11"/>
        <v>4</v>
      </c>
      <c r="E198" s="57">
        <v>42391</v>
      </c>
      <c r="F198" s="56" t="s">
        <v>40</v>
      </c>
      <c r="G198" s="45">
        <f>H198+(I198*0.06)</f>
        <v>942.15454545454531</v>
      </c>
      <c r="H198" s="58">
        <f>1036.37/1.1</f>
        <v>942.15454545454531</v>
      </c>
      <c r="I198" s="58"/>
      <c r="J198" s="47"/>
    </row>
    <row r="199" spans="1:10" s="48" customFormat="1" x14ac:dyDescent="0.25">
      <c r="A199" s="56">
        <v>33544</v>
      </c>
      <c r="B199" s="59">
        <f t="shared" si="9"/>
        <v>1</v>
      </c>
      <c r="C199" s="60">
        <f t="shared" si="10"/>
        <v>2016</v>
      </c>
      <c r="D199" s="60">
        <f t="shared" si="11"/>
        <v>4</v>
      </c>
      <c r="E199" s="57">
        <v>42391</v>
      </c>
      <c r="F199" s="56" t="s">
        <v>40</v>
      </c>
      <c r="G199" s="45">
        <f>H199+(I199*0.06)</f>
        <v>1905.9999999999998</v>
      </c>
      <c r="H199" s="58">
        <f>2096.6/1.1</f>
        <v>1905.9999999999998</v>
      </c>
      <c r="I199" s="58"/>
      <c r="J199" s="47"/>
    </row>
    <row r="200" spans="1:10" s="48" customFormat="1" x14ac:dyDescent="0.25">
      <c r="A200" s="49">
        <v>33545</v>
      </c>
      <c r="B200" s="53">
        <f t="shared" si="9"/>
        <v>1</v>
      </c>
      <c r="C200" s="50">
        <f t="shared" si="10"/>
        <v>2016</v>
      </c>
      <c r="D200" s="50">
        <f t="shared" si="11"/>
        <v>4</v>
      </c>
      <c r="E200" s="51">
        <v>42391</v>
      </c>
      <c r="F200" s="49" t="s">
        <v>3</v>
      </c>
      <c r="G200" s="45">
        <f>H200+(I200*0.06)</f>
        <v>0</v>
      </c>
      <c r="H200" s="45"/>
      <c r="I200" s="45"/>
      <c r="J200" s="47"/>
    </row>
    <row r="201" spans="1:10" s="48" customFormat="1" x14ac:dyDescent="0.25">
      <c r="A201" s="49">
        <v>33546</v>
      </c>
      <c r="B201" s="53">
        <f t="shared" si="9"/>
        <v>1</v>
      </c>
      <c r="C201" s="50">
        <f t="shared" si="10"/>
        <v>2016</v>
      </c>
      <c r="D201" s="50">
        <f t="shared" si="11"/>
        <v>4</v>
      </c>
      <c r="E201" s="51">
        <v>42391</v>
      </c>
      <c r="F201" s="49" t="s">
        <v>3</v>
      </c>
      <c r="G201" s="45">
        <f>H201+(I201*0.06)</f>
        <v>0</v>
      </c>
      <c r="H201" s="45"/>
      <c r="I201" s="45"/>
      <c r="J201" s="47"/>
    </row>
    <row r="202" spans="1:10" s="48" customFormat="1" x14ac:dyDescent="0.25">
      <c r="A202" s="61">
        <v>33547</v>
      </c>
      <c r="B202" s="53">
        <f t="shared" si="9"/>
        <v>1</v>
      </c>
      <c r="C202" s="50">
        <f t="shared" si="10"/>
        <v>2016</v>
      </c>
      <c r="D202" s="50">
        <f t="shared" si="11"/>
        <v>4</v>
      </c>
      <c r="E202" s="64">
        <v>42391</v>
      </c>
      <c r="F202" s="61" t="s">
        <v>40</v>
      </c>
      <c r="G202" s="45">
        <f>H202+(I202*0.06)</f>
        <v>1187</v>
      </c>
      <c r="H202" s="65">
        <f>1305.7/1.1</f>
        <v>1187</v>
      </c>
      <c r="I202" s="65"/>
      <c r="J202" s="47"/>
    </row>
    <row r="203" spans="1:10" s="48" customFormat="1" x14ac:dyDescent="0.25">
      <c r="A203" s="61">
        <v>33548</v>
      </c>
      <c r="B203" s="53">
        <f t="shared" si="9"/>
        <v>1</v>
      </c>
      <c r="C203" s="50">
        <f t="shared" si="10"/>
        <v>2016</v>
      </c>
      <c r="D203" s="50">
        <f t="shared" si="11"/>
        <v>4</v>
      </c>
      <c r="E203" s="64">
        <v>42391</v>
      </c>
      <c r="F203" s="61" t="s">
        <v>40</v>
      </c>
      <c r="G203" s="45">
        <f>H203+(I203*0.06)</f>
        <v>977.49999999999989</v>
      </c>
      <c r="H203" s="65">
        <f>1075.25/1.1</f>
        <v>977.49999999999989</v>
      </c>
      <c r="I203" s="65"/>
      <c r="J203" s="47"/>
    </row>
    <row r="204" spans="1:10" s="48" customFormat="1" x14ac:dyDescent="0.25">
      <c r="A204" s="49">
        <v>33549</v>
      </c>
      <c r="B204" s="53">
        <f t="shared" si="9"/>
        <v>1</v>
      </c>
      <c r="C204" s="50">
        <f t="shared" si="10"/>
        <v>2016</v>
      </c>
      <c r="D204" s="50">
        <f t="shared" si="11"/>
        <v>4</v>
      </c>
      <c r="E204" s="51">
        <v>42391</v>
      </c>
      <c r="F204" s="49" t="s">
        <v>3</v>
      </c>
      <c r="G204" s="45">
        <f>H204+(I204*0.06)</f>
        <v>165</v>
      </c>
      <c r="H204" s="45">
        <v>165</v>
      </c>
      <c r="I204" s="45"/>
      <c r="J204" s="47"/>
    </row>
    <row r="205" spans="1:10" s="48" customFormat="1" x14ac:dyDescent="0.25">
      <c r="A205" s="56">
        <v>33550</v>
      </c>
      <c r="B205" s="53">
        <f t="shared" si="9"/>
        <v>1</v>
      </c>
      <c r="C205" s="50">
        <f t="shared" si="10"/>
        <v>2016</v>
      </c>
      <c r="D205" s="50">
        <f t="shared" si="11"/>
        <v>4</v>
      </c>
      <c r="E205" s="57">
        <v>42391</v>
      </c>
      <c r="F205" s="56" t="s">
        <v>5</v>
      </c>
      <c r="G205" s="45">
        <f>H205+(I205*0.06)</f>
        <v>1026</v>
      </c>
      <c r="H205" s="58">
        <v>1026</v>
      </c>
      <c r="I205" s="58"/>
      <c r="J205" s="47"/>
    </row>
    <row r="206" spans="1:10" s="48" customFormat="1" x14ac:dyDescent="0.25">
      <c r="A206" s="56">
        <v>33551</v>
      </c>
      <c r="B206" s="59">
        <f t="shared" si="9"/>
        <v>1</v>
      </c>
      <c r="C206" s="60">
        <f t="shared" si="10"/>
        <v>2016</v>
      </c>
      <c r="D206" s="60">
        <f t="shared" si="11"/>
        <v>4</v>
      </c>
      <c r="E206" s="57">
        <v>42391</v>
      </c>
      <c r="F206" s="56" t="s">
        <v>40</v>
      </c>
      <c r="G206" s="45">
        <f>H206+(I206*0.06)</f>
        <v>353</v>
      </c>
      <c r="H206" s="58">
        <f>388.3/1.1</f>
        <v>353</v>
      </c>
      <c r="I206" s="58"/>
      <c r="J206" s="47"/>
    </row>
    <row r="207" spans="1:10" s="48" customFormat="1" x14ac:dyDescent="0.25">
      <c r="A207" s="56">
        <v>33552</v>
      </c>
      <c r="B207" s="59">
        <f t="shared" si="9"/>
        <v>1</v>
      </c>
      <c r="C207" s="60">
        <f t="shared" si="10"/>
        <v>2016</v>
      </c>
      <c r="D207" s="60">
        <f t="shared" si="11"/>
        <v>4</v>
      </c>
      <c r="E207" s="57">
        <v>42391</v>
      </c>
      <c r="F207" s="56" t="s">
        <v>5</v>
      </c>
      <c r="G207" s="45">
        <f>H207+(I207*0.06)</f>
        <v>73.92</v>
      </c>
      <c r="H207" s="58">
        <v>73.92</v>
      </c>
      <c r="I207" s="58"/>
      <c r="J207" s="47"/>
    </row>
    <row r="208" spans="1:10" s="48" customFormat="1" x14ac:dyDescent="0.25">
      <c r="A208" s="49">
        <v>33553</v>
      </c>
      <c r="B208" s="53">
        <f t="shared" si="9"/>
        <v>1</v>
      </c>
      <c r="C208" s="50">
        <f t="shared" si="10"/>
        <v>2016</v>
      </c>
      <c r="D208" s="50">
        <f t="shared" si="11"/>
        <v>4</v>
      </c>
      <c r="E208" s="51">
        <v>42391</v>
      </c>
      <c r="F208" s="49" t="s">
        <v>9</v>
      </c>
      <c r="G208" s="45">
        <f>H208+(I208*0.06)</f>
        <v>0</v>
      </c>
      <c r="H208" s="45"/>
      <c r="I208" s="45"/>
      <c r="J208" s="47"/>
    </row>
    <row r="209" spans="1:10" s="48" customFormat="1" x14ac:dyDescent="0.25">
      <c r="A209" s="49">
        <v>33554</v>
      </c>
      <c r="B209" s="53">
        <f t="shared" si="9"/>
        <v>1</v>
      </c>
      <c r="C209" s="50">
        <f t="shared" si="10"/>
        <v>2016</v>
      </c>
      <c r="D209" s="50">
        <f t="shared" si="11"/>
        <v>4</v>
      </c>
      <c r="E209" s="51">
        <v>42391</v>
      </c>
      <c r="F209" s="49" t="s">
        <v>3</v>
      </c>
      <c r="G209" s="45">
        <f>H209+(I209*0.06)</f>
        <v>0</v>
      </c>
      <c r="H209" s="45"/>
      <c r="I209" s="45"/>
      <c r="J209" s="47"/>
    </row>
    <row r="210" spans="1:10" s="48" customFormat="1" x14ac:dyDescent="0.25">
      <c r="A210" s="49">
        <v>33555</v>
      </c>
      <c r="B210" s="53">
        <f t="shared" si="9"/>
        <v>1</v>
      </c>
      <c r="C210" s="50">
        <f t="shared" si="10"/>
        <v>2016</v>
      </c>
      <c r="D210" s="50">
        <f t="shared" si="11"/>
        <v>4</v>
      </c>
      <c r="E210" s="51">
        <v>42391</v>
      </c>
      <c r="F210" s="49" t="s">
        <v>26</v>
      </c>
      <c r="G210" s="45">
        <f>H210+(I210*0.06)</f>
        <v>14486.82</v>
      </c>
      <c r="H210" s="45">
        <v>14486.82</v>
      </c>
      <c r="I210" s="45"/>
      <c r="J210" s="47"/>
    </row>
    <row r="211" spans="1:10" s="48" customFormat="1" x14ac:dyDescent="0.25">
      <c r="A211" s="49">
        <v>33556</v>
      </c>
      <c r="B211" s="53">
        <f t="shared" si="9"/>
        <v>1</v>
      </c>
      <c r="C211" s="50">
        <f t="shared" si="10"/>
        <v>2016</v>
      </c>
      <c r="D211" s="50">
        <f t="shared" si="11"/>
        <v>4</v>
      </c>
      <c r="E211" s="51">
        <v>42391</v>
      </c>
      <c r="F211" s="49" t="s">
        <v>26</v>
      </c>
      <c r="G211" s="45">
        <f>H211+(I211*0.06)</f>
        <v>6110.68</v>
      </c>
      <c r="H211" s="45">
        <v>6110.68</v>
      </c>
      <c r="I211" s="45"/>
      <c r="J211" s="47"/>
    </row>
    <row r="212" spans="1:10" s="48" customFormat="1" x14ac:dyDescent="0.25">
      <c r="A212" s="49">
        <v>33557</v>
      </c>
      <c r="B212" s="53">
        <f t="shared" si="9"/>
        <v>1</v>
      </c>
      <c r="C212" s="50">
        <f t="shared" si="10"/>
        <v>2016</v>
      </c>
      <c r="D212" s="50">
        <f t="shared" si="11"/>
        <v>4</v>
      </c>
      <c r="E212" s="51">
        <v>42391</v>
      </c>
      <c r="F212" s="49" t="s">
        <v>26</v>
      </c>
      <c r="G212" s="45">
        <f>H212+(I212*0.06)</f>
        <v>15214.84</v>
      </c>
      <c r="H212" s="45">
        <v>15214.84</v>
      </c>
      <c r="I212" s="45"/>
      <c r="J212" s="47"/>
    </row>
    <row r="213" spans="1:10" s="48" customFormat="1" x14ac:dyDescent="0.25">
      <c r="A213" s="49">
        <v>33558</v>
      </c>
      <c r="B213" s="53">
        <f t="shared" si="9"/>
        <v>1</v>
      </c>
      <c r="C213" s="50">
        <f t="shared" si="10"/>
        <v>2016</v>
      </c>
      <c r="D213" s="50">
        <f t="shared" si="11"/>
        <v>4</v>
      </c>
      <c r="E213" s="51">
        <v>42391</v>
      </c>
      <c r="F213" s="49" t="s">
        <v>26</v>
      </c>
      <c r="G213" s="45">
        <f>H213+(I213*0.06)</f>
        <v>16856.22</v>
      </c>
      <c r="H213" s="45">
        <v>16856.22</v>
      </c>
      <c r="I213" s="45"/>
      <c r="J213" s="47"/>
    </row>
    <row r="214" spans="1:10" s="48" customFormat="1" x14ac:dyDescent="0.25">
      <c r="A214" s="49">
        <v>33559</v>
      </c>
      <c r="B214" s="53">
        <f t="shared" si="9"/>
        <v>1</v>
      </c>
      <c r="C214" s="50">
        <f t="shared" si="10"/>
        <v>2016</v>
      </c>
      <c r="D214" s="50">
        <f t="shared" si="11"/>
        <v>4</v>
      </c>
      <c r="E214" s="51">
        <v>42391</v>
      </c>
      <c r="F214" s="49" t="s">
        <v>26</v>
      </c>
      <c r="G214" s="45">
        <f>H214+(I214*0.06)</f>
        <v>25212.21</v>
      </c>
      <c r="H214" s="45">
        <v>25212.21</v>
      </c>
      <c r="I214" s="45"/>
      <c r="J214" s="47"/>
    </row>
    <row r="215" spans="1:10" s="48" customFormat="1" x14ac:dyDescent="0.25">
      <c r="A215" s="49">
        <v>33560</v>
      </c>
      <c r="B215" s="53">
        <f t="shared" si="9"/>
        <v>1</v>
      </c>
      <c r="C215" s="50">
        <f t="shared" si="10"/>
        <v>2016</v>
      </c>
      <c r="D215" s="50">
        <f t="shared" si="11"/>
        <v>4</v>
      </c>
      <c r="E215" s="51">
        <v>42391</v>
      </c>
      <c r="F215" s="49" t="s">
        <v>26</v>
      </c>
      <c r="G215" s="45">
        <f>H215+(I215*0.06)</f>
        <v>23443.93</v>
      </c>
      <c r="H215" s="45">
        <v>23443.93</v>
      </c>
      <c r="I215" s="45"/>
      <c r="J215" s="47"/>
    </row>
    <row r="216" spans="1:10" s="48" customFormat="1" x14ac:dyDescent="0.25">
      <c r="A216" s="49">
        <v>33561</v>
      </c>
      <c r="B216" s="53">
        <f t="shared" si="9"/>
        <v>1</v>
      </c>
      <c r="C216" s="50">
        <f t="shared" si="10"/>
        <v>2016</v>
      </c>
      <c r="D216" s="50">
        <f t="shared" si="11"/>
        <v>4</v>
      </c>
      <c r="E216" s="51">
        <v>42391</v>
      </c>
      <c r="F216" s="49" t="s">
        <v>26</v>
      </c>
      <c r="G216" s="45">
        <f>H216+(I216*0.06)</f>
        <v>22598.9</v>
      </c>
      <c r="H216" s="45">
        <v>22598.9</v>
      </c>
      <c r="I216" s="45"/>
      <c r="J216" s="47"/>
    </row>
    <row r="217" spans="1:10" s="48" customFormat="1" x14ac:dyDescent="0.25">
      <c r="A217" s="56">
        <v>33562</v>
      </c>
      <c r="B217" s="59">
        <f t="shared" ref="B217:B280" si="12">IF(E217="","",MONTH(E217))</f>
        <v>1</v>
      </c>
      <c r="C217" s="60">
        <f t="shared" ref="C217:C280" si="13">IF(E217="","",YEAR(E217))</f>
        <v>2016</v>
      </c>
      <c r="D217" s="60">
        <f t="shared" ref="D217:D280" si="14">IF(E217="","",WEEKNUM(E217,2))</f>
        <v>5</v>
      </c>
      <c r="E217" s="57">
        <v>42394</v>
      </c>
      <c r="F217" s="56" t="s">
        <v>3</v>
      </c>
      <c r="G217" s="45">
        <f>H217+(I217*0.06)</f>
        <v>550</v>
      </c>
      <c r="H217" s="58">
        <v>550</v>
      </c>
      <c r="I217" s="58"/>
      <c r="J217" s="47"/>
    </row>
    <row r="218" spans="1:10" s="48" customFormat="1" x14ac:dyDescent="0.25">
      <c r="A218" s="49">
        <v>33563</v>
      </c>
      <c r="B218" s="53">
        <f t="shared" si="12"/>
        <v>1</v>
      </c>
      <c r="C218" s="50">
        <f t="shared" si="13"/>
        <v>2016</v>
      </c>
      <c r="D218" s="50">
        <f t="shared" si="14"/>
        <v>5</v>
      </c>
      <c r="E218" s="51">
        <v>42394</v>
      </c>
      <c r="F218" s="49" t="s">
        <v>0</v>
      </c>
      <c r="G218" s="45">
        <f>H218+(I218*0.06)</f>
        <v>3130</v>
      </c>
      <c r="H218" s="45">
        <v>3130</v>
      </c>
      <c r="I218" s="45"/>
      <c r="J218" s="47"/>
    </row>
    <row r="219" spans="1:10" s="48" customFormat="1" x14ac:dyDescent="0.25">
      <c r="A219" s="56">
        <v>33564</v>
      </c>
      <c r="B219" s="59">
        <f t="shared" si="12"/>
        <v>1</v>
      </c>
      <c r="C219" s="60">
        <f t="shared" si="13"/>
        <v>2016</v>
      </c>
      <c r="D219" s="60">
        <f t="shared" si="14"/>
        <v>5</v>
      </c>
      <c r="E219" s="57">
        <v>42394</v>
      </c>
      <c r="F219" s="56" t="s">
        <v>0</v>
      </c>
      <c r="G219" s="45">
        <f>H219+(I219*0.06)</f>
        <v>773</v>
      </c>
      <c r="H219" s="58">
        <v>773</v>
      </c>
      <c r="I219" s="58"/>
      <c r="J219" s="47"/>
    </row>
    <row r="220" spans="1:10" s="48" customFormat="1" x14ac:dyDescent="0.25">
      <c r="A220" s="49">
        <v>33565</v>
      </c>
      <c r="B220" s="53">
        <f t="shared" si="12"/>
        <v>1</v>
      </c>
      <c r="C220" s="50">
        <f t="shared" si="13"/>
        <v>2016</v>
      </c>
      <c r="D220" s="50">
        <f t="shared" si="14"/>
        <v>5</v>
      </c>
      <c r="E220" s="51">
        <v>42394</v>
      </c>
      <c r="F220" s="49" t="s">
        <v>0</v>
      </c>
      <c r="G220" s="45">
        <f>H220+(I220*0.06)</f>
        <v>1197.75</v>
      </c>
      <c r="H220" s="45">
        <v>1197.75</v>
      </c>
      <c r="I220" s="45"/>
      <c r="J220" s="47"/>
    </row>
    <row r="221" spans="1:10" s="48" customFormat="1" x14ac:dyDescent="0.25">
      <c r="A221" s="56">
        <v>33566</v>
      </c>
      <c r="B221" s="59">
        <f t="shared" si="12"/>
        <v>1</v>
      </c>
      <c r="C221" s="60">
        <f t="shared" si="13"/>
        <v>2016</v>
      </c>
      <c r="D221" s="60">
        <f t="shared" si="14"/>
        <v>5</v>
      </c>
      <c r="E221" s="57">
        <v>42394</v>
      </c>
      <c r="F221" s="56" t="s">
        <v>0</v>
      </c>
      <c r="G221" s="45">
        <f>H221+(I221*0.06)</f>
        <v>1975</v>
      </c>
      <c r="H221" s="58">
        <v>1975</v>
      </c>
      <c r="I221" s="58"/>
      <c r="J221" s="47"/>
    </row>
    <row r="222" spans="1:10" s="48" customFormat="1" x14ac:dyDescent="0.25">
      <c r="A222" s="49">
        <v>33567</v>
      </c>
      <c r="B222" s="53">
        <f t="shared" si="12"/>
        <v>1</v>
      </c>
      <c r="C222" s="50">
        <f t="shared" si="13"/>
        <v>2016</v>
      </c>
      <c r="D222" s="50">
        <f t="shared" si="14"/>
        <v>5</v>
      </c>
      <c r="E222" s="51">
        <v>42394</v>
      </c>
      <c r="F222" s="49" t="s">
        <v>0</v>
      </c>
      <c r="G222" s="45">
        <f>H222+(I222*0.06)</f>
        <v>5053</v>
      </c>
      <c r="H222" s="45">
        <v>5053</v>
      </c>
      <c r="I222" s="45"/>
      <c r="J222" s="47"/>
    </row>
    <row r="223" spans="1:10" s="48" customFormat="1" x14ac:dyDescent="0.25">
      <c r="A223" s="56">
        <v>33568</v>
      </c>
      <c r="B223" s="59">
        <f t="shared" si="12"/>
        <v>1</v>
      </c>
      <c r="C223" s="60">
        <f t="shared" si="13"/>
        <v>2016</v>
      </c>
      <c r="D223" s="60">
        <f t="shared" si="14"/>
        <v>5</v>
      </c>
      <c r="E223" s="57">
        <v>42394</v>
      </c>
      <c r="F223" s="56" t="s">
        <v>0</v>
      </c>
      <c r="G223" s="45">
        <f>H223+(I223*0.06)</f>
        <v>108</v>
      </c>
      <c r="H223" s="58">
        <v>108</v>
      </c>
      <c r="I223" s="58"/>
      <c r="J223" s="47"/>
    </row>
    <row r="224" spans="1:10" s="48" customFormat="1" x14ac:dyDescent="0.25">
      <c r="A224" s="49">
        <v>33569</v>
      </c>
      <c r="B224" s="53">
        <f t="shared" si="12"/>
        <v>1</v>
      </c>
      <c r="C224" s="50">
        <f t="shared" si="13"/>
        <v>2016</v>
      </c>
      <c r="D224" s="50">
        <f t="shared" si="14"/>
        <v>5</v>
      </c>
      <c r="E224" s="51">
        <v>42394</v>
      </c>
      <c r="F224" s="49" t="s">
        <v>26</v>
      </c>
      <c r="G224" s="45">
        <f>H224+(I224*0.06)</f>
        <v>5433.78</v>
      </c>
      <c r="H224" s="45">
        <v>5433.78</v>
      </c>
      <c r="I224" s="45"/>
      <c r="J224" s="47"/>
    </row>
    <row r="225" spans="1:10" s="48" customFormat="1" x14ac:dyDescent="0.25">
      <c r="A225" s="56">
        <v>33570</v>
      </c>
      <c r="B225" s="59">
        <f t="shared" si="12"/>
        <v>1</v>
      </c>
      <c r="C225" s="60">
        <f t="shared" si="13"/>
        <v>2016</v>
      </c>
      <c r="D225" s="60">
        <f t="shared" si="14"/>
        <v>5</v>
      </c>
      <c r="E225" s="57">
        <v>42394</v>
      </c>
      <c r="F225" s="56" t="s">
        <v>5</v>
      </c>
      <c r="G225" s="45">
        <f>H225+(I225*0.06)</f>
        <v>246.15</v>
      </c>
      <c r="H225" s="58">
        <v>246.15</v>
      </c>
      <c r="I225" s="58"/>
      <c r="J225" s="47"/>
    </row>
    <row r="226" spans="1:10" s="48" customFormat="1" x14ac:dyDescent="0.25">
      <c r="A226" s="49">
        <v>33571</v>
      </c>
      <c r="B226" s="53">
        <f t="shared" si="12"/>
        <v>1</v>
      </c>
      <c r="C226" s="50">
        <f t="shared" si="13"/>
        <v>2016</v>
      </c>
      <c r="D226" s="50">
        <f t="shared" si="14"/>
        <v>5</v>
      </c>
      <c r="E226" s="51">
        <v>42394</v>
      </c>
      <c r="F226" s="49" t="s">
        <v>3</v>
      </c>
      <c r="G226" s="45">
        <f>H226+(I226*0.06)</f>
        <v>15820.5</v>
      </c>
      <c r="H226" s="45">
        <v>15820.5</v>
      </c>
      <c r="I226" s="45"/>
      <c r="J226" s="47"/>
    </row>
    <row r="227" spans="1:10" s="48" customFormat="1" x14ac:dyDescent="0.25">
      <c r="A227" s="49">
        <v>33572</v>
      </c>
      <c r="B227" s="53">
        <f t="shared" si="12"/>
        <v>1</v>
      </c>
      <c r="C227" s="50">
        <f t="shared" si="13"/>
        <v>2016</v>
      </c>
      <c r="D227" s="50">
        <f t="shared" si="14"/>
        <v>5</v>
      </c>
      <c r="E227" s="51">
        <v>42394</v>
      </c>
      <c r="F227" s="49" t="s">
        <v>19</v>
      </c>
      <c r="G227" s="45">
        <f>H227+(I227*0.06)</f>
        <v>120</v>
      </c>
      <c r="H227" s="45">
        <v>120</v>
      </c>
      <c r="I227" s="45"/>
      <c r="J227" s="47"/>
    </row>
    <row r="228" spans="1:10" s="48" customFormat="1" x14ac:dyDescent="0.25">
      <c r="A228" s="49">
        <v>33573</v>
      </c>
      <c r="B228" s="53">
        <f t="shared" si="12"/>
        <v>1</v>
      </c>
      <c r="C228" s="50">
        <f t="shared" si="13"/>
        <v>2016</v>
      </c>
      <c r="D228" s="50">
        <f t="shared" si="14"/>
        <v>5</v>
      </c>
      <c r="E228" s="51">
        <v>42394</v>
      </c>
      <c r="F228" s="49" t="s">
        <v>19</v>
      </c>
      <c r="G228" s="45">
        <f>H228+(I228*0.06)</f>
        <v>100</v>
      </c>
      <c r="H228" s="45">
        <v>100</v>
      </c>
      <c r="I228" s="45"/>
      <c r="J228" s="47"/>
    </row>
    <row r="229" spans="1:10" s="48" customFormat="1" x14ac:dyDescent="0.25">
      <c r="A229" s="49">
        <v>33574</v>
      </c>
      <c r="B229" s="53">
        <f t="shared" si="12"/>
        <v>1</v>
      </c>
      <c r="C229" s="50">
        <f t="shared" si="13"/>
        <v>2016</v>
      </c>
      <c r="D229" s="50">
        <f t="shared" si="14"/>
        <v>5</v>
      </c>
      <c r="E229" s="51">
        <v>42394</v>
      </c>
      <c r="F229" s="49" t="s">
        <v>0</v>
      </c>
      <c r="G229" s="45">
        <f>H229+(I229*0.06)</f>
        <v>3580.5</v>
      </c>
      <c r="H229" s="45">
        <v>3580.5</v>
      </c>
      <c r="I229" s="45"/>
      <c r="J229" s="47"/>
    </row>
    <row r="230" spans="1:10" s="48" customFormat="1" x14ac:dyDescent="0.25">
      <c r="A230" s="49">
        <v>33575</v>
      </c>
      <c r="B230" s="53">
        <f t="shared" si="12"/>
        <v>1</v>
      </c>
      <c r="C230" s="50">
        <f t="shared" si="13"/>
        <v>2016</v>
      </c>
      <c r="D230" s="50">
        <f t="shared" si="14"/>
        <v>5</v>
      </c>
      <c r="E230" s="51">
        <v>42395</v>
      </c>
      <c r="F230" s="49" t="s">
        <v>3</v>
      </c>
      <c r="G230" s="45">
        <f>H230+(I230*0.06)</f>
        <v>1549</v>
      </c>
      <c r="H230" s="45">
        <v>1549</v>
      </c>
      <c r="I230" s="45"/>
      <c r="J230" s="47"/>
    </row>
    <row r="231" spans="1:10" s="48" customFormat="1" x14ac:dyDescent="0.25">
      <c r="A231" s="49">
        <v>33576</v>
      </c>
      <c r="B231" s="53">
        <f t="shared" si="12"/>
        <v>1</v>
      </c>
      <c r="C231" s="50">
        <f t="shared" si="13"/>
        <v>2016</v>
      </c>
      <c r="D231" s="50">
        <f t="shared" si="14"/>
        <v>5</v>
      </c>
      <c r="E231" s="51">
        <v>42395</v>
      </c>
      <c r="F231" s="49" t="s">
        <v>3</v>
      </c>
      <c r="G231" s="45">
        <f>H231+(I231*0.06)</f>
        <v>12137.6</v>
      </c>
      <c r="H231" s="45">
        <v>12137.6</v>
      </c>
      <c r="I231" s="45"/>
      <c r="J231" s="47"/>
    </row>
    <row r="232" spans="1:10" s="48" customFormat="1" x14ac:dyDescent="0.25">
      <c r="A232" s="49">
        <v>33577</v>
      </c>
      <c r="B232" s="53">
        <f t="shared" si="12"/>
        <v>1</v>
      </c>
      <c r="C232" s="50">
        <f t="shared" si="13"/>
        <v>2016</v>
      </c>
      <c r="D232" s="50">
        <f t="shared" si="14"/>
        <v>5</v>
      </c>
      <c r="E232" s="51">
        <v>42395</v>
      </c>
      <c r="F232" s="49" t="s">
        <v>0</v>
      </c>
      <c r="G232" s="45">
        <f>H232+(I232*0.06)</f>
        <v>14645</v>
      </c>
      <c r="H232" s="45">
        <v>14645</v>
      </c>
      <c r="I232" s="45"/>
      <c r="J232" s="47"/>
    </row>
    <row r="233" spans="1:10" s="48" customFormat="1" x14ac:dyDescent="0.25">
      <c r="A233" s="56">
        <v>33578</v>
      </c>
      <c r="B233" s="59">
        <f t="shared" si="12"/>
        <v>1</v>
      </c>
      <c r="C233" s="60">
        <f t="shared" si="13"/>
        <v>2016</v>
      </c>
      <c r="D233" s="60">
        <f t="shared" si="14"/>
        <v>5</v>
      </c>
      <c r="E233" s="57">
        <v>42395</v>
      </c>
      <c r="F233" s="56" t="s">
        <v>0</v>
      </c>
      <c r="G233" s="45">
        <f>H233+(I233*0.06)</f>
        <v>1075.25</v>
      </c>
      <c r="H233" s="58">
        <v>1075.25</v>
      </c>
      <c r="I233" s="58"/>
      <c r="J233" s="47"/>
    </row>
    <row r="234" spans="1:10" s="48" customFormat="1" x14ac:dyDescent="0.25">
      <c r="A234" s="56">
        <v>33579</v>
      </c>
      <c r="B234" s="59">
        <f t="shared" si="12"/>
        <v>1</v>
      </c>
      <c r="C234" s="60">
        <f t="shared" si="13"/>
        <v>2016</v>
      </c>
      <c r="D234" s="60">
        <f t="shared" si="14"/>
        <v>5</v>
      </c>
      <c r="E234" s="57">
        <v>42395</v>
      </c>
      <c r="F234" s="56" t="s">
        <v>5</v>
      </c>
      <c r="G234" s="45">
        <f>H234+(I234*0.06)</f>
        <v>155.22999999999999</v>
      </c>
      <c r="H234" s="58">
        <v>155.22999999999999</v>
      </c>
      <c r="I234" s="58"/>
      <c r="J234" s="47"/>
    </row>
    <row r="235" spans="1:10" s="48" customFormat="1" x14ac:dyDescent="0.25">
      <c r="A235" s="56">
        <v>33580</v>
      </c>
      <c r="B235" s="53">
        <f t="shared" si="12"/>
        <v>1</v>
      </c>
      <c r="C235" s="50">
        <f t="shared" si="13"/>
        <v>2016</v>
      </c>
      <c r="D235" s="50">
        <f t="shared" si="14"/>
        <v>5</v>
      </c>
      <c r="E235" s="57">
        <v>42395</v>
      </c>
      <c r="F235" s="56" t="s">
        <v>26</v>
      </c>
      <c r="G235" s="45">
        <f>H235+(I235*0.06)</f>
        <v>222.3</v>
      </c>
      <c r="H235" s="58">
        <v>222.3</v>
      </c>
      <c r="I235" s="58"/>
      <c r="J235" s="47"/>
    </row>
    <row r="236" spans="1:10" s="48" customFormat="1" x14ac:dyDescent="0.25">
      <c r="A236" s="49">
        <v>33581</v>
      </c>
      <c r="B236" s="53">
        <f t="shared" si="12"/>
        <v>1</v>
      </c>
      <c r="C236" s="50">
        <f t="shared" si="13"/>
        <v>2016</v>
      </c>
      <c r="D236" s="50">
        <f t="shared" si="14"/>
        <v>5</v>
      </c>
      <c r="E236" s="51">
        <v>42395</v>
      </c>
      <c r="F236" s="49" t="s">
        <v>45</v>
      </c>
      <c r="G236" s="45">
        <f>H236+(I236*0.06)</f>
        <v>1440</v>
      </c>
      <c r="H236" s="45">
        <v>1440</v>
      </c>
      <c r="I236" s="45"/>
      <c r="J236" s="47"/>
    </row>
    <row r="237" spans="1:10" s="48" customFormat="1" x14ac:dyDescent="0.25">
      <c r="A237" s="49">
        <v>33582</v>
      </c>
      <c r="B237" s="53">
        <f t="shared" si="12"/>
        <v>1</v>
      </c>
      <c r="C237" s="50">
        <f t="shared" si="13"/>
        <v>2016</v>
      </c>
      <c r="D237" s="50">
        <f t="shared" si="14"/>
        <v>5</v>
      </c>
      <c r="E237" s="51">
        <v>42395</v>
      </c>
      <c r="F237" s="49" t="s">
        <v>3</v>
      </c>
      <c r="G237" s="45">
        <f>H237+(I237*0.06)</f>
        <v>761.25</v>
      </c>
      <c r="H237" s="45">
        <v>761.25</v>
      </c>
      <c r="I237" s="45"/>
      <c r="J237" s="47"/>
    </row>
    <row r="238" spans="1:10" s="48" customFormat="1" x14ac:dyDescent="0.25">
      <c r="A238" s="49">
        <v>33583</v>
      </c>
      <c r="B238" s="53">
        <f t="shared" si="12"/>
        <v>1</v>
      </c>
      <c r="C238" s="50">
        <f t="shared" si="13"/>
        <v>2016</v>
      </c>
      <c r="D238" s="50">
        <f t="shared" si="14"/>
        <v>5</v>
      </c>
      <c r="E238" s="51">
        <v>42395</v>
      </c>
      <c r="F238" s="49" t="s">
        <v>3</v>
      </c>
      <c r="G238" s="45">
        <f>H238+(I238*0.06)</f>
        <v>732.75</v>
      </c>
      <c r="H238" s="45">
        <v>732.75</v>
      </c>
      <c r="I238" s="45"/>
      <c r="J238" s="47"/>
    </row>
    <row r="239" spans="1:10" s="48" customFormat="1" x14ac:dyDescent="0.25">
      <c r="A239" s="56">
        <v>33584</v>
      </c>
      <c r="B239" s="59">
        <f t="shared" si="12"/>
        <v>1</v>
      </c>
      <c r="C239" s="60">
        <f t="shared" si="13"/>
        <v>2016</v>
      </c>
      <c r="D239" s="60">
        <f t="shared" si="14"/>
        <v>5</v>
      </c>
      <c r="E239" s="57">
        <v>42395</v>
      </c>
      <c r="F239" s="56" t="s">
        <v>0</v>
      </c>
      <c r="G239" s="45">
        <f>H239+(I239*0.06)</f>
        <v>1381</v>
      </c>
      <c r="H239" s="58">
        <v>1381</v>
      </c>
      <c r="I239" s="58"/>
      <c r="J239" s="47"/>
    </row>
    <row r="240" spans="1:10" s="48" customFormat="1" x14ac:dyDescent="0.25">
      <c r="A240" s="49">
        <v>33585</v>
      </c>
      <c r="B240" s="53">
        <f t="shared" si="12"/>
        <v>1</v>
      </c>
      <c r="C240" s="50">
        <f t="shared" si="13"/>
        <v>2016</v>
      </c>
      <c r="D240" s="50">
        <f t="shared" si="14"/>
        <v>5</v>
      </c>
      <c r="E240" s="51">
        <v>42395</v>
      </c>
      <c r="F240" s="49" t="s">
        <v>3</v>
      </c>
      <c r="G240" s="45">
        <f>H240+(I240*0.06)</f>
        <v>180</v>
      </c>
      <c r="H240" s="45">
        <v>180</v>
      </c>
      <c r="I240" s="45"/>
      <c r="J240" s="47"/>
    </row>
    <row r="241" spans="1:10" s="48" customFormat="1" x14ac:dyDescent="0.25">
      <c r="A241" s="49">
        <v>33586</v>
      </c>
      <c r="B241" s="53">
        <f t="shared" si="12"/>
        <v>1</v>
      </c>
      <c r="C241" s="50">
        <f t="shared" si="13"/>
        <v>2016</v>
      </c>
      <c r="D241" s="50">
        <f t="shared" si="14"/>
        <v>5</v>
      </c>
      <c r="E241" s="51">
        <v>42395</v>
      </c>
      <c r="F241" s="49" t="s">
        <v>19</v>
      </c>
      <c r="G241" s="45">
        <f>H241+(I241*0.06)</f>
        <v>185</v>
      </c>
      <c r="H241" s="45">
        <v>185</v>
      </c>
      <c r="I241" s="45"/>
      <c r="J241" s="47"/>
    </row>
    <row r="242" spans="1:10" s="48" customFormat="1" x14ac:dyDescent="0.25">
      <c r="A242" s="49">
        <v>33587</v>
      </c>
      <c r="B242" s="53">
        <f t="shared" si="12"/>
        <v>1</v>
      </c>
      <c r="C242" s="50">
        <f t="shared" si="13"/>
        <v>2016</v>
      </c>
      <c r="D242" s="50">
        <f t="shared" si="14"/>
        <v>5</v>
      </c>
      <c r="E242" s="51">
        <v>42395</v>
      </c>
      <c r="F242" s="49" t="s">
        <v>19</v>
      </c>
      <c r="G242" s="45">
        <f>H242+(I242*0.06)</f>
        <v>8</v>
      </c>
      <c r="H242" s="45">
        <v>8</v>
      </c>
      <c r="I242" s="45"/>
      <c r="J242" s="47"/>
    </row>
    <row r="243" spans="1:10" s="48" customFormat="1" x14ac:dyDescent="0.25">
      <c r="A243" s="49">
        <v>33588</v>
      </c>
      <c r="B243" s="53">
        <f t="shared" si="12"/>
        <v>1</v>
      </c>
      <c r="C243" s="50">
        <f t="shared" si="13"/>
        <v>2016</v>
      </c>
      <c r="D243" s="50">
        <f t="shared" si="14"/>
        <v>5</v>
      </c>
      <c r="E243" s="51">
        <v>42395</v>
      </c>
      <c r="F243" s="49" t="s">
        <v>40</v>
      </c>
      <c r="G243" s="45">
        <f>H243+(I243*0.06)</f>
        <v>5277.1727272727276</v>
      </c>
      <c r="H243" s="45">
        <f>5804.89/1.1</f>
        <v>5277.1727272727276</v>
      </c>
      <c r="I243" s="45"/>
      <c r="J243" s="47"/>
    </row>
    <row r="244" spans="1:10" s="48" customFormat="1" x14ac:dyDescent="0.25">
      <c r="A244" s="56">
        <v>33589</v>
      </c>
      <c r="B244" s="53">
        <f t="shared" si="12"/>
        <v>1</v>
      </c>
      <c r="C244" s="50">
        <f t="shared" si="13"/>
        <v>2016</v>
      </c>
      <c r="D244" s="50">
        <f t="shared" si="14"/>
        <v>5</v>
      </c>
      <c r="E244" s="57">
        <v>42395</v>
      </c>
      <c r="F244" s="56" t="s">
        <v>40</v>
      </c>
      <c r="G244" s="45">
        <f>H244+(I244*0.06)</f>
        <v>59.999999999999993</v>
      </c>
      <c r="H244" s="58">
        <f>66/1.1</f>
        <v>59.999999999999993</v>
      </c>
      <c r="I244" s="58"/>
      <c r="J244" s="47"/>
    </row>
    <row r="245" spans="1:10" s="48" customFormat="1" x14ac:dyDescent="0.25">
      <c r="A245" s="49">
        <v>33590</v>
      </c>
      <c r="B245" s="53">
        <f t="shared" si="12"/>
        <v>1</v>
      </c>
      <c r="C245" s="50">
        <f t="shared" si="13"/>
        <v>2016</v>
      </c>
      <c r="D245" s="50">
        <f t="shared" si="14"/>
        <v>5</v>
      </c>
      <c r="E245" s="51">
        <v>42395</v>
      </c>
      <c r="F245" s="49" t="s">
        <v>40</v>
      </c>
      <c r="G245" s="45">
        <f>H245+(I245*0.06)</f>
        <v>4270.2545454545452</v>
      </c>
      <c r="H245" s="45">
        <f>4697.28/1.1</f>
        <v>4270.2545454545452</v>
      </c>
      <c r="I245" s="45"/>
      <c r="J245" s="47"/>
    </row>
    <row r="246" spans="1:10" s="48" customFormat="1" x14ac:dyDescent="0.25">
      <c r="A246" s="56">
        <v>33591</v>
      </c>
      <c r="B246" s="59">
        <f t="shared" si="12"/>
        <v>1</v>
      </c>
      <c r="C246" s="60">
        <f t="shared" si="13"/>
        <v>2016</v>
      </c>
      <c r="D246" s="60">
        <f t="shared" si="14"/>
        <v>5</v>
      </c>
      <c r="E246" s="57">
        <v>42395</v>
      </c>
      <c r="F246" s="56" t="s">
        <v>40</v>
      </c>
      <c r="G246" s="45">
        <f>H246+(I246*0.06)</f>
        <v>454.99999999999994</v>
      </c>
      <c r="H246" s="58">
        <f>500.5/1.1</f>
        <v>454.99999999999994</v>
      </c>
      <c r="I246" s="58"/>
      <c r="J246" s="47"/>
    </row>
    <row r="247" spans="1:10" s="48" customFormat="1" x14ac:dyDescent="0.25">
      <c r="A247" s="49">
        <v>33592</v>
      </c>
      <c r="B247" s="53">
        <f t="shared" si="12"/>
        <v>1</v>
      </c>
      <c r="C247" s="50">
        <f t="shared" si="13"/>
        <v>2016</v>
      </c>
      <c r="D247" s="50">
        <f t="shared" si="14"/>
        <v>5</v>
      </c>
      <c r="E247" s="51">
        <v>42396</v>
      </c>
      <c r="F247" s="49" t="s">
        <v>3</v>
      </c>
      <c r="G247" s="45">
        <f>H247+(I247*0.06)</f>
        <v>4270</v>
      </c>
      <c r="H247" s="45">
        <v>4270</v>
      </c>
      <c r="I247" s="45"/>
      <c r="J247" s="47"/>
    </row>
    <row r="248" spans="1:10" s="48" customFormat="1" x14ac:dyDescent="0.25">
      <c r="A248" s="49">
        <v>33593</v>
      </c>
      <c r="B248" s="53">
        <f t="shared" si="12"/>
        <v>1</v>
      </c>
      <c r="C248" s="50">
        <f t="shared" si="13"/>
        <v>2016</v>
      </c>
      <c r="D248" s="50">
        <f t="shared" si="14"/>
        <v>5</v>
      </c>
      <c r="E248" s="51">
        <v>42396</v>
      </c>
      <c r="F248" s="49" t="s">
        <v>3</v>
      </c>
      <c r="G248" s="45">
        <f>H248+(I248*0.06)</f>
        <v>150.5</v>
      </c>
      <c r="H248" s="45">
        <v>150.5</v>
      </c>
      <c r="I248" s="45"/>
      <c r="J248" s="47"/>
    </row>
    <row r="249" spans="1:10" s="48" customFormat="1" x14ac:dyDescent="0.25">
      <c r="A249" s="49">
        <v>33594</v>
      </c>
      <c r="B249" s="53">
        <f t="shared" si="12"/>
        <v>1</v>
      </c>
      <c r="C249" s="50">
        <f t="shared" si="13"/>
        <v>2016</v>
      </c>
      <c r="D249" s="50">
        <f t="shared" si="14"/>
        <v>5</v>
      </c>
      <c r="E249" s="51">
        <v>42396</v>
      </c>
      <c r="F249" s="49" t="s">
        <v>3</v>
      </c>
      <c r="G249" s="45">
        <f>H249+(I249*0.06)</f>
        <v>2604</v>
      </c>
      <c r="H249" s="45">
        <v>2604</v>
      </c>
      <c r="I249" s="45"/>
      <c r="J249" s="47"/>
    </row>
    <row r="250" spans="1:10" s="48" customFormat="1" x14ac:dyDescent="0.25">
      <c r="A250" s="56">
        <v>33595</v>
      </c>
      <c r="B250" s="59">
        <f t="shared" si="12"/>
        <v>1</v>
      </c>
      <c r="C250" s="60">
        <f t="shared" si="13"/>
        <v>2016</v>
      </c>
      <c r="D250" s="60">
        <f t="shared" si="14"/>
        <v>5</v>
      </c>
      <c r="E250" s="57">
        <v>42396</v>
      </c>
      <c r="F250" s="56" t="s">
        <v>0</v>
      </c>
      <c r="G250" s="45">
        <f>H250+(I250*0.06)</f>
        <v>773</v>
      </c>
      <c r="H250" s="58">
        <v>773</v>
      </c>
      <c r="I250" s="58"/>
      <c r="J250" s="47"/>
    </row>
    <row r="251" spans="1:10" s="48" customFormat="1" x14ac:dyDescent="0.25">
      <c r="A251" s="66">
        <v>33596</v>
      </c>
      <c r="B251" s="67">
        <f t="shared" si="12"/>
        <v>1</v>
      </c>
      <c r="C251" s="68">
        <f t="shared" si="13"/>
        <v>2016</v>
      </c>
      <c r="D251" s="68">
        <f t="shared" si="14"/>
        <v>5</v>
      </c>
      <c r="E251" s="69">
        <v>42396</v>
      </c>
      <c r="F251" s="66" t="s">
        <v>0</v>
      </c>
      <c r="G251" s="45">
        <f>H251+(I251*0.06)</f>
        <v>0</v>
      </c>
      <c r="H251" s="70">
        <v>0</v>
      </c>
      <c r="I251" s="70"/>
      <c r="J251" s="47"/>
    </row>
    <row r="252" spans="1:10" s="48" customFormat="1" x14ac:dyDescent="0.25">
      <c r="A252" s="49">
        <v>33597</v>
      </c>
      <c r="B252" s="53">
        <f t="shared" si="12"/>
        <v>1</v>
      </c>
      <c r="C252" s="50">
        <f t="shared" si="13"/>
        <v>2016</v>
      </c>
      <c r="D252" s="50">
        <f t="shared" si="14"/>
        <v>5</v>
      </c>
      <c r="E252" s="51">
        <v>42396</v>
      </c>
      <c r="F252" s="49" t="s">
        <v>40</v>
      </c>
      <c r="G252" s="45">
        <f>H252+(I252*0.06)</f>
        <v>1634.9999999999998</v>
      </c>
      <c r="H252" s="45">
        <f>1798.5/1.1</f>
        <v>1634.9999999999998</v>
      </c>
      <c r="I252" s="45"/>
      <c r="J252" s="47"/>
    </row>
    <row r="253" spans="1:10" s="48" customFormat="1" x14ac:dyDescent="0.25">
      <c r="A253" s="49">
        <v>33598</v>
      </c>
      <c r="B253" s="53">
        <f t="shared" si="12"/>
        <v>1</v>
      </c>
      <c r="C253" s="50">
        <f t="shared" si="13"/>
        <v>2016</v>
      </c>
      <c r="D253" s="50">
        <f t="shared" si="14"/>
        <v>5</v>
      </c>
      <c r="E253" s="51">
        <v>42396</v>
      </c>
      <c r="F253" s="49" t="s">
        <v>40</v>
      </c>
      <c r="G253" s="45">
        <f>H253+(I253*0.06)</f>
        <v>2310.9999999999995</v>
      </c>
      <c r="H253" s="45">
        <f>2542.1/1.1</f>
        <v>2310.9999999999995</v>
      </c>
      <c r="I253" s="45"/>
      <c r="J253" s="47"/>
    </row>
    <row r="254" spans="1:10" s="48" customFormat="1" x14ac:dyDescent="0.25">
      <c r="A254" s="49">
        <v>33599</v>
      </c>
      <c r="B254" s="53">
        <f t="shared" si="12"/>
        <v>1</v>
      </c>
      <c r="C254" s="50">
        <f t="shared" si="13"/>
        <v>2016</v>
      </c>
      <c r="D254" s="50">
        <f t="shared" si="14"/>
        <v>5</v>
      </c>
      <c r="E254" s="51">
        <v>42396</v>
      </c>
      <c r="F254" s="49" t="s">
        <v>3</v>
      </c>
      <c r="G254" s="45">
        <f>H254+(I254*0.06)</f>
        <v>85</v>
      </c>
      <c r="H254" s="45">
        <v>85</v>
      </c>
      <c r="I254" s="45"/>
      <c r="J254" s="47"/>
    </row>
    <row r="255" spans="1:10" s="48" customFormat="1" x14ac:dyDescent="0.25">
      <c r="A255" s="56">
        <v>33600</v>
      </c>
      <c r="B255" s="59">
        <f t="shared" si="12"/>
        <v>1</v>
      </c>
      <c r="C255" s="60">
        <f t="shared" si="13"/>
        <v>2016</v>
      </c>
      <c r="D255" s="60">
        <f t="shared" si="14"/>
        <v>5</v>
      </c>
      <c r="E255" s="57">
        <v>42396</v>
      </c>
      <c r="F255" s="56" t="s">
        <v>26</v>
      </c>
      <c r="G255" s="45">
        <f>H255+(I255*0.06)</f>
        <v>104.99</v>
      </c>
      <c r="H255" s="58">
        <v>104.99</v>
      </c>
      <c r="I255" s="58"/>
      <c r="J255" s="47"/>
    </row>
    <row r="256" spans="1:10" s="48" customFormat="1" x14ac:dyDescent="0.25">
      <c r="A256" s="49">
        <v>33601</v>
      </c>
      <c r="B256" s="53">
        <f t="shared" si="12"/>
        <v>1</v>
      </c>
      <c r="C256" s="50">
        <f t="shared" si="13"/>
        <v>2016</v>
      </c>
      <c r="D256" s="50">
        <f t="shared" si="14"/>
        <v>5</v>
      </c>
      <c r="E256" s="51">
        <v>42396</v>
      </c>
      <c r="F256" s="49" t="s">
        <v>19</v>
      </c>
      <c r="G256" s="45">
        <f>H256+(I256*0.06)</f>
        <v>1350</v>
      </c>
      <c r="H256" s="45">
        <v>1350</v>
      </c>
      <c r="I256" s="45"/>
      <c r="J256" s="47"/>
    </row>
    <row r="257" spans="1:10" s="48" customFormat="1" x14ac:dyDescent="0.25">
      <c r="A257" s="56">
        <v>33602</v>
      </c>
      <c r="B257" s="53">
        <f t="shared" si="12"/>
        <v>1</v>
      </c>
      <c r="C257" s="50">
        <f t="shared" si="13"/>
        <v>2016</v>
      </c>
      <c r="D257" s="50">
        <f t="shared" si="14"/>
        <v>5</v>
      </c>
      <c r="E257" s="57">
        <v>42396</v>
      </c>
      <c r="F257" s="56" t="s">
        <v>19</v>
      </c>
      <c r="G257" s="45">
        <f>H257+(I257*0.06)</f>
        <v>225</v>
      </c>
      <c r="H257" s="58">
        <v>225</v>
      </c>
      <c r="I257" s="58"/>
      <c r="J257" s="47"/>
    </row>
    <row r="258" spans="1:10" s="48" customFormat="1" x14ac:dyDescent="0.25">
      <c r="A258" s="56">
        <v>33603</v>
      </c>
      <c r="B258" s="53">
        <f t="shared" si="12"/>
        <v>1</v>
      </c>
      <c r="C258" s="50">
        <f t="shared" si="13"/>
        <v>2016</v>
      </c>
      <c r="D258" s="50">
        <f t="shared" si="14"/>
        <v>5</v>
      </c>
      <c r="E258" s="57">
        <v>42396</v>
      </c>
      <c r="F258" s="56" t="s">
        <v>19</v>
      </c>
      <c r="G258" s="45">
        <f>H258+(I258*0.06)</f>
        <v>42</v>
      </c>
      <c r="H258" s="58">
        <v>42</v>
      </c>
      <c r="I258" s="58"/>
      <c r="J258" s="47"/>
    </row>
    <row r="259" spans="1:10" s="48" customFormat="1" x14ac:dyDescent="0.25">
      <c r="A259" s="49">
        <v>33604</v>
      </c>
      <c r="B259" s="53">
        <f t="shared" si="12"/>
        <v>1</v>
      </c>
      <c r="C259" s="50">
        <f t="shared" si="13"/>
        <v>2016</v>
      </c>
      <c r="D259" s="50">
        <f t="shared" si="14"/>
        <v>5</v>
      </c>
      <c r="E259" s="51">
        <v>42396</v>
      </c>
      <c r="F259" s="49" t="s">
        <v>19</v>
      </c>
      <c r="G259" s="45">
        <f>H259+(I259*0.06)</f>
        <v>78</v>
      </c>
      <c r="H259" s="45">
        <v>78</v>
      </c>
      <c r="I259" s="45"/>
      <c r="J259" s="47"/>
    </row>
    <row r="260" spans="1:10" s="48" customFormat="1" x14ac:dyDescent="0.25">
      <c r="A260" s="56">
        <v>33605</v>
      </c>
      <c r="B260" s="53">
        <f t="shared" si="12"/>
        <v>1</v>
      </c>
      <c r="C260" s="50">
        <f t="shared" si="13"/>
        <v>2016</v>
      </c>
      <c r="D260" s="50">
        <f t="shared" si="14"/>
        <v>5</v>
      </c>
      <c r="E260" s="57">
        <v>42396</v>
      </c>
      <c r="F260" s="56" t="s">
        <v>19</v>
      </c>
      <c r="G260" s="45">
        <f>H260+(I260*0.06)</f>
        <v>84</v>
      </c>
      <c r="H260" s="58">
        <v>84</v>
      </c>
      <c r="I260" s="58"/>
      <c r="J260" s="47"/>
    </row>
    <row r="261" spans="1:10" s="48" customFormat="1" x14ac:dyDescent="0.25">
      <c r="A261" s="49">
        <v>33606</v>
      </c>
      <c r="B261" s="53">
        <f t="shared" si="12"/>
        <v>1</v>
      </c>
      <c r="C261" s="50">
        <f t="shared" si="13"/>
        <v>2016</v>
      </c>
      <c r="D261" s="50">
        <f t="shared" si="14"/>
        <v>5</v>
      </c>
      <c r="E261" s="51">
        <v>42396</v>
      </c>
      <c r="F261" s="49" t="s">
        <v>19</v>
      </c>
      <c r="G261" s="45">
        <f>H261+(I261*0.06)</f>
        <v>120</v>
      </c>
      <c r="H261" s="45">
        <v>120</v>
      </c>
      <c r="I261" s="45"/>
      <c r="J261" s="47"/>
    </row>
    <row r="262" spans="1:10" s="48" customFormat="1" x14ac:dyDescent="0.25">
      <c r="A262" s="49">
        <v>33607</v>
      </c>
      <c r="B262" s="53">
        <f t="shared" si="12"/>
        <v>1</v>
      </c>
      <c r="C262" s="50">
        <f t="shared" si="13"/>
        <v>2016</v>
      </c>
      <c r="D262" s="50">
        <f t="shared" si="14"/>
        <v>5</v>
      </c>
      <c r="E262" s="51">
        <v>42396</v>
      </c>
      <c r="F262" s="49" t="s">
        <v>19</v>
      </c>
      <c r="G262" s="45">
        <f>H262+(I262*0.06)</f>
        <v>185</v>
      </c>
      <c r="H262" s="45">
        <v>185</v>
      </c>
      <c r="I262" s="45"/>
      <c r="J262" s="47"/>
    </row>
    <row r="263" spans="1:10" s="48" customFormat="1" x14ac:dyDescent="0.25">
      <c r="A263" s="56">
        <v>33608</v>
      </c>
      <c r="B263" s="53">
        <f t="shared" si="12"/>
        <v>1</v>
      </c>
      <c r="C263" s="50">
        <f t="shared" si="13"/>
        <v>2016</v>
      </c>
      <c r="D263" s="50">
        <f t="shared" si="14"/>
        <v>5</v>
      </c>
      <c r="E263" s="57">
        <v>42396</v>
      </c>
      <c r="F263" s="56" t="s">
        <v>19</v>
      </c>
      <c r="G263" s="45">
        <f>H263+(I263*0.06)</f>
        <v>65</v>
      </c>
      <c r="H263" s="58">
        <v>65</v>
      </c>
      <c r="I263" s="58"/>
      <c r="J263" s="47"/>
    </row>
    <row r="264" spans="1:10" s="48" customFormat="1" x14ac:dyDescent="0.25">
      <c r="A264" s="49">
        <v>33609</v>
      </c>
      <c r="B264" s="53">
        <f t="shared" si="12"/>
        <v>1</v>
      </c>
      <c r="C264" s="50">
        <f t="shared" si="13"/>
        <v>2016</v>
      </c>
      <c r="D264" s="50">
        <f t="shared" si="14"/>
        <v>5</v>
      </c>
      <c r="E264" s="51">
        <v>42396</v>
      </c>
      <c r="F264" s="49" t="s">
        <v>19</v>
      </c>
      <c r="G264" s="45">
        <f>H264+(I264*0.06)</f>
        <v>100</v>
      </c>
      <c r="H264" s="45">
        <v>100</v>
      </c>
      <c r="I264" s="45"/>
      <c r="J264" s="47"/>
    </row>
    <row r="265" spans="1:10" s="48" customFormat="1" x14ac:dyDescent="0.25">
      <c r="A265" s="49">
        <v>33610</v>
      </c>
      <c r="B265" s="53">
        <f t="shared" si="12"/>
        <v>1</v>
      </c>
      <c r="C265" s="50">
        <f t="shared" si="13"/>
        <v>2016</v>
      </c>
      <c r="D265" s="50">
        <f t="shared" si="14"/>
        <v>5</v>
      </c>
      <c r="E265" s="51">
        <v>42396</v>
      </c>
      <c r="F265" s="49" t="s">
        <v>19</v>
      </c>
      <c r="G265" s="45">
        <f>H265+(I265*0.06)</f>
        <v>450</v>
      </c>
      <c r="H265" s="45">
        <v>450</v>
      </c>
      <c r="I265" s="45"/>
      <c r="J265" s="47"/>
    </row>
    <row r="266" spans="1:10" s="48" customFormat="1" x14ac:dyDescent="0.25">
      <c r="A266" s="49">
        <v>33611</v>
      </c>
      <c r="B266" s="53">
        <f t="shared" si="12"/>
        <v>1</v>
      </c>
      <c r="C266" s="50">
        <f t="shared" si="13"/>
        <v>2016</v>
      </c>
      <c r="D266" s="50">
        <f t="shared" si="14"/>
        <v>5</v>
      </c>
      <c r="E266" s="51">
        <v>42396</v>
      </c>
      <c r="F266" s="49" t="s">
        <v>19</v>
      </c>
      <c r="G266" s="45">
        <f>H266+(I266*0.06)</f>
        <v>1175</v>
      </c>
      <c r="H266" s="45">
        <v>1175</v>
      </c>
      <c r="I266" s="45"/>
      <c r="J266" s="47"/>
    </row>
    <row r="267" spans="1:10" s="48" customFormat="1" x14ac:dyDescent="0.25">
      <c r="A267" s="49">
        <v>33612</v>
      </c>
      <c r="B267" s="53">
        <f t="shared" si="12"/>
        <v>1</v>
      </c>
      <c r="C267" s="50">
        <f t="shared" si="13"/>
        <v>2016</v>
      </c>
      <c r="D267" s="50">
        <f t="shared" si="14"/>
        <v>5</v>
      </c>
      <c r="E267" s="51">
        <v>42396</v>
      </c>
      <c r="F267" s="49" t="s">
        <v>19</v>
      </c>
      <c r="G267" s="45">
        <f>H267+(I267*0.06)</f>
        <v>55</v>
      </c>
      <c r="H267" s="45">
        <v>55</v>
      </c>
      <c r="I267" s="45"/>
      <c r="J267" s="47"/>
    </row>
    <row r="268" spans="1:10" s="48" customFormat="1" x14ac:dyDescent="0.25">
      <c r="A268" s="49">
        <v>33613</v>
      </c>
      <c r="B268" s="53">
        <f t="shared" si="12"/>
        <v>1</v>
      </c>
      <c r="C268" s="50">
        <f t="shared" si="13"/>
        <v>2016</v>
      </c>
      <c r="D268" s="50">
        <f t="shared" si="14"/>
        <v>5</v>
      </c>
      <c r="E268" s="51">
        <v>42396</v>
      </c>
      <c r="F268" s="49" t="s">
        <v>19</v>
      </c>
      <c r="G268" s="45">
        <f>H268+(I268*0.06)</f>
        <v>19</v>
      </c>
      <c r="H268" s="45">
        <v>19</v>
      </c>
      <c r="I268" s="45"/>
      <c r="J268" s="47"/>
    </row>
    <row r="269" spans="1:10" s="48" customFormat="1" x14ac:dyDescent="0.25">
      <c r="A269" s="49">
        <v>33614</v>
      </c>
      <c r="B269" s="53">
        <f t="shared" si="12"/>
        <v>1</v>
      </c>
      <c r="C269" s="50">
        <f t="shared" si="13"/>
        <v>2016</v>
      </c>
      <c r="D269" s="50">
        <f t="shared" si="14"/>
        <v>5</v>
      </c>
      <c r="E269" s="51">
        <v>42397</v>
      </c>
      <c r="F269" s="49" t="s">
        <v>3</v>
      </c>
      <c r="G269" s="45">
        <f>H269+(I269*0.06)</f>
        <v>3146</v>
      </c>
      <c r="H269" s="45">
        <v>3146</v>
      </c>
      <c r="I269" s="45"/>
      <c r="J269" s="47"/>
    </row>
    <row r="270" spans="1:10" s="48" customFormat="1" x14ac:dyDescent="0.25">
      <c r="A270" s="49">
        <v>33615</v>
      </c>
      <c r="B270" s="53">
        <f t="shared" si="12"/>
        <v>1</v>
      </c>
      <c r="C270" s="50">
        <f t="shared" si="13"/>
        <v>2016</v>
      </c>
      <c r="D270" s="50">
        <f t="shared" si="14"/>
        <v>5</v>
      </c>
      <c r="E270" s="51">
        <v>42397</v>
      </c>
      <c r="F270" s="49" t="s">
        <v>3</v>
      </c>
      <c r="G270" s="45">
        <f>H270+(I270*0.06)</f>
        <v>3292</v>
      </c>
      <c r="H270" s="45">
        <v>3292</v>
      </c>
      <c r="I270" s="45"/>
      <c r="J270" s="47"/>
    </row>
    <row r="271" spans="1:10" s="48" customFormat="1" x14ac:dyDescent="0.25">
      <c r="A271" s="49">
        <v>33616</v>
      </c>
      <c r="B271" s="53">
        <f t="shared" si="12"/>
        <v>1</v>
      </c>
      <c r="C271" s="50">
        <f t="shared" si="13"/>
        <v>2016</v>
      </c>
      <c r="D271" s="50">
        <f t="shared" si="14"/>
        <v>5</v>
      </c>
      <c r="E271" s="51">
        <v>42397</v>
      </c>
      <c r="F271" s="49" t="s">
        <v>3</v>
      </c>
      <c r="G271" s="45">
        <f>H271+(I271*0.06)</f>
        <v>1713</v>
      </c>
      <c r="H271" s="45">
        <v>1713</v>
      </c>
      <c r="I271" s="45"/>
      <c r="J271" s="47"/>
    </row>
    <row r="272" spans="1:10" s="48" customFormat="1" x14ac:dyDescent="0.25">
      <c r="A272" s="49">
        <v>33617</v>
      </c>
      <c r="B272" s="53">
        <f t="shared" si="12"/>
        <v>1</v>
      </c>
      <c r="C272" s="50">
        <f t="shared" si="13"/>
        <v>2016</v>
      </c>
      <c r="D272" s="50">
        <f t="shared" si="14"/>
        <v>5</v>
      </c>
      <c r="E272" s="51">
        <v>42397</v>
      </c>
      <c r="F272" s="49" t="s">
        <v>3</v>
      </c>
      <c r="G272" s="45">
        <f>H272+(I272*0.06)</f>
        <v>2011</v>
      </c>
      <c r="H272" s="45">
        <v>2011</v>
      </c>
      <c r="I272" s="45"/>
      <c r="J272" s="47"/>
    </row>
    <row r="273" spans="1:10" s="48" customFormat="1" x14ac:dyDescent="0.25">
      <c r="A273" s="49">
        <v>33618</v>
      </c>
      <c r="B273" s="53">
        <f t="shared" si="12"/>
        <v>1</v>
      </c>
      <c r="C273" s="50">
        <f t="shared" si="13"/>
        <v>2016</v>
      </c>
      <c r="D273" s="50">
        <f t="shared" si="14"/>
        <v>5</v>
      </c>
      <c r="E273" s="51">
        <v>42397</v>
      </c>
      <c r="F273" s="49" t="s">
        <v>26</v>
      </c>
      <c r="G273" s="45">
        <f>H273+(I273*0.06)</f>
        <v>0</v>
      </c>
      <c r="H273" s="45"/>
      <c r="I273" s="45"/>
      <c r="J273" s="47"/>
    </row>
    <row r="274" spans="1:10" s="48" customFormat="1" x14ac:dyDescent="0.25">
      <c r="A274" s="49">
        <v>33619</v>
      </c>
      <c r="B274" s="53">
        <f t="shared" si="12"/>
        <v>1</v>
      </c>
      <c r="C274" s="50">
        <f t="shared" si="13"/>
        <v>2016</v>
      </c>
      <c r="D274" s="50">
        <f t="shared" si="14"/>
        <v>5</v>
      </c>
      <c r="E274" s="51">
        <v>42397</v>
      </c>
      <c r="F274" s="49" t="s">
        <v>0</v>
      </c>
      <c r="G274" s="45">
        <f>H274+(I274*0.06)</f>
        <v>399</v>
      </c>
      <c r="H274" s="45">
        <v>399</v>
      </c>
      <c r="I274" s="45"/>
      <c r="J274" s="47"/>
    </row>
    <row r="275" spans="1:10" s="48" customFormat="1" x14ac:dyDescent="0.25">
      <c r="A275" s="49">
        <v>33620</v>
      </c>
      <c r="B275" s="53">
        <f t="shared" si="12"/>
        <v>1</v>
      </c>
      <c r="C275" s="50">
        <f t="shared" si="13"/>
        <v>2016</v>
      </c>
      <c r="D275" s="50">
        <f t="shared" si="14"/>
        <v>5</v>
      </c>
      <c r="E275" s="51">
        <v>42397</v>
      </c>
      <c r="F275" s="49" t="s">
        <v>0</v>
      </c>
      <c r="G275" s="45">
        <f>H275+(I275*0.06)</f>
        <v>6700</v>
      </c>
      <c r="H275" s="45">
        <v>6700</v>
      </c>
      <c r="I275" s="45"/>
      <c r="J275" s="47"/>
    </row>
    <row r="276" spans="1:10" s="48" customFormat="1" x14ac:dyDescent="0.25">
      <c r="A276" s="49">
        <v>33621</v>
      </c>
      <c r="B276" s="53">
        <f t="shared" si="12"/>
        <v>1</v>
      </c>
      <c r="C276" s="50">
        <f t="shared" si="13"/>
        <v>2016</v>
      </c>
      <c r="D276" s="50">
        <f t="shared" si="14"/>
        <v>5</v>
      </c>
      <c r="E276" s="51">
        <v>42397</v>
      </c>
      <c r="F276" s="49" t="s">
        <v>0</v>
      </c>
      <c r="G276" s="45">
        <f>H276+(I276*0.06)</f>
        <v>0</v>
      </c>
      <c r="H276" s="45"/>
      <c r="I276" s="45"/>
      <c r="J276" s="47"/>
    </row>
    <row r="277" spans="1:10" s="48" customFormat="1" x14ac:dyDescent="0.25">
      <c r="A277" s="49">
        <v>33622</v>
      </c>
      <c r="B277" s="53">
        <f t="shared" si="12"/>
        <v>1</v>
      </c>
      <c r="C277" s="50">
        <f t="shared" si="13"/>
        <v>2016</v>
      </c>
      <c r="D277" s="50">
        <f t="shared" si="14"/>
        <v>5</v>
      </c>
      <c r="E277" s="51">
        <v>42397</v>
      </c>
      <c r="F277" s="49" t="s">
        <v>10</v>
      </c>
      <c r="G277" s="45">
        <f>H277+(I277*0.06)</f>
        <v>0</v>
      </c>
      <c r="H277" s="45"/>
      <c r="I277" s="45"/>
      <c r="J277" s="47"/>
    </row>
    <row r="278" spans="1:10" s="48" customFormat="1" x14ac:dyDescent="0.25">
      <c r="A278" s="56">
        <v>33623</v>
      </c>
      <c r="B278" s="59">
        <f t="shared" si="12"/>
        <v>1</v>
      </c>
      <c r="C278" s="60">
        <f t="shared" si="13"/>
        <v>2016</v>
      </c>
      <c r="D278" s="60">
        <f t="shared" si="14"/>
        <v>5</v>
      </c>
      <c r="E278" s="57">
        <v>42397</v>
      </c>
      <c r="F278" s="56" t="s">
        <v>0</v>
      </c>
      <c r="G278" s="45">
        <f>H278+(I278*0.06)</f>
        <v>742</v>
      </c>
      <c r="H278" s="58">
        <v>742</v>
      </c>
      <c r="I278" s="58"/>
      <c r="J278" s="47"/>
    </row>
    <row r="279" spans="1:10" s="48" customFormat="1" x14ac:dyDescent="0.25">
      <c r="A279" s="49">
        <v>33624</v>
      </c>
      <c r="B279" s="53">
        <f t="shared" si="12"/>
        <v>1</v>
      </c>
      <c r="C279" s="50">
        <f t="shared" si="13"/>
        <v>2016</v>
      </c>
      <c r="D279" s="50">
        <f t="shared" si="14"/>
        <v>5</v>
      </c>
      <c r="E279" s="51">
        <v>42397</v>
      </c>
      <c r="F279" s="49" t="s">
        <v>3</v>
      </c>
      <c r="G279" s="45">
        <f>H279+(I279*0.06)</f>
        <v>931.25</v>
      </c>
      <c r="H279" s="45">
        <v>931.25</v>
      </c>
      <c r="I279" s="45"/>
      <c r="J279" s="47"/>
    </row>
    <row r="280" spans="1:10" s="48" customFormat="1" x14ac:dyDescent="0.25">
      <c r="A280" s="49">
        <v>33625</v>
      </c>
      <c r="B280" s="53">
        <f t="shared" si="12"/>
        <v>1</v>
      </c>
      <c r="C280" s="50">
        <f t="shared" si="13"/>
        <v>2016</v>
      </c>
      <c r="D280" s="50">
        <f t="shared" si="14"/>
        <v>5</v>
      </c>
      <c r="E280" s="51">
        <v>42398</v>
      </c>
      <c r="F280" s="49" t="s">
        <v>0</v>
      </c>
      <c r="G280" s="45">
        <f>H280+(I280*0.06)</f>
        <v>1150</v>
      </c>
      <c r="H280" s="45">
        <v>1150</v>
      </c>
      <c r="I280" s="45"/>
      <c r="J280" s="47"/>
    </row>
    <row r="281" spans="1:10" s="48" customFormat="1" x14ac:dyDescent="0.25">
      <c r="A281" s="49">
        <v>33626</v>
      </c>
      <c r="B281" s="53">
        <f t="shared" ref="B281:B325" si="15">IF(E281="","",MONTH(E281))</f>
        <v>1</v>
      </c>
      <c r="C281" s="50">
        <f t="shared" ref="C281:C325" si="16">IF(E281="","",YEAR(E281))</f>
        <v>2016</v>
      </c>
      <c r="D281" s="50">
        <f t="shared" ref="D281:D325" si="17">IF(E281="","",WEEKNUM(E281,2))</f>
        <v>5</v>
      </c>
      <c r="E281" s="51">
        <v>42398</v>
      </c>
      <c r="F281" s="49" t="s">
        <v>3</v>
      </c>
      <c r="G281" s="45">
        <f>H281+(I281*0.06)</f>
        <v>217</v>
      </c>
      <c r="H281" s="45">
        <v>217</v>
      </c>
      <c r="I281" s="45"/>
      <c r="J281" s="47"/>
    </row>
    <row r="282" spans="1:10" s="48" customFormat="1" x14ac:dyDescent="0.25">
      <c r="A282" s="56">
        <v>33627</v>
      </c>
      <c r="B282" s="59">
        <f t="shared" si="15"/>
        <v>1</v>
      </c>
      <c r="C282" s="60">
        <f t="shared" si="16"/>
        <v>2016</v>
      </c>
      <c r="D282" s="60">
        <f t="shared" si="17"/>
        <v>5</v>
      </c>
      <c r="E282" s="57">
        <v>42398</v>
      </c>
      <c r="F282" s="56" t="s">
        <v>19</v>
      </c>
      <c r="G282" s="45">
        <f>H282+(I282*0.06)</f>
        <v>134</v>
      </c>
      <c r="H282" s="58">
        <v>134</v>
      </c>
      <c r="I282" s="58"/>
      <c r="J282" s="47"/>
    </row>
    <row r="283" spans="1:10" s="48" customFormat="1" x14ac:dyDescent="0.25">
      <c r="A283" s="49">
        <v>33628</v>
      </c>
      <c r="B283" s="53">
        <f t="shared" si="15"/>
        <v>1</v>
      </c>
      <c r="C283" s="50">
        <f t="shared" si="16"/>
        <v>2016</v>
      </c>
      <c r="D283" s="50">
        <f t="shared" si="17"/>
        <v>5</v>
      </c>
      <c r="E283" s="51">
        <v>42398</v>
      </c>
      <c r="F283" s="49" t="s">
        <v>19</v>
      </c>
      <c r="G283" s="45">
        <f>H283+(I283*0.06)</f>
        <v>115</v>
      </c>
      <c r="H283" s="45">
        <v>115</v>
      </c>
      <c r="I283" s="45"/>
      <c r="J283" s="47"/>
    </row>
    <row r="284" spans="1:10" s="48" customFormat="1" x14ac:dyDescent="0.25">
      <c r="A284" s="49">
        <v>33629</v>
      </c>
      <c r="B284" s="53">
        <f t="shared" si="15"/>
        <v>1</v>
      </c>
      <c r="C284" s="50">
        <f t="shared" si="16"/>
        <v>2016</v>
      </c>
      <c r="D284" s="50">
        <f t="shared" si="17"/>
        <v>5</v>
      </c>
      <c r="E284" s="51">
        <v>42398</v>
      </c>
      <c r="F284" s="49" t="s">
        <v>19</v>
      </c>
      <c r="G284" s="45">
        <f>H284+(I284*0.06)</f>
        <v>78</v>
      </c>
      <c r="H284" s="45">
        <v>78</v>
      </c>
      <c r="I284" s="45"/>
      <c r="J284" s="47"/>
    </row>
    <row r="285" spans="1:10" s="48" customFormat="1" x14ac:dyDescent="0.25">
      <c r="A285" s="49">
        <v>33630</v>
      </c>
      <c r="B285" s="53">
        <f t="shared" si="15"/>
        <v>1</v>
      </c>
      <c r="C285" s="50">
        <f t="shared" si="16"/>
        <v>2016</v>
      </c>
      <c r="D285" s="50">
        <f t="shared" si="17"/>
        <v>5</v>
      </c>
      <c r="E285" s="51">
        <v>42398</v>
      </c>
      <c r="F285" s="49" t="s">
        <v>19</v>
      </c>
      <c r="G285" s="45">
        <f>H285+(I285*0.06)</f>
        <v>55</v>
      </c>
      <c r="H285" s="45">
        <v>55</v>
      </c>
      <c r="I285" s="45"/>
      <c r="J285" s="47"/>
    </row>
    <row r="286" spans="1:10" s="48" customFormat="1" x14ac:dyDescent="0.25">
      <c r="A286" s="49">
        <v>33631</v>
      </c>
      <c r="B286" s="53">
        <f t="shared" si="15"/>
        <v>1</v>
      </c>
      <c r="C286" s="50">
        <f t="shared" si="16"/>
        <v>2016</v>
      </c>
      <c r="D286" s="50">
        <f t="shared" si="17"/>
        <v>5</v>
      </c>
      <c r="E286" s="51">
        <v>42398</v>
      </c>
      <c r="F286" s="49" t="s">
        <v>19</v>
      </c>
      <c r="G286" s="45">
        <f>H286+(I286*0.06)</f>
        <v>0</v>
      </c>
      <c r="H286" s="45"/>
      <c r="I286" s="45"/>
      <c r="J286" s="47"/>
    </row>
    <row r="287" spans="1:10" s="48" customFormat="1" x14ac:dyDescent="0.25">
      <c r="A287" s="49">
        <v>33632</v>
      </c>
      <c r="B287" s="53">
        <f t="shared" si="15"/>
        <v>1</v>
      </c>
      <c r="C287" s="50">
        <f t="shared" si="16"/>
        <v>2016</v>
      </c>
      <c r="D287" s="50">
        <f t="shared" si="17"/>
        <v>5</v>
      </c>
      <c r="E287" s="51">
        <v>42398</v>
      </c>
      <c r="F287" s="49" t="s">
        <v>19</v>
      </c>
      <c r="G287" s="45">
        <f>H287+(I287*0.06)</f>
        <v>225</v>
      </c>
      <c r="H287" s="45">
        <v>225</v>
      </c>
      <c r="I287" s="45"/>
      <c r="J287" s="47"/>
    </row>
    <row r="288" spans="1:10" s="48" customFormat="1" x14ac:dyDescent="0.25">
      <c r="A288" s="49">
        <v>33633</v>
      </c>
      <c r="B288" s="53">
        <f t="shared" si="15"/>
        <v>1</v>
      </c>
      <c r="C288" s="50">
        <f t="shared" si="16"/>
        <v>2016</v>
      </c>
      <c r="D288" s="50">
        <f t="shared" si="17"/>
        <v>5</v>
      </c>
      <c r="E288" s="51">
        <v>42398</v>
      </c>
      <c r="F288" s="49" t="s">
        <v>26</v>
      </c>
      <c r="G288" s="45">
        <f>H288+(I288*0.06)</f>
        <v>5810.59</v>
      </c>
      <c r="H288" s="45">
        <v>5810.59</v>
      </c>
      <c r="I288" s="45"/>
      <c r="J288" s="47"/>
    </row>
    <row r="289" spans="1:10" s="48" customFormat="1" x14ac:dyDescent="0.25">
      <c r="A289" s="49">
        <v>33634</v>
      </c>
      <c r="B289" s="53">
        <f t="shared" si="15"/>
        <v>1</v>
      </c>
      <c r="C289" s="50">
        <f t="shared" si="16"/>
        <v>2016</v>
      </c>
      <c r="D289" s="50">
        <f t="shared" si="17"/>
        <v>5</v>
      </c>
      <c r="E289" s="51">
        <v>42398</v>
      </c>
      <c r="F289" s="49" t="s">
        <v>26</v>
      </c>
      <c r="G289" s="45">
        <f>H289+(I289*0.06)</f>
        <v>0</v>
      </c>
      <c r="H289" s="45"/>
      <c r="I289" s="45"/>
      <c r="J289" s="47"/>
    </row>
    <row r="290" spans="1:10" s="48" customFormat="1" x14ac:dyDescent="0.25">
      <c r="A290" s="49">
        <v>33635</v>
      </c>
      <c r="B290" s="53">
        <f t="shared" si="15"/>
        <v>1</v>
      </c>
      <c r="C290" s="50">
        <f t="shared" si="16"/>
        <v>2016</v>
      </c>
      <c r="D290" s="50">
        <f t="shared" si="17"/>
        <v>5</v>
      </c>
      <c r="E290" s="51">
        <v>42398</v>
      </c>
      <c r="F290" s="49" t="s">
        <v>3</v>
      </c>
      <c r="G290" s="45">
        <f>H290+(I290*0.06)</f>
        <v>651.5</v>
      </c>
      <c r="H290" s="45">
        <v>651.5</v>
      </c>
      <c r="I290" s="45"/>
      <c r="J290" s="47"/>
    </row>
    <row r="291" spans="1:10" s="48" customFormat="1" x14ac:dyDescent="0.25">
      <c r="A291" s="49">
        <v>33636</v>
      </c>
      <c r="B291" s="53">
        <f t="shared" si="15"/>
        <v>1</v>
      </c>
      <c r="C291" s="50">
        <f t="shared" si="16"/>
        <v>2016</v>
      </c>
      <c r="D291" s="50">
        <f t="shared" si="17"/>
        <v>5</v>
      </c>
      <c r="E291" s="51">
        <v>42398</v>
      </c>
      <c r="F291" s="49" t="s">
        <v>3</v>
      </c>
      <c r="G291" s="45">
        <f>H291+(I291*0.06)</f>
        <v>201</v>
      </c>
      <c r="H291" s="45">
        <v>201</v>
      </c>
      <c r="I291" s="45"/>
      <c r="J291" s="47"/>
    </row>
    <row r="292" spans="1:10" s="48" customFormat="1" x14ac:dyDescent="0.25">
      <c r="A292" s="49">
        <v>33637</v>
      </c>
      <c r="B292" s="53">
        <f t="shared" si="15"/>
        <v>1</v>
      </c>
      <c r="C292" s="50">
        <f t="shared" si="16"/>
        <v>2016</v>
      </c>
      <c r="D292" s="50">
        <f t="shared" si="17"/>
        <v>5</v>
      </c>
      <c r="E292" s="51">
        <v>42398</v>
      </c>
      <c r="F292" s="49" t="s">
        <v>3</v>
      </c>
      <c r="G292" s="45">
        <f>H292+(I292*0.06)</f>
        <v>512</v>
      </c>
      <c r="H292" s="45">
        <v>512</v>
      </c>
      <c r="I292" s="45"/>
      <c r="J292" s="47"/>
    </row>
    <row r="293" spans="1:10" s="48" customFormat="1" x14ac:dyDescent="0.25">
      <c r="A293" s="49">
        <v>33638</v>
      </c>
      <c r="B293" s="53">
        <f t="shared" si="15"/>
        <v>1</v>
      </c>
      <c r="C293" s="50">
        <f t="shared" si="16"/>
        <v>2016</v>
      </c>
      <c r="D293" s="50">
        <f t="shared" si="17"/>
        <v>5</v>
      </c>
      <c r="E293" s="51">
        <v>42398</v>
      </c>
      <c r="F293" s="49" t="s">
        <v>3</v>
      </c>
      <c r="G293" s="45">
        <f>H293+(I293*0.06)</f>
        <v>250</v>
      </c>
      <c r="H293" s="45">
        <v>250</v>
      </c>
      <c r="I293" s="45"/>
      <c r="J293" s="47"/>
    </row>
    <row r="294" spans="1:10" s="48" customFormat="1" x14ac:dyDescent="0.25">
      <c r="A294" s="49">
        <v>33639</v>
      </c>
      <c r="B294" s="53">
        <f t="shared" si="15"/>
        <v>1</v>
      </c>
      <c r="C294" s="50">
        <f t="shared" si="16"/>
        <v>2016</v>
      </c>
      <c r="D294" s="50">
        <f t="shared" si="17"/>
        <v>5</v>
      </c>
      <c r="E294" s="51">
        <v>42398</v>
      </c>
      <c r="F294" s="49" t="s">
        <v>9</v>
      </c>
      <c r="G294" s="45">
        <f>H294+(I294*0.06)</f>
        <v>0</v>
      </c>
      <c r="H294" s="45"/>
      <c r="I294" s="45"/>
      <c r="J294" s="47"/>
    </row>
    <row r="295" spans="1:10" s="48" customFormat="1" x14ac:dyDescent="0.25">
      <c r="A295" s="56">
        <v>33640</v>
      </c>
      <c r="B295" s="59">
        <f t="shared" si="15"/>
        <v>2</v>
      </c>
      <c r="C295" s="60">
        <f t="shared" si="16"/>
        <v>2016</v>
      </c>
      <c r="D295" s="60">
        <f t="shared" si="17"/>
        <v>6</v>
      </c>
      <c r="E295" s="57">
        <v>42401</v>
      </c>
      <c r="F295" s="56" t="s">
        <v>2</v>
      </c>
      <c r="G295" s="45">
        <f>H295+(I295*0.06)</f>
        <v>1000</v>
      </c>
      <c r="H295" s="58">
        <v>1000</v>
      </c>
      <c r="I295" s="58"/>
      <c r="J295" s="47"/>
    </row>
    <row r="296" spans="1:10" s="48" customFormat="1" x14ac:dyDescent="0.25">
      <c r="A296" s="56">
        <v>33641</v>
      </c>
      <c r="B296" s="59">
        <f t="shared" si="15"/>
        <v>2</v>
      </c>
      <c r="C296" s="60">
        <f t="shared" si="16"/>
        <v>2016</v>
      </c>
      <c r="D296" s="60">
        <f t="shared" si="17"/>
        <v>6</v>
      </c>
      <c r="E296" s="57">
        <v>42401</v>
      </c>
      <c r="F296" s="56" t="s">
        <v>0</v>
      </c>
      <c r="G296" s="45">
        <f>H296+(I296*0.06)</f>
        <v>4585</v>
      </c>
      <c r="H296" s="58">
        <v>4585</v>
      </c>
      <c r="I296" s="58"/>
      <c r="J296" s="47"/>
    </row>
    <row r="297" spans="1:10" s="48" customFormat="1" x14ac:dyDescent="0.25">
      <c r="A297" s="49">
        <v>33642</v>
      </c>
      <c r="B297" s="53">
        <f t="shared" si="15"/>
        <v>2</v>
      </c>
      <c r="C297" s="50">
        <f t="shared" si="16"/>
        <v>2016</v>
      </c>
      <c r="D297" s="50">
        <f t="shared" si="17"/>
        <v>6</v>
      </c>
      <c r="E297" s="51">
        <v>42401</v>
      </c>
      <c r="F297" s="49" t="s">
        <v>3</v>
      </c>
      <c r="G297" s="45">
        <f>H297+(I297*0.06)</f>
        <v>335</v>
      </c>
      <c r="H297" s="45">
        <v>335</v>
      </c>
      <c r="I297" s="45"/>
      <c r="J297" s="47"/>
    </row>
    <row r="298" spans="1:10" s="48" customFormat="1" x14ac:dyDescent="0.25">
      <c r="A298" s="49">
        <v>33643</v>
      </c>
      <c r="B298" s="53">
        <f t="shared" si="15"/>
        <v>2</v>
      </c>
      <c r="C298" s="50">
        <f t="shared" si="16"/>
        <v>2016</v>
      </c>
      <c r="D298" s="50">
        <f t="shared" si="17"/>
        <v>6</v>
      </c>
      <c r="E298" s="51">
        <v>42401</v>
      </c>
      <c r="F298" s="49" t="s">
        <v>40</v>
      </c>
      <c r="G298" s="45">
        <f>H298+(I298*0.06)</f>
        <v>135</v>
      </c>
      <c r="H298" s="45">
        <f>148.5/1.1</f>
        <v>135</v>
      </c>
      <c r="I298" s="45"/>
      <c r="J298" s="47"/>
    </row>
    <row r="299" spans="1:10" s="48" customFormat="1" x14ac:dyDescent="0.25">
      <c r="A299" s="49">
        <v>33644</v>
      </c>
      <c r="B299" s="53">
        <f t="shared" si="15"/>
        <v>2</v>
      </c>
      <c r="C299" s="50">
        <f t="shared" si="16"/>
        <v>2016</v>
      </c>
      <c r="D299" s="50">
        <f t="shared" si="17"/>
        <v>6</v>
      </c>
      <c r="E299" s="51">
        <v>42401</v>
      </c>
      <c r="F299" s="49" t="s">
        <v>3</v>
      </c>
      <c r="G299" s="45">
        <f>H299+(I299*0.06)</f>
        <v>1062</v>
      </c>
      <c r="H299" s="45">
        <v>1062</v>
      </c>
      <c r="I299" s="45"/>
      <c r="J299" s="47"/>
    </row>
    <row r="300" spans="1:10" s="48" customFormat="1" x14ac:dyDescent="0.25">
      <c r="A300" s="49">
        <v>33645</v>
      </c>
      <c r="B300" s="53">
        <f t="shared" si="15"/>
        <v>2</v>
      </c>
      <c r="C300" s="50">
        <f t="shared" si="16"/>
        <v>2016</v>
      </c>
      <c r="D300" s="50">
        <f t="shared" si="17"/>
        <v>6</v>
      </c>
      <c r="E300" s="51">
        <v>42401</v>
      </c>
      <c r="F300" s="49" t="s">
        <v>0</v>
      </c>
      <c r="G300" s="45">
        <f>H300+(I300*0.06)</f>
        <v>7777.2</v>
      </c>
      <c r="H300" s="45">
        <v>7777.2</v>
      </c>
      <c r="I300" s="45"/>
      <c r="J300" s="47"/>
    </row>
    <row r="301" spans="1:10" s="48" customFormat="1" x14ac:dyDescent="0.25">
      <c r="A301" s="49">
        <v>33646</v>
      </c>
      <c r="B301" s="53">
        <f t="shared" si="15"/>
        <v>2</v>
      </c>
      <c r="C301" s="50">
        <f t="shared" si="16"/>
        <v>2016</v>
      </c>
      <c r="D301" s="50">
        <f t="shared" si="17"/>
        <v>6</v>
      </c>
      <c r="E301" s="51">
        <v>42401</v>
      </c>
      <c r="F301" s="49" t="s">
        <v>0</v>
      </c>
      <c r="G301" s="45">
        <f>H301+(I301*0.06)</f>
        <v>5019.6000000000004</v>
      </c>
      <c r="H301" s="45">
        <v>5019.6000000000004</v>
      </c>
      <c r="I301" s="45"/>
      <c r="J301" s="47"/>
    </row>
    <row r="302" spans="1:10" s="48" customFormat="1" x14ac:dyDescent="0.25">
      <c r="A302" s="49">
        <v>33647</v>
      </c>
      <c r="B302" s="53">
        <f t="shared" si="15"/>
        <v>2</v>
      </c>
      <c r="C302" s="50">
        <f t="shared" si="16"/>
        <v>2016</v>
      </c>
      <c r="D302" s="50">
        <f t="shared" si="17"/>
        <v>6</v>
      </c>
      <c r="E302" s="51">
        <v>42401</v>
      </c>
      <c r="F302" s="49" t="s">
        <v>0</v>
      </c>
      <c r="G302" s="45">
        <f>H302+(I302*0.06)</f>
        <v>4281.5</v>
      </c>
      <c r="H302" s="45">
        <v>4281.5</v>
      </c>
      <c r="I302" s="45"/>
      <c r="J302" s="47"/>
    </row>
    <row r="303" spans="1:10" s="48" customFormat="1" x14ac:dyDescent="0.25">
      <c r="A303" s="49">
        <v>33648</v>
      </c>
      <c r="B303" s="53">
        <f t="shared" si="15"/>
        <v>2</v>
      </c>
      <c r="C303" s="50">
        <f t="shared" si="16"/>
        <v>2016</v>
      </c>
      <c r="D303" s="50">
        <f t="shared" si="17"/>
        <v>6</v>
      </c>
      <c r="E303" s="51">
        <v>42402</v>
      </c>
      <c r="F303" s="49" t="s">
        <v>3</v>
      </c>
      <c r="G303" s="45">
        <f>H303+(I303*0.06)</f>
        <v>0</v>
      </c>
      <c r="H303" s="45"/>
      <c r="I303" s="45"/>
      <c r="J303" s="47"/>
    </row>
    <row r="304" spans="1:10" s="48" customFormat="1" x14ac:dyDescent="0.25">
      <c r="A304" s="49">
        <v>33649</v>
      </c>
      <c r="B304" s="53">
        <f t="shared" si="15"/>
        <v>2</v>
      </c>
      <c r="C304" s="50">
        <f t="shared" si="16"/>
        <v>2016</v>
      </c>
      <c r="D304" s="50">
        <f t="shared" si="17"/>
        <v>6</v>
      </c>
      <c r="E304" s="51">
        <v>42402</v>
      </c>
      <c r="F304" s="49" t="s">
        <v>3</v>
      </c>
      <c r="G304" s="45">
        <f>H304+(I304*0.06)</f>
        <v>883.36</v>
      </c>
      <c r="H304" s="45">
        <v>883.36</v>
      </c>
      <c r="I304" s="45"/>
      <c r="J304" s="47"/>
    </row>
    <row r="305" spans="1:10" s="48" customFormat="1" x14ac:dyDescent="0.25">
      <c r="A305" s="49">
        <v>33650</v>
      </c>
      <c r="B305" s="53">
        <f t="shared" si="15"/>
        <v>2</v>
      </c>
      <c r="C305" s="50">
        <f t="shared" si="16"/>
        <v>2016</v>
      </c>
      <c r="D305" s="50">
        <f t="shared" si="17"/>
        <v>6</v>
      </c>
      <c r="E305" s="51">
        <v>42402</v>
      </c>
      <c r="F305" s="49" t="s">
        <v>3</v>
      </c>
      <c r="G305" s="45">
        <f>H305+(I305*0.06)</f>
        <v>543</v>
      </c>
      <c r="H305" s="45">
        <v>543</v>
      </c>
      <c r="I305" s="45"/>
      <c r="J305" s="47"/>
    </row>
    <row r="306" spans="1:10" s="48" customFormat="1" x14ac:dyDescent="0.25">
      <c r="A306" s="49">
        <v>33651</v>
      </c>
      <c r="B306" s="53">
        <f t="shared" si="15"/>
        <v>2</v>
      </c>
      <c r="C306" s="50">
        <f t="shared" si="16"/>
        <v>2016</v>
      </c>
      <c r="D306" s="50">
        <f t="shared" si="17"/>
        <v>6</v>
      </c>
      <c r="E306" s="51">
        <v>42402</v>
      </c>
      <c r="F306" s="49" t="s">
        <v>3</v>
      </c>
      <c r="G306" s="45">
        <f>H306+(I306*0.06)</f>
        <v>1230</v>
      </c>
      <c r="H306" s="45">
        <v>1230</v>
      </c>
      <c r="I306" s="45"/>
      <c r="J306" s="47"/>
    </row>
    <row r="307" spans="1:10" s="48" customFormat="1" x14ac:dyDescent="0.25">
      <c r="A307" s="56">
        <v>33652</v>
      </c>
      <c r="B307" s="59">
        <f t="shared" si="15"/>
        <v>2</v>
      </c>
      <c r="C307" s="60">
        <f t="shared" si="16"/>
        <v>2016</v>
      </c>
      <c r="D307" s="60">
        <f t="shared" si="17"/>
        <v>6</v>
      </c>
      <c r="E307" s="57">
        <v>42402</v>
      </c>
      <c r="F307" s="56" t="s">
        <v>26</v>
      </c>
      <c r="G307" s="45">
        <f>H307+(I307*0.06)</f>
        <v>183.67</v>
      </c>
      <c r="H307" s="58">
        <v>183.67</v>
      </c>
      <c r="I307" s="58"/>
      <c r="J307" s="47"/>
    </row>
    <row r="308" spans="1:10" s="48" customFormat="1" x14ac:dyDescent="0.25">
      <c r="A308" s="49">
        <v>33653</v>
      </c>
      <c r="B308" s="53">
        <f t="shared" si="15"/>
        <v>2</v>
      </c>
      <c r="C308" s="50">
        <f t="shared" si="16"/>
        <v>2016</v>
      </c>
      <c r="D308" s="50">
        <f t="shared" si="17"/>
        <v>6</v>
      </c>
      <c r="E308" s="51">
        <v>42402</v>
      </c>
      <c r="F308" s="49" t="s">
        <v>0</v>
      </c>
      <c r="G308" s="45">
        <f>H308+(I308*0.06)</f>
        <v>1195</v>
      </c>
      <c r="H308" s="45">
        <v>1195</v>
      </c>
      <c r="I308" s="45"/>
      <c r="J308" s="47"/>
    </row>
    <row r="309" spans="1:10" s="48" customFormat="1" x14ac:dyDescent="0.25">
      <c r="A309" s="49">
        <v>33654</v>
      </c>
      <c r="B309" s="53">
        <f t="shared" si="15"/>
        <v>2</v>
      </c>
      <c r="C309" s="50">
        <f t="shared" si="16"/>
        <v>2016</v>
      </c>
      <c r="D309" s="50">
        <f t="shared" si="17"/>
        <v>6</v>
      </c>
      <c r="E309" s="51">
        <v>42402</v>
      </c>
      <c r="F309" s="49" t="s">
        <v>3</v>
      </c>
      <c r="G309" s="45">
        <f>H309+(I309*0.06)</f>
        <v>612</v>
      </c>
      <c r="H309" s="45">
        <v>612</v>
      </c>
      <c r="I309" s="45"/>
      <c r="J309" s="47"/>
    </row>
    <row r="310" spans="1:10" s="48" customFormat="1" x14ac:dyDescent="0.25">
      <c r="A310" s="49">
        <v>33655</v>
      </c>
      <c r="B310" s="53">
        <f t="shared" si="15"/>
        <v>2</v>
      </c>
      <c r="C310" s="50">
        <f t="shared" si="16"/>
        <v>2016</v>
      </c>
      <c r="D310" s="50">
        <f t="shared" si="17"/>
        <v>6</v>
      </c>
      <c r="E310" s="51">
        <v>42402</v>
      </c>
      <c r="F310" s="49" t="s">
        <v>3</v>
      </c>
      <c r="G310" s="45">
        <f>H310+(I310*0.06)</f>
        <v>612</v>
      </c>
      <c r="H310" s="45">
        <v>612</v>
      </c>
      <c r="I310" s="45"/>
      <c r="J310" s="47"/>
    </row>
    <row r="311" spans="1:10" s="48" customFormat="1" x14ac:dyDescent="0.25">
      <c r="A311" s="49">
        <v>33656</v>
      </c>
      <c r="B311" s="53">
        <f t="shared" si="15"/>
        <v>2</v>
      </c>
      <c r="C311" s="50">
        <f t="shared" si="16"/>
        <v>2016</v>
      </c>
      <c r="D311" s="50">
        <f t="shared" si="17"/>
        <v>6</v>
      </c>
      <c r="E311" s="51">
        <v>42402</v>
      </c>
      <c r="F311" s="49" t="s">
        <v>3</v>
      </c>
      <c r="G311" s="45">
        <f>H311+(I311*0.06)</f>
        <v>973</v>
      </c>
      <c r="H311" s="45">
        <v>973</v>
      </c>
      <c r="I311" s="45"/>
      <c r="J311" s="47"/>
    </row>
    <row r="312" spans="1:10" s="48" customFormat="1" x14ac:dyDescent="0.25">
      <c r="A312" s="49">
        <v>33657</v>
      </c>
      <c r="B312" s="53">
        <f t="shared" si="15"/>
        <v>2</v>
      </c>
      <c r="C312" s="50">
        <f t="shared" si="16"/>
        <v>2016</v>
      </c>
      <c r="D312" s="50">
        <f t="shared" si="17"/>
        <v>6</v>
      </c>
      <c r="E312" s="51">
        <v>42402</v>
      </c>
      <c r="F312" s="49" t="s">
        <v>40</v>
      </c>
      <c r="G312" s="45">
        <f>H312+(I312*0.06)</f>
        <v>3946.9999999999995</v>
      </c>
      <c r="H312" s="45">
        <f>4341.7/1.1</f>
        <v>3946.9999999999995</v>
      </c>
      <c r="I312" s="45"/>
      <c r="J312" s="47"/>
    </row>
    <row r="313" spans="1:10" s="48" customFormat="1" x14ac:dyDescent="0.25">
      <c r="A313" s="49">
        <v>33658</v>
      </c>
      <c r="B313" s="53">
        <f t="shared" si="15"/>
        <v>2</v>
      </c>
      <c r="C313" s="50">
        <f t="shared" si="16"/>
        <v>2016</v>
      </c>
      <c r="D313" s="50">
        <f t="shared" si="17"/>
        <v>6</v>
      </c>
      <c r="E313" s="51">
        <v>42402</v>
      </c>
      <c r="F313" s="49" t="s">
        <v>19</v>
      </c>
      <c r="G313" s="45">
        <f>H313+(I313*0.06)</f>
        <v>961</v>
      </c>
      <c r="H313" s="45">
        <v>961</v>
      </c>
      <c r="I313" s="45"/>
      <c r="J313" s="47"/>
    </row>
    <row r="314" spans="1:10" s="48" customFormat="1" x14ac:dyDescent="0.25">
      <c r="A314" s="49">
        <v>33659</v>
      </c>
      <c r="B314" s="53">
        <f t="shared" si="15"/>
        <v>2</v>
      </c>
      <c r="C314" s="50">
        <f t="shared" si="16"/>
        <v>2016</v>
      </c>
      <c r="D314" s="50">
        <f t="shared" si="17"/>
        <v>6</v>
      </c>
      <c r="E314" s="51">
        <v>42402</v>
      </c>
      <c r="F314" s="49" t="s">
        <v>19</v>
      </c>
      <c r="G314" s="45">
        <f>H314+(I314*0.06)</f>
        <v>4775</v>
      </c>
      <c r="H314" s="45">
        <v>4775</v>
      </c>
      <c r="I314" s="45"/>
      <c r="J314" s="47"/>
    </row>
    <row r="315" spans="1:10" s="48" customFormat="1" x14ac:dyDescent="0.25">
      <c r="A315" s="49">
        <v>33660</v>
      </c>
      <c r="B315" s="53">
        <f t="shared" si="15"/>
        <v>2</v>
      </c>
      <c r="C315" s="50">
        <f t="shared" si="16"/>
        <v>2016</v>
      </c>
      <c r="D315" s="50">
        <f t="shared" si="17"/>
        <v>6</v>
      </c>
      <c r="E315" s="51">
        <v>42402</v>
      </c>
      <c r="F315" s="49" t="s">
        <v>0</v>
      </c>
      <c r="G315" s="45">
        <f>H315+(I315*0.06)</f>
        <v>5844.5</v>
      </c>
      <c r="H315" s="45">
        <v>5844.5</v>
      </c>
      <c r="I315" s="45"/>
      <c r="J315" s="47"/>
    </row>
    <row r="316" spans="1:10" s="48" customFormat="1" x14ac:dyDescent="0.25">
      <c r="A316" s="49">
        <v>33661</v>
      </c>
      <c r="B316" s="53">
        <f t="shared" si="15"/>
        <v>2</v>
      </c>
      <c r="C316" s="50">
        <f t="shared" si="16"/>
        <v>2016</v>
      </c>
      <c r="D316" s="50">
        <f t="shared" si="17"/>
        <v>6</v>
      </c>
      <c r="E316" s="51">
        <v>42402</v>
      </c>
      <c r="F316" s="49" t="s">
        <v>0</v>
      </c>
      <c r="G316" s="45">
        <f>H316+(I316*0.06)</f>
        <v>234</v>
      </c>
      <c r="H316" s="45">
        <v>234</v>
      </c>
      <c r="I316" s="45"/>
      <c r="J316" s="47"/>
    </row>
    <row r="317" spans="1:10" s="48" customFormat="1" x14ac:dyDescent="0.25">
      <c r="A317" s="49">
        <v>33662</v>
      </c>
      <c r="B317" s="53">
        <f t="shared" si="15"/>
        <v>2</v>
      </c>
      <c r="C317" s="50">
        <f t="shared" si="16"/>
        <v>2016</v>
      </c>
      <c r="D317" s="50">
        <f t="shared" si="17"/>
        <v>6</v>
      </c>
      <c r="E317" s="51">
        <v>42402</v>
      </c>
      <c r="F317" s="49" t="s">
        <v>0</v>
      </c>
      <c r="G317" s="45">
        <f>H317+(I317*0.06)</f>
        <v>1375</v>
      </c>
      <c r="H317" s="45">
        <v>1375</v>
      </c>
      <c r="I317" s="45"/>
      <c r="J317" s="47"/>
    </row>
    <row r="318" spans="1:10" s="48" customFormat="1" x14ac:dyDescent="0.25">
      <c r="A318" s="49">
        <v>33663</v>
      </c>
      <c r="B318" s="53">
        <f t="shared" si="15"/>
        <v>2</v>
      </c>
      <c r="C318" s="50">
        <f t="shared" si="16"/>
        <v>2016</v>
      </c>
      <c r="D318" s="50">
        <f t="shared" si="17"/>
        <v>6</v>
      </c>
      <c r="E318" s="51">
        <v>42402</v>
      </c>
      <c r="F318" s="49" t="s">
        <v>3</v>
      </c>
      <c r="G318" s="45">
        <f>H318+(I318*0.06)</f>
        <v>768</v>
      </c>
      <c r="H318" s="45">
        <v>768</v>
      </c>
      <c r="I318" s="45"/>
      <c r="J318" s="47"/>
    </row>
    <row r="319" spans="1:10" s="48" customFormat="1" x14ac:dyDescent="0.25">
      <c r="A319" s="49">
        <v>33664</v>
      </c>
      <c r="B319" s="53">
        <f t="shared" si="15"/>
        <v>2</v>
      </c>
      <c r="C319" s="50">
        <f t="shared" si="16"/>
        <v>2016</v>
      </c>
      <c r="D319" s="50">
        <f t="shared" si="17"/>
        <v>6</v>
      </c>
      <c r="E319" s="51">
        <v>42402</v>
      </c>
      <c r="F319" s="49" t="s">
        <v>3</v>
      </c>
      <c r="G319" s="45">
        <f>H319+(I319*0.06)</f>
        <v>435</v>
      </c>
      <c r="H319" s="45">
        <v>435</v>
      </c>
      <c r="I319" s="45"/>
      <c r="J319" s="47"/>
    </row>
    <row r="320" spans="1:10" s="48" customFormat="1" x14ac:dyDescent="0.25">
      <c r="A320" s="56">
        <v>33665</v>
      </c>
      <c r="B320" s="59">
        <f t="shared" si="15"/>
        <v>2</v>
      </c>
      <c r="C320" s="60">
        <f t="shared" si="16"/>
        <v>2016</v>
      </c>
      <c r="D320" s="60">
        <f t="shared" si="17"/>
        <v>6</v>
      </c>
      <c r="E320" s="57">
        <v>42402</v>
      </c>
      <c r="F320" s="56" t="s">
        <v>40</v>
      </c>
      <c r="G320" s="45">
        <f>H320+(I320*0.06)</f>
        <v>403.99999999999994</v>
      </c>
      <c r="H320" s="58">
        <f>444.4/1.1</f>
        <v>403.99999999999994</v>
      </c>
      <c r="I320" s="58"/>
      <c r="J320" s="47"/>
    </row>
    <row r="321" spans="1:10" s="48" customFormat="1" x14ac:dyDescent="0.25">
      <c r="A321" s="56">
        <v>33666</v>
      </c>
      <c r="B321" s="59">
        <f t="shared" si="15"/>
        <v>2</v>
      </c>
      <c r="C321" s="60">
        <f t="shared" si="16"/>
        <v>2016</v>
      </c>
      <c r="D321" s="60">
        <f t="shared" si="17"/>
        <v>6</v>
      </c>
      <c r="E321" s="57">
        <v>42402</v>
      </c>
      <c r="F321" s="56" t="s">
        <v>40</v>
      </c>
      <c r="G321" s="45">
        <f>H321+(I321*0.06)</f>
        <v>665</v>
      </c>
      <c r="H321" s="58">
        <f>731.5/1.1</f>
        <v>665</v>
      </c>
      <c r="I321" s="58"/>
      <c r="J321" s="47"/>
    </row>
    <row r="322" spans="1:10" s="48" customFormat="1" x14ac:dyDescent="0.25">
      <c r="A322" s="49">
        <v>33667</v>
      </c>
      <c r="B322" s="53">
        <f t="shared" si="15"/>
        <v>2</v>
      </c>
      <c r="C322" s="50">
        <f t="shared" si="16"/>
        <v>2016</v>
      </c>
      <c r="D322" s="50">
        <f t="shared" si="17"/>
        <v>6</v>
      </c>
      <c r="E322" s="51">
        <v>42402</v>
      </c>
      <c r="F322" s="49" t="s">
        <v>19</v>
      </c>
      <c r="G322" s="45">
        <f>H322+(I322*0.06)</f>
        <v>225</v>
      </c>
      <c r="H322" s="45">
        <v>225</v>
      </c>
      <c r="I322" s="45"/>
      <c r="J322" s="47"/>
    </row>
    <row r="323" spans="1:10" s="48" customFormat="1" x14ac:dyDescent="0.25">
      <c r="A323" s="49">
        <v>33668</v>
      </c>
      <c r="B323" s="53">
        <f t="shared" si="15"/>
        <v>2</v>
      </c>
      <c r="C323" s="50">
        <f t="shared" si="16"/>
        <v>2016</v>
      </c>
      <c r="D323" s="50">
        <f t="shared" si="17"/>
        <v>6</v>
      </c>
      <c r="E323" s="51">
        <v>42402</v>
      </c>
      <c r="F323" s="49" t="s">
        <v>19</v>
      </c>
      <c r="G323" s="45">
        <f>H323+(I323*0.06)</f>
        <v>377</v>
      </c>
      <c r="H323" s="45">
        <v>377</v>
      </c>
      <c r="I323" s="45"/>
      <c r="J323" s="47"/>
    </row>
    <row r="324" spans="1:10" s="48" customFormat="1" x14ac:dyDescent="0.25">
      <c r="A324" s="49">
        <v>33669</v>
      </c>
      <c r="B324" s="53">
        <f t="shared" si="15"/>
        <v>2</v>
      </c>
      <c r="C324" s="50">
        <f t="shared" si="16"/>
        <v>2016</v>
      </c>
      <c r="D324" s="50">
        <f t="shared" si="17"/>
        <v>6</v>
      </c>
      <c r="E324" s="51">
        <v>42402</v>
      </c>
      <c r="F324" s="49" t="s">
        <v>19</v>
      </c>
      <c r="G324" s="45">
        <f>H324+(I324*0.06)</f>
        <v>39</v>
      </c>
      <c r="H324" s="45">
        <v>39</v>
      </c>
      <c r="I324" s="45"/>
      <c r="J324" s="47"/>
    </row>
    <row r="325" spans="1:10" s="48" customFormat="1" x14ac:dyDescent="0.25">
      <c r="A325" s="49">
        <v>33670</v>
      </c>
      <c r="B325" s="53">
        <f t="shared" si="15"/>
        <v>2</v>
      </c>
      <c r="C325" s="50">
        <f t="shared" si="16"/>
        <v>2016</v>
      </c>
      <c r="D325" s="50">
        <f t="shared" si="17"/>
        <v>6</v>
      </c>
      <c r="E325" s="51">
        <v>42402</v>
      </c>
      <c r="F325" s="49" t="s">
        <v>19</v>
      </c>
      <c r="G325" s="45">
        <f>H325+(I325*0.06)</f>
        <v>70</v>
      </c>
      <c r="H325" s="45">
        <v>70</v>
      </c>
      <c r="I325" s="45"/>
      <c r="J325" s="47"/>
    </row>
    <row r="326" spans="1:10" s="48" customFormat="1" x14ac:dyDescent="0.25">
      <c r="A326" s="49">
        <v>33671</v>
      </c>
      <c r="B326" s="53">
        <f t="shared" ref="B326:B389" si="18">IF(E326="","",MONTH(E326))</f>
        <v>2</v>
      </c>
      <c r="C326" s="50">
        <f t="shared" ref="C326:C389" si="19">IF(E326="","",YEAR(E326))</f>
        <v>2016</v>
      </c>
      <c r="D326" s="50">
        <f t="shared" ref="D326:D389" si="20">IF(E326="","",WEEKNUM(E326,2))</f>
        <v>6</v>
      </c>
      <c r="E326" s="51">
        <v>42403</v>
      </c>
      <c r="F326" s="49" t="s">
        <v>19</v>
      </c>
      <c r="G326" s="45">
        <f>H326+(I326*0.06)</f>
        <v>55</v>
      </c>
      <c r="H326" s="45">
        <v>55</v>
      </c>
      <c r="I326" s="45"/>
      <c r="J326" s="47"/>
    </row>
    <row r="327" spans="1:10" s="48" customFormat="1" x14ac:dyDescent="0.25">
      <c r="A327" s="49">
        <v>33672</v>
      </c>
      <c r="B327" s="53">
        <f t="shared" si="18"/>
        <v>2</v>
      </c>
      <c r="C327" s="50">
        <f t="shared" si="19"/>
        <v>2016</v>
      </c>
      <c r="D327" s="50">
        <f t="shared" si="20"/>
        <v>6</v>
      </c>
      <c r="E327" s="51">
        <v>42403</v>
      </c>
      <c r="F327" s="49" t="s">
        <v>19</v>
      </c>
      <c r="G327" s="45">
        <f>H327+(I327*0.06)</f>
        <v>630</v>
      </c>
      <c r="H327" s="45">
        <v>630</v>
      </c>
      <c r="I327" s="45"/>
      <c r="J327" s="47"/>
    </row>
    <row r="328" spans="1:10" s="48" customFormat="1" x14ac:dyDescent="0.25">
      <c r="A328" s="49">
        <v>33673</v>
      </c>
      <c r="B328" s="53">
        <f t="shared" si="18"/>
        <v>2</v>
      </c>
      <c r="C328" s="50">
        <f t="shared" si="19"/>
        <v>2016</v>
      </c>
      <c r="D328" s="50">
        <f t="shared" si="20"/>
        <v>6</v>
      </c>
      <c r="E328" s="51">
        <v>42403</v>
      </c>
      <c r="F328" s="49" t="s">
        <v>40</v>
      </c>
      <c r="G328" s="45">
        <f>H328+(I328*0.06)</f>
        <v>5612.2272727272721</v>
      </c>
      <c r="H328" s="45">
        <f>6173.45/1.1</f>
        <v>5612.2272727272721</v>
      </c>
      <c r="I328" s="45"/>
      <c r="J328" s="47"/>
    </row>
    <row r="329" spans="1:10" s="48" customFormat="1" x14ac:dyDescent="0.25">
      <c r="A329" s="49">
        <v>33674</v>
      </c>
      <c r="B329" s="53">
        <f t="shared" si="18"/>
        <v>2</v>
      </c>
      <c r="C329" s="50">
        <f t="shared" si="19"/>
        <v>2016</v>
      </c>
      <c r="D329" s="50">
        <f t="shared" si="20"/>
        <v>6</v>
      </c>
      <c r="E329" s="51">
        <v>42403</v>
      </c>
      <c r="F329" s="49" t="s">
        <v>0</v>
      </c>
      <c r="G329" s="45">
        <f>H329+(I329*0.06)</f>
        <v>1948</v>
      </c>
      <c r="H329" s="45">
        <v>1948</v>
      </c>
      <c r="I329" s="45"/>
      <c r="J329" s="47"/>
    </row>
    <row r="330" spans="1:10" s="48" customFormat="1" x14ac:dyDescent="0.25">
      <c r="A330" s="49">
        <v>33675</v>
      </c>
      <c r="B330" s="53">
        <f t="shared" si="18"/>
        <v>2</v>
      </c>
      <c r="C330" s="50">
        <f t="shared" si="19"/>
        <v>2016</v>
      </c>
      <c r="D330" s="50">
        <f t="shared" si="20"/>
        <v>6</v>
      </c>
      <c r="E330" s="51">
        <v>42403</v>
      </c>
      <c r="F330" s="49" t="s">
        <v>3</v>
      </c>
      <c r="G330" s="45">
        <f>H330+(I330*0.06)</f>
        <v>335</v>
      </c>
      <c r="H330" s="45">
        <v>335</v>
      </c>
      <c r="I330" s="45"/>
      <c r="J330" s="47"/>
    </row>
    <row r="331" spans="1:10" s="48" customFormat="1" x14ac:dyDescent="0.25">
      <c r="A331" s="49">
        <v>33676</v>
      </c>
      <c r="B331" s="53">
        <f t="shared" si="18"/>
        <v>2</v>
      </c>
      <c r="C331" s="50">
        <f t="shared" si="19"/>
        <v>2016</v>
      </c>
      <c r="D331" s="50">
        <f t="shared" si="20"/>
        <v>6</v>
      </c>
      <c r="E331" s="51">
        <v>42403</v>
      </c>
      <c r="F331" s="49" t="s">
        <v>3</v>
      </c>
      <c r="G331" s="45">
        <f>H331+(I331*0.06)</f>
        <v>401</v>
      </c>
      <c r="H331" s="45">
        <v>401</v>
      </c>
      <c r="I331" s="45"/>
      <c r="J331" s="47"/>
    </row>
    <row r="332" spans="1:10" s="48" customFormat="1" x14ac:dyDescent="0.25">
      <c r="A332" s="49">
        <v>33677</v>
      </c>
      <c r="B332" s="53">
        <f t="shared" si="18"/>
        <v>2</v>
      </c>
      <c r="C332" s="50">
        <f t="shared" si="19"/>
        <v>2016</v>
      </c>
      <c r="D332" s="50">
        <f t="shared" si="20"/>
        <v>6</v>
      </c>
      <c r="E332" s="51">
        <v>42403</v>
      </c>
      <c r="F332" s="49" t="s">
        <v>26</v>
      </c>
      <c r="G332" s="45">
        <f>H332+(I332*0.06)</f>
        <v>3304.55</v>
      </c>
      <c r="H332" s="45">
        <v>3304.55</v>
      </c>
      <c r="I332" s="45"/>
      <c r="J332" s="47"/>
    </row>
    <row r="333" spans="1:10" s="48" customFormat="1" x14ac:dyDescent="0.25">
      <c r="A333" s="49">
        <v>33678</v>
      </c>
      <c r="B333" s="53">
        <f t="shared" si="18"/>
        <v>2</v>
      </c>
      <c r="C333" s="50">
        <f t="shared" si="19"/>
        <v>2016</v>
      </c>
      <c r="D333" s="50">
        <f t="shared" si="20"/>
        <v>6</v>
      </c>
      <c r="E333" s="51">
        <v>42404</v>
      </c>
      <c r="F333" s="49" t="s">
        <v>3</v>
      </c>
      <c r="G333" s="45">
        <f>H333+(I333*0.06)</f>
        <v>85</v>
      </c>
      <c r="H333" s="45">
        <v>85</v>
      </c>
      <c r="I333" s="45"/>
      <c r="J333" s="47"/>
    </row>
    <row r="334" spans="1:10" s="48" customFormat="1" x14ac:dyDescent="0.25">
      <c r="A334" s="49">
        <v>33679</v>
      </c>
      <c r="B334" s="53">
        <f t="shared" si="18"/>
        <v>2</v>
      </c>
      <c r="C334" s="50">
        <f t="shared" si="19"/>
        <v>2016</v>
      </c>
      <c r="D334" s="50">
        <f t="shared" si="20"/>
        <v>6</v>
      </c>
      <c r="E334" s="51">
        <v>42404</v>
      </c>
      <c r="F334" s="49" t="s">
        <v>3</v>
      </c>
      <c r="G334" s="45">
        <f>H334+(I334*0.06)</f>
        <v>163</v>
      </c>
      <c r="H334" s="45">
        <v>163</v>
      </c>
      <c r="I334" s="45"/>
      <c r="J334" s="47"/>
    </row>
    <row r="335" spans="1:10" s="48" customFormat="1" x14ac:dyDescent="0.25">
      <c r="A335" s="56">
        <v>33680</v>
      </c>
      <c r="B335" s="59">
        <f t="shared" si="18"/>
        <v>2</v>
      </c>
      <c r="C335" s="60">
        <f t="shared" si="19"/>
        <v>2016</v>
      </c>
      <c r="D335" s="60">
        <f t="shared" si="20"/>
        <v>6</v>
      </c>
      <c r="E335" s="57">
        <v>42404</v>
      </c>
      <c r="F335" s="56" t="s">
        <v>0</v>
      </c>
      <c r="G335" s="45">
        <f>H335+(I335*0.06)</f>
        <v>1845.25</v>
      </c>
      <c r="H335" s="58">
        <v>1845.25</v>
      </c>
      <c r="I335" s="58"/>
      <c r="J335" s="47"/>
    </row>
    <row r="336" spans="1:10" s="48" customFormat="1" x14ac:dyDescent="0.25">
      <c r="A336" s="49">
        <v>33681</v>
      </c>
      <c r="B336" s="53">
        <f t="shared" si="18"/>
        <v>2</v>
      </c>
      <c r="C336" s="50">
        <f t="shared" si="19"/>
        <v>2016</v>
      </c>
      <c r="D336" s="50">
        <f t="shared" si="20"/>
        <v>6</v>
      </c>
      <c r="E336" s="51">
        <v>42404</v>
      </c>
      <c r="F336" s="49" t="s">
        <v>26</v>
      </c>
      <c r="G336" s="45">
        <f>H336+(I336*0.06)</f>
        <v>2469.21</v>
      </c>
      <c r="H336" s="45">
        <v>2469.21</v>
      </c>
      <c r="I336" s="45"/>
      <c r="J336" s="47"/>
    </row>
    <row r="337" spans="1:10" s="48" customFormat="1" x14ac:dyDescent="0.25">
      <c r="A337" s="49">
        <v>33682</v>
      </c>
      <c r="B337" s="53">
        <f t="shared" si="18"/>
        <v>2</v>
      </c>
      <c r="C337" s="50">
        <f t="shared" si="19"/>
        <v>2016</v>
      </c>
      <c r="D337" s="50">
        <f t="shared" si="20"/>
        <v>6</v>
      </c>
      <c r="E337" s="51">
        <v>42404</v>
      </c>
      <c r="F337" s="49" t="s">
        <v>40</v>
      </c>
      <c r="G337" s="45">
        <f>H337+(I337*0.06)</f>
        <v>5653.4090909090901</v>
      </c>
      <c r="H337" s="45">
        <f>6218.75/1.1</f>
        <v>5653.4090909090901</v>
      </c>
      <c r="I337" s="45"/>
      <c r="J337" s="47"/>
    </row>
    <row r="338" spans="1:10" s="48" customFormat="1" x14ac:dyDescent="0.25">
      <c r="A338" s="49">
        <v>33683</v>
      </c>
      <c r="B338" s="53">
        <f t="shared" si="18"/>
        <v>2</v>
      </c>
      <c r="C338" s="50">
        <f t="shared" si="19"/>
        <v>2016</v>
      </c>
      <c r="D338" s="50">
        <f t="shared" si="20"/>
        <v>6</v>
      </c>
      <c r="E338" s="51">
        <v>42404</v>
      </c>
      <c r="F338" s="49" t="s">
        <v>40</v>
      </c>
      <c r="G338" s="45">
        <f>H338+(I338*0.06)</f>
        <v>854.99999999999989</v>
      </c>
      <c r="H338" s="45">
        <f>940.5/1.1</f>
        <v>854.99999999999989</v>
      </c>
      <c r="I338" s="45"/>
      <c r="J338" s="47"/>
    </row>
    <row r="339" spans="1:10" s="48" customFormat="1" x14ac:dyDescent="0.25">
      <c r="A339" s="49">
        <v>33684</v>
      </c>
      <c r="B339" s="53">
        <f t="shared" si="18"/>
        <v>2</v>
      </c>
      <c r="C339" s="50">
        <f t="shared" si="19"/>
        <v>2016</v>
      </c>
      <c r="D339" s="50">
        <f t="shared" si="20"/>
        <v>6</v>
      </c>
      <c r="E339" s="51">
        <v>42404</v>
      </c>
      <c r="F339" s="49" t="s">
        <v>19</v>
      </c>
      <c r="G339" s="45">
        <f>H339+(I339*0.06)</f>
        <v>120</v>
      </c>
      <c r="H339" s="45">
        <v>120</v>
      </c>
      <c r="I339" s="45"/>
      <c r="J339" s="47"/>
    </row>
    <row r="340" spans="1:10" s="48" customFormat="1" x14ac:dyDescent="0.25">
      <c r="A340" s="49">
        <v>33685</v>
      </c>
      <c r="B340" s="53">
        <f t="shared" si="18"/>
        <v>2</v>
      </c>
      <c r="C340" s="50">
        <f t="shared" si="19"/>
        <v>2016</v>
      </c>
      <c r="D340" s="50">
        <f t="shared" si="20"/>
        <v>6</v>
      </c>
      <c r="E340" s="51">
        <v>42404</v>
      </c>
      <c r="F340" s="49" t="s">
        <v>19</v>
      </c>
      <c r="G340" s="45">
        <f>H340+(I340*0.06)</f>
        <v>120</v>
      </c>
      <c r="H340" s="45">
        <v>120</v>
      </c>
      <c r="I340" s="45"/>
      <c r="J340" s="47"/>
    </row>
    <row r="341" spans="1:10" s="48" customFormat="1" x14ac:dyDescent="0.25">
      <c r="A341" s="49">
        <v>33686</v>
      </c>
      <c r="B341" s="53">
        <f t="shared" si="18"/>
        <v>2</v>
      </c>
      <c r="C341" s="50">
        <f t="shared" si="19"/>
        <v>2016</v>
      </c>
      <c r="D341" s="50">
        <f t="shared" si="20"/>
        <v>6</v>
      </c>
      <c r="E341" s="51">
        <v>42404</v>
      </c>
      <c r="F341" s="49" t="s">
        <v>19</v>
      </c>
      <c r="G341" s="45">
        <f>H341+(I341*0.06)</f>
        <v>115</v>
      </c>
      <c r="H341" s="45">
        <v>115</v>
      </c>
      <c r="I341" s="45"/>
      <c r="J341" s="47"/>
    </row>
    <row r="342" spans="1:10" s="48" customFormat="1" x14ac:dyDescent="0.25">
      <c r="A342" s="49">
        <v>33687</v>
      </c>
      <c r="B342" s="53">
        <f t="shared" si="18"/>
        <v>2</v>
      </c>
      <c r="C342" s="50">
        <f t="shared" si="19"/>
        <v>2016</v>
      </c>
      <c r="D342" s="50">
        <f t="shared" si="20"/>
        <v>6</v>
      </c>
      <c r="E342" s="51">
        <v>42404</v>
      </c>
      <c r="F342" s="49" t="s">
        <v>19</v>
      </c>
      <c r="G342" s="45">
        <f>H342+(I342*0.06)</f>
        <v>42</v>
      </c>
      <c r="H342" s="45">
        <v>42</v>
      </c>
      <c r="I342" s="45"/>
      <c r="J342" s="47"/>
    </row>
    <row r="343" spans="1:10" s="48" customFormat="1" x14ac:dyDescent="0.25">
      <c r="A343" s="49">
        <v>33688</v>
      </c>
      <c r="B343" s="53">
        <f t="shared" si="18"/>
        <v>2</v>
      </c>
      <c r="C343" s="50">
        <f t="shared" si="19"/>
        <v>2016</v>
      </c>
      <c r="D343" s="50">
        <f t="shared" si="20"/>
        <v>6</v>
      </c>
      <c r="E343" s="51">
        <v>42404</v>
      </c>
      <c r="F343" s="49" t="s">
        <v>19</v>
      </c>
      <c r="G343" s="45">
        <f>H343+(I343*0.06)</f>
        <v>252</v>
      </c>
      <c r="H343" s="45">
        <v>252</v>
      </c>
      <c r="I343" s="45"/>
      <c r="J343" s="47"/>
    </row>
    <row r="344" spans="1:10" s="48" customFormat="1" x14ac:dyDescent="0.25">
      <c r="A344" s="49">
        <v>33689</v>
      </c>
      <c r="B344" s="53">
        <f t="shared" si="18"/>
        <v>2</v>
      </c>
      <c r="C344" s="50">
        <f t="shared" si="19"/>
        <v>2016</v>
      </c>
      <c r="D344" s="50">
        <f t="shared" si="20"/>
        <v>6</v>
      </c>
      <c r="E344" s="51">
        <v>42404</v>
      </c>
      <c r="F344" s="49" t="s">
        <v>19</v>
      </c>
      <c r="G344" s="45">
        <f>H344+(I344*0.06)</f>
        <v>155</v>
      </c>
      <c r="H344" s="45">
        <v>155</v>
      </c>
      <c r="I344" s="45"/>
      <c r="J344" s="47"/>
    </row>
    <row r="345" spans="1:10" s="48" customFormat="1" x14ac:dyDescent="0.25">
      <c r="A345" s="49">
        <v>33690</v>
      </c>
      <c r="B345" s="53">
        <f t="shared" si="18"/>
        <v>2</v>
      </c>
      <c r="C345" s="50">
        <f t="shared" si="19"/>
        <v>2016</v>
      </c>
      <c r="D345" s="50">
        <f t="shared" si="20"/>
        <v>6</v>
      </c>
      <c r="E345" s="51">
        <v>42404</v>
      </c>
      <c r="F345" s="49" t="s">
        <v>19</v>
      </c>
      <c r="G345" s="45">
        <f>H345+(I345*0.06)</f>
        <v>160</v>
      </c>
      <c r="H345" s="45">
        <v>160</v>
      </c>
      <c r="I345" s="45"/>
      <c r="J345" s="47"/>
    </row>
    <row r="346" spans="1:10" s="48" customFormat="1" x14ac:dyDescent="0.25">
      <c r="A346" s="49">
        <v>33691</v>
      </c>
      <c r="B346" s="53">
        <f t="shared" si="18"/>
        <v>2</v>
      </c>
      <c r="C346" s="50">
        <f t="shared" si="19"/>
        <v>2016</v>
      </c>
      <c r="D346" s="50">
        <f t="shared" si="20"/>
        <v>6</v>
      </c>
      <c r="E346" s="51">
        <v>42404</v>
      </c>
      <c r="F346" s="49" t="s">
        <v>3</v>
      </c>
      <c r="G346" s="45">
        <f>H346+(I346*0.06)</f>
        <v>1382</v>
      </c>
      <c r="H346" s="45">
        <v>1382</v>
      </c>
      <c r="I346" s="45"/>
      <c r="J346" s="47"/>
    </row>
    <row r="347" spans="1:10" s="48" customFormat="1" x14ac:dyDescent="0.25">
      <c r="A347" s="49">
        <v>33692</v>
      </c>
      <c r="B347" s="53">
        <f t="shared" si="18"/>
        <v>2</v>
      </c>
      <c r="C347" s="50">
        <f t="shared" si="19"/>
        <v>2016</v>
      </c>
      <c r="D347" s="50">
        <f t="shared" si="20"/>
        <v>6</v>
      </c>
      <c r="E347" s="51">
        <v>42404</v>
      </c>
      <c r="F347" s="49" t="s">
        <v>0</v>
      </c>
      <c r="G347" s="45">
        <f>H347+(I347*0.06)</f>
        <v>921.6</v>
      </c>
      <c r="H347" s="45">
        <v>921.6</v>
      </c>
      <c r="I347" s="45"/>
      <c r="J347" s="47"/>
    </row>
    <row r="348" spans="1:10" s="48" customFormat="1" x14ac:dyDescent="0.25">
      <c r="A348" s="49">
        <v>33693</v>
      </c>
      <c r="B348" s="53">
        <f t="shared" si="18"/>
        <v>2</v>
      </c>
      <c r="C348" s="50">
        <f t="shared" si="19"/>
        <v>2016</v>
      </c>
      <c r="D348" s="50">
        <f t="shared" si="20"/>
        <v>6</v>
      </c>
      <c r="E348" s="51">
        <v>42404</v>
      </c>
      <c r="F348" s="49" t="s">
        <v>0</v>
      </c>
      <c r="G348" s="45">
        <f>H348+(I348*0.06)</f>
        <v>1782</v>
      </c>
      <c r="H348" s="45">
        <v>1782</v>
      </c>
      <c r="I348" s="45"/>
      <c r="J348" s="47"/>
    </row>
    <row r="349" spans="1:10" s="48" customFormat="1" x14ac:dyDescent="0.25">
      <c r="A349" s="49">
        <v>33694</v>
      </c>
      <c r="B349" s="53">
        <f t="shared" si="18"/>
        <v>2</v>
      </c>
      <c r="C349" s="50">
        <f t="shared" si="19"/>
        <v>2016</v>
      </c>
      <c r="D349" s="50">
        <f t="shared" si="20"/>
        <v>6</v>
      </c>
      <c r="E349" s="51">
        <v>42404</v>
      </c>
      <c r="F349" s="49" t="s">
        <v>0</v>
      </c>
      <c r="G349" s="45">
        <f>H349+(I349*0.06)</f>
        <v>1482</v>
      </c>
      <c r="H349" s="45">
        <v>1482</v>
      </c>
      <c r="I349" s="45"/>
      <c r="J349" s="47"/>
    </row>
    <row r="350" spans="1:10" s="48" customFormat="1" x14ac:dyDescent="0.25">
      <c r="A350" s="49">
        <v>33695</v>
      </c>
      <c r="B350" s="53">
        <f t="shared" si="18"/>
        <v>2</v>
      </c>
      <c r="C350" s="50">
        <f t="shared" si="19"/>
        <v>2016</v>
      </c>
      <c r="D350" s="50">
        <f t="shared" si="20"/>
        <v>6</v>
      </c>
      <c r="E350" s="51">
        <v>42405</v>
      </c>
      <c r="F350" s="49" t="s">
        <v>3</v>
      </c>
      <c r="G350" s="45">
        <f>H350+(I350*0.06)</f>
        <v>1142.75</v>
      </c>
      <c r="H350" s="45">
        <v>1142.75</v>
      </c>
      <c r="I350" s="45"/>
      <c r="J350" s="47"/>
    </row>
    <row r="351" spans="1:10" s="48" customFormat="1" x14ac:dyDescent="0.25">
      <c r="A351" s="49">
        <v>33696</v>
      </c>
      <c r="B351" s="53">
        <f t="shared" si="18"/>
        <v>2</v>
      </c>
      <c r="C351" s="50">
        <f t="shared" si="19"/>
        <v>2016</v>
      </c>
      <c r="D351" s="50">
        <f t="shared" si="20"/>
        <v>6</v>
      </c>
      <c r="E351" s="51">
        <v>42405</v>
      </c>
      <c r="F351" s="49" t="s">
        <v>0</v>
      </c>
      <c r="G351" s="45">
        <f>H351+(I351*0.06)</f>
        <v>328</v>
      </c>
      <c r="H351" s="45">
        <v>328</v>
      </c>
      <c r="I351" s="45"/>
      <c r="J351" s="47"/>
    </row>
    <row r="352" spans="1:10" s="48" customFormat="1" x14ac:dyDescent="0.25">
      <c r="A352" s="49">
        <v>33697</v>
      </c>
      <c r="B352" s="53">
        <f t="shared" si="18"/>
        <v>2</v>
      </c>
      <c r="C352" s="50">
        <f t="shared" si="19"/>
        <v>2016</v>
      </c>
      <c r="D352" s="50">
        <f t="shared" si="20"/>
        <v>6</v>
      </c>
      <c r="E352" s="51">
        <v>42405</v>
      </c>
      <c r="F352" s="49" t="s">
        <v>0</v>
      </c>
      <c r="G352" s="45">
        <f>H352+(I352*0.06)</f>
        <v>4192.82</v>
      </c>
      <c r="H352" s="45">
        <v>4192.82</v>
      </c>
      <c r="I352" s="45"/>
      <c r="J352" s="47"/>
    </row>
    <row r="353" spans="1:10" s="48" customFormat="1" x14ac:dyDescent="0.25">
      <c r="A353" s="49">
        <v>33698</v>
      </c>
      <c r="B353" s="53">
        <f t="shared" si="18"/>
        <v>2</v>
      </c>
      <c r="C353" s="50">
        <f t="shared" si="19"/>
        <v>2016</v>
      </c>
      <c r="D353" s="50">
        <f t="shared" si="20"/>
        <v>6</v>
      </c>
      <c r="E353" s="51">
        <v>42405</v>
      </c>
      <c r="F353" s="49" t="s">
        <v>3</v>
      </c>
      <c r="G353" s="45">
        <f>H353+(I353*0.06)</f>
        <v>6690.6</v>
      </c>
      <c r="H353" s="45">
        <v>6690.6</v>
      </c>
      <c r="I353" s="45"/>
      <c r="J353" s="47"/>
    </row>
    <row r="354" spans="1:10" s="48" customFormat="1" x14ac:dyDescent="0.25">
      <c r="A354" s="49">
        <v>33699</v>
      </c>
      <c r="B354" s="53">
        <f t="shared" si="18"/>
        <v>2</v>
      </c>
      <c r="C354" s="50">
        <f t="shared" si="19"/>
        <v>2016</v>
      </c>
      <c r="D354" s="50">
        <f t="shared" si="20"/>
        <v>6</v>
      </c>
      <c r="E354" s="51">
        <v>42405</v>
      </c>
      <c r="F354" s="49" t="s">
        <v>19</v>
      </c>
      <c r="G354" s="45">
        <f>H354+(I354*0.06)</f>
        <v>370</v>
      </c>
      <c r="H354" s="45">
        <v>370</v>
      </c>
      <c r="I354" s="45"/>
      <c r="J354" s="47"/>
    </row>
    <row r="355" spans="1:10" s="48" customFormat="1" x14ac:dyDescent="0.25">
      <c r="A355" s="49">
        <v>33700</v>
      </c>
      <c r="B355" s="53">
        <f t="shared" si="18"/>
        <v>2</v>
      </c>
      <c r="C355" s="50">
        <f t="shared" si="19"/>
        <v>2016</v>
      </c>
      <c r="D355" s="50">
        <f t="shared" si="20"/>
        <v>6</v>
      </c>
      <c r="E355" s="51">
        <v>42405</v>
      </c>
      <c r="F355" s="49" t="s">
        <v>19</v>
      </c>
      <c r="G355" s="45">
        <f>H355+(I355*0.06)</f>
        <v>225</v>
      </c>
      <c r="H355" s="45">
        <v>225</v>
      </c>
      <c r="I355" s="45"/>
      <c r="J355" s="47"/>
    </row>
    <row r="356" spans="1:10" s="48" customFormat="1" x14ac:dyDescent="0.25">
      <c r="A356" s="49">
        <v>33701</v>
      </c>
      <c r="B356" s="53">
        <f t="shared" si="18"/>
        <v>2</v>
      </c>
      <c r="C356" s="50">
        <f t="shared" si="19"/>
        <v>2016</v>
      </c>
      <c r="D356" s="50">
        <f t="shared" si="20"/>
        <v>6</v>
      </c>
      <c r="E356" s="51">
        <v>42405</v>
      </c>
      <c r="F356" s="49" t="s">
        <v>19</v>
      </c>
      <c r="G356" s="45">
        <f>H356+(I356*0.06)</f>
        <v>510</v>
      </c>
      <c r="H356" s="45">
        <v>510</v>
      </c>
      <c r="I356" s="45"/>
      <c r="J356" s="47"/>
    </row>
    <row r="357" spans="1:10" s="48" customFormat="1" x14ac:dyDescent="0.25">
      <c r="A357" s="49">
        <v>33702</v>
      </c>
      <c r="B357" s="53">
        <f t="shared" si="18"/>
        <v>2</v>
      </c>
      <c r="C357" s="50">
        <f t="shared" si="19"/>
        <v>2016</v>
      </c>
      <c r="D357" s="50">
        <f t="shared" si="20"/>
        <v>6</v>
      </c>
      <c r="E357" s="51">
        <v>42405</v>
      </c>
      <c r="F357" s="49" t="s">
        <v>19</v>
      </c>
      <c r="G357" s="45">
        <f>H357+(I357*0.06)</f>
        <v>2304</v>
      </c>
      <c r="H357" s="45">
        <v>2304</v>
      </c>
      <c r="I357" s="45"/>
      <c r="J357" s="47"/>
    </row>
    <row r="358" spans="1:10" s="48" customFormat="1" x14ac:dyDescent="0.25">
      <c r="A358" s="49">
        <v>33703</v>
      </c>
      <c r="B358" s="53">
        <f t="shared" si="18"/>
        <v>2</v>
      </c>
      <c r="C358" s="50">
        <f t="shared" si="19"/>
        <v>2016</v>
      </c>
      <c r="D358" s="50">
        <f t="shared" si="20"/>
        <v>6</v>
      </c>
      <c r="E358" s="51">
        <v>42405</v>
      </c>
      <c r="F358" s="49" t="s">
        <v>19</v>
      </c>
      <c r="G358" s="45">
        <f>H358+(I358*0.06)</f>
        <v>1625</v>
      </c>
      <c r="H358" s="45">
        <v>1625</v>
      </c>
      <c r="I358" s="45"/>
      <c r="J358" s="47"/>
    </row>
    <row r="359" spans="1:10" s="48" customFormat="1" x14ac:dyDescent="0.25">
      <c r="A359" s="49">
        <v>33704</v>
      </c>
      <c r="B359" s="53">
        <f t="shared" si="18"/>
        <v>2</v>
      </c>
      <c r="C359" s="50">
        <f t="shared" si="19"/>
        <v>2016</v>
      </c>
      <c r="D359" s="50">
        <f t="shared" si="20"/>
        <v>6</v>
      </c>
      <c r="E359" s="51">
        <v>42405</v>
      </c>
      <c r="F359" s="49" t="s">
        <v>19</v>
      </c>
      <c r="G359" s="45">
        <f>H359+(I359*0.06)</f>
        <v>1881.5</v>
      </c>
      <c r="H359" s="45">
        <v>1881.5</v>
      </c>
      <c r="I359" s="45"/>
      <c r="J359" s="47"/>
    </row>
    <row r="360" spans="1:10" s="48" customFormat="1" x14ac:dyDescent="0.25">
      <c r="A360" s="49">
        <v>33705</v>
      </c>
      <c r="B360" s="53">
        <f t="shared" si="18"/>
        <v>2</v>
      </c>
      <c r="C360" s="50">
        <f t="shared" si="19"/>
        <v>2016</v>
      </c>
      <c r="D360" s="50">
        <f t="shared" si="20"/>
        <v>6</v>
      </c>
      <c r="E360" s="51">
        <v>42405</v>
      </c>
      <c r="F360" s="49" t="s">
        <v>19</v>
      </c>
      <c r="G360" s="45">
        <f>H360+(I360*0.06)</f>
        <v>635</v>
      </c>
      <c r="H360" s="45">
        <v>635</v>
      </c>
      <c r="I360" s="45"/>
      <c r="J360" s="47"/>
    </row>
    <row r="361" spans="1:10" s="48" customFormat="1" x14ac:dyDescent="0.25">
      <c r="A361" s="49">
        <v>33706</v>
      </c>
      <c r="B361" s="53">
        <f t="shared" si="18"/>
        <v>2</v>
      </c>
      <c r="C361" s="50">
        <f t="shared" si="19"/>
        <v>2016</v>
      </c>
      <c r="D361" s="50">
        <f t="shared" si="20"/>
        <v>6</v>
      </c>
      <c r="E361" s="51">
        <v>42405</v>
      </c>
      <c r="F361" s="49" t="s">
        <v>40</v>
      </c>
      <c r="G361" s="45">
        <f>H361+(I361*0.06)</f>
        <v>2416.9999999999995</v>
      </c>
      <c r="H361" s="45">
        <f>2658.7/1.1</f>
        <v>2416.9999999999995</v>
      </c>
      <c r="I361" s="45"/>
      <c r="J361" s="47"/>
    </row>
    <row r="362" spans="1:10" s="48" customFormat="1" x14ac:dyDescent="0.25">
      <c r="A362" s="49">
        <v>33707</v>
      </c>
      <c r="B362" s="53">
        <f t="shared" si="18"/>
        <v>2</v>
      </c>
      <c r="C362" s="50">
        <f t="shared" si="19"/>
        <v>2016</v>
      </c>
      <c r="D362" s="50">
        <f t="shared" si="20"/>
        <v>6</v>
      </c>
      <c r="E362" s="51">
        <v>42405</v>
      </c>
      <c r="F362" s="49" t="s">
        <v>0</v>
      </c>
      <c r="G362" s="45">
        <f>H362+(I362*0.06)</f>
        <v>12714</v>
      </c>
      <c r="H362" s="45">
        <v>12714</v>
      </c>
      <c r="I362" s="45"/>
      <c r="J362" s="47"/>
    </row>
    <row r="363" spans="1:10" s="48" customFormat="1" x14ac:dyDescent="0.25">
      <c r="A363" s="49">
        <v>33708</v>
      </c>
      <c r="B363" s="53">
        <f t="shared" si="18"/>
        <v>2</v>
      </c>
      <c r="C363" s="50">
        <f t="shared" si="19"/>
        <v>2016</v>
      </c>
      <c r="D363" s="50">
        <f t="shared" si="20"/>
        <v>6</v>
      </c>
      <c r="E363" s="51">
        <v>42405</v>
      </c>
      <c r="F363" s="49" t="s">
        <v>40</v>
      </c>
      <c r="G363" s="45">
        <f>H363+(I363*0.06)</f>
        <v>2556.9999999999995</v>
      </c>
      <c r="H363" s="45">
        <f>2812.7/1.1</f>
        <v>2556.9999999999995</v>
      </c>
      <c r="I363" s="45"/>
      <c r="J363" s="47"/>
    </row>
    <row r="364" spans="1:10" s="48" customFormat="1" x14ac:dyDescent="0.25">
      <c r="A364" s="49">
        <v>33709</v>
      </c>
      <c r="B364" s="53">
        <f t="shared" si="18"/>
        <v>2</v>
      </c>
      <c r="C364" s="50">
        <f t="shared" si="19"/>
        <v>2016</v>
      </c>
      <c r="D364" s="50">
        <f t="shared" si="20"/>
        <v>6</v>
      </c>
      <c r="E364" s="51">
        <v>42405</v>
      </c>
      <c r="F364" s="49" t="s">
        <v>19</v>
      </c>
      <c r="G364" s="45">
        <f>H364+(I364*0.06)</f>
        <v>22</v>
      </c>
      <c r="H364" s="45">
        <v>22</v>
      </c>
      <c r="I364" s="45"/>
      <c r="J364" s="47"/>
    </row>
    <row r="365" spans="1:10" s="48" customFormat="1" x14ac:dyDescent="0.25">
      <c r="A365" s="49">
        <v>33710</v>
      </c>
      <c r="B365" s="53">
        <f t="shared" si="18"/>
        <v>2</v>
      </c>
      <c r="C365" s="50">
        <f t="shared" si="19"/>
        <v>2016</v>
      </c>
      <c r="D365" s="50">
        <f t="shared" si="20"/>
        <v>6</v>
      </c>
      <c r="E365" s="51">
        <v>42405</v>
      </c>
      <c r="F365" s="49" t="s">
        <v>19</v>
      </c>
      <c r="G365" s="45">
        <f>H365+(I365*0.06)</f>
        <v>35</v>
      </c>
      <c r="H365" s="45">
        <v>35</v>
      </c>
      <c r="I365" s="45"/>
      <c r="J365" s="47"/>
    </row>
    <row r="366" spans="1:10" s="48" customFormat="1" x14ac:dyDescent="0.25">
      <c r="A366" s="49">
        <v>33711</v>
      </c>
      <c r="B366" s="53">
        <f t="shared" si="18"/>
        <v>2</v>
      </c>
      <c r="C366" s="50">
        <f t="shared" si="19"/>
        <v>2016</v>
      </c>
      <c r="D366" s="50">
        <f t="shared" si="20"/>
        <v>6</v>
      </c>
      <c r="E366" s="51">
        <v>42405</v>
      </c>
      <c r="F366" s="49" t="s">
        <v>19</v>
      </c>
      <c r="G366" s="45">
        <f>H366+(I366*0.06)</f>
        <v>225</v>
      </c>
      <c r="H366" s="45">
        <v>225</v>
      </c>
      <c r="I366" s="45"/>
      <c r="J366" s="47"/>
    </row>
    <row r="367" spans="1:10" s="48" customFormat="1" x14ac:dyDescent="0.25">
      <c r="A367" s="49">
        <v>33712</v>
      </c>
      <c r="B367" s="53">
        <f t="shared" si="18"/>
        <v>2</v>
      </c>
      <c r="C367" s="50">
        <f t="shared" si="19"/>
        <v>2016</v>
      </c>
      <c r="D367" s="50">
        <f t="shared" si="20"/>
        <v>6</v>
      </c>
      <c r="E367" s="51">
        <v>42405</v>
      </c>
      <c r="F367" s="49" t="s">
        <v>19</v>
      </c>
      <c r="G367" s="45">
        <f>H367+(I367*0.06)</f>
        <v>35</v>
      </c>
      <c r="H367" s="45">
        <v>35</v>
      </c>
      <c r="I367" s="45"/>
      <c r="J367" s="47"/>
    </row>
    <row r="368" spans="1:10" s="48" customFormat="1" x14ac:dyDescent="0.25">
      <c r="A368" s="49">
        <v>33713</v>
      </c>
      <c r="B368" s="53">
        <f t="shared" si="18"/>
        <v>2</v>
      </c>
      <c r="C368" s="50">
        <f t="shared" si="19"/>
        <v>2016</v>
      </c>
      <c r="D368" s="50">
        <f t="shared" si="20"/>
        <v>6</v>
      </c>
      <c r="E368" s="51">
        <v>42405</v>
      </c>
      <c r="F368" s="49" t="s">
        <v>19</v>
      </c>
      <c r="G368" s="45">
        <f>H368+(I368*0.06)</f>
        <v>99</v>
      </c>
      <c r="H368" s="45">
        <v>99</v>
      </c>
      <c r="I368" s="45"/>
      <c r="J368" s="47"/>
    </row>
    <row r="369" spans="1:10" s="48" customFormat="1" x14ac:dyDescent="0.25">
      <c r="A369" s="49">
        <v>33714</v>
      </c>
      <c r="B369" s="53">
        <f t="shared" si="18"/>
        <v>2</v>
      </c>
      <c r="C369" s="50">
        <f t="shared" si="19"/>
        <v>2016</v>
      </c>
      <c r="D369" s="50">
        <f t="shared" si="20"/>
        <v>6</v>
      </c>
      <c r="E369" s="51">
        <v>42405</v>
      </c>
      <c r="F369" s="49" t="s">
        <v>40</v>
      </c>
      <c r="G369" s="45">
        <f>H369+(I369*0.06)</f>
        <v>29.999999999999996</v>
      </c>
      <c r="H369" s="45">
        <f>33/1.1</f>
        <v>29.999999999999996</v>
      </c>
      <c r="I369" s="45"/>
      <c r="J369" s="47"/>
    </row>
    <row r="370" spans="1:10" s="48" customFormat="1" x14ac:dyDescent="0.25">
      <c r="A370" s="49">
        <v>33715</v>
      </c>
      <c r="B370" s="53">
        <f t="shared" si="18"/>
        <v>2</v>
      </c>
      <c r="C370" s="50">
        <f t="shared" si="19"/>
        <v>2016</v>
      </c>
      <c r="D370" s="50">
        <f t="shared" si="20"/>
        <v>6</v>
      </c>
      <c r="E370" s="51">
        <v>42405</v>
      </c>
      <c r="F370" s="49" t="s">
        <v>19</v>
      </c>
      <c r="G370" s="45">
        <f>H370+(I370*0.06)</f>
        <v>0</v>
      </c>
      <c r="H370" s="45"/>
      <c r="I370" s="45"/>
      <c r="J370" s="47"/>
    </row>
    <row r="371" spans="1:10" s="48" customFormat="1" x14ac:dyDescent="0.25">
      <c r="A371" s="49">
        <v>33716</v>
      </c>
      <c r="B371" s="53">
        <f t="shared" si="18"/>
        <v>2</v>
      </c>
      <c r="C371" s="50">
        <f t="shared" si="19"/>
        <v>2016</v>
      </c>
      <c r="D371" s="50">
        <f t="shared" si="20"/>
        <v>6</v>
      </c>
      <c r="E371" s="51">
        <v>42405</v>
      </c>
      <c r="F371" s="49" t="s">
        <v>9</v>
      </c>
      <c r="G371" s="45">
        <f>H371+(I371*0.06)</f>
        <v>0</v>
      </c>
      <c r="H371" s="45"/>
      <c r="I371" s="45"/>
      <c r="J371" s="47"/>
    </row>
    <row r="372" spans="1:10" s="48" customFormat="1" x14ac:dyDescent="0.25">
      <c r="A372" s="49">
        <v>33717</v>
      </c>
      <c r="B372" s="53">
        <f t="shared" si="18"/>
        <v>2</v>
      </c>
      <c r="C372" s="50">
        <f t="shared" si="19"/>
        <v>2016</v>
      </c>
      <c r="D372" s="50">
        <f t="shared" si="20"/>
        <v>7</v>
      </c>
      <c r="E372" s="51">
        <v>42408</v>
      </c>
      <c r="F372" s="49" t="s">
        <v>3</v>
      </c>
      <c r="G372" s="45">
        <f>H372+(I372*0.06)</f>
        <v>669</v>
      </c>
      <c r="H372" s="45">
        <v>669</v>
      </c>
      <c r="I372" s="45"/>
      <c r="J372" s="47"/>
    </row>
    <row r="373" spans="1:10" s="48" customFormat="1" x14ac:dyDescent="0.25">
      <c r="A373" s="49">
        <v>33718</v>
      </c>
      <c r="B373" s="53">
        <f t="shared" si="18"/>
        <v>2</v>
      </c>
      <c r="C373" s="50">
        <f t="shared" si="19"/>
        <v>2016</v>
      </c>
      <c r="D373" s="50">
        <f t="shared" si="20"/>
        <v>7</v>
      </c>
      <c r="E373" s="51">
        <v>42408</v>
      </c>
      <c r="F373" s="49" t="s">
        <v>40</v>
      </c>
      <c r="G373" s="45">
        <f>H373+(I373*0.06)</f>
        <v>4599.1363636363631</v>
      </c>
      <c r="H373" s="45">
        <f>5059.05/1.1</f>
        <v>4599.1363636363631</v>
      </c>
      <c r="I373" s="45"/>
      <c r="J373" s="47"/>
    </row>
    <row r="374" spans="1:10" s="48" customFormat="1" x14ac:dyDescent="0.25">
      <c r="A374" s="49">
        <v>33719</v>
      </c>
      <c r="B374" s="53">
        <f t="shared" si="18"/>
        <v>2</v>
      </c>
      <c r="C374" s="50">
        <f t="shared" si="19"/>
        <v>2016</v>
      </c>
      <c r="D374" s="50">
        <f t="shared" si="20"/>
        <v>7</v>
      </c>
      <c r="E374" s="51">
        <v>42408</v>
      </c>
      <c r="F374" s="49" t="s">
        <v>19</v>
      </c>
      <c r="G374" s="45">
        <f>H374+(I374*0.06)</f>
        <v>199</v>
      </c>
      <c r="H374" s="45">
        <v>199</v>
      </c>
      <c r="I374" s="45"/>
      <c r="J374" s="47"/>
    </row>
    <row r="375" spans="1:10" s="48" customFormat="1" x14ac:dyDescent="0.25">
      <c r="A375" s="49">
        <v>33720</v>
      </c>
      <c r="B375" s="53">
        <f t="shared" si="18"/>
        <v>2</v>
      </c>
      <c r="C375" s="50">
        <f t="shared" si="19"/>
        <v>2016</v>
      </c>
      <c r="D375" s="50">
        <f t="shared" si="20"/>
        <v>7</v>
      </c>
      <c r="E375" s="51">
        <v>42408</v>
      </c>
      <c r="F375" s="49" t="s">
        <v>19</v>
      </c>
      <c r="G375" s="45">
        <f>H375+(I375*0.06)</f>
        <v>115</v>
      </c>
      <c r="H375" s="45">
        <v>115</v>
      </c>
      <c r="I375" s="45"/>
      <c r="J375" s="47"/>
    </row>
    <row r="376" spans="1:10" s="48" customFormat="1" x14ac:dyDescent="0.25">
      <c r="A376" s="49">
        <v>33721</v>
      </c>
      <c r="B376" s="53">
        <f t="shared" si="18"/>
        <v>2</v>
      </c>
      <c r="C376" s="50">
        <f t="shared" si="19"/>
        <v>2016</v>
      </c>
      <c r="D376" s="50">
        <f t="shared" si="20"/>
        <v>7</v>
      </c>
      <c r="E376" s="51">
        <v>42408</v>
      </c>
      <c r="F376" s="49" t="s">
        <v>19</v>
      </c>
      <c r="G376" s="45">
        <f>H376+(I376*0.06)</f>
        <v>115</v>
      </c>
      <c r="H376" s="45">
        <v>115</v>
      </c>
      <c r="I376" s="45"/>
      <c r="J376" s="47"/>
    </row>
    <row r="377" spans="1:10" s="48" customFormat="1" x14ac:dyDescent="0.25">
      <c r="A377" s="49">
        <v>33722</v>
      </c>
      <c r="B377" s="53">
        <f t="shared" si="18"/>
        <v>2</v>
      </c>
      <c r="C377" s="50">
        <f t="shared" si="19"/>
        <v>2016</v>
      </c>
      <c r="D377" s="50">
        <f t="shared" si="20"/>
        <v>7</v>
      </c>
      <c r="E377" s="51">
        <v>42408</v>
      </c>
      <c r="F377" s="49" t="s">
        <v>19</v>
      </c>
      <c r="G377" s="45">
        <f>H377+(I377*0.06)</f>
        <v>50</v>
      </c>
      <c r="H377" s="45">
        <v>50</v>
      </c>
      <c r="I377" s="45"/>
      <c r="J377" s="47"/>
    </row>
    <row r="378" spans="1:10" s="48" customFormat="1" x14ac:dyDescent="0.25">
      <c r="A378" s="49">
        <v>33723</v>
      </c>
      <c r="B378" s="53">
        <f t="shared" si="18"/>
        <v>2</v>
      </c>
      <c r="C378" s="50">
        <f t="shared" si="19"/>
        <v>2016</v>
      </c>
      <c r="D378" s="50">
        <f t="shared" si="20"/>
        <v>7</v>
      </c>
      <c r="E378" s="51">
        <v>42408</v>
      </c>
      <c r="F378" s="49" t="s">
        <v>0</v>
      </c>
      <c r="G378" s="45">
        <f>H378+(I378*0.06)</f>
        <v>0</v>
      </c>
      <c r="H378" s="45"/>
      <c r="I378" s="45"/>
      <c r="J378" s="47"/>
    </row>
    <row r="379" spans="1:10" s="48" customFormat="1" x14ac:dyDescent="0.25">
      <c r="A379" s="49">
        <v>33724</v>
      </c>
      <c r="B379" s="53">
        <f t="shared" si="18"/>
        <v>2</v>
      </c>
      <c r="C379" s="50">
        <f t="shared" si="19"/>
        <v>2016</v>
      </c>
      <c r="D379" s="50">
        <f t="shared" si="20"/>
        <v>7</v>
      </c>
      <c r="E379" s="51">
        <v>42408</v>
      </c>
      <c r="F379" s="49" t="s">
        <v>0</v>
      </c>
      <c r="G379" s="45">
        <f>H379+(I379*0.06)</f>
        <v>7275</v>
      </c>
      <c r="H379" s="45">
        <v>7275</v>
      </c>
      <c r="I379" s="45"/>
      <c r="J379" s="47"/>
    </row>
    <row r="380" spans="1:10" s="48" customFormat="1" x14ac:dyDescent="0.25">
      <c r="A380" s="49">
        <v>33725</v>
      </c>
      <c r="B380" s="53">
        <f t="shared" si="18"/>
        <v>2</v>
      </c>
      <c r="C380" s="50">
        <f t="shared" si="19"/>
        <v>2016</v>
      </c>
      <c r="D380" s="50">
        <f t="shared" si="20"/>
        <v>7</v>
      </c>
      <c r="E380" s="51">
        <v>42408</v>
      </c>
      <c r="F380" s="49" t="s">
        <v>0</v>
      </c>
      <c r="G380" s="45">
        <f>H380+(I380*0.06)</f>
        <v>153</v>
      </c>
      <c r="H380" s="45">
        <v>153</v>
      </c>
      <c r="I380" s="45"/>
      <c r="J380" s="47"/>
    </row>
    <row r="381" spans="1:10" s="48" customFormat="1" x14ac:dyDescent="0.25">
      <c r="A381" s="49">
        <v>33726</v>
      </c>
      <c r="B381" s="53">
        <f t="shared" si="18"/>
        <v>2</v>
      </c>
      <c r="C381" s="50">
        <f t="shared" si="19"/>
        <v>2016</v>
      </c>
      <c r="D381" s="50">
        <f t="shared" si="20"/>
        <v>7</v>
      </c>
      <c r="E381" s="51">
        <v>42408</v>
      </c>
      <c r="F381" s="49" t="s">
        <v>3</v>
      </c>
      <c r="G381" s="45">
        <f>H381+(I381*0.06)</f>
        <v>1535</v>
      </c>
      <c r="H381" s="45">
        <v>1535</v>
      </c>
      <c r="I381" s="45"/>
      <c r="J381" s="47"/>
    </row>
    <row r="382" spans="1:10" s="48" customFormat="1" x14ac:dyDescent="0.25">
      <c r="A382" s="49">
        <v>33727</v>
      </c>
      <c r="B382" s="53">
        <f t="shared" si="18"/>
        <v>2</v>
      </c>
      <c r="C382" s="50">
        <f t="shared" si="19"/>
        <v>2016</v>
      </c>
      <c r="D382" s="50">
        <f t="shared" si="20"/>
        <v>7</v>
      </c>
      <c r="E382" s="51">
        <v>42408</v>
      </c>
      <c r="F382" s="49" t="s">
        <v>19</v>
      </c>
      <c r="G382" s="45">
        <f>H382+(I382*0.06)</f>
        <v>19</v>
      </c>
      <c r="H382" s="45">
        <v>19</v>
      </c>
      <c r="I382" s="45"/>
      <c r="J382" s="47"/>
    </row>
    <row r="383" spans="1:10" s="48" customFormat="1" x14ac:dyDescent="0.25">
      <c r="A383" s="49">
        <v>33728</v>
      </c>
      <c r="B383" s="53">
        <f t="shared" si="18"/>
        <v>2</v>
      </c>
      <c r="C383" s="50">
        <f t="shared" si="19"/>
        <v>2016</v>
      </c>
      <c r="D383" s="50">
        <f t="shared" si="20"/>
        <v>7</v>
      </c>
      <c r="E383" s="51">
        <v>42408</v>
      </c>
      <c r="F383" s="49" t="s">
        <v>19</v>
      </c>
      <c r="G383" s="45">
        <f>H383+(I383*0.06)</f>
        <v>150</v>
      </c>
      <c r="H383" s="45">
        <v>150</v>
      </c>
      <c r="I383" s="45"/>
      <c r="J383" s="47"/>
    </row>
    <row r="384" spans="1:10" s="48" customFormat="1" x14ac:dyDescent="0.25">
      <c r="A384" s="49">
        <v>33729</v>
      </c>
      <c r="B384" s="53">
        <f t="shared" si="18"/>
        <v>2</v>
      </c>
      <c r="C384" s="50">
        <f t="shared" si="19"/>
        <v>2016</v>
      </c>
      <c r="D384" s="50">
        <f t="shared" si="20"/>
        <v>7</v>
      </c>
      <c r="E384" s="51">
        <v>42408</v>
      </c>
      <c r="F384" s="49" t="s">
        <v>19</v>
      </c>
      <c r="G384" s="45">
        <f>H384+(I384*0.06)</f>
        <v>134</v>
      </c>
      <c r="H384" s="45">
        <v>134</v>
      </c>
      <c r="I384" s="45"/>
      <c r="J384" s="47"/>
    </row>
    <row r="385" spans="1:10" s="48" customFormat="1" x14ac:dyDescent="0.25">
      <c r="A385" s="49">
        <v>33730</v>
      </c>
      <c r="B385" s="53">
        <f t="shared" si="18"/>
        <v>2</v>
      </c>
      <c r="C385" s="50">
        <f t="shared" si="19"/>
        <v>2016</v>
      </c>
      <c r="D385" s="50">
        <f t="shared" si="20"/>
        <v>7</v>
      </c>
      <c r="E385" s="51">
        <v>42408</v>
      </c>
      <c r="F385" s="49" t="s">
        <v>0</v>
      </c>
      <c r="G385" s="45">
        <f>H385+(I385*0.06)</f>
        <v>525</v>
      </c>
      <c r="H385" s="45">
        <v>525</v>
      </c>
      <c r="I385" s="45"/>
      <c r="J385" s="47"/>
    </row>
    <row r="386" spans="1:10" s="48" customFormat="1" x14ac:dyDescent="0.25">
      <c r="A386" s="49">
        <v>33731</v>
      </c>
      <c r="B386" s="53">
        <f t="shared" si="18"/>
        <v>2</v>
      </c>
      <c r="C386" s="50">
        <f t="shared" si="19"/>
        <v>2016</v>
      </c>
      <c r="D386" s="50">
        <f t="shared" si="20"/>
        <v>7</v>
      </c>
      <c r="E386" s="51">
        <v>42408</v>
      </c>
      <c r="F386" s="49" t="s">
        <v>3</v>
      </c>
      <c r="G386" s="45">
        <f>H386+(I386*0.06)</f>
        <v>4713</v>
      </c>
      <c r="H386" s="45">
        <v>4713</v>
      </c>
      <c r="I386" s="45"/>
      <c r="J386" s="47"/>
    </row>
    <row r="387" spans="1:10" s="48" customFormat="1" x14ac:dyDescent="0.25">
      <c r="A387" s="49">
        <v>33732</v>
      </c>
      <c r="B387" s="53">
        <f t="shared" si="18"/>
        <v>2</v>
      </c>
      <c r="C387" s="50">
        <f t="shared" si="19"/>
        <v>2016</v>
      </c>
      <c r="D387" s="50">
        <f t="shared" si="20"/>
        <v>7</v>
      </c>
      <c r="E387" s="51">
        <v>42409</v>
      </c>
      <c r="F387" s="49" t="s">
        <v>2</v>
      </c>
      <c r="G387" s="45">
        <f>H387+(I387*0.06)</f>
        <v>8797.89</v>
      </c>
      <c r="H387" s="45">
        <v>8797.89</v>
      </c>
      <c r="I387" s="45"/>
      <c r="J387" s="47"/>
    </row>
    <row r="388" spans="1:10" s="48" customFormat="1" x14ac:dyDescent="0.25">
      <c r="A388" s="49">
        <v>33733</v>
      </c>
      <c r="B388" s="53">
        <f t="shared" si="18"/>
        <v>2</v>
      </c>
      <c r="C388" s="50">
        <f t="shared" si="19"/>
        <v>2016</v>
      </c>
      <c r="D388" s="50">
        <f t="shared" si="20"/>
        <v>7</v>
      </c>
      <c r="E388" s="51">
        <v>42409</v>
      </c>
      <c r="F388" s="49" t="s">
        <v>0</v>
      </c>
      <c r="G388" s="45">
        <f>H388+(I388*0.06)</f>
        <v>256</v>
      </c>
      <c r="H388" s="45">
        <v>256</v>
      </c>
      <c r="I388" s="45"/>
      <c r="J388" s="47"/>
    </row>
    <row r="389" spans="1:10" s="48" customFormat="1" x14ac:dyDescent="0.25">
      <c r="A389" s="49">
        <v>33734</v>
      </c>
      <c r="B389" s="53">
        <f t="shared" si="18"/>
        <v>2</v>
      </c>
      <c r="C389" s="50">
        <f t="shared" si="19"/>
        <v>2016</v>
      </c>
      <c r="D389" s="50">
        <f t="shared" si="20"/>
        <v>7</v>
      </c>
      <c r="E389" s="51">
        <v>42409</v>
      </c>
      <c r="F389" s="49" t="s">
        <v>9</v>
      </c>
      <c r="G389" s="45">
        <f>H389+(I389*0.06)</f>
        <v>0</v>
      </c>
      <c r="H389" s="45"/>
      <c r="I389" s="45"/>
      <c r="J389" s="47"/>
    </row>
    <row r="390" spans="1:10" s="48" customFormat="1" x14ac:dyDescent="0.25">
      <c r="A390" s="49">
        <v>33735</v>
      </c>
      <c r="B390" s="53">
        <f t="shared" ref="B390:B453" si="21">IF(E390="","",MONTH(E390))</f>
        <v>2</v>
      </c>
      <c r="C390" s="50">
        <f t="shared" ref="C390:C453" si="22">IF(E390="","",YEAR(E390))</f>
        <v>2016</v>
      </c>
      <c r="D390" s="50">
        <f t="shared" ref="D390:D453" si="23">IF(E390="","",WEEKNUM(E390,2))</f>
        <v>7</v>
      </c>
      <c r="E390" s="51">
        <v>42409</v>
      </c>
      <c r="F390" s="49" t="s">
        <v>9</v>
      </c>
      <c r="G390" s="45">
        <f>H390+(I390*0.06)</f>
        <v>0</v>
      </c>
      <c r="H390" s="45"/>
      <c r="I390" s="45"/>
      <c r="J390" s="47"/>
    </row>
    <row r="391" spans="1:10" s="48" customFormat="1" x14ac:dyDescent="0.25">
      <c r="A391" s="49">
        <v>33736</v>
      </c>
      <c r="B391" s="53">
        <f t="shared" si="21"/>
        <v>2</v>
      </c>
      <c r="C391" s="50">
        <f t="shared" si="22"/>
        <v>2016</v>
      </c>
      <c r="D391" s="50">
        <f t="shared" si="23"/>
        <v>7</v>
      </c>
      <c r="E391" s="51">
        <v>42409</v>
      </c>
      <c r="F391" s="49" t="s">
        <v>9</v>
      </c>
      <c r="G391" s="45">
        <f>H391+(I391*0.06)</f>
        <v>0</v>
      </c>
      <c r="H391" s="45"/>
      <c r="I391" s="45"/>
      <c r="J391" s="47"/>
    </row>
    <row r="392" spans="1:10" s="48" customFormat="1" x14ac:dyDescent="0.25">
      <c r="A392" s="49">
        <v>33737</v>
      </c>
      <c r="B392" s="53">
        <f t="shared" si="21"/>
        <v>2</v>
      </c>
      <c r="C392" s="50">
        <f t="shared" si="22"/>
        <v>2016</v>
      </c>
      <c r="D392" s="50">
        <f t="shared" si="23"/>
        <v>7</v>
      </c>
      <c r="E392" s="51">
        <v>42410</v>
      </c>
      <c r="F392" s="49" t="s">
        <v>0</v>
      </c>
      <c r="G392" s="45">
        <f>H392+(I392*0.06)</f>
        <v>649</v>
      </c>
      <c r="H392" s="45">
        <v>649</v>
      </c>
      <c r="I392" s="45"/>
      <c r="J392" s="47"/>
    </row>
    <row r="393" spans="1:10" s="48" customFormat="1" x14ac:dyDescent="0.25">
      <c r="A393" s="49">
        <v>33738</v>
      </c>
      <c r="B393" s="53">
        <f t="shared" si="21"/>
        <v>2</v>
      </c>
      <c r="C393" s="50">
        <f t="shared" si="22"/>
        <v>2016</v>
      </c>
      <c r="D393" s="50">
        <f t="shared" si="23"/>
        <v>7</v>
      </c>
      <c r="E393" s="51">
        <v>42410</v>
      </c>
      <c r="F393" s="49" t="s">
        <v>0</v>
      </c>
      <c r="G393" s="45">
        <f>H393+(I393*0.06)</f>
        <v>866</v>
      </c>
      <c r="H393" s="45">
        <v>866</v>
      </c>
      <c r="I393" s="45"/>
      <c r="J393" s="47"/>
    </row>
    <row r="394" spans="1:10" s="48" customFormat="1" x14ac:dyDescent="0.25">
      <c r="A394" s="49">
        <v>33739</v>
      </c>
      <c r="B394" s="53">
        <f t="shared" si="21"/>
        <v>2</v>
      </c>
      <c r="C394" s="50">
        <f t="shared" si="22"/>
        <v>2016</v>
      </c>
      <c r="D394" s="50">
        <f t="shared" si="23"/>
        <v>7</v>
      </c>
      <c r="E394" s="51">
        <v>42410</v>
      </c>
      <c r="F394" s="49" t="s">
        <v>3</v>
      </c>
      <c r="G394" s="45">
        <f>H394+(I394*0.06)</f>
        <v>211</v>
      </c>
      <c r="H394" s="45">
        <v>211</v>
      </c>
      <c r="I394" s="45"/>
      <c r="J394" s="47"/>
    </row>
    <row r="395" spans="1:10" s="48" customFormat="1" x14ac:dyDescent="0.25">
      <c r="A395" s="49">
        <v>33740</v>
      </c>
      <c r="B395" s="53">
        <f t="shared" si="21"/>
        <v>2</v>
      </c>
      <c r="C395" s="50">
        <f t="shared" si="22"/>
        <v>2016</v>
      </c>
      <c r="D395" s="50">
        <f t="shared" si="23"/>
        <v>7</v>
      </c>
      <c r="E395" s="51">
        <v>42410</v>
      </c>
      <c r="F395" s="49" t="s">
        <v>3</v>
      </c>
      <c r="G395" s="45">
        <f>H395+(I395*0.06)</f>
        <v>823.75</v>
      </c>
      <c r="H395" s="45">
        <v>823.75</v>
      </c>
      <c r="I395" s="45"/>
      <c r="J395" s="47"/>
    </row>
    <row r="396" spans="1:10" s="48" customFormat="1" x14ac:dyDescent="0.25">
      <c r="A396" s="49">
        <v>33741</v>
      </c>
      <c r="B396" s="53">
        <f t="shared" si="21"/>
        <v>2</v>
      </c>
      <c r="C396" s="50">
        <f t="shared" si="22"/>
        <v>2016</v>
      </c>
      <c r="D396" s="50">
        <f t="shared" si="23"/>
        <v>7</v>
      </c>
      <c r="E396" s="51">
        <v>42410</v>
      </c>
      <c r="F396" s="49" t="s">
        <v>40</v>
      </c>
      <c r="G396" s="45">
        <f>H396+(I396*0.06)</f>
        <v>2616.5</v>
      </c>
      <c r="H396" s="45">
        <f>2878.15/1.1</f>
        <v>2616.5</v>
      </c>
      <c r="I396" s="45"/>
      <c r="J396" s="47"/>
    </row>
    <row r="397" spans="1:10" s="48" customFormat="1" x14ac:dyDescent="0.25">
      <c r="A397" s="49">
        <v>33742</v>
      </c>
      <c r="B397" s="53">
        <f t="shared" si="21"/>
        <v>2</v>
      </c>
      <c r="C397" s="50">
        <f t="shared" si="22"/>
        <v>2016</v>
      </c>
      <c r="D397" s="50">
        <f t="shared" si="23"/>
        <v>7</v>
      </c>
      <c r="E397" s="51">
        <v>42410</v>
      </c>
      <c r="F397" s="49" t="s">
        <v>40</v>
      </c>
      <c r="G397" s="45">
        <f>H397+(I397*0.06)</f>
        <v>1677.4999999999998</v>
      </c>
      <c r="H397" s="45">
        <f>1845.25/1.1</f>
        <v>1677.4999999999998</v>
      </c>
      <c r="I397" s="45"/>
      <c r="J397" s="47"/>
    </row>
    <row r="398" spans="1:10" s="48" customFormat="1" x14ac:dyDescent="0.25">
      <c r="A398" s="49">
        <v>33743</v>
      </c>
      <c r="B398" s="53">
        <f t="shared" si="21"/>
        <v>2</v>
      </c>
      <c r="C398" s="50">
        <f t="shared" si="22"/>
        <v>2016</v>
      </c>
      <c r="D398" s="50">
        <f t="shared" si="23"/>
        <v>7</v>
      </c>
      <c r="E398" s="51">
        <v>42410</v>
      </c>
      <c r="F398" s="49" t="s">
        <v>40</v>
      </c>
      <c r="G398" s="45">
        <f>H398+(I398*0.06)</f>
        <v>2580.9999999999995</v>
      </c>
      <c r="H398" s="45">
        <f>2839.1/1.1</f>
        <v>2580.9999999999995</v>
      </c>
      <c r="I398" s="45"/>
      <c r="J398" s="47"/>
    </row>
    <row r="399" spans="1:10" s="48" customFormat="1" x14ac:dyDescent="0.25">
      <c r="A399" s="49">
        <v>33744</v>
      </c>
      <c r="B399" s="53">
        <f t="shared" si="21"/>
        <v>2</v>
      </c>
      <c r="C399" s="50">
        <f t="shared" si="22"/>
        <v>2016</v>
      </c>
      <c r="D399" s="50">
        <f t="shared" si="23"/>
        <v>7</v>
      </c>
      <c r="E399" s="51">
        <v>42410</v>
      </c>
      <c r="F399" s="49" t="s">
        <v>0</v>
      </c>
      <c r="G399" s="45">
        <f>H399+(I399*0.06)</f>
        <v>741</v>
      </c>
      <c r="H399" s="45">
        <v>741</v>
      </c>
      <c r="I399" s="45"/>
      <c r="J399" s="47"/>
    </row>
    <row r="400" spans="1:10" s="48" customFormat="1" x14ac:dyDescent="0.25">
      <c r="A400" s="49">
        <v>33745</v>
      </c>
      <c r="B400" s="53">
        <f t="shared" si="21"/>
        <v>2</v>
      </c>
      <c r="C400" s="50">
        <f t="shared" si="22"/>
        <v>2016</v>
      </c>
      <c r="D400" s="50">
        <f t="shared" si="23"/>
        <v>7</v>
      </c>
      <c r="E400" s="51">
        <v>42410</v>
      </c>
      <c r="F400" s="49" t="s">
        <v>3</v>
      </c>
      <c r="G400" s="45">
        <f>H400+(I400*0.06)</f>
        <v>1064</v>
      </c>
      <c r="H400" s="45">
        <v>1064</v>
      </c>
      <c r="I400" s="45"/>
      <c r="J400" s="47"/>
    </row>
    <row r="401" spans="1:10" s="48" customFormat="1" x14ac:dyDescent="0.25">
      <c r="A401" s="49">
        <v>33746</v>
      </c>
      <c r="B401" s="53">
        <f t="shared" si="21"/>
        <v>2</v>
      </c>
      <c r="C401" s="50">
        <f t="shared" si="22"/>
        <v>2016</v>
      </c>
      <c r="D401" s="50">
        <f t="shared" si="23"/>
        <v>7</v>
      </c>
      <c r="E401" s="51">
        <v>42410</v>
      </c>
      <c r="F401" s="49" t="s">
        <v>3</v>
      </c>
      <c r="G401" s="45">
        <f>H401+(I401*0.06)</f>
        <v>2323.8000000000002</v>
      </c>
      <c r="H401" s="45">
        <v>2323.8000000000002</v>
      </c>
      <c r="I401" s="45"/>
      <c r="J401" s="47"/>
    </row>
    <row r="402" spans="1:10" s="48" customFormat="1" x14ac:dyDescent="0.25">
      <c r="A402" s="49">
        <v>33747</v>
      </c>
      <c r="B402" s="53">
        <f t="shared" si="21"/>
        <v>2</v>
      </c>
      <c r="C402" s="50">
        <f t="shared" si="22"/>
        <v>2016</v>
      </c>
      <c r="D402" s="50">
        <f t="shared" si="23"/>
        <v>7</v>
      </c>
      <c r="E402" s="51">
        <v>42410</v>
      </c>
      <c r="F402" s="49" t="s">
        <v>19</v>
      </c>
      <c r="G402" s="45">
        <f>H402+(I402*0.06)</f>
        <v>25</v>
      </c>
      <c r="H402" s="45">
        <v>25</v>
      </c>
      <c r="I402" s="45"/>
      <c r="J402" s="47"/>
    </row>
    <row r="403" spans="1:10" s="48" customFormat="1" x14ac:dyDescent="0.25">
      <c r="A403" s="49">
        <v>33748</v>
      </c>
      <c r="B403" s="53">
        <f t="shared" si="21"/>
        <v>2</v>
      </c>
      <c r="C403" s="50">
        <f t="shared" si="22"/>
        <v>2016</v>
      </c>
      <c r="D403" s="50">
        <f t="shared" si="23"/>
        <v>7</v>
      </c>
      <c r="E403" s="51">
        <v>42410</v>
      </c>
      <c r="F403" s="49" t="s">
        <v>0</v>
      </c>
      <c r="G403" s="45">
        <f>H403+(I403*0.06)</f>
        <v>476</v>
      </c>
      <c r="H403" s="45">
        <v>476</v>
      </c>
      <c r="I403" s="45"/>
      <c r="J403" s="47"/>
    </row>
    <row r="404" spans="1:10" s="48" customFormat="1" x14ac:dyDescent="0.25">
      <c r="A404" s="49">
        <v>33749</v>
      </c>
      <c r="B404" s="53">
        <f t="shared" si="21"/>
        <v>2</v>
      </c>
      <c r="C404" s="50">
        <f t="shared" si="22"/>
        <v>2016</v>
      </c>
      <c r="D404" s="50">
        <f t="shared" si="23"/>
        <v>7</v>
      </c>
      <c r="E404" s="51">
        <v>42410</v>
      </c>
      <c r="F404" s="49" t="s">
        <v>0</v>
      </c>
      <c r="G404" s="45">
        <f>H404+(I404*0.06)</f>
        <v>2062.5</v>
      </c>
      <c r="H404" s="45">
        <v>2062.5</v>
      </c>
      <c r="I404" s="45"/>
      <c r="J404" s="47"/>
    </row>
    <row r="405" spans="1:10" s="48" customFormat="1" x14ac:dyDescent="0.25">
      <c r="A405" s="49">
        <v>33750</v>
      </c>
      <c r="B405" s="53">
        <f t="shared" si="21"/>
        <v>2</v>
      </c>
      <c r="C405" s="50">
        <f t="shared" si="22"/>
        <v>2016</v>
      </c>
      <c r="D405" s="50">
        <f t="shared" si="23"/>
        <v>7</v>
      </c>
      <c r="E405" s="51">
        <v>42410</v>
      </c>
      <c r="F405" s="49" t="s">
        <v>3</v>
      </c>
      <c r="G405" s="45">
        <f>H405+(I405*0.06)</f>
        <v>16058.7</v>
      </c>
      <c r="H405" s="45">
        <v>16058.7</v>
      </c>
      <c r="I405" s="45"/>
      <c r="J405" s="47"/>
    </row>
    <row r="406" spans="1:10" s="48" customFormat="1" x14ac:dyDescent="0.25">
      <c r="A406" s="49">
        <v>33751</v>
      </c>
      <c r="B406" s="53">
        <f t="shared" si="21"/>
        <v>2</v>
      </c>
      <c r="C406" s="50">
        <f t="shared" si="22"/>
        <v>2016</v>
      </c>
      <c r="D406" s="50">
        <f t="shared" si="23"/>
        <v>7</v>
      </c>
      <c r="E406" s="51">
        <v>42410</v>
      </c>
      <c r="F406" s="49" t="s">
        <v>0</v>
      </c>
      <c r="G406" s="45">
        <f>H406+(I406*0.06)</f>
        <v>13810</v>
      </c>
      <c r="H406" s="45">
        <v>13810</v>
      </c>
      <c r="I406" s="45"/>
      <c r="J406" s="47"/>
    </row>
    <row r="407" spans="1:10" s="48" customFormat="1" x14ac:dyDescent="0.25">
      <c r="A407" s="49">
        <v>33752</v>
      </c>
      <c r="B407" s="53">
        <f t="shared" si="21"/>
        <v>2</v>
      </c>
      <c r="C407" s="50">
        <f t="shared" si="22"/>
        <v>2016</v>
      </c>
      <c r="D407" s="50">
        <f t="shared" si="23"/>
        <v>7</v>
      </c>
      <c r="E407" s="51">
        <v>42410</v>
      </c>
      <c r="F407" s="49" t="s">
        <v>19</v>
      </c>
      <c r="G407" s="45">
        <f>H407+(I407*0.06)</f>
        <v>160</v>
      </c>
      <c r="H407" s="45">
        <v>160</v>
      </c>
      <c r="I407" s="45"/>
      <c r="J407" s="47"/>
    </row>
    <row r="408" spans="1:10" s="48" customFormat="1" x14ac:dyDescent="0.25">
      <c r="A408" s="49">
        <v>33753</v>
      </c>
      <c r="B408" s="53">
        <f t="shared" si="21"/>
        <v>2</v>
      </c>
      <c r="C408" s="50">
        <f t="shared" si="22"/>
        <v>2016</v>
      </c>
      <c r="D408" s="50">
        <f t="shared" si="23"/>
        <v>7</v>
      </c>
      <c r="E408" s="51">
        <v>42410</v>
      </c>
      <c r="F408" s="49" t="s">
        <v>19</v>
      </c>
      <c r="G408" s="45">
        <f>H408+(I408*0.06)</f>
        <v>1370</v>
      </c>
      <c r="H408" s="45">
        <v>1370</v>
      </c>
      <c r="I408" s="45"/>
      <c r="J408" s="47"/>
    </row>
    <row r="409" spans="1:10" s="48" customFormat="1" x14ac:dyDescent="0.25">
      <c r="A409" s="49">
        <v>33754</v>
      </c>
      <c r="B409" s="53">
        <f t="shared" si="21"/>
        <v>2</v>
      </c>
      <c r="C409" s="50">
        <f t="shared" si="22"/>
        <v>2016</v>
      </c>
      <c r="D409" s="50">
        <f t="shared" si="23"/>
        <v>7</v>
      </c>
      <c r="E409" s="51">
        <v>42410</v>
      </c>
      <c r="F409" s="49" t="s">
        <v>2</v>
      </c>
      <c r="G409" s="45">
        <f>H409+(I409*0.06)</f>
        <v>1000</v>
      </c>
      <c r="H409" s="45">
        <v>1000</v>
      </c>
      <c r="I409" s="45"/>
      <c r="J409" s="47"/>
    </row>
    <row r="410" spans="1:10" s="48" customFormat="1" x14ac:dyDescent="0.25">
      <c r="A410" s="49">
        <v>33755</v>
      </c>
      <c r="B410" s="53">
        <f t="shared" si="21"/>
        <v>2</v>
      </c>
      <c r="C410" s="50">
        <f t="shared" si="22"/>
        <v>2016</v>
      </c>
      <c r="D410" s="50">
        <f t="shared" si="23"/>
        <v>7</v>
      </c>
      <c r="E410" s="51">
        <v>42410</v>
      </c>
      <c r="F410" s="49" t="s">
        <v>40</v>
      </c>
      <c r="G410" s="45">
        <f>H410+(I410*0.06)</f>
        <v>3296.5</v>
      </c>
      <c r="H410" s="45">
        <f>3626.15/1.1</f>
        <v>3296.5</v>
      </c>
      <c r="I410" s="45"/>
      <c r="J410" s="47"/>
    </row>
    <row r="411" spans="1:10" s="48" customFormat="1" x14ac:dyDescent="0.25">
      <c r="A411" s="49">
        <v>33756</v>
      </c>
      <c r="B411" s="53">
        <f t="shared" si="21"/>
        <v>2</v>
      </c>
      <c r="C411" s="50">
        <f t="shared" si="22"/>
        <v>2016</v>
      </c>
      <c r="D411" s="50">
        <f t="shared" si="23"/>
        <v>7</v>
      </c>
      <c r="E411" s="51">
        <v>42410</v>
      </c>
      <c r="F411" s="49" t="s">
        <v>40</v>
      </c>
      <c r="G411" s="45">
        <f>H411+(I411*0.06)</f>
        <v>2887.51</v>
      </c>
      <c r="H411" s="45">
        <v>2887.51</v>
      </c>
      <c r="I411" s="45"/>
      <c r="J411" s="47"/>
    </row>
    <row r="412" spans="1:10" s="48" customFormat="1" x14ac:dyDescent="0.25">
      <c r="A412" s="49">
        <v>33757</v>
      </c>
      <c r="B412" s="53">
        <f t="shared" si="21"/>
        <v>2</v>
      </c>
      <c r="C412" s="50">
        <f t="shared" si="22"/>
        <v>2016</v>
      </c>
      <c r="D412" s="50">
        <f t="shared" si="23"/>
        <v>7</v>
      </c>
      <c r="E412" s="51">
        <v>42410</v>
      </c>
      <c r="F412" s="49" t="s">
        <v>0</v>
      </c>
      <c r="G412" s="45">
        <f>H412+(I412*0.06)</f>
        <v>10492</v>
      </c>
      <c r="H412" s="45">
        <v>10492</v>
      </c>
      <c r="I412" s="45"/>
      <c r="J412" s="47"/>
    </row>
    <row r="413" spans="1:10" s="48" customFormat="1" x14ac:dyDescent="0.25">
      <c r="A413" s="49">
        <v>33758</v>
      </c>
      <c r="B413" s="53">
        <f t="shared" si="21"/>
        <v>2</v>
      </c>
      <c r="C413" s="50">
        <f t="shared" si="22"/>
        <v>2016</v>
      </c>
      <c r="D413" s="50">
        <f t="shared" si="23"/>
        <v>7</v>
      </c>
      <c r="E413" s="51">
        <v>42411</v>
      </c>
      <c r="F413" s="49" t="s">
        <v>9</v>
      </c>
      <c r="G413" s="45">
        <f>H413+(I413*0.06)</f>
        <v>0</v>
      </c>
      <c r="H413" s="45"/>
      <c r="I413" s="45"/>
      <c r="J413" s="47"/>
    </row>
    <row r="414" spans="1:10" s="48" customFormat="1" x14ac:dyDescent="0.25">
      <c r="A414" s="49">
        <v>33759</v>
      </c>
      <c r="B414" s="53">
        <f t="shared" si="21"/>
        <v>2</v>
      </c>
      <c r="C414" s="50">
        <f t="shared" si="22"/>
        <v>2016</v>
      </c>
      <c r="D414" s="50">
        <f t="shared" si="23"/>
        <v>7</v>
      </c>
      <c r="E414" s="51">
        <v>42411</v>
      </c>
      <c r="F414" s="49" t="s">
        <v>9</v>
      </c>
      <c r="G414" s="45">
        <f>H414+(I414*0.06)</f>
        <v>0</v>
      </c>
      <c r="H414" s="45"/>
      <c r="I414" s="45"/>
      <c r="J414" s="47"/>
    </row>
    <row r="415" spans="1:10" s="48" customFormat="1" x14ac:dyDescent="0.25">
      <c r="A415" s="49">
        <v>33760</v>
      </c>
      <c r="B415" s="53">
        <f t="shared" si="21"/>
        <v>2</v>
      </c>
      <c r="C415" s="50">
        <f t="shared" si="22"/>
        <v>2016</v>
      </c>
      <c r="D415" s="50">
        <f t="shared" si="23"/>
        <v>7</v>
      </c>
      <c r="E415" s="51">
        <v>42411</v>
      </c>
      <c r="F415" s="49" t="s">
        <v>2</v>
      </c>
      <c r="G415" s="45">
        <f>H415+(I415*0.06)</f>
        <v>1000</v>
      </c>
      <c r="H415" s="45">
        <v>1000</v>
      </c>
      <c r="I415" s="45"/>
      <c r="J415" s="47"/>
    </row>
    <row r="416" spans="1:10" s="48" customFormat="1" x14ac:dyDescent="0.25">
      <c r="A416" s="49">
        <v>33761</v>
      </c>
      <c r="B416" s="53">
        <f t="shared" si="21"/>
        <v>2</v>
      </c>
      <c r="C416" s="50">
        <f t="shared" si="22"/>
        <v>2016</v>
      </c>
      <c r="D416" s="50">
        <f t="shared" si="23"/>
        <v>7</v>
      </c>
      <c r="E416" s="51">
        <v>42411</v>
      </c>
      <c r="F416" s="49" t="s">
        <v>3</v>
      </c>
      <c r="G416" s="45">
        <f>H416+(I416*0.06)</f>
        <v>52.5</v>
      </c>
      <c r="H416" s="45">
        <v>52.5</v>
      </c>
      <c r="I416" s="45"/>
      <c r="J416" s="47"/>
    </row>
    <row r="417" spans="1:10" s="48" customFormat="1" x14ac:dyDescent="0.25">
      <c r="A417" s="49">
        <v>33762</v>
      </c>
      <c r="B417" s="53">
        <f t="shared" si="21"/>
        <v>2</v>
      </c>
      <c r="C417" s="50">
        <f t="shared" si="22"/>
        <v>2016</v>
      </c>
      <c r="D417" s="50">
        <f t="shared" si="23"/>
        <v>7</v>
      </c>
      <c r="E417" s="51">
        <v>42411</v>
      </c>
      <c r="F417" s="49" t="s">
        <v>3</v>
      </c>
      <c r="G417" s="45">
        <f>H417+(I417*0.06)</f>
        <v>42.5</v>
      </c>
      <c r="H417" s="45">
        <v>42.5</v>
      </c>
      <c r="I417" s="45"/>
      <c r="J417" s="47"/>
    </row>
    <row r="418" spans="1:10" s="48" customFormat="1" x14ac:dyDescent="0.25">
      <c r="A418" s="49">
        <v>33763</v>
      </c>
      <c r="B418" s="53">
        <f t="shared" si="21"/>
        <v>2</v>
      </c>
      <c r="C418" s="50">
        <f t="shared" si="22"/>
        <v>2016</v>
      </c>
      <c r="D418" s="50">
        <f t="shared" si="23"/>
        <v>7</v>
      </c>
      <c r="E418" s="51">
        <v>42411</v>
      </c>
      <c r="F418" s="49" t="s">
        <v>3</v>
      </c>
      <c r="G418" s="45">
        <f>H418+(I418*0.06)</f>
        <v>339</v>
      </c>
      <c r="H418" s="45">
        <v>339</v>
      </c>
      <c r="I418" s="45"/>
      <c r="J418" s="47"/>
    </row>
    <row r="419" spans="1:10" s="48" customFormat="1" x14ac:dyDescent="0.25">
      <c r="A419" s="49">
        <v>33764</v>
      </c>
      <c r="B419" s="53">
        <f t="shared" si="21"/>
        <v>2</v>
      </c>
      <c r="C419" s="50">
        <f t="shared" si="22"/>
        <v>2016</v>
      </c>
      <c r="D419" s="50">
        <f t="shared" si="23"/>
        <v>7</v>
      </c>
      <c r="E419" s="51">
        <v>42411</v>
      </c>
      <c r="F419" s="49" t="s">
        <v>0</v>
      </c>
      <c r="G419" s="45">
        <f>H419+(I419*0.06)</f>
        <v>1105</v>
      </c>
      <c r="H419" s="45">
        <v>1105</v>
      </c>
      <c r="I419" s="45"/>
      <c r="J419" s="47"/>
    </row>
    <row r="420" spans="1:10" s="48" customFormat="1" x14ac:dyDescent="0.25">
      <c r="A420" s="49">
        <v>33765</v>
      </c>
      <c r="B420" s="53">
        <f t="shared" si="21"/>
        <v>2</v>
      </c>
      <c r="C420" s="50">
        <f t="shared" si="22"/>
        <v>2016</v>
      </c>
      <c r="D420" s="50">
        <f t="shared" si="23"/>
        <v>7</v>
      </c>
      <c r="E420" s="51">
        <v>42411</v>
      </c>
      <c r="F420" s="49" t="s">
        <v>26</v>
      </c>
      <c r="G420" s="45">
        <f>H420+(I420*0.06)</f>
        <v>265.7</v>
      </c>
      <c r="H420" s="45">
        <v>265.7</v>
      </c>
      <c r="I420" s="45"/>
      <c r="J420" s="47"/>
    </row>
    <row r="421" spans="1:10" s="48" customFormat="1" x14ac:dyDescent="0.25">
      <c r="A421" s="49">
        <v>33766</v>
      </c>
      <c r="B421" s="53">
        <f t="shared" si="21"/>
        <v>2</v>
      </c>
      <c r="C421" s="50">
        <f t="shared" si="22"/>
        <v>2016</v>
      </c>
      <c r="D421" s="50">
        <f t="shared" si="23"/>
        <v>7</v>
      </c>
      <c r="E421" s="51">
        <v>42411</v>
      </c>
      <c r="F421" s="49" t="s">
        <v>40</v>
      </c>
      <c r="G421" s="45">
        <f>H421+(I421*0.06)</f>
        <v>827</v>
      </c>
      <c r="H421" s="45">
        <f>909.7/1.1</f>
        <v>827</v>
      </c>
      <c r="I421" s="45"/>
      <c r="J421" s="47"/>
    </row>
    <row r="422" spans="1:10" s="48" customFormat="1" x14ac:dyDescent="0.25">
      <c r="A422" s="49">
        <v>33767</v>
      </c>
      <c r="B422" s="53">
        <f t="shared" si="21"/>
        <v>2</v>
      </c>
      <c r="C422" s="50">
        <f t="shared" si="22"/>
        <v>2016</v>
      </c>
      <c r="D422" s="50">
        <f t="shared" si="23"/>
        <v>7</v>
      </c>
      <c r="E422" s="51">
        <v>42411</v>
      </c>
      <c r="F422" s="49" t="s">
        <v>0</v>
      </c>
      <c r="G422" s="45">
        <f>H422+(I422*0.06)</f>
        <v>0</v>
      </c>
      <c r="H422" s="45"/>
      <c r="I422" s="45"/>
      <c r="J422" s="47"/>
    </row>
    <row r="423" spans="1:10" s="48" customFormat="1" x14ac:dyDescent="0.25">
      <c r="A423" s="49">
        <v>33768</v>
      </c>
      <c r="B423" s="53">
        <f t="shared" si="21"/>
        <v>2</v>
      </c>
      <c r="C423" s="50">
        <f t="shared" si="22"/>
        <v>2016</v>
      </c>
      <c r="D423" s="50">
        <f t="shared" si="23"/>
        <v>7</v>
      </c>
      <c r="E423" s="51">
        <v>42411</v>
      </c>
      <c r="F423" s="49" t="s">
        <v>0</v>
      </c>
      <c r="G423" s="45">
        <f>H423+(I423*0.06)</f>
        <v>95</v>
      </c>
      <c r="H423" s="45">
        <v>95</v>
      </c>
      <c r="I423" s="45"/>
      <c r="J423" s="47"/>
    </row>
    <row r="424" spans="1:10" s="48" customFormat="1" x14ac:dyDescent="0.25">
      <c r="A424" s="49">
        <v>33769</v>
      </c>
      <c r="B424" s="53">
        <f t="shared" si="21"/>
        <v>2</v>
      </c>
      <c r="C424" s="50">
        <f t="shared" si="22"/>
        <v>2016</v>
      </c>
      <c r="D424" s="50">
        <f t="shared" si="23"/>
        <v>7</v>
      </c>
      <c r="E424" s="51">
        <v>42411</v>
      </c>
      <c r="F424" s="49" t="s">
        <v>0</v>
      </c>
      <c r="G424" s="45">
        <f>H424+(I424*0.06)</f>
        <v>418.5</v>
      </c>
      <c r="H424" s="45">
        <v>418.5</v>
      </c>
      <c r="I424" s="45"/>
      <c r="J424" s="47"/>
    </row>
    <row r="425" spans="1:10" s="48" customFormat="1" x14ac:dyDescent="0.25">
      <c r="A425" s="49">
        <v>33770</v>
      </c>
      <c r="B425" s="53">
        <f t="shared" si="21"/>
        <v>2</v>
      </c>
      <c r="C425" s="50">
        <f t="shared" si="22"/>
        <v>2016</v>
      </c>
      <c r="D425" s="50">
        <f t="shared" si="23"/>
        <v>7</v>
      </c>
      <c r="E425" s="51">
        <v>42411</v>
      </c>
      <c r="F425" s="49" t="s">
        <v>19</v>
      </c>
      <c r="G425" s="45">
        <f>H425+(I425*0.06)</f>
        <v>0</v>
      </c>
      <c r="H425" s="45"/>
      <c r="I425" s="45"/>
      <c r="J425" s="47"/>
    </row>
    <row r="426" spans="1:10" s="48" customFormat="1" x14ac:dyDescent="0.25">
      <c r="A426" s="49">
        <v>33771</v>
      </c>
      <c r="B426" s="53">
        <f t="shared" si="21"/>
        <v>2</v>
      </c>
      <c r="C426" s="50">
        <f t="shared" si="22"/>
        <v>2016</v>
      </c>
      <c r="D426" s="50">
        <f t="shared" si="23"/>
        <v>7</v>
      </c>
      <c r="E426" s="51">
        <v>42411</v>
      </c>
      <c r="F426" s="49" t="s">
        <v>3</v>
      </c>
      <c r="G426" s="45">
        <f>H426+(I426*0.06)</f>
        <v>1867.22</v>
      </c>
      <c r="H426" s="45">
        <v>1867.22</v>
      </c>
      <c r="I426" s="45"/>
      <c r="J426" s="47"/>
    </row>
    <row r="427" spans="1:10" s="48" customFormat="1" x14ac:dyDescent="0.25">
      <c r="A427" s="49">
        <v>33772</v>
      </c>
      <c r="B427" s="53">
        <f t="shared" si="21"/>
        <v>2</v>
      </c>
      <c r="C427" s="50">
        <f t="shared" si="22"/>
        <v>2016</v>
      </c>
      <c r="D427" s="50">
        <f t="shared" si="23"/>
        <v>7</v>
      </c>
      <c r="E427" s="51">
        <v>42412</v>
      </c>
      <c r="F427" s="49" t="s">
        <v>19</v>
      </c>
      <c r="G427" s="45">
        <f>H427+(I427*0.06)</f>
        <v>0</v>
      </c>
      <c r="H427" s="45"/>
      <c r="I427" s="45"/>
      <c r="J427" s="47"/>
    </row>
    <row r="428" spans="1:10" s="48" customFormat="1" x14ac:dyDescent="0.25">
      <c r="A428" s="49">
        <v>33773</v>
      </c>
      <c r="B428" s="53">
        <f t="shared" si="21"/>
        <v>2</v>
      </c>
      <c r="C428" s="50">
        <f t="shared" si="22"/>
        <v>2016</v>
      </c>
      <c r="D428" s="50">
        <f t="shared" si="23"/>
        <v>7</v>
      </c>
      <c r="E428" s="51">
        <v>42412</v>
      </c>
      <c r="F428" s="49" t="s">
        <v>19</v>
      </c>
      <c r="G428" s="45">
        <f>H428+(I428*0.06)</f>
        <v>0</v>
      </c>
      <c r="H428" s="45"/>
      <c r="I428" s="45"/>
      <c r="J428" s="47"/>
    </row>
    <row r="429" spans="1:10" s="48" customFormat="1" x14ac:dyDescent="0.25">
      <c r="A429" s="49">
        <v>33774</v>
      </c>
      <c r="B429" s="53">
        <f t="shared" si="21"/>
        <v>2</v>
      </c>
      <c r="C429" s="50">
        <f t="shared" si="22"/>
        <v>2016</v>
      </c>
      <c r="D429" s="50">
        <f t="shared" si="23"/>
        <v>7</v>
      </c>
      <c r="E429" s="51">
        <v>42412</v>
      </c>
      <c r="F429" s="49" t="s">
        <v>19</v>
      </c>
      <c r="G429" s="45">
        <f>H429+(I429*0.06)</f>
        <v>0</v>
      </c>
      <c r="H429" s="45"/>
      <c r="I429" s="45"/>
      <c r="J429" s="47"/>
    </row>
    <row r="430" spans="1:10" s="48" customFormat="1" x14ac:dyDescent="0.25">
      <c r="A430" s="49">
        <v>33775</v>
      </c>
      <c r="B430" s="53">
        <f t="shared" si="21"/>
        <v>2</v>
      </c>
      <c r="C430" s="50">
        <f t="shared" si="22"/>
        <v>2016</v>
      </c>
      <c r="D430" s="50">
        <f t="shared" si="23"/>
        <v>7</v>
      </c>
      <c r="E430" s="51">
        <v>42412</v>
      </c>
      <c r="F430" s="49" t="s">
        <v>19</v>
      </c>
      <c r="G430" s="45">
        <f>H430+(I430*0.06)</f>
        <v>0</v>
      </c>
      <c r="H430" s="45"/>
      <c r="I430" s="45"/>
      <c r="J430" s="47"/>
    </row>
    <row r="431" spans="1:10" s="48" customFormat="1" x14ac:dyDescent="0.25">
      <c r="A431" s="49">
        <v>33776</v>
      </c>
      <c r="B431" s="53">
        <f t="shared" si="21"/>
        <v>2</v>
      </c>
      <c r="C431" s="50">
        <f t="shared" si="22"/>
        <v>2016</v>
      </c>
      <c r="D431" s="50">
        <f t="shared" si="23"/>
        <v>7</v>
      </c>
      <c r="E431" s="51">
        <v>42412</v>
      </c>
      <c r="F431" s="49" t="s">
        <v>0</v>
      </c>
      <c r="G431" s="45">
        <f>H431+(I431*0.06)</f>
        <v>8714.5300000000007</v>
      </c>
      <c r="H431" s="45">
        <v>8714.5300000000007</v>
      </c>
      <c r="I431" s="45"/>
      <c r="J431" s="47"/>
    </row>
    <row r="432" spans="1:10" s="48" customFormat="1" x14ac:dyDescent="0.25">
      <c r="A432" s="49">
        <v>33777</v>
      </c>
      <c r="B432" s="53">
        <f t="shared" si="21"/>
        <v>2</v>
      </c>
      <c r="C432" s="50">
        <f t="shared" si="22"/>
        <v>2016</v>
      </c>
      <c r="D432" s="50">
        <f t="shared" si="23"/>
        <v>7</v>
      </c>
      <c r="E432" s="51">
        <v>42412</v>
      </c>
      <c r="F432" s="49" t="s">
        <v>3</v>
      </c>
      <c r="G432" s="45">
        <f>H432+(I432*0.06)</f>
        <v>1365.22</v>
      </c>
      <c r="H432" s="45">
        <v>1365.22</v>
      </c>
      <c r="I432" s="45"/>
      <c r="J432" s="47"/>
    </row>
    <row r="433" spans="1:10" s="48" customFormat="1" x14ac:dyDescent="0.25">
      <c r="A433" s="49">
        <v>33778</v>
      </c>
      <c r="B433" s="53">
        <f t="shared" si="21"/>
        <v>2</v>
      </c>
      <c r="C433" s="50">
        <f t="shared" si="22"/>
        <v>2016</v>
      </c>
      <c r="D433" s="50">
        <f t="shared" si="23"/>
        <v>7</v>
      </c>
      <c r="E433" s="51">
        <v>42412</v>
      </c>
      <c r="F433" s="49" t="s">
        <v>0</v>
      </c>
      <c r="G433" s="45">
        <f>H433+(I433*0.06)</f>
        <v>359.5</v>
      </c>
      <c r="H433" s="45">
        <v>359.5</v>
      </c>
      <c r="I433" s="45"/>
      <c r="J433" s="47"/>
    </row>
    <row r="434" spans="1:10" s="48" customFormat="1" x14ac:dyDescent="0.25">
      <c r="A434" s="49">
        <v>33779</v>
      </c>
      <c r="B434" s="53">
        <f t="shared" si="21"/>
        <v>2</v>
      </c>
      <c r="C434" s="50">
        <f t="shared" si="22"/>
        <v>2016</v>
      </c>
      <c r="D434" s="50">
        <f t="shared" si="23"/>
        <v>7</v>
      </c>
      <c r="E434" s="51">
        <v>42412</v>
      </c>
      <c r="F434" s="49" t="s">
        <v>46</v>
      </c>
      <c r="G434" s="45">
        <f>H434+(I434*0.06)</f>
        <v>0</v>
      </c>
      <c r="H434" s="45"/>
      <c r="I434" s="45"/>
      <c r="J434" s="47"/>
    </row>
    <row r="435" spans="1:10" s="48" customFormat="1" x14ac:dyDescent="0.25">
      <c r="A435" s="49">
        <v>33780</v>
      </c>
      <c r="B435" s="53">
        <f t="shared" si="21"/>
        <v>2</v>
      </c>
      <c r="C435" s="50">
        <f t="shared" si="22"/>
        <v>2016</v>
      </c>
      <c r="D435" s="50">
        <f t="shared" si="23"/>
        <v>7</v>
      </c>
      <c r="E435" s="51">
        <v>42412</v>
      </c>
      <c r="F435" s="49" t="s">
        <v>3</v>
      </c>
      <c r="G435" s="45">
        <f>H435+(I435*0.06)</f>
        <v>95</v>
      </c>
      <c r="H435" s="45">
        <v>95</v>
      </c>
      <c r="I435" s="45"/>
      <c r="J435" s="47"/>
    </row>
    <row r="436" spans="1:10" s="48" customFormat="1" x14ac:dyDescent="0.25">
      <c r="A436" s="49">
        <v>33781</v>
      </c>
      <c r="B436" s="53">
        <f t="shared" si="21"/>
        <v>2</v>
      </c>
      <c r="C436" s="50">
        <f t="shared" si="22"/>
        <v>2016</v>
      </c>
      <c r="D436" s="50">
        <f t="shared" si="23"/>
        <v>7</v>
      </c>
      <c r="E436" s="51">
        <v>42412</v>
      </c>
      <c r="F436" s="49" t="s">
        <v>3</v>
      </c>
      <c r="G436" s="45">
        <f>H436+(I436*0.06)</f>
        <v>154</v>
      </c>
      <c r="H436" s="45">
        <v>154</v>
      </c>
      <c r="I436" s="45"/>
      <c r="J436" s="47"/>
    </row>
    <row r="437" spans="1:10" s="48" customFormat="1" x14ac:dyDescent="0.25">
      <c r="A437" s="49">
        <v>33782</v>
      </c>
      <c r="B437" s="53">
        <f t="shared" si="21"/>
        <v>2</v>
      </c>
      <c r="C437" s="50">
        <f t="shared" si="22"/>
        <v>2016</v>
      </c>
      <c r="D437" s="50">
        <f t="shared" si="23"/>
        <v>7</v>
      </c>
      <c r="E437" s="51">
        <v>42412</v>
      </c>
      <c r="F437" s="49" t="s">
        <v>3</v>
      </c>
      <c r="G437" s="45">
        <f>H437+(I437*0.06)</f>
        <v>154</v>
      </c>
      <c r="H437" s="45">
        <v>154</v>
      </c>
      <c r="I437" s="45"/>
      <c r="J437" s="47"/>
    </row>
    <row r="438" spans="1:10" s="48" customFormat="1" x14ac:dyDescent="0.25">
      <c r="A438" s="49">
        <v>33783</v>
      </c>
      <c r="B438" s="53">
        <f t="shared" si="21"/>
        <v>2</v>
      </c>
      <c r="C438" s="50">
        <f t="shared" si="22"/>
        <v>2016</v>
      </c>
      <c r="D438" s="50">
        <f t="shared" si="23"/>
        <v>7</v>
      </c>
      <c r="E438" s="51">
        <v>42412</v>
      </c>
      <c r="F438" s="49" t="s">
        <v>3</v>
      </c>
      <c r="G438" s="45">
        <f>H438+(I438*0.06)</f>
        <v>644</v>
      </c>
      <c r="H438" s="45">
        <v>644</v>
      </c>
      <c r="I438" s="45"/>
      <c r="J438" s="47"/>
    </row>
    <row r="439" spans="1:10" s="48" customFormat="1" x14ac:dyDescent="0.25">
      <c r="A439" s="49">
        <v>33784</v>
      </c>
      <c r="B439" s="53">
        <f t="shared" si="21"/>
        <v>2</v>
      </c>
      <c r="C439" s="50">
        <f t="shared" si="22"/>
        <v>2016</v>
      </c>
      <c r="D439" s="50">
        <f t="shared" si="23"/>
        <v>7</v>
      </c>
      <c r="E439" s="51">
        <v>42412</v>
      </c>
      <c r="F439" s="49" t="s">
        <v>5</v>
      </c>
      <c r="G439" s="45">
        <f>H439+(I439*0.06)</f>
        <v>2790.78</v>
      </c>
      <c r="H439" s="45">
        <v>2790.78</v>
      </c>
      <c r="I439" s="45"/>
      <c r="J439" s="47"/>
    </row>
    <row r="440" spans="1:10" s="48" customFormat="1" x14ac:dyDescent="0.25">
      <c r="A440" s="49">
        <v>33785</v>
      </c>
      <c r="B440" s="53">
        <f t="shared" si="21"/>
        <v>2</v>
      </c>
      <c r="C440" s="50">
        <f t="shared" si="22"/>
        <v>2016</v>
      </c>
      <c r="D440" s="50">
        <f t="shared" si="23"/>
        <v>7</v>
      </c>
      <c r="E440" s="51">
        <v>42412</v>
      </c>
      <c r="F440" s="49" t="s">
        <v>5</v>
      </c>
      <c r="G440" s="45">
        <f>H440+(I440*0.06)</f>
        <v>1585.22</v>
      </c>
      <c r="H440" s="45">
        <v>1585.22</v>
      </c>
      <c r="I440" s="45"/>
      <c r="J440" s="47"/>
    </row>
    <row r="441" spans="1:10" s="48" customFormat="1" x14ac:dyDescent="0.25">
      <c r="A441" s="49">
        <v>33786</v>
      </c>
      <c r="B441" s="53">
        <f t="shared" si="21"/>
        <v>2</v>
      </c>
      <c r="C441" s="50">
        <f t="shared" si="22"/>
        <v>2016</v>
      </c>
      <c r="D441" s="50">
        <f t="shared" si="23"/>
        <v>7</v>
      </c>
      <c r="E441" s="51">
        <v>42412</v>
      </c>
      <c r="F441" s="49" t="s">
        <v>5</v>
      </c>
      <c r="G441" s="45">
        <f>H441+(I441*0.06)</f>
        <v>5007.88</v>
      </c>
      <c r="H441" s="45">
        <v>5007.88</v>
      </c>
      <c r="I441" s="45"/>
      <c r="J441" s="47"/>
    </row>
    <row r="442" spans="1:10" s="48" customFormat="1" x14ac:dyDescent="0.25">
      <c r="A442" s="49">
        <v>33787</v>
      </c>
      <c r="B442" s="53">
        <f t="shared" si="21"/>
        <v>2</v>
      </c>
      <c r="C442" s="50">
        <f t="shared" si="22"/>
        <v>2016</v>
      </c>
      <c r="D442" s="50">
        <f t="shared" si="23"/>
        <v>7</v>
      </c>
      <c r="E442" s="51">
        <v>42412</v>
      </c>
      <c r="F442" s="49" t="s">
        <v>5</v>
      </c>
      <c r="G442" s="45">
        <f>H442+(I442*0.06)</f>
        <v>4120.3599999999997</v>
      </c>
      <c r="H442" s="45">
        <v>4120.3599999999997</v>
      </c>
      <c r="I442" s="45"/>
      <c r="J442" s="47"/>
    </row>
    <row r="443" spans="1:10" s="48" customFormat="1" x14ac:dyDescent="0.25">
      <c r="A443" s="49">
        <v>33788</v>
      </c>
      <c r="B443" s="53">
        <f t="shared" si="21"/>
        <v>2</v>
      </c>
      <c r="C443" s="50">
        <f t="shared" si="22"/>
        <v>2016</v>
      </c>
      <c r="D443" s="50">
        <f t="shared" si="23"/>
        <v>7</v>
      </c>
      <c r="E443" s="51">
        <v>42412</v>
      </c>
      <c r="F443" s="49" t="s">
        <v>5</v>
      </c>
      <c r="G443" s="45">
        <f>H443+(I443*0.06)</f>
        <v>8517.7800000000007</v>
      </c>
      <c r="H443" s="45">
        <v>8517.7800000000007</v>
      </c>
      <c r="I443" s="45"/>
      <c r="J443" s="47"/>
    </row>
    <row r="444" spans="1:10" s="48" customFormat="1" x14ac:dyDescent="0.25">
      <c r="A444" s="49">
        <v>33789</v>
      </c>
      <c r="B444" s="53">
        <f t="shared" si="21"/>
        <v>2</v>
      </c>
      <c r="C444" s="50">
        <f t="shared" si="22"/>
        <v>2016</v>
      </c>
      <c r="D444" s="50">
        <f t="shared" si="23"/>
        <v>7</v>
      </c>
      <c r="E444" s="51">
        <v>42412</v>
      </c>
      <c r="F444" s="49" t="s">
        <v>5</v>
      </c>
      <c r="G444" s="45">
        <f>H444+(I444*0.06)</f>
        <v>3669.51</v>
      </c>
      <c r="H444" s="45">
        <v>3669.51</v>
      </c>
      <c r="I444" s="45"/>
      <c r="J444" s="47"/>
    </row>
    <row r="445" spans="1:10" s="48" customFormat="1" x14ac:dyDescent="0.25">
      <c r="A445" s="49">
        <v>33790</v>
      </c>
      <c r="B445" s="53">
        <f t="shared" si="21"/>
        <v>2</v>
      </c>
      <c r="C445" s="50">
        <f t="shared" si="22"/>
        <v>2016</v>
      </c>
      <c r="D445" s="50">
        <f t="shared" si="23"/>
        <v>7</v>
      </c>
      <c r="E445" s="51">
        <v>42412</v>
      </c>
      <c r="F445" s="49" t="s">
        <v>5</v>
      </c>
      <c r="G445" s="45">
        <f>H445+(I445*0.06)</f>
        <v>5835.95</v>
      </c>
      <c r="H445" s="45">
        <v>5835.95</v>
      </c>
      <c r="I445" s="45"/>
      <c r="J445" s="47"/>
    </row>
    <row r="446" spans="1:10" s="48" customFormat="1" x14ac:dyDescent="0.25">
      <c r="A446" s="49">
        <v>33791</v>
      </c>
      <c r="B446" s="53">
        <f t="shared" si="21"/>
        <v>2</v>
      </c>
      <c r="C446" s="50">
        <f t="shared" si="22"/>
        <v>2016</v>
      </c>
      <c r="D446" s="50">
        <f t="shared" si="23"/>
        <v>7</v>
      </c>
      <c r="E446" s="51">
        <v>42412</v>
      </c>
      <c r="F446" s="49" t="s">
        <v>5</v>
      </c>
      <c r="G446" s="45">
        <f>H446+(I446*0.06)</f>
        <v>5016.8999999999996</v>
      </c>
      <c r="H446" s="45">
        <v>5016.8999999999996</v>
      </c>
      <c r="I446" s="45"/>
      <c r="J446" s="47"/>
    </row>
    <row r="447" spans="1:10" s="48" customFormat="1" x14ac:dyDescent="0.25">
      <c r="A447" s="49">
        <v>33792</v>
      </c>
      <c r="B447" s="53">
        <f t="shared" si="21"/>
        <v>2</v>
      </c>
      <c r="C447" s="50">
        <f t="shared" si="22"/>
        <v>2016</v>
      </c>
      <c r="D447" s="50">
        <f t="shared" si="23"/>
        <v>7</v>
      </c>
      <c r="E447" s="51">
        <v>42412</v>
      </c>
      <c r="F447" s="49" t="s">
        <v>5</v>
      </c>
      <c r="G447" s="45">
        <f>H447+(I447*0.06)</f>
        <v>5919.53</v>
      </c>
      <c r="H447" s="45">
        <v>5919.53</v>
      </c>
      <c r="I447" s="45"/>
      <c r="J447" s="47"/>
    </row>
    <row r="448" spans="1:10" s="48" customFormat="1" x14ac:dyDescent="0.25">
      <c r="A448" s="49">
        <v>33793</v>
      </c>
      <c r="B448" s="53">
        <f t="shared" si="21"/>
        <v>2</v>
      </c>
      <c r="C448" s="50">
        <f t="shared" si="22"/>
        <v>2016</v>
      </c>
      <c r="D448" s="50">
        <f t="shared" si="23"/>
        <v>7</v>
      </c>
      <c r="E448" s="51">
        <v>42412</v>
      </c>
      <c r="F448" s="49" t="s">
        <v>5</v>
      </c>
      <c r="G448" s="45">
        <f>H448+(I448*0.06)</f>
        <v>7048.3</v>
      </c>
      <c r="H448" s="45">
        <v>7048.3</v>
      </c>
      <c r="I448" s="45"/>
      <c r="J448" s="47"/>
    </row>
    <row r="449" spans="1:10" s="48" customFormat="1" x14ac:dyDescent="0.25">
      <c r="A449" s="49">
        <v>33794</v>
      </c>
      <c r="B449" s="53">
        <f t="shared" si="21"/>
        <v>2</v>
      </c>
      <c r="C449" s="50">
        <f t="shared" si="22"/>
        <v>2016</v>
      </c>
      <c r="D449" s="50">
        <f t="shared" si="23"/>
        <v>7</v>
      </c>
      <c r="E449" s="51">
        <v>42412</v>
      </c>
      <c r="F449" s="49" t="s">
        <v>5</v>
      </c>
      <c r="G449" s="45">
        <f>H449+(I449*0.06)</f>
        <v>4098.13</v>
      </c>
      <c r="H449" s="45">
        <v>4098.13</v>
      </c>
      <c r="I449" s="45"/>
      <c r="J449" s="47"/>
    </row>
    <row r="450" spans="1:10" s="48" customFormat="1" x14ac:dyDescent="0.25">
      <c r="A450" s="49">
        <v>33795</v>
      </c>
      <c r="B450" s="53">
        <f t="shared" si="21"/>
        <v>2</v>
      </c>
      <c r="C450" s="50">
        <f t="shared" si="22"/>
        <v>2016</v>
      </c>
      <c r="D450" s="50">
        <f t="shared" si="23"/>
        <v>7</v>
      </c>
      <c r="E450" s="51">
        <v>42412</v>
      </c>
      <c r="F450" s="49" t="s">
        <v>5</v>
      </c>
      <c r="G450" s="45">
        <f>H450+(I450*0.06)</f>
        <v>6922.57</v>
      </c>
      <c r="H450" s="45">
        <v>6922.57</v>
      </c>
      <c r="I450" s="45"/>
      <c r="J450" s="47"/>
    </row>
    <row r="451" spans="1:10" s="48" customFormat="1" x14ac:dyDescent="0.25">
      <c r="A451" s="49">
        <v>33796</v>
      </c>
      <c r="B451" s="53">
        <f t="shared" si="21"/>
        <v>2</v>
      </c>
      <c r="C451" s="50">
        <f t="shared" si="22"/>
        <v>2016</v>
      </c>
      <c r="D451" s="50">
        <f t="shared" si="23"/>
        <v>7</v>
      </c>
      <c r="E451" s="51">
        <v>42412</v>
      </c>
      <c r="F451" s="49" t="s">
        <v>5</v>
      </c>
      <c r="G451" s="45">
        <f>H451+(I451*0.06)</f>
        <v>7889.49</v>
      </c>
      <c r="H451" s="45">
        <v>7889.49</v>
      </c>
      <c r="I451" s="45"/>
      <c r="J451" s="47"/>
    </row>
    <row r="452" spans="1:10" s="48" customFormat="1" x14ac:dyDescent="0.25">
      <c r="A452" s="49">
        <v>33797</v>
      </c>
      <c r="B452" s="53">
        <f t="shared" si="21"/>
        <v>2</v>
      </c>
      <c r="C452" s="50">
        <f t="shared" si="22"/>
        <v>2016</v>
      </c>
      <c r="D452" s="50">
        <f t="shared" si="23"/>
        <v>7</v>
      </c>
      <c r="E452" s="51">
        <v>42412</v>
      </c>
      <c r="F452" s="49" t="s">
        <v>5</v>
      </c>
      <c r="G452" s="45">
        <f>H452+(I452*0.06)</f>
        <v>9987.76</v>
      </c>
      <c r="H452" s="45">
        <v>9987.76</v>
      </c>
      <c r="I452" s="45"/>
      <c r="J452" s="47"/>
    </row>
    <row r="453" spans="1:10" s="48" customFormat="1" x14ac:dyDescent="0.25">
      <c r="A453" s="49">
        <v>33798</v>
      </c>
      <c r="B453" s="53">
        <f t="shared" si="21"/>
        <v>2</v>
      </c>
      <c r="C453" s="50">
        <f t="shared" si="22"/>
        <v>2016</v>
      </c>
      <c r="D453" s="50">
        <f t="shared" si="23"/>
        <v>7</v>
      </c>
      <c r="E453" s="51">
        <v>42412</v>
      </c>
      <c r="F453" s="49" t="s">
        <v>26</v>
      </c>
      <c r="G453" s="45">
        <f>H453+(I453*0.06)</f>
        <v>955.4</v>
      </c>
      <c r="H453" s="45">
        <v>955.4</v>
      </c>
      <c r="I453" s="45"/>
      <c r="J453" s="47"/>
    </row>
    <row r="454" spans="1:10" s="48" customFormat="1" x14ac:dyDescent="0.25">
      <c r="A454" s="49">
        <v>33799</v>
      </c>
      <c r="B454" s="53">
        <f t="shared" ref="B454:B517" si="24">IF(E454="","",MONTH(E454))</f>
        <v>2</v>
      </c>
      <c r="C454" s="50">
        <f t="shared" ref="C454:C517" si="25">IF(E454="","",YEAR(E454))</f>
        <v>2016</v>
      </c>
      <c r="D454" s="50">
        <f t="shared" ref="D454:D517" si="26">IF(E454="","",WEEKNUM(E454,2))</f>
        <v>7</v>
      </c>
      <c r="E454" s="51">
        <v>42412</v>
      </c>
      <c r="F454" s="49" t="s">
        <v>26</v>
      </c>
      <c r="G454" s="45">
        <f>H454+(I454*0.06)</f>
        <v>846.21</v>
      </c>
      <c r="H454" s="45">
        <v>846.21</v>
      </c>
      <c r="I454" s="45"/>
      <c r="J454" s="47"/>
    </row>
    <row r="455" spans="1:10" s="48" customFormat="1" x14ac:dyDescent="0.25">
      <c r="A455" s="49">
        <v>33800</v>
      </c>
      <c r="B455" s="53">
        <f t="shared" si="24"/>
        <v>2</v>
      </c>
      <c r="C455" s="50">
        <f t="shared" si="25"/>
        <v>2016</v>
      </c>
      <c r="D455" s="50">
        <f t="shared" si="26"/>
        <v>7</v>
      </c>
      <c r="E455" s="51">
        <v>42412</v>
      </c>
      <c r="F455" s="49" t="s">
        <v>10</v>
      </c>
      <c r="G455" s="45">
        <f>H455+(I455*0.06)</f>
        <v>20532</v>
      </c>
      <c r="H455" s="45">
        <v>20532</v>
      </c>
      <c r="I455" s="45"/>
      <c r="J455" s="47"/>
    </row>
    <row r="456" spans="1:10" s="48" customFormat="1" x14ac:dyDescent="0.25">
      <c r="A456" s="49">
        <v>33801</v>
      </c>
      <c r="B456" s="53">
        <f t="shared" si="24"/>
        <v>2</v>
      </c>
      <c r="C456" s="50">
        <f t="shared" si="25"/>
        <v>2016</v>
      </c>
      <c r="D456" s="50">
        <f t="shared" si="26"/>
        <v>7</v>
      </c>
      <c r="E456" s="51">
        <v>42412</v>
      </c>
      <c r="F456" s="49" t="s">
        <v>10</v>
      </c>
      <c r="G456" s="45">
        <f>H456+(I456*0.06)</f>
        <v>3968</v>
      </c>
      <c r="H456" s="45">
        <v>3968</v>
      </c>
      <c r="I456" s="45"/>
      <c r="J456" s="47"/>
    </row>
    <row r="457" spans="1:10" s="48" customFormat="1" x14ac:dyDescent="0.25">
      <c r="A457" s="49">
        <v>33802</v>
      </c>
      <c r="B457" s="53">
        <f t="shared" si="24"/>
        <v>2</v>
      </c>
      <c r="C457" s="50">
        <f t="shared" si="25"/>
        <v>2016</v>
      </c>
      <c r="D457" s="50">
        <f t="shared" si="26"/>
        <v>7</v>
      </c>
      <c r="E457" s="51">
        <v>42412</v>
      </c>
      <c r="F457" s="49" t="s">
        <v>6</v>
      </c>
      <c r="G457" s="45">
        <f>H457+(I457*0.06)</f>
        <v>6814</v>
      </c>
      <c r="H457" s="45">
        <v>6814</v>
      </c>
      <c r="I457" s="45"/>
      <c r="J457" s="47"/>
    </row>
    <row r="458" spans="1:10" s="48" customFormat="1" x14ac:dyDescent="0.25">
      <c r="A458" s="49">
        <v>33803</v>
      </c>
      <c r="B458" s="53">
        <f t="shared" si="24"/>
        <v>2</v>
      </c>
      <c r="C458" s="50">
        <f t="shared" si="25"/>
        <v>2016</v>
      </c>
      <c r="D458" s="50">
        <f t="shared" si="26"/>
        <v>7</v>
      </c>
      <c r="E458" s="51">
        <v>42412</v>
      </c>
      <c r="F458" s="49" t="s">
        <v>3</v>
      </c>
      <c r="G458" s="45">
        <f>H458+(I458*0.06)</f>
        <v>984.4</v>
      </c>
      <c r="H458" s="45">
        <v>984.4</v>
      </c>
      <c r="I458" s="45"/>
      <c r="J458" s="47"/>
    </row>
    <row r="459" spans="1:10" s="48" customFormat="1" x14ac:dyDescent="0.25">
      <c r="A459" s="49">
        <v>33804</v>
      </c>
      <c r="B459" s="53">
        <f t="shared" si="24"/>
        <v>2</v>
      </c>
      <c r="C459" s="50">
        <f t="shared" si="25"/>
        <v>2016</v>
      </c>
      <c r="D459" s="50">
        <f t="shared" si="26"/>
        <v>8</v>
      </c>
      <c r="E459" s="51">
        <v>42415</v>
      </c>
      <c r="F459" s="49" t="s">
        <v>26</v>
      </c>
      <c r="G459" s="45">
        <f>H459+(I459*0.06)</f>
        <v>846.21</v>
      </c>
      <c r="H459" s="45">
        <v>846.21</v>
      </c>
      <c r="I459" s="45"/>
      <c r="J459" s="47"/>
    </row>
    <row r="460" spans="1:10" s="48" customFormat="1" x14ac:dyDescent="0.25">
      <c r="A460" s="49">
        <v>33805</v>
      </c>
      <c r="B460" s="53">
        <f t="shared" si="24"/>
        <v>2</v>
      </c>
      <c r="C460" s="50">
        <f t="shared" si="25"/>
        <v>2016</v>
      </c>
      <c r="D460" s="50">
        <f t="shared" si="26"/>
        <v>8</v>
      </c>
      <c r="E460" s="51">
        <v>42415</v>
      </c>
      <c r="F460" s="49" t="s">
        <v>0</v>
      </c>
      <c r="G460" s="45">
        <f>H460+(I460*0.06)</f>
        <v>3917</v>
      </c>
      <c r="H460" s="45">
        <v>3917</v>
      </c>
      <c r="I460" s="45"/>
      <c r="J460" s="47"/>
    </row>
    <row r="461" spans="1:10" s="48" customFormat="1" x14ac:dyDescent="0.25">
      <c r="A461" s="49">
        <v>33806</v>
      </c>
      <c r="B461" s="53">
        <f t="shared" si="24"/>
        <v>2</v>
      </c>
      <c r="C461" s="50">
        <f t="shared" si="25"/>
        <v>2016</v>
      </c>
      <c r="D461" s="50">
        <f t="shared" si="26"/>
        <v>8</v>
      </c>
      <c r="E461" s="51">
        <v>42415</v>
      </c>
      <c r="F461" s="49" t="s">
        <v>10</v>
      </c>
      <c r="G461" s="45">
        <f>H461+(I461*0.06)</f>
        <v>33027</v>
      </c>
      <c r="H461" s="45">
        <v>33027</v>
      </c>
      <c r="I461" s="45"/>
      <c r="J461" s="47"/>
    </row>
    <row r="462" spans="1:10" s="48" customFormat="1" x14ac:dyDescent="0.25">
      <c r="A462" s="49">
        <v>33807</v>
      </c>
      <c r="B462" s="53">
        <f t="shared" si="24"/>
        <v>2</v>
      </c>
      <c r="C462" s="50">
        <f t="shared" si="25"/>
        <v>2016</v>
      </c>
      <c r="D462" s="50">
        <f t="shared" si="26"/>
        <v>8</v>
      </c>
      <c r="E462" s="51">
        <v>42415</v>
      </c>
      <c r="F462" s="49" t="s">
        <v>40</v>
      </c>
      <c r="G462" s="45">
        <f>H462+(I462*0.06)</f>
        <v>1365.4999999999998</v>
      </c>
      <c r="H462" s="45">
        <f>1502.05/1.1</f>
        <v>1365.4999999999998</v>
      </c>
      <c r="I462" s="45"/>
      <c r="J462" s="47"/>
    </row>
    <row r="463" spans="1:10" s="48" customFormat="1" x14ac:dyDescent="0.25">
      <c r="A463" s="49">
        <v>33808</v>
      </c>
      <c r="B463" s="53">
        <f t="shared" si="24"/>
        <v>2</v>
      </c>
      <c r="C463" s="50">
        <f t="shared" si="25"/>
        <v>2016</v>
      </c>
      <c r="D463" s="50">
        <f t="shared" si="26"/>
        <v>8</v>
      </c>
      <c r="E463" s="51">
        <v>42415</v>
      </c>
      <c r="F463" s="49" t="s">
        <v>40</v>
      </c>
      <c r="G463" s="45">
        <f>H463+(I463*0.06)</f>
        <v>5443</v>
      </c>
      <c r="H463" s="45">
        <f>5987.3/1.1</f>
        <v>5443</v>
      </c>
      <c r="I463" s="45"/>
      <c r="J463" s="47"/>
    </row>
    <row r="464" spans="1:10" s="48" customFormat="1" x14ac:dyDescent="0.25">
      <c r="A464" s="49">
        <v>33809</v>
      </c>
      <c r="B464" s="53">
        <f t="shared" si="24"/>
        <v>2</v>
      </c>
      <c r="C464" s="50">
        <f t="shared" si="25"/>
        <v>2016</v>
      </c>
      <c r="D464" s="50">
        <f t="shared" si="26"/>
        <v>8</v>
      </c>
      <c r="E464" s="51">
        <v>42415</v>
      </c>
      <c r="F464" s="49" t="s">
        <v>19</v>
      </c>
      <c r="G464" s="45">
        <f>H464+(I464*0.06)</f>
        <v>100</v>
      </c>
      <c r="H464" s="71">
        <v>100</v>
      </c>
      <c r="I464" s="45"/>
      <c r="J464" s="47"/>
    </row>
    <row r="465" spans="1:10" s="48" customFormat="1" x14ac:dyDescent="0.25">
      <c r="A465" s="49">
        <v>33810</v>
      </c>
      <c r="B465" s="53">
        <f t="shared" si="24"/>
        <v>2</v>
      </c>
      <c r="C465" s="50">
        <f t="shared" si="25"/>
        <v>2016</v>
      </c>
      <c r="D465" s="50">
        <f t="shared" si="26"/>
        <v>8</v>
      </c>
      <c r="E465" s="51">
        <v>42415</v>
      </c>
      <c r="F465" s="49" t="s">
        <v>19</v>
      </c>
      <c r="G465" s="45">
        <f>H465+(I465*0.06)</f>
        <v>100</v>
      </c>
      <c r="H465" s="71">
        <v>100</v>
      </c>
      <c r="I465" s="45"/>
      <c r="J465" s="47"/>
    </row>
    <row r="466" spans="1:10" s="48" customFormat="1" x14ac:dyDescent="0.25">
      <c r="A466" s="49">
        <v>33811</v>
      </c>
      <c r="B466" s="53">
        <f t="shared" si="24"/>
        <v>2</v>
      </c>
      <c r="C466" s="50">
        <f t="shared" si="25"/>
        <v>2016</v>
      </c>
      <c r="D466" s="50">
        <f t="shared" si="26"/>
        <v>8</v>
      </c>
      <c r="E466" s="51">
        <v>42415</v>
      </c>
      <c r="F466" s="49" t="s">
        <v>19</v>
      </c>
      <c r="G466" s="45">
        <f>H466+(I466*0.06)</f>
        <v>50</v>
      </c>
      <c r="H466" s="71">
        <v>50</v>
      </c>
      <c r="I466" s="45"/>
      <c r="J466" s="47"/>
    </row>
    <row r="467" spans="1:10" s="48" customFormat="1" x14ac:dyDescent="0.25">
      <c r="A467" s="49">
        <v>33812</v>
      </c>
      <c r="B467" s="53">
        <f t="shared" si="24"/>
        <v>2</v>
      </c>
      <c r="C467" s="50">
        <f t="shared" si="25"/>
        <v>2016</v>
      </c>
      <c r="D467" s="50">
        <f t="shared" si="26"/>
        <v>8</v>
      </c>
      <c r="E467" s="51">
        <v>42415</v>
      </c>
      <c r="F467" s="49" t="s">
        <v>19</v>
      </c>
      <c r="G467" s="45">
        <f>H467+(I467*0.06)</f>
        <v>750</v>
      </c>
      <c r="H467" s="71">
        <v>750</v>
      </c>
      <c r="I467" s="45"/>
      <c r="J467" s="47"/>
    </row>
    <row r="468" spans="1:10" s="48" customFormat="1" x14ac:dyDescent="0.25">
      <c r="A468" s="49">
        <v>33813</v>
      </c>
      <c r="B468" s="53">
        <f t="shared" si="24"/>
        <v>2</v>
      </c>
      <c r="C468" s="50">
        <f t="shared" si="25"/>
        <v>2016</v>
      </c>
      <c r="D468" s="50">
        <f t="shared" si="26"/>
        <v>8</v>
      </c>
      <c r="E468" s="51">
        <v>42415</v>
      </c>
      <c r="F468" s="49" t="s">
        <v>19</v>
      </c>
      <c r="G468" s="45">
        <f>H468+(I468*0.06)</f>
        <v>50</v>
      </c>
      <c r="H468" s="71">
        <v>50</v>
      </c>
      <c r="I468" s="45"/>
      <c r="J468" s="47"/>
    </row>
    <row r="469" spans="1:10" s="48" customFormat="1" x14ac:dyDescent="0.25">
      <c r="A469" s="49">
        <v>33814</v>
      </c>
      <c r="B469" s="53">
        <f t="shared" si="24"/>
        <v>2</v>
      </c>
      <c r="C469" s="50">
        <f t="shared" si="25"/>
        <v>2016</v>
      </c>
      <c r="D469" s="50">
        <f t="shared" si="26"/>
        <v>8</v>
      </c>
      <c r="E469" s="51">
        <v>42415</v>
      </c>
      <c r="F469" s="49" t="s">
        <v>19</v>
      </c>
      <c r="G469" s="45">
        <f>H469+(I469*0.06)</f>
        <v>50</v>
      </c>
      <c r="H469" s="71">
        <v>50</v>
      </c>
      <c r="I469" s="45"/>
      <c r="J469" s="47"/>
    </row>
    <row r="470" spans="1:10" s="48" customFormat="1" x14ac:dyDescent="0.25">
      <c r="A470" s="49">
        <v>33815</v>
      </c>
      <c r="B470" s="53">
        <f t="shared" si="24"/>
        <v>2</v>
      </c>
      <c r="C470" s="50">
        <f t="shared" si="25"/>
        <v>2016</v>
      </c>
      <c r="D470" s="50">
        <f t="shared" si="26"/>
        <v>8</v>
      </c>
      <c r="E470" s="51">
        <v>42415</v>
      </c>
      <c r="F470" s="49" t="s">
        <v>19</v>
      </c>
      <c r="G470" s="45">
        <f>H470+(I470*0.06)</f>
        <v>50</v>
      </c>
      <c r="H470" s="71">
        <v>50</v>
      </c>
      <c r="I470" s="45"/>
      <c r="J470" s="47"/>
    </row>
    <row r="471" spans="1:10" s="48" customFormat="1" x14ac:dyDescent="0.25">
      <c r="A471" s="49">
        <v>33816</v>
      </c>
      <c r="B471" s="53">
        <f t="shared" si="24"/>
        <v>2</v>
      </c>
      <c r="C471" s="50">
        <f t="shared" si="25"/>
        <v>2016</v>
      </c>
      <c r="D471" s="50">
        <f t="shared" si="26"/>
        <v>8</v>
      </c>
      <c r="E471" s="51">
        <v>42415</v>
      </c>
      <c r="F471" s="49" t="s">
        <v>19</v>
      </c>
      <c r="G471" s="45">
        <f>H471+(I471*0.06)</f>
        <v>650</v>
      </c>
      <c r="H471" s="71">
        <v>650</v>
      </c>
      <c r="I471" s="45"/>
      <c r="J471" s="47"/>
    </row>
    <row r="472" spans="1:10" s="48" customFormat="1" x14ac:dyDescent="0.25">
      <c r="A472" s="49">
        <v>33817</v>
      </c>
      <c r="B472" s="53">
        <f t="shared" si="24"/>
        <v>2</v>
      </c>
      <c r="C472" s="50">
        <f t="shared" si="25"/>
        <v>2016</v>
      </c>
      <c r="D472" s="50">
        <f t="shared" si="26"/>
        <v>8</v>
      </c>
      <c r="E472" s="51">
        <v>42415</v>
      </c>
      <c r="F472" s="49" t="s">
        <v>19</v>
      </c>
      <c r="G472" s="45">
        <f>H472+(I472*0.06)</f>
        <v>1200</v>
      </c>
      <c r="H472" s="71">
        <v>1200</v>
      </c>
      <c r="I472" s="45"/>
      <c r="J472" s="47"/>
    </row>
    <row r="473" spans="1:10" s="48" customFormat="1" x14ac:dyDescent="0.25">
      <c r="A473" s="49">
        <v>33818</v>
      </c>
      <c r="B473" s="53">
        <f t="shared" si="24"/>
        <v>2</v>
      </c>
      <c r="C473" s="50">
        <f t="shared" si="25"/>
        <v>2016</v>
      </c>
      <c r="D473" s="50">
        <f t="shared" si="26"/>
        <v>8</v>
      </c>
      <c r="E473" s="51">
        <v>42415</v>
      </c>
      <c r="F473" s="49" t="s">
        <v>40</v>
      </c>
      <c r="G473" s="45">
        <f>H473+(I473*0.06)</f>
        <v>2725.9999999999995</v>
      </c>
      <c r="H473" s="45">
        <f>2998.6/1.1</f>
        <v>2725.9999999999995</v>
      </c>
      <c r="I473" s="45"/>
      <c r="J473" s="47"/>
    </row>
    <row r="474" spans="1:10" s="48" customFormat="1" x14ac:dyDescent="0.25">
      <c r="A474" s="49">
        <v>33819</v>
      </c>
      <c r="B474" s="53">
        <f t="shared" si="24"/>
        <v>3</v>
      </c>
      <c r="C474" s="50">
        <f t="shared" si="25"/>
        <v>2016</v>
      </c>
      <c r="D474" s="50">
        <f t="shared" si="26"/>
        <v>10</v>
      </c>
      <c r="E474" s="51">
        <v>42431</v>
      </c>
      <c r="F474" s="49" t="s">
        <v>57</v>
      </c>
      <c r="G474" s="45"/>
      <c r="H474" s="45"/>
      <c r="I474" s="45"/>
      <c r="J474" s="47"/>
    </row>
    <row r="475" spans="1:10" s="48" customFormat="1" x14ac:dyDescent="0.25">
      <c r="A475" s="49">
        <v>33820</v>
      </c>
      <c r="B475" s="53" t="str">
        <f t="shared" si="24"/>
        <v/>
      </c>
      <c r="C475" s="50" t="str">
        <f t="shared" si="25"/>
        <v/>
      </c>
      <c r="D475" s="50" t="str">
        <f t="shared" si="26"/>
        <v/>
      </c>
      <c r="E475" s="51"/>
      <c r="F475" s="49"/>
      <c r="G475" s="45"/>
      <c r="H475" s="45"/>
      <c r="I475" s="45"/>
      <c r="J475" s="47"/>
    </row>
    <row r="476" spans="1:10" s="48" customFormat="1" x14ac:dyDescent="0.25">
      <c r="A476" s="49">
        <v>33821</v>
      </c>
      <c r="B476" s="53" t="str">
        <f t="shared" si="24"/>
        <v/>
      </c>
      <c r="C476" s="50" t="str">
        <f t="shared" si="25"/>
        <v/>
      </c>
      <c r="D476" s="50" t="str">
        <f t="shared" si="26"/>
        <v/>
      </c>
      <c r="E476" s="51"/>
      <c r="F476" s="49"/>
      <c r="G476" s="45">
        <f>H476+(I476*0.06)</f>
        <v>0</v>
      </c>
      <c r="H476" s="45"/>
      <c r="I476" s="45"/>
      <c r="J476" s="47"/>
    </row>
    <row r="477" spans="1:10" s="48" customFormat="1" x14ac:dyDescent="0.25">
      <c r="A477" s="49">
        <v>33822</v>
      </c>
      <c r="B477" s="53" t="str">
        <f t="shared" si="24"/>
        <v/>
      </c>
      <c r="C477" s="50" t="str">
        <f t="shared" si="25"/>
        <v/>
      </c>
      <c r="D477" s="50" t="str">
        <f t="shared" si="26"/>
        <v/>
      </c>
      <c r="E477" s="51"/>
      <c r="F477" s="49"/>
      <c r="G477" s="45">
        <f>H477+(I477*0.06)</f>
        <v>0</v>
      </c>
      <c r="H477" s="45"/>
      <c r="I477" s="45"/>
      <c r="J477" s="47"/>
    </row>
    <row r="478" spans="1:10" s="48" customFormat="1" x14ac:dyDescent="0.25">
      <c r="A478" s="49">
        <v>33823</v>
      </c>
      <c r="B478" s="53" t="str">
        <f t="shared" si="24"/>
        <v/>
      </c>
      <c r="C478" s="50" t="str">
        <f t="shared" si="25"/>
        <v/>
      </c>
      <c r="D478" s="50" t="str">
        <f t="shared" si="26"/>
        <v/>
      </c>
      <c r="E478" s="51"/>
      <c r="F478" s="49"/>
      <c r="G478" s="45">
        <f>H478+(I478*0.06)</f>
        <v>0</v>
      </c>
      <c r="H478" s="45"/>
      <c r="I478" s="45"/>
      <c r="J478" s="47"/>
    </row>
    <row r="479" spans="1:10" s="48" customFormat="1" x14ac:dyDescent="0.25">
      <c r="A479" s="49">
        <v>33824</v>
      </c>
      <c r="B479" s="53" t="str">
        <f t="shared" si="24"/>
        <v/>
      </c>
      <c r="C479" s="50" t="str">
        <f t="shared" si="25"/>
        <v/>
      </c>
      <c r="D479" s="50" t="str">
        <f t="shared" si="26"/>
        <v/>
      </c>
      <c r="E479" s="51"/>
      <c r="F479" s="49"/>
      <c r="G479" s="45">
        <f>H479+(I479*0.06)</f>
        <v>0</v>
      </c>
      <c r="H479" s="45"/>
      <c r="I479" s="45"/>
      <c r="J479" s="47"/>
    </row>
    <row r="480" spans="1:10" s="48" customFormat="1" x14ac:dyDescent="0.25">
      <c r="A480" s="49">
        <v>33825</v>
      </c>
      <c r="B480" s="53" t="str">
        <f t="shared" si="24"/>
        <v/>
      </c>
      <c r="C480" s="50" t="str">
        <f t="shared" si="25"/>
        <v/>
      </c>
      <c r="D480" s="50" t="str">
        <f t="shared" si="26"/>
        <v/>
      </c>
      <c r="E480" s="51"/>
      <c r="F480" s="49"/>
      <c r="G480" s="45">
        <f>H480+(I480*0.06)</f>
        <v>0</v>
      </c>
      <c r="H480" s="45"/>
      <c r="I480" s="45"/>
      <c r="J480" s="47"/>
    </row>
    <row r="481" spans="1:10" s="48" customFormat="1" x14ac:dyDescent="0.25">
      <c r="A481" s="49">
        <v>33826</v>
      </c>
      <c r="B481" s="53" t="str">
        <f t="shared" si="24"/>
        <v/>
      </c>
      <c r="C481" s="50" t="str">
        <f t="shared" si="25"/>
        <v/>
      </c>
      <c r="D481" s="50" t="str">
        <f t="shared" si="26"/>
        <v/>
      </c>
      <c r="E481" s="51"/>
      <c r="F481" s="49"/>
      <c r="G481" s="45">
        <f>H481+(I481*0.06)</f>
        <v>0</v>
      </c>
      <c r="H481" s="45"/>
      <c r="I481" s="45"/>
      <c r="J481" s="47"/>
    </row>
    <row r="482" spans="1:10" s="48" customFormat="1" x14ac:dyDescent="0.25">
      <c r="A482" s="49">
        <v>33827</v>
      </c>
      <c r="B482" s="53" t="str">
        <f t="shared" si="24"/>
        <v/>
      </c>
      <c r="C482" s="50" t="str">
        <f t="shared" si="25"/>
        <v/>
      </c>
      <c r="D482" s="50" t="str">
        <f t="shared" si="26"/>
        <v/>
      </c>
      <c r="E482" s="51"/>
      <c r="F482" s="49"/>
      <c r="G482" s="45">
        <f>H482+(I482*0.06)</f>
        <v>0</v>
      </c>
      <c r="H482" s="45"/>
      <c r="I482" s="45"/>
      <c r="J482" s="47"/>
    </row>
    <row r="483" spans="1:10" s="48" customFormat="1" x14ac:dyDescent="0.25">
      <c r="A483" s="49">
        <v>33828</v>
      </c>
      <c r="B483" s="53" t="str">
        <f t="shared" si="24"/>
        <v/>
      </c>
      <c r="C483" s="50" t="str">
        <f t="shared" si="25"/>
        <v/>
      </c>
      <c r="D483" s="50" t="str">
        <f t="shared" si="26"/>
        <v/>
      </c>
      <c r="E483" s="51"/>
      <c r="F483" s="49"/>
      <c r="G483" s="45">
        <f>H483+(I483*0.06)</f>
        <v>0</v>
      </c>
      <c r="H483" s="45"/>
      <c r="I483" s="45"/>
      <c r="J483" s="47"/>
    </row>
    <row r="484" spans="1:10" s="48" customFormat="1" x14ac:dyDescent="0.25">
      <c r="A484" s="49">
        <v>33829</v>
      </c>
      <c r="B484" s="53" t="str">
        <f t="shared" si="24"/>
        <v/>
      </c>
      <c r="C484" s="50" t="str">
        <f t="shared" si="25"/>
        <v/>
      </c>
      <c r="D484" s="50" t="str">
        <f t="shared" si="26"/>
        <v/>
      </c>
      <c r="E484" s="51"/>
      <c r="F484" s="49"/>
      <c r="G484" s="45">
        <f>H484+(I484*0.06)</f>
        <v>0</v>
      </c>
      <c r="H484" s="45"/>
      <c r="I484" s="45"/>
      <c r="J484" s="47"/>
    </row>
    <row r="485" spans="1:10" s="48" customFormat="1" x14ac:dyDescent="0.25">
      <c r="A485" s="49">
        <v>33830</v>
      </c>
      <c r="B485" s="53" t="str">
        <f t="shared" si="24"/>
        <v/>
      </c>
      <c r="C485" s="50" t="str">
        <f t="shared" si="25"/>
        <v/>
      </c>
      <c r="D485" s="50" t="str">
        <f t="shared" si="26"/>
        <v/>
      </c>
      <c r="E485" s="51"/>
      <c r="F485" s="49"/>
      <c r="G485" s="45">
        <f>H485+(I485*0.06)</f>
        <v>0</v>
      </c>
      <c r="H485" s="45"/>
      <c r="I485" s="45"/>
      <c r="J485" s="47"/>
    </row>
    <row r="486" spans="1:10" s="48" customFormat="1" x14ac:dyDescent="0.25">
      <c r="A486" s="49">
        <v>33831</v>
      </c>
      <c r="B486" s="53" t="str">
        <f t="shared" si="24"/>
        <v/>
      </c>
      <c r="C486" s="50" t="str">
        <f t="shared" si="25"/>
        <v/>
      </c>
      <c r="D486" s="50" t="str">
        <f t="shared" si="26"/>
        <v/>
      </c>
      <c r="E486" s="51"/>
      <c r="F486" s="49"/>
      <c r="G486" s="45">
        <f>H486+(I486*0.06)</f>
        <v>0</v>
      </c>
      <c r="H486" s="45"/>
      <c r="I486" s="45"/>
      <c r="J486" s="47"/>
    </row>
    <row r="487" spans="1:10" s="48" customFormat="1" x14ac:dyDescent="0.25">
      <c r="A487" s="49">
        <v>33832</v>
      </c>
      <c r="B487" s="53" t="str">
        <f t="shared" si="24"/>
        <v/>
      </c>
      <c r="C487" s="50" t="str">
        <f t="shared" si="25"/>
        <v/>
      </c>
      <c r="D487" s="50" t="str">
        <f t="shared" si="26"/>
        <v/>
      </c>
      <c r="E487" s="51"/>
      <c r="F487" s="49"/>
      <c r="G487" s="45">
        <f>H487+(I487*0.06)</f>
        <v>0</v>
      </c>
      <c r="H487" s="45"/>
      <c r="I487" s="45"/>
      <c r="J487" s="47"/>
    </row>
    <row r="488" spans="1:10" s="48" customFormat="1" x14ac:dyDescent="0.25">
      <c r="A488" s="49">
        <v>33833</v>
      </c>
      <c r="B488" s="53" t="str">
        <f t="shared" si="24"/>
        <v/>
      </c>
      <c r="C488" s="50" t="str">
        <f t="shared" si="25"/>
        <v/>
      </c>
      <c r="D488" s="50" t="str">
        <f t="shared" si="26"/>
        <v/>
      </c>
      <c r="E488" s="51"/>
      <c r="F488" s="49"/>
      <c r="G488" s="45">
        <f>H488+(I488*0.06)</f>
        <v>0</v>
      </c>
      <c r="H488" s="45"/>
      <c r="I488" s="45"/>
      <c r="J488" s="47"/>
    </row>
    <row r="489" spans="1:10" s="48" customFormat="1" x14ac:dyDescent="0.25">
      <c r="A489" s="49">
        <v>33834</v>
      </c>
      <c r="B489" s="53" t="str">
        <f t="shared" si="24"/>
        <v/>
      </c>
      <c r="C489" s="50" t="str">
        <f t="shared" si="25"/>
        <v/>
      </c>
      <c r="D489" s="50" t="str">
        <f t="shared" si="26"/>
        <v/>
      </c>
      <c r="E489" s="51"/>
      <c r="F489" s="49"/>
      <c r="G489" s="45">
        <f>H489+(I489*0.06)</f>
        <v>0</v>
      </c>
      <c r="H489" s="45"/>
      <c r="I489" s="45"/>
      <c r="J489" s="47"/>
    </row>
    <row r="490" spans="1:10" s="48" customFormat="1" x14ac:dyDescent="0.25">
      <c r="A490" s="49">
        <v>33835</v>
      </c>
      <c r="B490" s="53" t="str">
        <f t="shared" si="24"/>
        <v/>
      </c>
      <c r="C490" s="50" t="str">
        <f t="shared" si="25"/>
        <v/>
      </c>
      <c r="D490" s="50" t="str">
        <f t="shared" si="26"/>
        <v/>
      </c>
      <c r="E490" s="51"/>
      <c r="F490" s="49"/>
      <c r="G490" s="45">
        <f>H490+(I490*0.06)</f>
        <v>0</v>
      </c>
      <c r="H490" s="45"/>
      <c r="I490" s="45"/>
      <c r="J490" s="47"/>
    </row>
    <row r="491" spans="1:10" s="48" customFormat="1" x14ac:dyDescent="0.25">
      <c r="A491" s="49">
        <v>33836</v>
      </c>
      <c r="B491" s="53" t="str">
        <f t="shared" si="24"/>
        <v/>
      </c>
      <c r="C491" s="50" t="str">
        <f t="shared" si="25"/>
        <v/>
      </c>
      <c r="D491" s="50" t="str">
        <f t="shared" si="26"/>
        <v/>
      </c>
      <c r="E491" s="51"/>
      <c r="F491" s="49"/>
      <c r="G491" s="45">
        <f>H491+(I491*0.06)</f>
        <v>0</v>
      </c>
      <c r="H491" s="45"/>
      <c r="I491" s="45"/>
      <c r="J491" s="47"/>
    </row>
    <row r="492" spans="1:10" s="48" customFormat="1" x14ac:dyDescent="0.25">
      <c r="A492" s="49">
        <v>33837</v>
      </c>
      <c r="B492" s="53" t="str">
        <f t="shared" si="24"/>
        <v/>
      </c>
      <c r="C492" s="50" t="str">
        <f t="shared" si="25"/>
        <v/>
      </c>
      <c r="D492" s="50" t="str">
        <f t="shared" si="26"/>
        <v/>
      </c>
      <c r="E492" s="51"/>
      <c r="F492" s="49"/>
      <c r="G492" s="45">
        <f>H492+(I492*0.06)</f>
        <v>0</v>
      </c>
      <c r="H492" s="45"/>
      <c r="I492" s="45"/>
      <c r="J492" s="47"/>
    </row>
    <row r="493" spans="1:10" s="48" customFormat="1" x14ac:dyDescent="0.25">
      <c r="A493" s="49">
        <v>33838</v>
      </c>
      <c r="B493" s="53" t="str">
        <f t="shared" si="24"/>
        <v/>
      </c>
      <c r="C493" s="50" t="str">
        <f t="shared" si="25"/>
        <v/>
      </c>
      <c r="D493" s="50" t="str">
        <f t="shared" si="26"/>
        <v/>
      </c>
      <c r="E493" s="51"/>
      <c r="F493" s="49"/>
      <c r="G493" s="45">
        <f>H493+(I493*0.06)</f>
        <v>0</v>
      </c>
      <c r="H493" s="45"/>
      <c r="I493" s="45"/>
      <c r="J493" s="47"/>
    </row>
    <row r="494" spans="1:10" s="48" customFormat="1" x14ac:dyDescent="0.25">
      <c r="A494" s="49">
        <v>33839</v>
      </c>
      <c r="B494" s="53" t="str">
        <f t="shared" si="24"/>
        <v/>
      </c>
      <c r="C494" s="50" t="str">
        <f t="shared" si="25"/>
        <v/>
      </c>
      <c r="D494" s="50" t="str">
        <f t="shared" si="26"/>
        <v/>
      </c>
      <c r="E494" s="51"/>
      <c r="F494" s="49"/>
      <c r="G494" s="45">
        <f>H494+(I494*0.06)</f>
        <v>0</v>
      </c>
      <c r="H494" s="45"/>
      <c r="I494" s="45"/>
      <c r="J494" s="47"/>
    </row>
    <row r="495" spans="1:10" s="48" customFormat="1" x14ac:dyDescent="0.25">
      <c r="A495" s="49">
        <v>33840</v>
      </c>
      <c r="B495" s="53" t="str">
        <f t="shared" si="24"/>
        <v/>
      </c>
      <c r="C495" s="50" t="str">
        <f t="shared" si="25"/>
        <v/>
      </c>
      <c r="D495" s="50" t="str">
        <f t="shared" si="26"/>
        <v/>
      </c>
      <c r="E495" s="51"/>
      <c r="F495" s="49"/>
      <c r="G495" s="45">
        <f>H495+(I495*0.06)</f>
        <v>0</v>
      </c>
      <c r="H495" s="45"/>
      <c r="I495" s="45"/>
      <c r="J495" s="47"/>
    </row>
    <row r="496" spans="1:10" s="48" customFormat="1" x14ac:dyDescent="0.25">
      <c r="A496" s="49">
        <v>33841</v>
      </c>
      <c r="B496" s="53" t="str">
        <f t="shared" si="24"/>
        <v/>
      </c>
      <c r="C496" s="50" t="str">
        <f t="shared" si="25"/>
        <v/>
      </c>
      <c r="D496" s="50" t="str">
        <f t="shared" si="26"/>
        <v/>
      </c>
      <c r="E496" s="51"/>
      <c r="F496" s="49"/>
      <c r="G496" s="45">
        <f>H496+(I496*0.06)</f>
        <v>0</v>
      </c>
      <c r="H496" s="45"/>
      <c r="I496" s="45"/>
      <c r="J496" s="47"/>
    </row>
    <row r="497" spans="1:10" s="48" customFormat="1" x14ac:dyDescent="0.25">
      <c r="A497" s="49">
        <v>33842</v>
      </c>
      <c r="B497" s="53" t="str">
        <f t="shared" si="24"/>
        <v/>
      </c>
      <c r="C497" s="50" t="str">
        <f t="shared" si="25"/>
        <v/>
      </c>
      <c r="D497" s="50" t="str">
        <f t="shared" si="26"/>
        <v/>
      </c>
      <c r="E497" s="51"/>
      <c r="F497" s="49"/>
      <c r="G497" s="45">
        <f>H497+(I497*0.06)</f>
        <v>0</v>
      </c>
      <c r="H497" s="45"/>
      <c r="I497" s="45"/>
      <c r="J497" s="47"/>
    </row>
    <row r="498" spans="1:10" s="48" customFormat="1" x14ac:dyDescent="0.25">
      <c r="A498" s="49">
        <v>33843</v>
      </c>
      <c r="B498" s="53" t="str">
        <f t="shared" si="24"/>
        <v/>
      </c>
      <c r="C498" s="50" t="str">
        <f t="shared" si="25"/>
        <v/>
      </c>
      <c r="D498" s="50" t="str">
        <f t="shared" si="26"/>
        <v/>
      </c>
      <c r="E498" s="51"/>
      <c r="F498" s="49"/>
      <c r="G498" s="45">
        <f>H498+(I498*0.06)</f>
        <v>0</v>
      </c>
      <c r="H498" s="45"/>
      <c r="I498" s="45"/>
      <c r="J498" s="47"/>
    </row>
    <row r="499" spans="1:10" s="48" customFormat="1" x14ac:dyDescent="0.25">
      <c r="A499" s="49">
        <v>33844</v>
      </c>
      <c r="B499" s="53" t="str">
        <f t="shared" si="24"/>
        <v/>
      </c>
      <c r="C499" s="50" t="str">
        <f t="shared" si="25"/>
        <v/>
      </c>
      <c r="D499" s="50" t="str">
        <f t="shared" si="26"/>
        <v/>
      </c>
      <c r="E499" s="51"/>
      <c r="F499" s="49"/>
      <c r="G499" s="45">
        <f>H499+(I499*0.06)</f>
        <v>0</v>
      </c>
      <c r="H499" s="45"/>
      <c r="I499" s="45"/>
      <c r="J499" s="47"/>
    </row>
    <row r="500" spans="1:10" s="48" customFormat="1" x14ac:dyDescent="0.25">
      <c r="A500" s="49">
        <v>33845</v>
      </c>
      <c r="B500" s="53" t="str">
        <f t="shared" si="24"/>
        <v/>
      </c>
      <c r="C500" s="50" t="str">
        <f t="shared" si="25"/>
        <v/>
      </c>
      <c r="D500" s="50" t="str">
        <f t="shared" si="26"/>
        <v/>
      </c>
      <c r="E500" s="51"/>
      <c r="F500" s="49"/>
      <c r="G500" s="45">
        <f>H500+(I500*0.06)</f>
        <v>0</v>
      </c>
      <c r="H500" s="45"/>
      <c r="I500" s="45"/>
      <c r="J500" s="47"/>
    </row>
    <row r="501" spans="1:10" s="48" customFormat="1" x14ac:dyDescent="0.25">
      <c r="A501" s="49">
        <v>33846</v>
      </c>
      <c r="B501" s="53" t="str">
        <f t="shared" si="24"/>
        <v/>
      </c>
      <c r="C501" s="50" t="str">
        <f t="shared" si="25"/>
        <v/>
      </c>
      <c r="D501" s="50" t="str">
        <f t="shared" si="26"/>
        <v/>
      </c>
      <c r="E501" s="51"/>
      <c r="F501" s="49"/>
      <c r="G501" s="45">
        <f>H501+(I501*0.06)</f>
        <v>0</v>
      </c>
      <c r="H501" s="45"/>
      <c r="I501" s="45"/>
      <c r="J501" s="47"/>
    </row>
    <row r="502" spans="1:10" s="48" customFormat="1" x14ac:dyDescent="0.25">
      <c r="A502" s="49">
        <v>33847</v>
      </c>
      <c r="B502" s="53" t="str">
        <f t="shared" si="24"/>
        <v/>
      </c>
      <c r="C502" s="50" t="str">
        <f t="shared" si="25"/>
        <v/>
      </c>
      <c r="D502" s="50" t="str">
        <f t="shared" si="26"/>
        <v/>
      </c>
      <c r="E502" s="51"/>
      <c r="F502" s="49"/>
      <c r="G502" s="45">
        <f>H502+(I502*0.06)</f>
        <v>0</v>
      </c>
      <c r="H502" s="45"/>
      <c r="I502" s="45"/>
      <c r="J502" s="47"/>
    </row>
    <row r="503" spans="1:10" s="48" customFormat="1" x14ac:dyDescent="0.25">
      <c r="A503" s="49">
        <v>33848</v>
      </c>
      <c r="B503" s="53" t="str">
        <f t="shared" si="24"/>
        <v/>
      </c>
      <c r="C503" s="50" t="str">
        <f t="shared" si="25"/>
        <v/>
      </c>
      <c r="D503" s="50" t="str">
        <f t="shared" si="26"/>
        <v/>
      </c>
      <c r="E503" s="51"/>
      <c r="F503" s="49"/>
      <c r="G503" s="45">
        <f>H503+(I503*0.06)</f>
        <v>0</v>
      </c>
      <c r="H503" s="45"/>
      <c r="I503" s="45"/>
      <c r="J503" s="47"/>
    </row>
    <row r="504" spans="1:10" s="48" customFormat="1" x14ac:dyDescent="0.25">
      <c r="A504" s="49">
        <v>33849</v>
      </c>
      <c r="B504" s="53" t="str">
        <f t="shared" si="24"/>
        <v/>
      </c>
      <c r="C504" s="50" t="str">
        <f t="shared" si="25"/>
        <v/>
      </c>
      <c r="D504" s="50" t="str">
        <f t="shared" si="26"/>
        <v/>
      </c>
      <c r="E504" s="51"/>
      <c r="F504" s="49"/>
      <c r="G504" s="45">
        <f>H504+(I504*0.06)</f>
        <v>0</v>
      </c>
      <c r="H504" s="45"/>
      <c r="I504" s="45"/>
      <c r="J504" s="47"/>
    </row>
    <row r="505" spans="1:10" s="48" customFormat="1" x14ac:dyDescent="0.25">
      <c r="A505" s="49">
        <v>33850</v>
      </c>
      <c r="B505" s="53" t="str">
        <f t="shared" si="24"/>
        <v/>
      </c>
      <c r="C505" s="50" t="str">
        <f t="shared" si="25"/>
        <v/>
      </c>
      <c r="D505" s="50" t="str">
        <f t="shared" si="26"/>
        <v/>
      </c>
      <c r="E505" s="51"/>
      <c r="F505" s="49"/>
      <c r="G505" s="45">
        <f>H505+(I505*0.06)</f>
        <v>0</v>
      </c>
      <c r="H505" s="45"/>
      <c r="I505" s="45"/>
      <c r="J505" s="47"/>
    </row>
    <row r="506" spans="1:10" s="48" customFormat="1" x14ac:dyDescent="0.25">
      <c r="A506" s="49">
        <v>33851</v>
      </c>
      <c r="B506" s="53" t="str">
        <f t="shared" si="24"/>
        <v/>
      </c>
      <c r="C506" s="50" t="str">
        <f t="shared" si="25"/>
        <v/>
      </c>
      <c r="D506" s="50" t="str">
        <f t="shared" si="26"/>
        <v/>
      </c>
      <c r="E506" s="51"/>
      <c r="F506" s="49"/>
      <c r="G506" s="45">
        <f>H506+(I506*0.06)</f>
        <v>0</v>
      </c>
      <c r="H506" s="45"/>
      <c r="I506" s="45"/>
      <c r="J506" s="47"/>
    </row>
    <row r="507" spans="1:10" s="48" customFormat="1" x14ac:dyDescent="0.25">
      <c r="A507" s="49">
        <v>33852</v>
      </c>
      <c r="B507" s="53" t="str">
        <f t="shared" si="24"/>
        <v/>
      </c>
      <c r="C507" s="50" t="str">
        <f t="shared" si="25"/>
        <v/>
      </c>
      <c r="D507" s="50" t="str">
        <f t="shared" si="26"/>
        <v/>
      </c>
      <c r="E507" s="51"/>
      <c r="F507" s="49"/>
      <c r="G507" s="45">
        <f>H507+(I507*0.06)</f>
        <v>0</v>
      </c>
      <c r="H507" s="45"/>
      <c r="I507" s="45"/>
      <c r="J507" s="47"/>
    </row>
    <row r="508" spans="1:10" s="48" customFormat="1" x14ac:dyDescent="0.25">
      <c r="A508" s="49">
        <v>33853</v>
      </c>
      <c r="B508" s="53" t="str">
        <f t="shared" si="24"/>
        <v/>
      </c>
      <c r="C508" s="50" t="str">
        <f t="shared" si="25"/>
        <v/>
      </c>
      <c r="D508" s="50" t="str">
        <f t="shared" si="26"/>
        <v/>
      </c>
      <c r="E508" s="51"/>
      <c r="F508" s="49"/>
      <c r="G508" s="45">
        <f>H508+(I508*0.06)</f>
        <v>0</v>
      </c>
      <c r="H508" s="45"/>
      <c r="I508" s="45"/>
      <c r="J508" s="47"/>
    </row>
    <row r="509" spans="1:10" s="48" customFormat="1" x14ac:dyDescent="0.25">
      <c r="A509" s="49">
        <v>33854</v>
      </c>
      <c r="B509" s="53" t="str">
        <f t="shared" si="24"/>
        <v/>
      </c>
      <c r="C509" s="50" t="str">
        <f t="shared" si="25"/>
        <v/>
      </c>
      <c r="D509" s="50" t="str">
        <f t="shared" si="26"/>
        <v/>
      </c>
      <c r="E509" s="51"/>
      <c r="F509" s="49"/>
      <c r="G509" s="45">
        <f>H509+(I509*0.06)</f>
        <v>0</v>
      </c>
      <c r="H509" s="45"/>
      <c r="I509" s="45"/>
      <c r="J509" s="47"/>
    </row>
    <row r="510" spans="1:10" s="48" customFormat="1" x14ac:dyDescent="0.25">
      <c r="A510" s="49">
        <v>33855</v>
      </c>
      <c r="B510" s="53" t="str">
        <f t="shared" si="24"/>
        <v/>
      </c>
      <c r="C510" s="50" t="str">
        <f t="shared" si="25"/>
        <v/>
      </c>
      <c r="D510" s="50" t="str">
        <f t="shared" si="26"/>
        <v/>
      </c>
      <c r="E510" s="51"/>
      <c r="F510" s="49"/>
      <c r="G510" s="45">
        <f>H510+(I510*0.06)</f>
        <v>0</v>
      </c>
      <c r="H510" s="45"/>
      <c r="I510" s="45"/>
      <c r="J510" s="47"/>
    </row>
    <row r="511" spans="1:10" s="48" customFormat="1" x14ac:dyDescent="0.25">
      <c r="A511" s="49">
        <v>33856</v>
      </c>
      <c r="B511" s="53" t="str">
        <f t="shared" si="24"/>
        <v/>
      </c>
      <c r="C511" s="50" t="str">
        <f t="shared" si="25"/>
        <v/>
      </c>
      <c r="D511" s="50" t="str">
        <f t="shared" si="26"/>
        <v/>
      </c>
      <c r="E511" s="51"/>
      <c r="F511" s="49"/>
      <c r="G511" s="45">
        <f>H511+(I511*0.06)</f>
        <v>0</v>
      </c>
      <c r="H511" s="45"/>
      <c r="I511" s="45"/>
      <c r="J511" s="47"/>
    </row>
    <row r="512" spans="1:10" s="48" customFormat="1" x14ac:dyDescent="0.25">
      <c r="A512" s="49">
        <v>33857</v>
      </c>
      <c r="B512" s="53" t="str">
        <f t="shared" si="24"/>
        <v/>
      </c>
      <c r="C512" s="50" t="str">
        <f t="shared" si="25"/>
        <v/>
      </c>
      <c r="D512" s="50" t="str">
        <f t="shared" si="26"/>
        <v/>
      </c>
      <c r="E512" s="51"/>
      <c r="F512" s="49"/>
      <c r="G512" s="45">
        <f>H512+(I512*0.06)</f>
        <v>0</v>
      </c>
      <c r="H512" s="45"/>
      <c r="I512" s="45"/>
      <c r="J512" s="47"/>
    </row>
    <row r="513" spans="1:10" s="48" customFormat="1" x14ac:dyDescent="0.25">
      <c r="A513" s="49">
        <v>33858</v>
      </c>
      <c r="B513" s="53" t="str">
        <f t="shared" si="24"/>
        <v/>
      </c>
      <c r="C513" s="50" t="str">
        <f t="shared" si="25"/>
        <v/>
      </c>
      <c r="D513" s="50" t="str">
        <f t="shared" si="26"/>
        <v/>
      </c>
      <c r="E513" s="51"/>
      <c r="F513" s="49"/>
      <c r="G513" s="45">
        <f>H513+(I513*0.06)</f>
        <v>0</v>
      </c>
      <c r="H513" s="45"/>
      <c r="I513" s="45"/>
      <c r="J513" s="47"/>
    </row>
    <row r="514" spans="1:10" s="48" customFormat="1" x14ac:dyDescent="0.25">
      <c r="A514" s="49">
        <v>33859</v>
      </c>
      <c r="B514" s="53" t="str">
        <f t="shared" si="24"/>
        <v/>
      </c>
      <c r="C514" s="50" t="str">
        <f t="shared" si="25"/>
        <v/>
      </c>
      <c r="D514" s="50" t="str">
        <f t="shared" si="26"/>
        <v/>
      </c>
      <c r="E514" s="51"/>
      <c r="F514" s="49"/>
      <c r="G514" s="45">
        <f>H514+(I514*0.06)</f>
        <v>0</v>
      </c>
      <c r="H514" s="45"/>
      <c r="I514" s="45"/>
      <c r="J514" s="47"/>
    </row>
    <row r="515" spans="1:10" s="48" customFormat="1" x14ac:dyDescent="0.25">
      <c r="A515" s="49">
        <v>33860</v>
      </c>
      <c r="B515" s="53" t="str">
        <f t="shared" si="24"/>
        <v/>
      </c>
      <c r="C515" s="50" t="str">
        <f t="shared" si="25"/>
        <v/>
      </c>
      <c r="D515" s="50" t="str">
        <f t="shared" si="26"/>
        <v/>
      </c>
      <c r="E515" s="51"/>
      <c r="F515" s="49"/>
      <c r="G515" s="45">
        <f>H515+(I515*0.06)</f>
        <v>0</v>
      </c>
      <c r="H515" s="45"/>
      <c r="I515" s="45"/>
      <c r="J515" s="47"/>
    </row>
    <row r="516" spans="1:10" s="48" customFormat="1" x14ac:dyDescent="0.25">
      <c r="A516" s="49">
        <v>33861</v>
      </c>
      <c r="B516" s="53" t="str">
        <f t="shared" si="24"/>
        <v/>
      </c>
      <c r="C516" s="50" t="str">
        <f t="shared" si="25"/>
        <v/>
      </c>
      <c r="D516" s="50" t="str">
        <f t="shared" si="26"/>
        <v/>
      </c>
      <c r="E516" s="51"/>
      <c r="F516" s="49"/>
      <c r="G516" s="45">
        <f>H516+(I516*0.06)</f>
        <v>0</v>
      </c>
      <c r="H516" s="45"/>
      <c r="I516" s="45"/>
      <c r="J516" s="47"/>
    </row>
    <row r="517" spans="1:10" s="48" customFormat="1" x14ac:dyDescent="0.25">
      <c r="A517" s="49">
        <v>33862</v>
      </c>
      <c r="B517" s="53" t="str">
        <f t="shared" si="24"/>
        <v/>
      </c>
      <c r="C517" s="50" t="str">
        <f t="shared" si="25"/>
        <v/>
      </c>
      <c r="D517" s="50" t="str">
        <f t="shared" si="26"/>
        <v/>
      </c>
      <c r="E517" s="51"/>
      <c r="F517" s="49"/>
      <c r="G517" s="45">
        <f>H517+(I517*0.06)</f>
        <v>0</v>
      </c>
      <c r="H517" s="45"/>
      <c r="I517" s="45"/>
      <c r="J517" s="47"/>
    </row>
    <row r="518" spans="1:10" s="48" customFormat="1" x14ac:dyDescent="0.25">
      <c r="A518" s="49">
        <v>33863</v>
      </c>
      <c r="B518" s="53" t="str">
        <f t="shared" ref="B518:B566" si="27">IF(E518="","",MONTH(E518))</f>
        <v/>
      </c>
      <c r="C518" s="50" t="str">
        <f t="shared" ref="C518:C566" si="28">IF(E518="","",YEAR(E518))</f>
        <v/>
      </c>
      <c r="D518" s="50" t="str">
        <f t="shared" ref="D518:D566" si="29">IF(E518="","",WEEKNUM(E518,2))</f>
        <v/>
      </c>
      <c r="E518" s="51"/>
      <c r="F518" s="49"/>
      <c r="G518" s="45">
        <f>H518+(I518*0.06)</f>
        <v>0</v>
      </c>
      <c r="H518" s="45"/>
      <c r="I518" s="45"/>
      <c r="J518" s="47"/>
    </row>
    <row r="519" spans="1:10" s="48" customFormat="1" x14ac:dyDescent="0.25">
      <c r="A519" s="49">
        <v>33864</v>
      </c>
      <c r="B519" s="53" t="str">
        <f t="shared" si="27"/>
        <v/>
      </c>
      <c r="C519" s="50" t="str">
        <f t="shared" si="28"/>
        <v/>
      </c>
      <c r="D519" s="50" t="str">
        <f t="shared" si="29"/>
        <v/>
      </c>
      <c r="E519" s="51"/>
      <c r="F519" s="49"/>
      <c r="G519" s="45">
        <f>H519+(I519*0.06)</f>
        <v>0</v>
      </c>
      <c r="H519" s="45"/>
      <c r="I519" s="45"/>
      <c r="J519" s="47"/>
    </row>
    <row r="520" spans="1:10" s="48" customFormat="1" x14ac:dyDescent="0.25">
      <c r="A520" s="49">
        <v>33865</v>
      </c>
      <c r="B520" s="53" t="str">
        <f t="shared" si="27"/>
        <v/>
      </c>
      <c r="C520" s="50" t="str">
        <f t="shared" si="28"/>
        <v/>
      </c>
      <c r="D520" s="50" t="str">
        <f t="shared" si="29"/>
        <v/>
      </c>
      <c r="E520" s="51"/>
      <c r="F520" s="49"/>
      <c r="G520" s="45">
        <f>H520+(I520*0.06)</f>
        <v>0</v>
      </c>
      <c r="H520" s="45"/>
      <c r="I520" s="45"/>
      <c r="J520" s="47"/>
    </row>
    <row r="521" spans="1:10" s="48" customFormat="1" x14ac:dyDescent="0.25">
      <c r="A521" s="49">
        <v>33866</v>
      </c>
      <c r="B521" s="53" t="str">
        <f t="shared" si="27"/>
        <v/>
      </c>
      <c r="C521" s="50" t="str">
        <f t="shared" si="28"/>
        <v/>
      </c>
      <c r="D521" s="50" t="str">
        <f t="shared" si="29"/>
        <v/>
      </c>
      <c r="E521" s="51"/>
      <c r="F521" s="49"/>
      <c r="G521" s="45">
        <f>H521+(I521*0.06)</f>
        <v>0</v>
      </c>
      <c r="H521" s="45"/>
      <c r="I521" s="45"/>
      <c r="J521" s="47"/>
    </row>
    <row r="522" spans="1:10" s="48" customFormat="1" x14ac:dyDescent="0.25">
      <c r="A522" s="49">
        <v>33867</v>
      </c>
      <c r="B522" s="53" t="str">
        <f t="shared" si="27"/>
        <v/>
      </c>
      <c r="C522" s="50" t="str">
        <f t="shared" si="28"/>
        <v/>
      </c>
      <c r="D522" s="50" t="str">
        <f t="shared" si="29"/>
        <v/>
      </c>
      <c r="E522" s="51"/>
      <c r="F522" s="49"/>
      <c r="G522" s="45">
        <f>H522+(I522*0.06)</f>
        <v>0</v>
      </c>
      <c r="H522" s="45"/>
      <c r="I522" s="45"/>
      <c r="J522" s="47"/>
    </row>
    <row r="523" spans="1:10" s="48" customFormat="1" x14ac:dyDescent="0.25">
      <c r="A523" s="49">
        <v>33868</v>
      </c>
      <c r="B523" s="53" t="str">
        <f t="shared" si="27"/>
        <v/>
      </c>
      <c r="C523" s="50" t="str">
        <f t="shared" si="28"/>
        <v/>
      </c>
      <c r="D523" s="50" t="str">
        <f t="shared" si="29"/>
        <v/>
      </c>
      <c r="E523" s="51"/>
      <c r="F523" s="49"/>
      <c r="G523" s="45">
        <f>H523+(I523*0.06)</f>
        <v>0</v>
      </c>
      <c r="H523" s="45"/>
      <c r="I523" s="45"/>
      <c r="J523" s="47"/>
    </row>
    <row r="524" spans="1:10" s="48" customFormat="1" x14ac:dyDescent="0.25">
      <c r="A524" s="49">
        <v>33869</v>
      </c>
      <c r="B524" s="53" t="str">
        <f t="shared" si="27"/>
        <v/>
      </c>
      <c r="C524" s="50" t="str">
        <f t="shared" si="28"/>
        <v/>
      </c>
      <c r="D524" s="50" t="str">
        <f t="shared" si="29"/>
        <v/>
      </c>
      <c r="E524" s="51"/>
      <c r="F524" s="49"/>
      <c r="G524" s="45">
        <f>H524+(I524*0.06)</f>
        <v>0</v>
      </c>
      <c r="H524" s="45"/>
      <c r="I524" s="45"/>
      <c r="J524" s="47"/>
    </row>
    <row r="525" spans="1:10" s="48" customFormat="1" x14ac:dyDescent="0.25">
      <c r="A525" s="49">
        <v>33870</v>
      </c>
      <c r="B525" s="53" t="str">
        <f t="shared" si="27"/>
        <v/>
      </c>
      <c r="C525" s="50" t="str">
        <f t="shared" si="28"/>
        <v/>
      </c>
      <c r="D525" s="50" t="str">
        <f t="shared" si="29"/>
        <v/>
      </c>
      <c r="E525" s="51"/>
      <c r="F525" s="49"/>
      <c r="G525" s="45">
        <f>H525+(I525*0.06)</f>
        <v>0</v>
      </c>
      <c r="H525" s="45"/>
      <c r="I525" s="45"/>
      <c r="J525" s="47"/>
    </row>
    <row r="526" spans="1:10" s="48" customFormat="1" x14ac:dyDescent="0.25">
      <c r="A526" s="49">
        <v>33871</v>
      </c>
      <c r="B526" s="53" t="str">
        <f t="shared" si="27"/>
        <v/>
      </c>
      <c r="C526" s="50" t="str">
        <f t="shared" si="28"/>
        <v/>
      </c>
      <c r="D526" s="50" t="str">
        <f t="shared" si="29"/>
        <v/>
      </c>
      <c r="E526" s="51"/>
      <c r="F526" s="49"/>
      <c r="G526" s="45">
        <f>H526+(I526*0.06)</f>
        <v>0</v>
      </c>
      <c r="H526" s="45"/>
      <c r="I526" s="45"/>
      <c r="J526" s="47"/>
    </row>
    <row r="527" spans="1:10" s="48" customFormat="1" x14ac:dyDescent="0.25">
      <c r="A527" s="49">
        <v>33872</v>
      </c>
      <c r="B527" s="53" t="str">
        <f t="shared" si="27"/>
        <v/>
      </c>
      <c r="C527" s="50" t="str">
        <f t="shared" si="28"/>
        <v/>
      </c>
      <c r="D527" s="50" t="str">
        <f t="shared" si="29"/>
        <v/>
      </c>
      <c r="E527" s="51"/>
      <c r="F527" s="49"/>
      <c r="G527" s="45">
        <f>H527+(I527*0.06)</f>
        <v>0</v>
      </c>
      <c r="H527" s="45"/>
      <c r="I527" s="45"/>
      <c r="J527" s="47"/>
    </row>
    <row r="528" spans="1:10" s="48" customFormat="1" x14ac:dyDescent="0.25">
      <c r="A528" s="49">
        <v>33873</v>
      </c>
      <c r="B528" s="53" t="str">
        <f t="shared" si="27"/>
        <v/>
      </c>
      <c r="C528" s="50" t="str">
        <f t="shared" si="28"/>
        <v/>
      </c>
      <c r="D528" s="50" t="str">
        <f t="shared" si="29"/>
        <v/>
      </c>
      <c r="E528" s="51"/>
      <c r="F528" s="49"/>
      <c r="G528" s="45">
        <f>H528+(I528*0.06)</f>
        <v>0</v>
      </c>
      <c r="H528" s="45"/>
      <c r="I528" s="45"/>
      <c r="J528" s="47"/>
    </row>
    <row r="529" spans="1:10" s="48" customFormat="1" x14ac:dyDescent="0.25">
      <c r="A529" s="49">
        <v>33874</v>
      </c>
      <c r="B529" s="53" t="str">
        <f t="shared" si="27"/>
        <v/>
      </c>
      <c r="C529" s="50" t="str">
        <f t="shared" si="28"/>
        <v/>
      </c>
      <c r="D529" s="50" t="str">
        <f t="shared" si="29"/>
        <v/>
      </c>
      <c r="E529" s="51"/>
      <c r="F529" s="49"/>
      <c r="G529" s="45">
        <f>H529+(I529*0.06)</f>
        <v>0</v>
      </c>
      <c r="H529" s="45"/>
      <c r="I529" s="45"/>
      <c r="J529" s="47"/>
    </row>
    <row r="530" spans="1:10" s="48" customFormat="1" x14ac:dyDescent="0.25">
      <c r="A530" s="49">
        <v>33875</v>
      </c>
      <c r="B530" s="53" t="str">
        <f t="shared" si="27"/>
        <v/>
      </c>
      <c r="C530" s="50" t="str">
        <f t="shared" si="28"/>
        <v/>
      </c>
      <c r="D530" s="50" t="str">
        <f t="shared" si="29"/>
        <v/>
      </c>
      <c r="E530" s="51"/>
      <c r="F530" s="49"/>
      <c r="G530" s="45">
        <f>H530+(I530*0.06)</f>
        <v>0</v>
      </c>
      <c r="H530" s="45"/>
      <c r="I530" s="45"/>
      <c r="J530" s="47"/>
    </row>
    <row r="531" spans="1:10" s="48" customFormat="1" x14ac:dyDescent="0.25">
      <c r="A531" s="49">
        <v>33876</v>
      </c>
      <c r="B531" s="53" t="str">
        <f t="shared" si="27"/>
        <v/>
      </c>
      <c r="C531" s="50" t="str">
        <f t="shared" si="28"/>
        <v/>
      </c>
      <c r="D531" s="50" t="str">
        <f t="shared" si="29"/>
        <v/>
      </c>
      <c r="E531" s="51"/>
      <c r="F531" s="49"/>
      <c r="G531" s="45">
        <f>H531+(I531*0.06)</f>
        <v>0</v>
      </c>
      <c r="H531" s="45"/>
      <c r="I531" s="45"/>
      <c r="J531" s="47"/>
    </row>
    <row r="532" spans="1:10" s="48" customFormat="1" x14ac:dyDescent="0.25">
      <c r="A532" s="49">
        <v>33877</v>
      </c>
      <c r="B532" s="53" t="str">
        <f t="shared" si="27"/>
        <v/>
      </c>
      <c r="C532" s="50" t="str">
        <f t="shared" si="28"/>
        <v/>
      </c>
      <c r="D532" s="50" t="str">
        <f t="shared" si="29"/>
        <v/>
      </c>
      <c r="E532" s="51"/>
      <c r="F532" s="49"/>
      <c r="G532" s="45">
        <f>H532+(I532*0.06)</f>
        <v>0</v>
      </c>
      <c r="H532" s="45"/>
      <c r="I532" s="45"/>
      <c r="J532" s="47"/>
    </row>
    <row r="533" spans="1:10" s="48" customFormat="1" x14ac:dyDescent="0.25">
      <c r="A533" s="49">
        <v>33878</v>
      </c>
      <c r="B533" s="53" t="str">
        <f t="shared" si="27"/>
        <v/>
      </c>
      <c r="C533" s="50" t="str">
        <f t="shared" si="28"/>
        <v/>
      </c>
      <c r="D533" s="50" t="str">
        <f t="shared" si="29"/>
        <v/>
      </c>
      <c r="E533" s="51"/>
      <c r="F533" s="49"/>
      <c r="G533" s="45">
        <f>H533+(I533*0.06)</f>
        <v>0</v>
      </c>
      <c r="H533" s="45"/>
      <c r="I533" s="45"/>
      <c r="J533" s="47"/>
    </row>
    <row r="534" spans="1:10" s="48" customFormat="1" x14ac:dyDescent="0.25">
      <c r="A534" s="49">
        <v>33879</v>
      </c>
      <c r="B534" s="53" t="str">
        <f t="shared" si="27"/>
        <v/>
      </c>
      <c r="C534" s="50" t="str">
        <f t="shared" si="28"/>
        <v/>
      </c>
      <c r="D534" s="50" t="str">
        <f t="shared" si="29"/>
        <v/>
      </c>
      <c r="E534" s="51"/>
      <c r="F534" s="49"/>
      <c r="G534" s="45">
        <f>H534+(I534*0.06)</f>
        <v>0</v>
      </c>
      <c r="H534" s="45"/>
      <c r="I534" s="45"/>
      <c r="J534" s="47"/>
    </row>
    <row r="535" spans="1:10" s="48" customFormat="1" x14ac:dyDescent="0.25">
      <c r="A535" s="49">
        <v>33880</v>
      </c>
      <c r="B535" s="53" t="str">
        <f t="shared" si="27"/>
        <v/>
      </c>
      <c r="C535" s="50" t="str">
        <f t="shared" si="28"/>
        <v/>
      </c>
      <c r="D535" s="50" t="str">
        <f t="shared" si="29"/>
        <v/>
      </c>
      <c r="E535" s="51"/>
      <c r="F535" s="49"/>
      <c r="G535" s="45">
        <f>H535+(I535*0.06)</f>
        <v>0</v>
      </c>
      <c r="H535" s="45"/>
      <c r="I535" s="45"/>
      <c r="J535" s="47"/>
    </row>
    <row r="536" spans="1:10" s="48" customFormat="1" x14ac:dyDescent="0.25">
      <c r="A536" s="49">
        <v>33881</v>
      </c>
      <c r="B536" s="53" t="str">
        <f t="shared" si="27"/>
        <v/>
      </c>
      <c r="C536" s="50" t="str">
        <f t="shared" si="28"/>
        <v/>
      </c>
      <c r="D536" s="50" t="str">
        <f t="shared" si="29"/>
        <v/>
      </c>
      <c r="E536" s="51"/>
      <c r="F536" s="49"/>
      <c r="G536" s="45">
        <f>H536+(I536*0.06)</f>
        <v>0</v>
      </c>
      <c r="H536" s="45"/>
      <c r="I536" s="45"/>
      <c r="J536" s="47"/>
    </row>
    <row r="537" spans="1:10" s="48" customFormat="1" x14ac:dyDescent="0.25">
      <c r="A537" s="49">
        <v>33882</v>
      </c>
      <c r="B537" s="53" t="str">
        <f t="shared" si="27"/>
        <v/>
      </c>
      <c r="C537" s="50" t="str">
        <f t="shared" si="28"/>
        <v/>
      </c>
      <c r="D537" s="50" t="str">
        <f t="shared" si="29"/>
        <v/>
      </c>
      <c r="E537" s="51"/>
      <c r="F537" s="49"/>
      <c r="G537" s="45">
        <f>H537+(I537*0.06)</f>
        <v>0</v>
      </c>
      <c r="H537" s="45"/>
      <c r="I537" s="45"/>
      <c r="J537" s="47"/>
    </row>
    <row r="538" spans="1:10" s="48" customFormat="1" x14ac:dyDescent="0.25">
      <c r="A538" s="49">
        <v>33883</v>
      </c>
      <c r="B538" s="53" t="str">
        <f t="shared" si="27"/>
        <v/>
      </c>
      <c r="C538" s="50" t="str">
        <f t="shared" si="28"/>
        <v/>
      </c>
      <c r="D538" s="50" t="str">
        <f t="shared" si="29"/>
        <v/>
      </c>
      <c r="E538" s="51"/>
      <c r="F538" s="49"/>
      <c r="G538" s="45">
        <f>H538+(I538*0.06)</f>
        <v>0</v>
      </c>
      <c r="H538" s="45"/>
      <c r="I538" s="45"/>
      <c r="J538" s="47"/>
    </row>
    <row r="539" spans="1:10" s="48" customFormat="1" x14ac:dyDescent="0.25">
      <c r="A539" s="49">
        <v>33884</v>
      </c>
      <c r="B539" s="53" t="str">
        <f t="shared" si="27"/>
        <v/>
      </c>
      <c r="C539" s="50" t="str">
        <f t="shared" si="28"/>
        <v/>
      </c>
      <c r="D539" s="50" t="str">
        <f t="shared" si="29"/>
        <v/>
      </c>
      <c r="E539" s="51"/>
      <c r="F539" s="49"/>
      <c r="G539" s="45">
        <f>H539+(I539*0.06)</f>
        <v>0</v>
      </c>
      <c r="H539" s="45"/>
      <c r="I539" s="45"/>
      <c r="J539" s="47"/>
    </row>
    <row r="540" spans="1:10" s="48" customFormat="1" x14ac:dyDescent="0.25">
      <c r="A540" s="49">
        <v>33885</v>
      </c>
      <c r="B540" s="53" t="str">
        <f t="shared" si="27"/>
        <v/>
      </c>
      <c r="C540" s="50" t="str">
        <f t="shared" si="28"/>
        <v/>
      </c>
      <c r="D540" s="50" t="str">
        <f t="shared" si="29"/>
        <v/>
      </c>
      <c r="E540" s="51"/>
      <c r="F540" s="49"/>
      <c r="G540" s="45">
        <f>H540+(I540*0.06)</f>
        <v>0</v>
      </c>
      <c r="H540" s="45"/>
      <c r="I540" s="45"/>
      <c r="J540" s="47"/>
    </row>
    <row r="541" spans="1:10" s="48" customFormat="1" x14ac:dyDescent="0.25">
      <c r="A541" s="49">
        <v>33886</v>
      </c>
      <c r="B541" s="53" t="str">
        <f t="shared" si="27"/>
        <v/>
      </c>
      <c r="C541" s="50" t="str">
        <f t="shared" si="28"/>
        <v/>
      </c>
      <c r="D541" s="50" t="str">
        <f t="shared" si="29"/>
        <v/>
      </c>
      <c r="E541" s="51"/>
      <c r="F541" s="49"/>
      <c r="G541" s="45">
        <f>H541+(I541*0.06)</f>
        <v>0</v>
      </c>
      <c r="H541" s="45"/>
      <c r="I541" s="45"/>
      <c r="J541" s="47"/>
    </row>
    <row r="542" spans="1:10" s="48" customFormat="1" x14ac:dyDescent="0.25">
      <c r="A542" s="49">
        <v>33887</v>
      </c>
      <c r="B542" s="53" t="str">
        <f t="shared" si="27"/>
        <v/>
      </c>
      <c r="C542" s="50" t="str">
        <f t="shared" si="28"/>
        <v/>
      </c>
      <c r="D542" s="50" t="str">
        <f t="shared" si="29"/>
        <v/>
      </c>
      <c r="E542" s="51"/>
      <c r="F542" s="49"/>
      <c r="G542" s="45">
        <f>H542+(I542*0.06)</f>
        <v>0</v>
      </c>
      <c r="H542" s="45"/>
      <c r="I542" s="45"/>
      <c r="J542" s="47"/>
    </row>
    <row r="543" spans="1:10" s="48" customFormat="1" x14ac:dyDescent="0.25">
      <c r="A543" s="49">
        <v>33888</v>
      </c>
      <c r="B543" s="53" t="str">
        <f t="shared" si="27"/>
        <v/>
      </c>
      <c r="C543" s="50" t="str">
        <f t="shared" si="28"/>
        <v/>
      </c>
      <c r="D543" s="50" t="str">
        <f t="shared" si="29"/>
        <v/>
      </c>
      <c r="E543" s="51"/>
      <c r="F543" s="49"/>
      <c r="G543" s="45">
        <f>H543+(I543*0.06)</f>
        <v>0</v>
      </c>
      <c r="H543" s="45"/>
      <c r="I543" s="45"/>
      <c r="J543" s="47"/>
    </row>
    <row r="544" spans="1:10" s="48" customFormat="1" x14ac:dyDescent="0.25">
      <c r="A544" s="49">
        <v>33889</v>
      </c>
      <c r="B544" s="53" t="str">
        <f t="shared" si="27"/>
        <v/>
      </c>
      <c r="C544" s="50" t="str">
        <f t="shared" si="28"/>
        <v/>
      </c>
      <c r="D544" s="50" t="str">
        <f t="shared" si="29"/>
        <v/>
      </c>
      <c r="E544" s="51"/>
      <c r="F544" s="49"/>
      <c r="G544" s="45">
        <f>H544+(I544*0.06)</f>
        <v>0</v>
      </c>
      <c r="H544" s="45"/>
      <c r="I544" s="45"/>
      <c r="J544" s="47"/>
    </row>
    <row r="545" spans="1:10" s="48" customFormat="1" x14ac:dyDescent="0.25">
      <c r="A545" s="49">
        <v>33890</v>
      </c>
      <c r="B545" s="53" t="str">
        <f t="shared" si="27"/>
        <v/>
      </c>
      <c r="C545" s="50" t="str">
        <f t="shared" si="28"/>
        <v/>
      </c>
      <c r="D545" s="50" t="str">
        <f t="shared" si="29"/>
        <v/>
      </c>
      <c r="E545" s="51"/>
      <c r="F545" s="49"/>
      <c r="G545" s="45">
        <f>H545+(I545*0.06)</f>
        <v>0</v>
      </c>
      <c r="H545" s="45"/>
      <c r="I545" s="45"/>
      <c r="J545" s="47"/>
    </row>
    <row r="546" spans="1:10" s="48" customFormat="1" x14ac:dyDescent="0.25">
      <c r="A546" s="49">
        <v>33891</v>
      </c>
      <c r="B546" s="53" t="str">
        <f t="shared" si="27"/>
        <v/>
      </c>
      <c r="C546" s="50" t="str">
        <f t="shared" si="28"/>
        <v/>
      </c>
      <c r="D546" s="50" t="str">
        <f t="shared" si="29"/>
        <v/>
      </c>
      <c r="E546" s="51"/>
      <c r="F546" s="49"/>
      <c r="G546" s="45">
        <f>H546+(I546*0.06)</f>
        <v>0</v>
      </c>
      <c r="H546" s="45"/>
      <c r="I546" s="45"/>
      <c r="J546" s="47"/>
    </row>
    <row r="547" spans="1:10" s="48" customFormat="1" x14ac:dyDescent="0.25">
      <c r="A547" s="49">
        <v>33892</v>
      </c>
      <c r="B547" s="53" t="str">
        <f t="shared" si="27"/>
        <v/>
      </c>
      <c r="C547" s="50" t="str">
        <f t="shared" si="28"/>
        <v/>
      </c>
      <c r="D547" s="50" t="str">
        <f t="shared" si="29"/>
        <v/>
      </c>
      <c r="E547" s="51"/>
      <c r="F547" s="49"/>
      <c r="G547" s="45">
        <f>H547+(I547*0.06)</f>
        <v>0</v>
      </c>
      <c r="H547" s="45"/>
      <c r="I547" s="45"/>
      <c r="J547" s="47"/>
    </row>
    <row r="548" spans="1:10" s="48" customFormat="1" x14ac:dyDescent="0.25">
      <c r="A548" s="49">
        <v>33893</v>
      </c>
      <c r="B548" s="53" t="str">
        <f t="shared" si="27"/>
        <v/>
      </c>
      <c r="C548" s="50" t="str">
        <f t="shared" si="28"/>
        <v/>
      </c>
      <c r="D548" s="50" t="str">
        <f t="shared" si="29"/>
        <v/>
      </c>
      <c r="E548" s="51"/>
      <c r="F548" s="49"/>
      <c r="G548" s="45">
        <f>H548+(I548*0.06)</f>
        <v>0</v>
      </c>
      <c r="H548" s="45"/>
      <c r="I548" s="45"/>
      <c r="J548" s="47"/>
    </row>
    <row r="549" spans="1:10" s="48" customFormat="1" x14ac:dyDescent="0.25">
      <c r="A549" s="49">
        <v>33894</v>
      </c>
      <c r="B549" s="53" t="str">
        <f t="shared" si="27"/>
        <v/>
      </c>
      <c r="C549" s="50" t="str">
        <f t="shared" si="28"/>
        <v/>
      </c>
      <c r="D549" s="50" t="str">
        <f t="shared" si="29"/>
        <v/>
      </c>
      <c r="E549" s="51"/>
      <c r="F549" s="49"/>
      <c r="G549" s="45">
        <f>H549+(I549*0.06)</f>
        <v>0</v>
      </c>
      <c r="H549" s="45"/>
      <c r="I549" s="45"/>
      <c r="J549" s="47"/>
    </row>
    <row r="550" spans="1:10" s="48" customFormat="1" x14ac:dyDescent="0.25">
      <c r="A550" s="49">
        <v>33895</v>
      </c>
      <c r="B550" s="53" t="str">
        <f t="shared" si="27"/>
        <v/>
      </c>
      <c r="C550" s="50" t="str">
        <f t="shared" si="28"/>
        <v/>
      </c>
      <c r="D550" s="50" t="str">
        <f t="shared" si="29"/>
        <v/>
      </c>
      <c r="E550" s="51"/>
      <c r="F550" s="49"/>
      <c r="G550" s="45">
        <f>H550+(I550*0.06)</f>
        <v>0</v>
      </c>
      <c r="H550" s="45"/>
      <c r="I550" s="45"/>
      <c r="J550" s="47"/>
    </row>
    <row r="551" spans="1:10" s="48" customFormat="1" x14ac:dyDescent="0.25">
      <c r="A551" s="49">
        <v>33896</v>
      </c>
      <c r="B551" s="53" t="str">
        <f t="shared" si="27"/>
        <v/>
      </c>
      <c r="C551" s="50" t="str">
        <f t="shared" si="28"/>
        <v/>
      </c>
      <c r="D551" s="50" t="str">
        <f t="shared" si="29"/>
        <v/>
      </c>
      <c r="E551" s="51"/>
      <c r="F551" s="49"/>
      <c r="G551" s="45">
        <f>H551+(I551*0.06)</f>
        <v>0</v>
      </c>
      <c r="H551" s="45"/>
      <c r="I551" s="45"/>
      <c r="J551" s="47"/>
    </row>
    <row r="552" spans="1:10" s="48" customFormat="1" x14ac:dyDescent="0.25">
      <c r="A552" s="49">
        <v>33897</v>
      </c>
      <c r="B552" s="53" t="str">
        <f t="shared" si="27"/>
        <v/>
      </c>
      <c r="C552" s="50" t="str">
        <f t="shared" si="28"/>
        <v/>
      </c>
      <c r="D552" s="50" t="str">
        <f t="shared" si="29"/>
        <v/>
      </c>
      <c r="E552" s="51"/>
      <c r="F552" s="49"/>
      <c r="G552" s="45">
        <f>H552+(I552*0.06)</f>
        <v>0</v>
      </c>
      <c r="H552" s="45"/>
      <c r="I552" s="45"/>
      <c r="J552" s="47"/>
    </row>
    <row r="553" spans="1:10" s="48" customFormat="1" x14ac:dyDescent="0.25">
      <c r="A553" s="49">
        <v>33898</v>
      </c>
      <c r="B553" s="53" t="str">
        <f t="shared" si="27"/>
        <v/>
      </c>
      <c r="C553" s="50" t="str">
        <f t="shared" si="28"/>
        <v/>
      </c>
      <c r="D553" s="50" t="str">
        <f t="shared" si="29"/>
        <v/>
      </c>
      <c r="E553" s="51"/>
      <c r="F553" s="49"/>
      <c r="G553" s="45">
        <f>H553+(I553*0.06)</f>
        <v>0</v>
      </c>
      <c r="H553" s="45"/>
      <c r="I553" s="45"/>
      <c r="J553" s="47"/>
    </row>
    <row r="554" spans="1:10" s="48" customFormat="1" x14ac:dyDescent="0.25">
      <c r="A554" s="49">
        <v>33899</v>
      </c>
      <c r="B554" s="53" t="str">
        <f t="shared" si="27"/>
        <v/>
      </c>
      <c r="C554" s="50" t="str">
        <f t="shared" si="28"/>
        <v/>
      </c>
      <c r="D554" s="50" t="str">
        <f t="shared" si="29"/>
        <v/>
      </c>
      <c r="E554" s="51"/>
      <c r="F554" s="49"/>
      <c r="G554" s="45">
        <f>H554+(I554*0.06)</f>
        <v>0</v>
      </c>
      <c r="H554" s="45"/>
      <c r="I554" s="45"/>
      <c r="J554" s="47"/>
    </row>
    <row r="555" spans="1:10" s="48" customFormat="1" x14ac:dyDescent="0.25">
      <c r="A555" s="49">
        <v>33900</v>
      </c>
      <c r="B555" s="53" t="str">
        <f t="shared" si="27"/>
        <v/>
      </c>
      <c r="C555" s="50" t="str">
        <f t="shared" si="28"/>
        <v/>
      </c>
      <c r="D555" s="50" t="str">
        <f t="shared" si="29"/>
        <v/>
      </c>
      <c r="E555" s="51"/>
      <c r="F555" s="49"/>
      <c r="G555" s="45">
        <f>H555+(I555*0.06)</f>
        <v>0</v>
      </c>
      <c r="H555" s="45"/>
      <c r="I555" s="45"/>
      <c r="J555" s="47"/>
    </row>
    <row r="556" spans="1:10" s="48" customFormat="1" x14ac:dyDescent="0.25">
      <c r="A556" s="49">
        <v>33901</v>
      </c>
      <c r="B556" s="53" t="str">
        <f t="shared" si="27"/>
        <v/>
      </c>
      <c r="C556" s="50" t="str">
        <f t="shared" si="28"/>
        <v/>
      </c>
      <c r="D556" s="50" t="str">
        <f t="shared" si="29"/>
        <v/>
      </c>
      <c r="E556" s="51"/>
      <c r="F556" s="49"/>
      <c r="G556" s="45">
        <f>H556+(I556*0.06)</f>
        <v>0</v>
      </c>
      <c r="H556" s="45"/>
      <c r="I556" s="45"/>
      <c r="J556" s="47"/>
    </row>
    <row r="557" spans="1:10" s="48" customFormat="1" x14ac:dyDescent="0.25">
      <c r="A557" s="49">
        <v>33902</v>
      </c>
      <c r="B557" s="53" t="str">
        <f t="shared" si="27"/>
        <v/>
      </c>
      <c r="C557" s="50" t="str">
        <f t="shared" si="28"/>
        <v/>
      </c>
      <c r="D557" s="50" t="str">
        <f t="shared" si="29"/>
        <v/>
      </c>
      <c r="E557" s="51"/>
      <c r="F557" s="49"/>
      <c r="G557" s="45">
        <f>H557+(I557*0.06)</f>
        <v>0</v>
      </c>
      <c r="H557" s="45"/>
      <c r="I557" s="45"/>
      <c r="J557" s="47"/>
    </row>
    <row r="558" spans="1:10" s="48" customFormat="1" x14ac:dyDescent="0.25">
      <c r="A558" s="49">
        <v>33903</v>
      </c>
      <c r="B558" s="53" t="str">
        <f t="shared" si="27"/>
        <v/>
      </c>
      <c r="C558" s="50" t="str">
        <f t="shared" si="28"/>
        <v/>
      </c>
      <c r="D558" s="50" t="str">
        <f t="shared" si="29"/>
        <v/>
      </c>
      <c r="E558" s="51"/>
      <c r="F558" s="49"/>
      <c r="G558" s="45">
        <f>H558+(I558*0.06)</f>
        <v>0</v>
      </c>
      <c r="H558" s="45"/>
      <c r="I558" s="45"/>
      <c r="J558" s="47"/>
    </row>
    <row r="559" spans="1:10" s="48" customFormat="1" x14ac:dyDescent="0.25">
      <c r="A559" s="49">
        <v>33904</v>
      </c>
      <c r="B559" s="53" t="str">
        <f t="shared" si="27"/>
        <v/>
      </c>
      <c r="C559" s="50" t="str">
        <f t="shared" si="28"/>
        <v/>
      </c>
      <c r="D559" s="50" t="str">
        <f t="shared" si="29"/>
        <v/>
      </c>
      <c r="E559" s="51"/>
      <c r="F559" s="49"/>
      <c r="G559" s="45">
        <f>H559+(I559*0.06)</f>
        <v>0</v>
      </c>
      <c r="H559" s="45"/>
      <c r="I559" s="45"/>
      <c r="J559" s="47"/>
    </row>
    <row r="560" spans="1:10" s="48" customFormat="1" x14ac:dyDescent="0.25">
      <c r="A560" s="49">
        <v>33905</v>
      </c>
      <c r="B560" s="53" t="str">
        <f t="shared" si="27"/>
        <v/>
      </c>
      <c r="C560" s="50" t="str">
        <f t="shared" si="28"/>
        <v/>
      </c>
      <c r="D560" s="50" t="str">
        <f t="shared" si="29"/>
        <v/>
      </c>
      <c r="E560" s="51"/>
      <c r="F560" s="49"/>
      <c r="G560" s="45">
        <f>H560+(I560*0.06)</f>
        <v>0</v>
      </c>
      <c r="H560" s="45"/>
      <c r="I560" s="45"/>
      <c r="J560" s="47"/>
    </row>
    <row r="561" spans="1:10" s="48" customFormat="1" x14ac:dyDescent="0.25">
      <c r="A561" s="49">
        <v>33906</v>
      </c>
      <c r="B561" s="53" t="str">
        <f t="shared" si="27"/>
        <v/>
      </c>
      <c r="C561" s="50" t="str">
        <f t="shared" si="28"/>
        <v/>
      </c>
      <c r="D561" s="50" t="str">
        <f t="shared" si="29"/>
        <v/>
      </c>
      <c r="E561" s="51"/>
      <c r="F561" s="49"/>
      <c r="G561" s="45">
        <f>H561+(I561*0.06)</f>
        <v>0</v>
      </c>
      <c r="H561" s="45"/>
      <c r="I561" s="45"/>
      <c r="J561" s="47"/>
    </row>
    <row r="562" spans="1:10" s="48" customFormat="1" x14ac:dyDescent="0.25">
      <c r="A562" s="49">
        <v>33907</v>
      </c>
      <c r="B562" s="53" t="str">
        <f t="shared" si="27"/>
        <v/>
      </c>
      <c r="C562" s="50" t="str">
        <f t="shared" si="28"/>
        <v/>
      </c>
      <c r="D562" s="50" t="str">
        <f t="shared" si="29"/>
        <v/>
      </c>
      <c r="E562" s="51"/>
      <c r="F562" s="49"/>
      <c r="G562" s="45">
        <f>H562+(I562*0.06)</f>
        <v>0</v>
      </c>
      <c r="H562" s="45"/>
      <c r="I562" s="45"/>
      <c r="J562" s="47"/>
    </row>
    <row r="563" spans="1:10" s="48" customFormat="1" x14ac:dyDescent="0.25">
      <c r="A563" s="49">
        <v>33908</v>
      </c>
      <c r="B563" s="53" t="str">
        <f t="shared" si="27"/>
        <v/>
      </c>
      <c r="C563" s="50" t="str">
        <f t="shared" si="28"/>
        <v/>
      </c>
      <c r="D563" s="50" t="str">
        <f t="shared" si="29"/>
        <v/>
      </c>
      <c r="E563" s="51"/>
      <c r="F563" s="49"/>
      <c r="G563" s="45">
        <f>H563+(I563*0.06)</f>
        <v>0</v>
      </c>
      <c r="H563" s="45"/>
      <c r="I563" s="45"/>
      <c r="J563" s="47"/>
    </row>
    <row r="564" spans="1:10" s="48" customFormat="1" x14ac:dyDescent="0.25">
      <c r="A564" s="49">
        <v>33909</v>
      </c>
      <c r="B564" s="53" t="str">
        <f t="shared" si="27"/>
        <v/>
      </c>
      <c r="C564" s="50" t="str">
        <f t="shared" si="28"/>
        <v/>
      </c>
      <c r="D564" s="50" t="str">
        <f t="shared" si="29"/>
        <v/>
      </c>
      <c r="E564" s="51"/>
      <c r="F564" s="49"/>
      <c r="G564" s="45">
        <f>H564+(I564*0.06)</f>
        <v>0</v>
      </c>
      <c r="H564" s="45"/>
      <c r="I564" s="45"/>
      <c r="J564" s="47"/>
    </row>
    <row r="565" spans="1:10" s="48" customFormat="1" x14ac:dyDescent="0.25">
      <c r="A565" s="49">
        <v>33910</v>
      </c>
      <c r="B565" s="53" t="str">
        <f t="shared" si="27"/>
        <v/>
      </c>
      <c r="C565" s="50" t="str">
        <f t="shared" si="28"/>
        <v/>
      </c>
      <c r="D565" s="50" t="str">
        <f t="shared" si="29"/>
        <v/>
      </c>
      <c r="E565" s="51"/>
      <c r="F565" s="49"/>
      <c r="G565" s="45">
        <f>H565+(I565*0.06)</f>
        <v>0</v>
      </c>
      <c r="H565" s="45"/>
      <c r="I565" s="45"/>
      <c r="J565" s="47"/>
    </row>
    <row r="566" spans="1:10" s="48" customFormat="1" x14ac:dyDescent="0.25">
      <c r="A566" s="49">
        <v>33911</v>
      </c>
      <c r="B566" s="53" t="str">
        <f t="shared" si="27"/>
        <v/>
      </c>
      <c r="C566" s="50" t="str">
        <f t="shared" si="28"/>
        <v/>
      </c>
      <c r="D566" s="50" t="str">
        <f t="shared" si="29"/>
        <v/>
      </c>
      <c r="E566" s="51"/>
      <c r="F566" s="49"/>
      <c r="G566" s="45">
        <f>H566+(I566*0.06)</f>
        <v>0</v>
      </c>
      <c r="H566" s="45"/>
      <c r="I566" s="45"/>
      <c r="J566" s="47"/>
    </row>
    <row r="567" spans="1:10" x14ac:dyDescent="0.25">
      <c r="A567" s="49">
        <v>33912</v>
      </c>
    </row>
    <row r="568" spans="1:10" x14ac:dyDescent="0.25">
      <c r="A568" s="49">
        <v>33913</v>
      </c>
    </row>
    <row r="569" spans="1:10" x14ac:dyDescent="0.25">
      <c r="A569" s="49">
        <v>33914</v>
      </c>
    </row>
    <row r="570" spans="1:10" x14ac:dyDescent="0.25">
      <c r="A570" s="49">
        <v>33915</v>
      </c>
    </row>
    <row r="571" spans="1:10" x14ac:dyDescent="0.25">
      <c r="A571" s="49">
        <v>33916</v>
      </c>
    </row>
    <row r="572" spans="1:10" x14ac:dyDescent="0.25">
      <c r="A572" s="49">
        <v>33917</v>
      </c>
    </row>
    <row r="573" spans="1:10" x14ac:dyDescent="0.25">
      <c r="A573" s="49">
        <v>33918</v>
      </c>
    </row>
    <row r="574" spans="1:10" x14ac:dyDescent="0.25">
      <c r="A574" s="49">
        <v>33919</v>
      </c>
    </row>
    <row r="575" spans="1:10" x14ac:dyDescent="0.25">
      <c r="A575" s="49">
        <v>33920</v>
      </c>
    </row>
    <row r="576" spans="1:10" x14ac:dyDescent="0.25">
      <c r="A576" s="49">
        <v>33921</v>
      </c>
    </row>
    <row r="577" spans="1:1" x14ac:dyDescent="0.25">
      <c r="A577" s="49">
        <v>33922</v>
      </c>
    </row>
    <row r="578" spans="1:1" x14ac:dyDescent="0.25">
      <c r="A578" s="49">
        <v>33923</v>
      </c>
    </row>
    <row r="579" spans="1:1" x14ac:dyDescent="0.25">
      <c r="A579" s="49">
        <v>33924</v>
      </c>
    </row>
    <row r="580" spans="1:1" x14ac:dyDescent="0.25">
      <c r="A580" s="49">
        <v>33925</v>
      </c>
    </row>
    <row r="581" spans="1:1" x14ac:dyDescent="0.25">
      <c r="A581" s="49">
        <v>33926</v>
      </c>
    </row>
    <row r="582" spans="1:1" x14ac:dyDescent="0.25">
      <c r="A582" s="49">
        <v>33927</v>
      </c>
    </row>
    <row r="583" spans="1:1" x14ac:dyDescent="0.25">
      <c r="A583" s="49">
        <v>33928</v>
      </c>
    </row>
    <row r="584" spans="1:1" x14ac:dyDescent="0.25">
      <c r="A584" s="49">
        <v>33929</v>
      </c>
    </row>
    <row r="585" spans="1:1" x14ac:dyDescent="0.25">
      <c r="A585" s="49">
        <v>33930</v>
      </c>
    </row>
    <row r="586" spans="1:1" x14ac:dyDescent="0.25">
      <c r="A586" s="49">
        <v>33931</v>
      </c>
    </row>
    <row r="587" spans="1:1" x14ac:dyDescent="0.25">
      <c r="A587" s="49">
        <v>33932</v>
      </c>
    </row>
    <row r="588" spans="1:1" x14ac:dyDescent="0.25">
      <c r="A588" s="49">
        <v>33933</v>
      </c>
    </row>
    <row r="589" spans="1:1" x14ac:dyDescent="0.25">
      <c r="A589" s="49">
        <v>33934</v>
      </c>
    </row>
    <row r="590" spans="1:1" x14ac:dyDescent="0.25">
      <c r="A590" s="49">
        <v>33935</v>
      </c>
    </row>
    <row r="591" spans="1:1" x14ac:dyDescent="0.25">
      <c r="A591" s="49">
        <v>33936</v>
      </c>
    </row>
    <row r="592" spans="1:1" x14ac:dyDescent="0.25">
      <c r="A592" s="49">
        <v>33937</v>
      </c>
    </row>
    <row r="593" spans="1:1" x14ac:dyDescent="0.25">
      <c r="A593" s="49">
        <v>33938</v>
      </c>
    </row>
    <row r="594" spans="1:1" x14ac:dyDescent="0.25">
      <c r="A594" s="49">
        <v>33939</v>
      </c>
    </row>
    <row r="595" spans="1:1" x14ac:dyDescent="0.25">
      <c r="A595" s="49">
        <v>33940</v>
      </c>
    </row>
    <row r="596" spans="1:1" x14ac:dyDescent="0.25">
      <c r="A596" s="49">
        <v>33941</v>
      </c>
    </row>
    <row r="597" spans="1:1" x14ac:dyDescent="0.25">
      <c r="A597" s="49">
        <v>33942</v>
      </c>
    </row>
    <row r="598" spans="1:1" x14ac:dyDescent="0.25">
      <c r="A598" s="49">
        <v>33943</v>
      </c>
    </row>
    <row r="599" spans="1:1" x14ac:dyDescent="0.25">
      <c r="A599" s="49">
        <v>33944</v>
      </c>
    </row>
    <row r="600" spans="1:1" x14ac:dyDescent="0.25">
      <c r="A600" s="49">
        <v>33945</v>
      </c>
    </row>
    <row r="601" spans="1:1" x14ac:dyDescent="0.25">
      <c r="A601" s="49">
        <v>33946</v>
      </c>
    </row>
    <row r="602" spans="1:1" x14ac:dyDescent="0.25">
      <c r="A602" s="49">
        <v>33947</v>
      </c>
    </row>
    <row r="603" spans="1:1" x14ac:dyDescent="0.25">
      <c r="A603" s="49">
        <v>33948</v>
      </c>
    </row>
    <row r="604" spans="1:1" x14ac:dyDescent="0.25">
      <c r="A604" s="49">
        <v>33949</v>
      </c>
    </row>
    <row r="605" spans="1:1" x14ac:dyDescent="0.25">
      <c r="A605" s="49">
        <v>33950</v>
      </c>
    </row>
    <row r="606" spans="1:1" x14ac:dyDescent="0.25">
      <c r="A606" s="49">
        <v>33951</v>
      </c>
    </row>
    <row r="607" spans="1:1" x14ac:dyDescent="0.25">
      <c r="A607" s="49">
        <v>33952</v>
      </c>
    </row>
    <row r="608" spans="1:1" x14ac:dyDescent="0.25">
      <c r="A608" s="49">
        <v>33953</v>
      </c>
    </row>
    <row r="609" spans="1:1" x14ac:dyDescent="0.25">
      <c r="A609" s="49">
        <v>33954</v>
      </c>
    </row>
    <row r="610" spans="1:1" x14ac:dyDescent="0.25">
      <c r="A610" s="49">
        <v>33955</v>
      </c>
    </row>
    <row r="611" spans="1:1" x14ac:dyDescent="0.25">
      <c r="A611" s="49">
        <v>33956</v>
      </c>
    </row>
    <row r="612" spans="1:1" x14ac:dyDescent="0.25">
      <c r="A612" s="49">
        <v>33957</v>
      </c>
    </row>
    <row r="613" spans="1:1" x14ac:dyDescent="0.25">
      <c r="A613" s="49">
        <v>33958</v>
      </c>
    </row>
    <row r="614" spans="1:1" x14ac:dyDescent="0.25">
      <c r="A614" s="49">
        <v>33959</v>
      </c>
    </row>
    <row r="615" spans="1:1" x14ac:dyDescent="0.25">
      <c r="A615" s="49">
        <v>33960</v>
      </c>
    </row>
    <row r="616" spans="1:1" x14ac:dyDescent="0.25">
      <c r="A616" s="49">
        <v>33961</v>
      </c>
    </row>
    <row r="617" spans="1:1" x14ac:dyDescent="0.25">
      <c r="A617" s="49">
        <v>33962</v>
      </c>
    </row>
    <row r="618" spans="1:1" x14ac:dyDescent="0.25">
      <c r="A618" s="49">
        <v>33963</v>
      </c>
    </row>
    <row r="619" spans="1:1" x14ac:dyDescent="0.25">
      <c r="A619" s="49">
        <v>33964</v>
      </c>
    </row>
    <row r="620" spans="1:1" x14ac:dyDescent="0.25">
      <c r="A620" s="49">
        <v>33965</v>
      </c>
    </row>
    <row r="621" spans="1:1" x14ac:dyDescent="0.25">
      <c r="A621" s="49">
        <v>33966</v>
      </c>
    </row>
    <row r="622" spans="1:1" x14ac:dyDescent="0.25">
      <c r="A622" s="49">
        <v>33967</v>
      </c>
    </row>
    <row r="623" spans="1:1" x14ac:dyDescent="0.25">
      <c r="A623" s="49">
        <v>33968</v>
      </c>
    </row>
    <row r="624" spans="1:1" x14ac:dyDescent="0.25">
      <c r="A624" s="49">
        <v>33969</v>
      </c>
    </row>
    <row r="625" spans="1:1" x14ac:dyDescent="0.25">
      <c r="A625" s="49">
        <v>33970</v>
      </c>
    </row>
    <row r="626" spans="1:1" x14ac:dyDescent="0.25">
      <c r="A626" s="49">
        <v>33971</v>
      </c>
    </row>
    <row r="627" spans="1:1" x14ac:dyDescent="0.25">
      <c r="A627" s="49">
        <v>33972</v>
      </c>
    </row>
    <row r="628" spans="1:1" x14ac:dyDescent="0.25">
      <c r="A628" s="49">
        <v>33973</v>
      </c>
    </row>
    <row r="629" spans="1:1" x14ac:dyDescent="0.25">
      <c r="A629" s="49">
        <v>33974</v>
      </c>
    </row>
    <row r="630" spans="1:1" x14ac:dyDescent="0.25">
      <c r="A630" s="49">
        <v>33975</v>
      </c>
    </row>
    <row r="631" spans="1:1" x14ac:dyDescent="0.25">
      <c r="A631" s="49">
        <v>33976</v>
      </c>
    </row>
    <row r="632" spans="1:1" x14ac:dyDescent="0.25">
      <c r="A632" s="49">
        <v>33977</v>
      </c>
    </row>
    <row r="633" spans="1:1" x14ac:dyDescent="0.25">
      <c r="A633" s="49">
        <v>33978</v>
      </c>
    </row>
    <row r="634" spans="1:1" x14ac:dyDescent="0.25">
      <c r="A634" s="49">
        <v>33979</v>
      </c>
    </row>
    <row r="635" spans="1:1" x14ac:dyDescent="0.25">
      <c r="A635" s="49">
        <v>33980</v>
      </c>
    </row>
    <row r="636" spans="1:1" x14ac:dyDescent="0.25">
      <c r="A636" s="49">
        <v>33981</v>
      </c>
    </row>
    <row r="637" spans="1:1" x14ac:dyDescent="0.25">
      <c r="A637" s="49">
        <v>33982</v>
      </c>
    </row>
    <row r="638" spans="1:1" x14ac:dyDescent="0.25">
      <c r="A638" s="49">
        <v>33983</v>
      </c>
    </row>
    <row r="639" spans="1:1" x14ac:dyDescent="0.25">
      <c r="A639" s="49">
        <v>33984</v>
      </c>
    </row>
    <row r="640" spans="1:1" x14ac:dyDescent="0.25">
      <c r="A640" s="49">
        <v>33985</v>
      </c>
    </row>
    <row r="641" spans="1:1" x14ac:dyDescent="0.25">
      <c r="A641" s="49">
        <v>33986</v>
      </c>
    </row>
    <row r="642" spans="1:1" x14ac:dyDescent="0.25">
      <c r="A642" s="49">
        <v>33987</v>
      </c>
    </row>
    <row r="643" spans="1:1" x14ac:dyDescent="0.25">
      <c r="A643" s="49">
        <v>33988</v>
      </c>
    </row>
    <row r="644" spans="1:1" x14ac:dyDescent="0.25">
      <c r="A644" s="49">
        <v>33989</v>
      </c>
    </row>
    <row r="645" spans="1:1" x14ac:dyDescent="0.25">
      <c r="A645" s="49">
        <v>33990</v>
      </c>
    </row>
    <row r="646" spans="1:1" x14ac:dyDescent="0.25">
      <c r="A646" s="49">
        <v>33991</v>
      </c>
    </row>
    <row r="647" spans="1:1" x14ac:dyDescent="0.25">
      <c r="A647" s="49">
        <v>33992</v>
      </c>
    </row>
    <row r="648" spans="1:1" x14ac:dyDescent="0.25">
      <c r="A648" s="49">
        <v>33993</v>
      </c>
    </row>
    <row r="649" spans="1:1" x14ac:dyDescent="0.25">
      <c r="A649" s="49">
        <v>33994</v>
      </c>
    </row>
    <row r="650" spans="1:1" x14ac:dyDescent="0.25">
      <c r="A650" s="49">
        <v>33995</v>
      </c>
    </row>
    <row r="651" spans="1:1" x14ac:dyDescent="0.25">
      <c r="A651" s="49">
        <v>33996</v>
      </c>
    </row>
    <row r="652" spans="1:1" x14ac:dyDescent="0.25">
      <c r="A652" s="49">
        <v>33997</v>
      </c>
    </row>
    <row r="653" spans="1:1" x14ac:dyDescent="0.25">
      <c r="A653" s="49">
        <v>33998</v>
      </c>
    </row>
    <row r="654" spans="1:1" x14ac:dyDescent="0.25">
      <c r="A654" s="49">
        <v>33999</v>
      </c>
    </row>
    <row r="655" spans="1:1" x14ac:dyDescent="0.25">
      <c r="A655" s="49">
        <v>34000</v>
      </c>
    </row>
    <row r="656" spans="1:1" x14ac:dyDescent="0.25">
      <c r="A656" s="49">
        <v>34001</v>
      </c>
    </row>
    <row r="657" spans="1:1" x14ac:dyDescent="0.25">
      <c r="A657" s="49">
        <v>34002</v>
      </c>
    </row>
    <row r="658" spans="1:1" x14ac:dyDescent="0.25">
      <c r="A658" s="49">
        <v>34003</v>
      </c>
    </row>
    <row r="659" spans="1:1" x14ac:dyDescent="0.25">
      <c r="A659" s="49">
        <v>34004</v>
      </c>
    </row>
    <row r="660" spans="1:1" x14ac:dyDescent="0.25">
      <c r="A660" s="49">
        <v>34005</v>
      </c>
    </row>
    <row r="661" spans="1:1" x14ac:dyDescent="0.25">
      <c r="A661" s="49">
        <v>34006</v>
      </c>
    </row>
    <row r="662" spans="1:1" x14ac:dyDescent="0.25">
      <c r="A662" s="49">
        <v>34007</v>
      </c>
    </row>
    <row r="663" spans="1:1" x14ac:dyDescent="0.25">
      <c r="A663" s="49">
        <v>34008</v>
      </c>
    </row>
    <row r="664" spans="1:1" x14ac:dyDescent="0.25">
      <c r="A664" s="49">
        <v>34009</v>
      </c>
    </row>
    <row r="665" spans="1:1" x14ac:dyDescent="0.25">
      <c r="A665" s="49">
        <v>34010</v>
      </c>
    </row>
    <row r="666" spans="1:1" x14ac:dyDescent="0.25">
      <c r="A666" s="49">
        <v>34011</v>
      </c>
    </row>
    <row r="667" spans="1:1" x14ac:dyDescent="0.25">
      <c r="A667" s="49">
        <v>34012</v>
      </c>
    </row>
    <row r="668" spans="1:1" x14ac:dyDescent="0.25">
      <c r="A668" s="49">
        <v>34013</v>
      </c>
    </row>
    <row r="669" spans="1:1" x14ac:dyDescent="0.25">
      <c r="A669" s="49">
        <v>34014</v>
      </c>
    </row>
    <row r="670" spans="1:1" x14ac:dyDescent="0.25">
      <c r="A670" s="49">
        <v>34015</v>
      </c>
    </row>
    <row r="671" spans="1:1" x14ac:dyDescent="0.25">
      <c r="A671" s="49">
        <v>34016</v>
      </c>
    </row>
    <row r="672" spans="1:1" x14ac:dyDescent="0.25">
      <c r="A672" s="49">
        <v>34017</v>
      </c>
    </row>
    <row r="673" spans="1:1" x14ac:dyDescent="0.25">
      <c r="A673" s="49">
        <v>34018</v>
      </c>
    </row>
    <row r="674" spans="1:1" x14ac:dyDescent="0.25">
      <c r="A674" s="49">
        <v>34019</v>
      </c>
    </row>
    <row r="675" spans="1:1" x14ac:dyDescent="0.25">
      <c r="A675" s="49">
        <v>34020</v>
      </c>
    </row>
    <row r="676" spans="1:1" x14ac:dyDescent="0.25">
      <c r="A676" s="49">
        <v>34021</v>
      </c>
    </row>
    <row r="677" spans="1:1" x14ac:dyDescent="0.25">
      <c r="A677" s="49">
        <v>34022</v>
      </c>
    </row>
    <row r="678" spans="1:1" x14ac:dyDescent="0.25">
      <c r="A678" s="49">
        <v>34023</v>
      </c>
    </row>
    <row r="679" spans="1:1" x14ac:dyDescent="0.25">
      <c r="A679" s="49">
        <v>34024</v>
      </c>
    </row>
    <row r="680" spans="1:1" x14ac:dyDescent="0.25">
      <c r="A680" s="49">
        <v>34025</v>
      </c>
    </row>
    <row r="681" spans="1:1" x14ac:dyDescent="0.25">
      <c r="A681" s="49">
        <v>34026</v>
      </c>
    </row>
    <row r="682" spans="1:1" x14ac:dyDescent="0.25">
      <c r="A682" s="49">
        <v>34027</v>
      </c>
    </row>
    <row r="683" spans="1:1" x14ac:dyDescent="0.25">
      <c r="A683" s="49">
        <v>34028</v>
      </c>
    </row>
    <row r="684" spans="1:1" x14ac:dyDescent="0.25">
      <c r="A684" s="49">
        <v>34029</v>
      </c>
    </row>
    <row r="685" spans="1:1" x14ac:dyDescent="0.25">
      <c r="A685" s="49">
        <v>34030</v>
      </c>
    </row>
    <row r="686" spans="1:1" x14ac:dyDescent="0.25">
      <c r="A686" s="49">
        <v>34031</v>
      </c>
    </row>
    <row r="687" spans="1:1" x14ac:dyDescent="0.25">
      <c r="A687" s="49">
        <v>34032</v>
      </c>
    </row>
    <row r="688" spans="1:1" x14ac:dyDescent="0.25">
      <c r="A688" s="49">
        <v>34033</v>
      </c>
    </row>
    <row r="689" spans="1:1" x14ac:dyDescent="0.25">
      <c r="A689" s="49">
        <v>34034</v>
      </c>
    </row>
    <row r="690" spans="1:1" x14ac:dyDescent="0.25">
      <c r="A690" s="49">
        <v>34035</v>
      </c>
    </row>
    <row r="691" spans="1:1" x14ac:dyDescent="0.25">
      <c r="A691" s="49">
        <v>34036</v>
      </c>
    </row>
    <row r="692" spans="1:1" x14ac:dyDescent="0.25">
      <c r="A692" s="49">
        <v>34037</v>
      </c>
    </row>
    <row r="693" spans="1:1" x14ac:dyDescent="0.25">
      <c r="A693" s="49">
        <v>34038</v>
      </c>
    </row>
    <row r="694" spans="1:1" x14ac:dyDescent="0.25">
      <c r="A694" s="49">
        <v>34039</v>
      </c>
    </row>
    <row r="695" spans="1:1" x14ac:dyDescent="0.25">
      <c r="A695" s="49">
        <v>34040</v>
      </c>
    </row>
    <row r="696" spans="1:1" x14ac:dyDescent="0.25">
      <c r="A696" s="49">
        <v>34041</v>
      </c>
    </row>
    <row r="697" spans="1:1" x14ac:dyDescent="0.25">
      <c r="A697" s="49">
        <v>34042</v>
      </c>
    </row>
    <row r="698" spans="1:1" x14ac:dyDescent="0.25">
      <c r="A698" s="49">
        <v>34043</v>
      </c>
    </row>
    <row r="699" spans="1:1" x14ac:dyDescent="0.25">
      <c r="A699" s="49">
        <v>34044</v>
      </c>
    </row>
    <row r="700" spans="1:1" x14ac:dyDescent="0.25">
      <c r="A700" s="49">
        <v>34045</v>
      </c>
    </row>
    <row r="701" spans="1:1" x14ac:dyDescent="0.25">
      <c r="A701" s="49">
        <v>34046</v>
      </c>
    </row>
    <row r="702" spans="1:1" x14ac:dyDescent="0.25">
      <c r="A702" s="49">
        <v>34047</v>
      </c>
    </row>
    <row r="703" spans="1:1" x14ac:dyDescent="0.25">
      <c r="A703" s="49">
        <v>34048</v>
      </c>
    </row>
    <row r="704" spans="1:1" x14ac:dyDescent="0.25">
      <c r="A704" s="49">
        <v>34049</v>
      </c>
    </row>
    <row r="705" spans="1:1" x14ac:dyDescent="0.25">
      <c r="A705" s="49">
        <v>34050</v>
      </c>
    </row>
    <row r="706" spans="1:1" x14ac:dyDescent="0.25">
      <c r="A706" s="49">
        <v>34051</v>
      </c>
    </row>
    <row r="707" spans="1:1" x14ac:dyDescent="0.25">
      <c r="A707" s="49">
        <v>34052</v>
      </c>
    </row>
    <row r="708" spans="1:1" x14ac:dyDescent="0.25">
      <c r="A708" s="49">
        <v>34053</v>
      </c>
    </row>
    <row r="709" spans="1:1" x14ac:dyDescent="0.25">
      <c r="A709" s="49">
        <v>34054</v>
      </c>
    </row>
    <row r="710" spans="1:1" x14ac:dyDescent="0.25">
      <c r="A710" s="49">
        <v>34055</v>
      </c>
    </row>
    <row r="711" spans="1:1" x14ac:dyDescent="0.25">
      <c r="A711" s="49">
        <v>34056</v>
      </c>
    </row>
    <row r="712" spans="1:1" x14ac:dyDescent="0.25">
      <c r="A712" s="49">
        <v>34057</v>
      </c>
    </row>
    <row r="713" spans="1:1" x14ac:dyDescent="0.25">
      <c r="A713" s="49">
        <v>34058</v>
      </c>
    </row>
    <row r="714" spans="1:1" x14ac:dyDescent="0.25">
      <c r="A714" s="49">
        <v>34059</v>
      </c>
    </row>
    <row r="715" spans="1:1" x14ac:dyDescent="0.25">
      <c r="A715" s="49">
        <v>34060</v>
      </c>
    </row>
    <row r="716" spans="1:1" x14ac:dyDescent="0.25">
      <c r="A716" s="49">
        <v>34061</v>
      </c>
    </row>
    <row r="717" spans="1:1" x14ac:dyDescent="0.25">
      <c r="A717" s="49">
        <v>34062</v>
      </c>
    </row>
    <row r="718" spans="1:1" x14ac:dyDescent="0.25">
      <c r="A718" s="49">
        <v>34063</v>
      </c>
    </row>
    <row r="719" spans="1:1" x14ac:dyDescent="0.25">
      <c r="A719" s="49">
        <v>34064</v>
      </c>
    </row>
    <row r="720" spans="1:1" x14ac:dyDescent="0.25">
      <c r="A720" s="49">
        <v>34065</v>
      </c>
    </row>
    <row r="721" spans="1:1" x14ac:dyDescent="0.25">
      <c r="A721" s="49">
        <v>34066</v>
      </c>
    </row>
    <row r="722" spans="1:1" x14ac:dyDescent="0.25">
      <c r="A722" s="49">
        <v>34067</v>
      </c>
    </row>
    <row r="723" spans="1:1" x14ac:dyDescent="0.25">
      <c r="A723" s="49">
        <v>34068</v>
      </c>
    </row>
    <row r="724" spans="1:1" x14ac:dyDescent="0.25">
      <c r="A724" s="49">
        <v>34069</v>
      </c>
    </row>
    <row r="725" spans="1:1" x14ac:dyDescent="0.25">
      <c r="A725" s="49">
        <v>34070</v>
      </c>
    </row>
    <row r="726" spans="1:1" x14ac:dyDescent="0.25">
      <c r="A726" s="49">
        <v>34071</v>
      </c>
    </row>
    <row r="727" spans="1:1" x14ac:dyDescent="0.25">
      <c r="A727" s="49">
        <v>34072</v>
      </c>
    </row>
    <row r="728" spans="1:1" x14ac:dyDescent="0.25">
      <c r="A728" s="49">
        <v>34073</v>
      </c>
    </row>
    <row r="729" spans="1:1" x14ac:dyDescent="0.25">
      <c r="A729" s="49">
        <v>34074</v>
      </c>
    </row>
    <row r="730" spans="1:1" x14ac:dyDescent="0.25">
      <c r="A730" s="49">
        <v>34075</v>
      </c>
    </row>
    <row r="731" spans="1:1" x14ac:dyDescent="0.25">
      <c r="A731" s="49">
        <v>34076</v>
      </c>
    </row>
    <row r="732" spans="1:1" x14ac:dyDescent="0.25">
      <c r="A732" s="49">
        <v>34077</v>
      </c>
    </row>
    <row r="733" spans="1:1" x14ac:dyDescent="0.25">
      <c r="A733" s="49">
        <v>34078</v>
      </c>
    </row>
    <row r="734" spans="1:1" x14ac:dyDescent="0.25">
      <c r="A734" s="49">
        <v>34079</v>
      </c>
    </row>
    <row r="735" spans="1:1" x14ac:dyDescent="0.25">
      <c r="A735" s="49">
        <v>34080</v>
      </c>
    </row>
    <row r="736" spans="1:1" x14ac:dyDescent="0.25">
      <c r="A736" s="49">
        <v>34081</v>
      </c>
    </row>
    <row r="737" spans="1:1" x14ac:dyDescent="0.25">
      <c r="A737" s="49">
        <v>34082</v>
      </c>
    </row>
    <row r="738" spans="1:1" x14ac:dyDescent="0.25">
      <c r="A738" s="49">
        <v>34083</v>
      </c>
    </row>
    <row r="739" spans="1:1" x14ac:dyDescent="0.25">
      <c r="A739" s="49">
        <v>34084</v>
      </c>
    </row>
    <row r="740" spans="1:1" x14ac:dyDescent="0.25">
      <c r="A740" s="49">
        <v>34085</v>
      </c>
    </row>
    <row r="741" spans="1:1" x14ac:dyDescent="0.25">
      <c r="A741" s="49">
        <v>34086</v>
      </c>
    </row>
    <row r="742" spans="1:1" x14ac:dyDescent="0.25">
      <c r="A742" s="49">
        <v>34087</v>
      </c>
    </row>
    <row r="743" spans="1:1" x14ac:dyDescent="0.25">
      <c r="A743" s="49">
        <v>34088</v>
      </c>
    </row>
    <row r="744" spans="1:1" x14ac:dyDescent="0.25">
      <c r="A744" s="49">
        <v>34089</v>
      </c>
    </row>
    <row r="745" spans="1:1" x14ac:dyDescent="0.25">
      <c r="A745" s="49">
        <v>34090</v>
      </c>
    </row>
    <row r="746" spans="1:1" x14ac:dyDescent="0.25">
      <c r="A746" s="49">
        <v>34091</v>
      </c>
    </row>
    <row r="747" spans="1:1" x14ac:dyDescent="0.25">
      <c r="A747" s="49">
        <v>34092</v>
      </c>
    </row>
    <row r="748" spans="1:1" x14ac:dyDescent="0.25">
      <c r="A748" s="49">
        <v>34093</v>
      </c>
    </row>
    <row r="749" spans="1:1" x14ac:dyDescent="0.25">
      <c r="A749" s="49">
        <v>34094</v>
      </c>
    </row>
    <row r="750" spans="1:1" x14ac:dyDescent="0.25">
      <c r="A750" s="49">
        <v>34095</v>
      </c>
    </row>
    <row r="751" spans="1:1" x14ac:dyDescent="0.25">
      <c r="A751" s="49">
        <v>34096</v>
      </c>
    </row>
    <row r="752" spans="1:1" x14ac:dyDescent="0.25">
      <c r="A752" s="49">
        <v>34097</v>
      </c>
    </row>
    <row r="753" spans="1:1" x14ac:dyDescent="0.25">
      <c r="A753" s="49">
        <v>34098</v>
      </c>
    </row>
    <row r="754" spans="1:1" x14ac:dyDescent="0.25">
      <c r="A754" s="49">
        <v>34099</v>
      </c>
    </row>
    <row r="755" spans="1:1" x14ac:dyDescent="0.25">
      <c r="A755" s="49">
        <v>34100</v>
      </c>
    </row>
    <row r="756" spans="1:1" x14ac:dyDescent="0.25">
      <c r="A756" s="49">
        <v>34101</v>
      </c>
    </row>
    <row r="757" spans="1:1" x14ac:dyDescent="0.25">
      <c r="A757" s="49">
        <v>34102</v>
      </c>
    </row>
    <row r="758" spans="1:1" x14ac:dyDescent="0.25">
      <c r="A758" s="49">
        <v>34103</v>
      </c>
    </row>
    <row r="759" spans="1:1" x14ac:dyDescent="0.25">
      <c r="A759" s="49">
        <v>34104</v>
      </c>
    </row>
    <row r="760" spans="1:1" x14ac:dyDescent="0.25">
      <c r="A760" s="49">
        <v>34105</v>
      </c>
    </row>
    <row r="761" spans="1:1" x14ac:dyDescent="0.25">
      <c r="A761" s="49">
        <v>34106</v>
      </c>
    </row>
    <row r="762" spans="1:1" x14ac:dyDescent="0.25">
      <c r="A762" s="49">
        <v>34107</v>
      </c>
    </row>
    <row r="763" spans="1:1" x14ac:dyDescent="0.25">
      <c r="A763" s="49">
        <v>34108</v>
      </c>
    </row>
    <row r="764" spans="1:1" x14ac:dyDescent="0.25">
      <c r="A764" s="49">
        <v>34109</v>
      </c>
    </row>
    <row r="765" spans="1:1" x14ac:dyDescent="0.25">
      <c r="A765" s="49">
        <v>34110</v>
      </c>
    </row>
    <row r="766" spans="1:1" x14ac:dyDescent="0.25">
      <c r="A766" s="49">
        <v>34111</v>
      </c>
    </row>
    <row r="767" spans="1:1" x14ac:dyDescent="0.25">
      <c r="A767" s="49">
        <v>34112</v>
      </c>
    </row>
    <row r="768" spans="1:1" x14ac:dyDescent="0.25">
      <c r="A768" s="49">
        <v>34113</v>
      </c>
    </row>
    <row r="769" spans="1:1" x14ac:dyDescent="0.25">
      <c r="A769" s="49">
        <v>34114</v>
      </c>
    </row>
    <row r="770" spans="1:1" x14ac:dyDescent="0.25">
      <c r="A770" s="49">
        <v>34115</v>
      </c>
    </row>
    <row r="771" spans="1:1" x14ac:dyDescent="0.25">
      <c r="A771" s="49">
        <v>34116</v>
      </c>
    </row>
    <row r="772" spans="1:1" x14ac:dyDescent="0.25">
      <c r="A772" s="49">
        <v>34117</v>
      </c>
    </row>
    <row r="773" spans="1:1" x14ac:dyDescent="0.25">
      <c r="A773" s="49">
        <v>34118</v>
      </c>
    </row>
    <row r="774" spans="1:1" x14ac:dyDescent="0.25">
      <c r="A774" s="49">
        <v>34119</v>
      </c>
    </row>
    <row r="775" spans="1:1" x14ac:dyDescent="0.25">
      <c r="A775" s="49">
        <v>34120</v>
      </c>
    </row>
    <row r="776" spans="1:1" x14ac:dyDescent="0.25">
      <c r="A776" s="49">
        <v>34121</v>
      </c>
    </row>
    <row r="777" spans="1:1" x14ac:dyDescent="0.25">
      <c r="A777" s="49">
        <v>34122</v>
      </c>
    </row>
    <row r="778" spans="1:1" x14ac:dyDescent="0.25">
      <c r="A778" s="49">
        <v>34123</v>
      </c>
    </row>
    <row r="779" spans="1:1" x14ac:dyDescent="0.25">
      <c r="A779" s="49">
        <v>34124</v>
      </c>
    </row>
    <row r="780" spans="1:1" x14ac:dyDescent="0.25">
      <c r="A780" s="49">
        <v>34125</v>
      </c>
    </row>
    <row r="781" spans="1:1" x14ac:dyDescent="0.25">
      <c r="A781" s="49">
        <v>34126</v>
      </c>
    </row>
    <row r="782" spans="1:1" x14ac:dyDescent="0.25">
      <c r="A782" s="49">
        <v>34127</v>
      </c>
    </row>
    <row r="783" spans="1:1" x14ac:dyDescent="0.25">
      <c r="A783" s="49">
        <v>34128</v>
      </c>
    </row>
    <row r="784" spans="1:1" x14ac:dyDescent="0.25">
      <c r="A784" s="49">
        <v>34129</v>
      </c>
    </row>
    <row r="785" spans="1:1" x14ac:dyDescent="0.25">
      <c r="A785" s="49">
        <v>34130</v>
      </c>
    </row>
    <row r="786" spans="1:1" x14ac:dyDescent="0.25">
      <c r="A786" s="49">
        <v>34131</v>
      </c>
    </row>
    <row r="787" spans="1:1" x14ac:dyDescent="0.25">
      <c r="A787" s="49">
        <v>34132</v>
      </c>
    </row>
    <row r="788" spans="1:1" x14ac:dyDescent="0.25">
      <c r="A788" s="49">
        <v>34133</v>
      </c>
    </row>
    <row r="789" spans="1:1" x14ac:dyDescent="0.25">
      <c r="A789" s="49">
        <v>34134</v>
      </c>
    </row>
    <row r="790" spans="1:1" x14ac:dyDescent="0.25">
      <c r="A790" s="49">
        <v>34135</v>
      </c>
    </row>
    <row r="791" spans="1:1" x14ac:dyDescent="0.25">
      <c r="A791" s="49">
        <v>34136</v>
      </c>
    </row>
    <row r="792" spans="1:1" x14ac:dyDescent="0.25">
      <c r="A792" s="49">
        <v>34137</v>
      </c>
    </row>
    <row r="793" spans="1:1" x14ac:dyDescent="0.25">
      <c r="A793" s="49">
        <v>34138</v>
      </c>
    </row>
    <row r="794" spans="1:1" x14ac:dyDescent="0.25">
      <c r="A794" s="49">
        <v>34139</v>
      </c>
    </row>
    <row r="795" spans="1:1" x14ac:dyDescent="0.25">
      <c r="A795" s="49">
        <v>34140</v>
      </c>
    </row>
    <row r="796" spans="1:1" x14ac:dyDescent="0.25">
      <c r="A796" s="49">
        <v>34141</v>
      </c>
    </row>
    <row r="797" spans="1:1" x14ac:dyDescent="0.25">
      <c r="A797" s="49">
        <v>34142</v>
      </c>
    </row>
    <row r="798" spans="1:1" x14ac:dyDescent="0.25">
      <c r="A798" s="49">
        <v>34143</v>
      </c>
    </row>
    <row r="799" spans="1:1" x14ac:dyDescent="0.25">
      <c r="A799" s="49">
        <v>34144</v>
      </c>
    </row>
    <row r="800" spans="1:1" x14ac:dyDescent="0.25">
      <c r="A800" s="49">
        <v>34145</v>
      </c>
    </row>
    <row r="801" spans="1:1" x14ac:dyDescent="0.25">
      <c r="A801" s="49">
        <v>34146</v>
      </c>
    </row>
    <row r="802" spans="1:1" x14ac:dyDescent="0.25">
      <c r="A802" s="49">
        <v>34147</v>
      </c>
    </row>
    <row r="803" spans="1:1" x14ac:dyDescent="0.25">
      <c r="A803" s="49">
        <v>34148</v>
      </c>
    </row>
    <row r="804" spans="1:1" x14ac:dyDescent="0.25">
      <c r="A804" s="49">
        <v>34149</v>
      </c>
    </row>
    <row r="805" spans="1:1" x14ac:dyDescent="0.25">
      <c r="A805" s="49">
        <v>34150</v>
      </c>
    </row>
    <row r="806" spans="1:1" x14ac:dyDescent="0.25">
      <c r="A806" s="49">
        <v>34151</v>
      </c>
    </row>
    <row r="807" spans="1:1" x14ac:dyDescent="0.25">
      <c r="A807" s="49">
        <v>34152</v>
      </c>
    </row>
    <row r="808" spans="1:1" x14ac:dyDescent="0.25">
      <c r="A808" s="49">
        <v>34153</v>
      </c>
    </row>
    <row r="809" spans="1:1" x14ac:dyDescent="0.25">
      <c r="A809" s="49">
        <v>34154</v>
      </c>
    </row>
    <row r="810" spans="1:1" x14ac:dyDescent="0.25">
      <c r="A810" s="49">
        <v>34155</v>
      </c>
    </row>
    <row r="811" spans="1:1" x14ac:dyDescent="0.25">
      <c r="A811" s="49">
        <v>34156</v>
      </c>
    </row>
    <row r="812" spans="1:1" x14ac:dyDescent="0.25">
      <c r="A812" s="49">
        <v>34157</v>
      </c>
    </row>
    <row r="813" spans="1:1" x14ac:dyDescent="0.25">
      <c r="A813" s="49">
        <v>34158</v>
      </c>
    </row>
    <row r="814" spans="1:1" x14ac:dyDescent="0.25">
      <c r="A814" s="49">
        <v>34159</v>
      </c>
    </row>
    <row r="815" spans="1:1" x14ac:dyDescent="0.25">
      <c r="A815" s="49">
        <v>34160</v>
      </c>
    </row>
    <row r="816" spans="1:1" x14ac:dyDescent="0.25">
      <c r="A816" s="49">
        <v>34161</v>
      </c>
    </row>
    <row r="817" spans="1:1" x14ac:dyDescent="0.25">
      <c r="A817" s="49">
        <v>34162</v>
      </c>
    </row>
    <row r="818" spans="1:1" x14ac:dyDescent="0.25">
      <c r="A818" s="49">
        <v>34163</v>
      </c>
    </row>
    <row r="819" spans="1:1" x14ac:dyDescent="0.25">
      <c r="A819" s="49">
        <v>34164</v>
      </c>
    </row>
    <row r="820" spans="1:1" x14ac:dyDescent="0.25">
      <c r="A820" s="49">
        <v>34165</v>
      </c>
    </row>
    <row r="821" spans="1:1" x14ac:dyDescent="0.25">
      <c r="A821" s="49">
        <v>34166</v>
      </c>
    </row>
    <row r="822" spans="1:1" x14ac:dyDescent="0.25">
      <c r="A822" s="49">
        <v>34167</v>
      </c>
    </row>
    <row r="823" spans="1:1" x14ac:dyDescent="0.25">
      <c r="A823" s="49">
        <v>34168</v>
      </c>
    </row>
    <row r="824" spans="1:1" x14ac:dyDescent="0.25">
      <c r="A824" s="49">
        <v>34169</v>
      </c>
    </row>
    <row r="825" spans="1:1" x14ac:dyDescent="0.25">
      <c r="A825" s="49">
        <v>34170</v>
      </c>
    </row>
    <row r="826" spans="1:1" x14ac:dyDescent="0.25">
      <c r="A826" s="49">
        <v>34171</v>
      </c>
    </row>
    <row r="827" spans="1:1" x14ac:dyDescent="0.25">
      <c r="A827" s="49">
        <v>34172</v>
      </c>
    </row>
    <row r="828" spans="1:1" x14ac:dyDescent="0.25">
      <c r="A828" s="49">
        <v>34173</v>
      </c>
    </row>
    <row r="829" spans="1:1" x14ac:dyDescent="0.25">
      <c r="A829" s="49">
        <v>34174</v>
      </c>
    </row>
    <row r="830" spans="1:1" x14ac:dyDescent="0.25">
      <c r="A830" s="49">
        <v>34175</v>
      </c>
    </row>
    <row r="831" spans="1:1" x14ac:dyDescent="0.25">
      <c r="A831" s="49">
        <v>34176</v>
      </c>
    </row>
    <row r="832" spans="1:1" x14ac:dyDescent="0.25">
      <c r="A832" s="49">
        <v>34177</v>
      </c>
    </row>
    <row r="833" spans="1:1" x14ac:dyDescent="0.25">
      <c r="A833" s="49">
        <v>34178</v>
      </c>
    </row>
    <row r="834" spans="1:1" x14ac:dyDescent="0.25">
      <c r="A834" s="49">
        <v>34179</v>
      </c>
    </row>
    <row r="835" spans="1:1" x14ac:dyDescent="0.25">
      <c r="A835" s="49">
        <v>34180</v>
      </c>
    </row>
    <row r="836" spans="1:1" x14ac:dyDescent="0.25">
      <c r="A836" s="49">
        <v>34181</v>
      </c>
    </row>
    <row r="837" spans="1:1" x14ac:dyDescent="0.25">
      <c r="A837" s="49">
        <v>34182</v>
      </c>
    </row>
    <row r="838" spans="1:1" x14ac:dyDescent="0.25">
      <c r="A838" s="49">
        <v>34183</v>
      </c>
    </row>
    <row r="839" spans="1:1" x14ac:dyDescent="0.25">
      <c r="A839" s="49">
        <v>34184</v>
      </c>
    </row>
    <row r="840" spans="1:1" x14ac:dyDescent="0.25">
      <c r="A840" s="49">
        <v>34185</v>
      </c>
    </row>
    <row r="841" spans="1:1" x14ac:dyDescent="0.25">
      <c r="A841" s="49">
        <v>34186</v>
      </c>
    </row>
    <row r="842" spans="1:1" x14ac:dyDescent="0.25">
      <c r="A842" s="49">
        <v>34187</v>
      </c>
    </row>
    <row r="843" spans="1:1" x14ac:dyDescent="0.25">
      <c r="A843" s="49">
        <v>34188</v>
      </c>
    </row>
    <row r="844" spans="1:1" x14ac:dyDescent="0.25">
      <c r="A844" s="49">
        <v>34189</v>
      </c>
    </row>
    <row r="845" spans="1:1" x14ac:dyDescent="0.25">
      <c r="A845" s="49">
        <v>34190</v>
      </c>
    </row>
    <row r="846" spans="1:1" x14ac:dyDescent="0.25">
      <c r="A846" s="49">
        <v>34191</v>
      </c>
    </row>
    <row r="847" spans="1:1" x14ac:dyDescent="0.25">
      <c r="A847" s="49">
        <v>34192</v>
      </c>
    </row>
    <row r="848" spans="1:1" x14ac:dyDescent="0.25">
      <c r="A848" s="49">
        <v>34193</v>
      </c>
    </row>
    <row r="849" spans="1:1" x14ac:dyDescent="0.25">
      <c r="A849" s="49">
        <v>34194</v>
      </c>
    </row>
    <row r="850" spans="1:1" x14ac:dyDescent="0.25">
      <c r="A850" s="49">
        <v>34195</v>
      </c>
    </row>
    <row r="851" spans="1:1" x14ac:dyDescent="0.25">
      <c r="A851" s="49">
        <v>34196</v>
      </c>
    </row>
    <row r="852" spans="1:1" x14ac:dyDescent="0.25">
      <c r="A852" s="49">
        <v>34197</v>
      </c>
    </row>
    <row r="853" spans="1:1" x14ac:dyDescent="0.25">
      <c r="A853" s="49">
        <v>34198</v>
      </c>
    </row>
    <row r="854" spans="1:1" x14ac:dyDescent="0.25">
      <c r="A854" s="49">
        <v>34199</v>
      </c>
    </row>
    <row r="855" spans="1:1" x14ac:dyDescent="0.25">
      <c r="A855" s="49">
        <v>34200</v>
      </c>
    </row>
    <row r="856" spans="1:1" x14ac:dyDescent="0.25">
      <c r="A856" s="49">
        <v>34201</v>
      </c>
    </row>
    <row r="857" spans="1:1" x14ac:dyDescent="0.25">
      <c r="A857" s="49">
        <v>34202</v>
      </c>
    </row>
    <row r="858" spans="1:1" x14ac:dyDescent="0.25">
      <c r="A858" s="49">
        <v>34203</v>
      </c>
    </row>
    <row r="859" spans="1:1" x14ac:dyDescent="0.25">
      <c r="A859" s="49">
        <v>34204</v>
      </c>
    </row>
    <row r="860" spans="1:1" x14ac:dyDescent="0.25">
      <c r="A860" s="49">
        <v>34205</v>
      </c>
    </row>
    <row r="861" spans="1:1" x14ac:dyDescent="0.25">
      <c r="A861" s="49">
        <v>34206</v>
      </c>
    </row>
    <row r="862" spans="1:1" x14ac:dyDescent="0.25">
      <c r="A862" s="49">
        <v>34207</v>
      </c>
    </row>
    <row r="863" spans="1:1" x14ac:dyDescent="0.25">
      <c r="A863" s="49">
        <v>34208</v>
      </c>
    </row>
    <row r="864" spans="1:1" x14ac:dyDescent="0.25">
      <c r="A864" s="49">
        <v>34209</v>
      </c>
    </row>
    <row r="865" spans="1:1" x14ac:dyDescent="0.25">
      <c r="A865" s="49">
        <v>34210</v>
      </c>
    </row>
    <row r="866" spans="1:1" x14ac:dyDescent="0.25">
      <c r="A866" s="49">
        <v>34211</v>
      </c>
    </row>
    <row r="867" spans="1:1" x14ac:dyDescent="0.25">
      <c r="A867" s="49">
        <v>34212</v>
      </c>
    </row>
    <row r="868" spans="1:1" x14ac:dyDescent="0.25">
      <c r="A868" s="49">
        <v>34213</v>
      </c>
    </row>
    <row r="869" spans="1:1" x14ac:dyDescent="0.25">
      <c r="A869" s="49">
        <v>34214</v>
      </c>
    </row>
    <row r="870" spans="1:1" x14ac:dyDescent="0.25">
      <c r="A870" s="49">
        <v>34215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rintOptions horizontalCentered="1" verticalCentered="1"/>
  <pageMargins left="0.19685039370078741" right="0.19685039370078741" top="0.39370078740157483" bottom="0.39370078740157483" header="0" footer="0"/>
  <pageSetup paperSize="9" scale="75" orientation="landscape" r:id="rId1"/>
  <headerFooter alignWithMargins="0">
    <oddHeader>&amp;CACEE Chantiers 2015
&amp;R&amp;P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RECAP_2016</vt:lpstr>
      <vt:lpstr>Données groupées générales </vt:lpstr>
      <vt:lpstr>CHANTIERS_2016</vt:lpstr>
      <vt:lpstr>Feuil2</vt:lpstr>
      <vt:lpstr>CHANTIERS_2016!Impression_des_titres</vt:lpstr>
      <vt:lpstr>RECAP_2016!Impression_des_titres</vt:lpstr>
      <vt:lpstr>Nom_Client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jll</dc:creator>
  <cp:lastModifiedBy>Virginie Saussier</cp:lastModifiedBy>
  <cp:lastPrinted>2016-02-08T13:41:11Z</cp:lastPrinted>
  <dcterms:created xsi:type="dcterms:W3CDTF">2009-05-06T22:03:47Z</dcterms:created>
  <dcterms:modified xsi:type="dcterms:W3CDTF">2016-03-29T12:18:41Z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OT DE PASSE">
    <vt:i4>19821998</vt:i4>
  </property>
</Properties>
</file>