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5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6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7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8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9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drawings/drawing10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drawings/drawing11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drawings/drawing12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autoCompressPictures="0"/>
  <bookViews>
    <workbookView xWindow="0" yWindow="-60" windowWidth="15600" windowHeight="11760"/>
  </bookViews>
  <sheets>
    <sheet name="Jan" sheetId="6" r:id="rId1"/>
    <sheet name="Fév" sheetId="9" r:id="rId2"/>
    <sheet name="Mar" sheetId="10" r:id="rId3"/>
    <sheet name="Avr" sheetId="11" r:id="rId4"/>
    <sheet name="Mai" sheetId="12" r:id="rId5"/>
    <sheet name="Jun" sheetId="13" r:id="rId6"/>
    <sheet name="Aoû" sheetId="15" r:id="rId7"/>
    <sheet name="Jul" sheetId="14" r:id="rId8"/>
    <sheet name="Sep" sheetId="16" r:id="rId9"/>
    <sheet name="Oct" sheetId="17" r:id="rId10"/>
    <sheet name="Nov" sheetId="18" r:id="rId11"/>
    <sheet name="Déc" sheetId="19" r:id="rId12"/>
  </sheets>
  <definedNames>
    <definedName name="Année_Calendaire">Jan!$L$2</definedName>
    <definedName name="Aoû_Dim1">DATE(Année_Calendaire,8,1)-WEEKDAY(DATE(Année_Calendaire,8,1))+1</definedName>
    <definedName name="Avr_Dim1">DATE(Année_Calendaire,4,1)-WEEKDAY(DATE(Année_Calendaire,4,1))+1</definedName>
    <definedName name="Déc_Dim1">DATE(Année_Calendaire,12,1)-WEEKDAY(DATE(Année_Calendaire,12,1))+1</definedName>
    <definedName name="Fév_Dim1">DATE(Année_Calendaire,2,1)-WEEKDAY(DATE(Année_Calendaire,2,1))+1</definedName>
    <definedName name="Jan_Dim1">DATE(Année_Calendaire,1,1)-WEEKDAY(DATE(Année_Calendaire,1,1))+1</definedName>
    <definedName name="Juil_Dim1">DATE(Année_Calendaire,7,1)-WEEKDAY(DATE(Année_Calendaire,7,1))+1</definedName>
    <definedName name="Juin_Dim1">DATE(Année_Calendaire,6,1)-WEEKDAY(DATE(Année_Calendaire,6,1))+1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i_Dim1">DATE(Année_Calendaire,5,1)-WEEKDAY(DATE(Année_Calendaire,5,1))+1</definedName>
    <definedName name="Mar_Dim1">DATE(Année_Calendaire,3,1)-WEEKDAY(DATE(Année_Calendaire,3,1))+1</definedName>
    <definedName name="Nov_Dim1">DATE(Année_Calendaire,11,1)-WEEKDAY(DATE(Année_Calendaire,11,1))+1</definedName>
    <definedName name="Oct_Dim1">DATE(Année_Calendaire,10,1)-WEEKDAY(DATE(Année_Calendaire,10,1))+1</definedName>
    <definedName name="Sep_Dim1">DATE(Année_Calendaire,9,1)-WEEKDAY(DATE(Année_Calendaire,9,1))+1</definedName>
    <definedName name="_xlnm.Print_Area" localSheetId="6">Aoû!$A$1:$H$37</definedName>
    <definedName name="_xlnm.Print_Area" localSheetId="3">Avr!$A$1:$H$37</definedName>
    <definedName name="_xlnm.Print_Area" localSheetId="11">Déc!$A$1:$H$36</definedName>
    <definedName name="_xlnm.Print_Area" localSheetId="1">Fév!$A$1:$H$37</definedName>
    <definedName name="_xlnm.Print_Area" localSheetId="0">Jan!$A$1:$H$37</definedName>
    <definedName name="_xlnm.Print_Area" localSheetId="7">Jul!$A$1:$H$37</definedName>
    <definedName name="_xlnm.Print_Area" localSheetId="5">Jun!$A$1:$H$37</definedName>
    <definedName name="_xlnm.Print_Area" localSheetId="4">Mai!$A$1:$H$37</definedName>
    <definedName name="_xlnm.Print_Area" localSheetId="2">Mar!$A$1:$H$37</definedName>
    <definedName name="_xlnm.Print_Area" localSheetId="10">Nov!$A$1:$H$37</definedName>
    <definedName name="_xlnm.Print_Area" localSheetId="9">Oct!$A$1:$H$37</definedName>
    <definedName name="_xlnm.Print_Area" localSheetId="8">Sep!$A$1:$H$37</definedName>
  </definedNames>
  <calcPr calcId="14562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9" l="1"/>
  <c r="G3" i="18"/>
  <c r="G3" i="17"/>
  <c r="G3" i="16"/>
  <c r="G3" i="15"/>
  <c r="G3" i="14"/>
  <c r="G3" i="13"/>
  <c r="G3" i="12"/>
  <c r="G3" i="11"/>
  <c r="G3" i="9"/>
  <c r="G3" i="10"/>
  <c r="D3" i="9"/>
  <c r="H7" i="6"/>
  <c r="E3" i="19"/>
  <c r="E3" i="18"/>
  <c r="D3" i="17"/>
  <c r="E3" i="16"/>
  <c r="D3" i="15"/>
  <c r="D3" i="14"/>
  <c r="D3" i="13"/>
  <c r="D3" i="12"/>
  <c r="D3" i="11"/>
  <c r="D3" i="10"/>
  <c r="D3" i="6"/>
  <c r="B5" i="6"/>
  <c r="D5" i="6"/>
  <c r="C15" i="11"/>
  <c r="B15" i="11"/>
  <c r="H13" i="11"/>
  <c r="G13" i="11"/>
  <c r="F13" i="11"/>
  <c r="E13" i="11"/>
  <c r="D13" i="11"/>
  <c r="C13" i="11"/>
  <c r="B13" i="11"/>
  <c r="H11" i="11"/>
  <c r="G11" i="11"/>
  <c r="F11" i="11"/>
  <c r="E11" i="11"/>
  <c r="D11" i="11"/>
  <c r="C11" i="11"/>
  <c r="B11" i="11"/>
  <c r="H9" i="11"/>
  <c r="G9" i="11"/>
  <c r="F9" i="11"/>
  <c r="E9" i="11"/>
  <c r="D9" i="11"/>
  <c r="C9" i="11"/>
  <c r="B9" i="11"/>
  <c r="H7" i="11"/>
  <c r="G7" i="11"/>
  <c r="F7" i="11"/>
  <c r="E7" i="11"/>
  <c r="D7" i="11"/>
  <c r="C7" i="11"/>
  <c r="B7" i="11"/>
  <c r="H5" i="11"/>
  <c r="G5" i="11"/>
  <c r="F5" i="11"/>
  <c r="E5" i="11"/>
  <c r="D5" i="11"/>
  <c r="C5" i="11"/>
  <c r="B5" i="11"/>
  <c r="C15" i="12"/>
  <c r="B15" i="12"/>
  <c r="H13" i="12"/>
  <c r="G13" i="12"/>
  <c r="F13" i="12"/>
  <c r="E13" i="12"/>
  <c r="D13" i="12"/>
  <c r="C13" i="12"/>
  <c r="B13" i="12"/>
  <c r="H11" i="12"/>
  <c r="G11" i="12"/>
  <c r="F11" i="12"/>
  <c r="E11" i="12"/>
  <c r="D11" i="12"/>
  <c r="C11" i="12"/>
  <c r="B11" i="12"/>
  <c r="H9" i="12"/>
  <c r="G9" i="12"/>
  <c r="F9" i="12"/>
  <c r="E9" i="12"/>
  <c r="D9" i="12"/>
  <c r="C9" i="12"/>
  <c r="B9" i="12"/>
  <c r="H7" i="12"/>
  <c r="G7" i="12"/>
  <c r="F7" i="12"/>
  <c r="E7" i="12"/>
  <c r="D7" i="12"/>
  <c r="C7" i="12"/>
  <c r="B7" i="12"/>
  <c r="H5" i="12"/>
  <c r="G5" i="12"/>
  <c r="F5" i="12"/>
  <c r="E5" i="12"/>
  <c r="D5" i="12"/>
  <c r="C5" i="12"/>
  <c r="B5" i="12"/>
  <c r="C15" i="13"/>
  <c r="B15" i="13"/>
  <c r="H13" i="13"/>
  <c r="G13" i="13"/>
  <c r="F13" i="13"/>
  <c r="E13" i="13"/>
  <c r="D13" i="13"/>
  <c r="C13" i="13"/>
  <c r="B13" i="13"/>
  <c r="H11" i="13"/>
  <c r="G11" i="13"/>
  <c r="F11" i="13"/>
  <c r="E11" i="13"/>
  <c r="D11" i="13"/>
  <c r="C11" i="13"/>
  <c r="B11" i="13"/>
  <c r="H9" i="13"/>
  <c r="G9" i="13"/>
  <c r="F9" i="13"/>
  <c r="E9" i="13"/>
  <c r="D9" i="13"/>
  <c r="C9" i="13"/>
  <c r="B9" i="13"/>
  <c r="H7" i="13"/>
  <c r="G7" i="13"/>
  <c r="F7" i="13"/>
  <c r="E7" i="13"/>
  <c r="D7" i="13"/>
  <c r="C7" i="13"/>
  <c r="B7" i="13"/>
  <c r="H5" i="13"/>
  <c r="G5" i="13"/>
  <c r="F5" i="13"/>
  <c r="E5" i="13"/>
  <c r="D5" i="13"/>
  <c r="C5" i="13"/>
  <c r="B5" i="13"/>
  <c r="C15" i="14"/>
  <c r="B15" i="14"/>
  <c r="H13" i="14"/>
  <c r="G13" i="14"/>
  <c r="F13" i="14"/>
  <c r="E13" i="14"/>
  <c r="D13" i="14"/>
  <c r="C13" i="14"/>
  <c r="B13" i="14"/>
  <c r="H11" i="14"/>
  <c r="G11" i="14"/>
  <c r="F11" i="14"/>
  <c r="E11" i="14"/>
  <c r="D11" i="14"/>
  <c r="C11" i="14"/>
  <c r="B11" i="14"/>
  <c r="H9" i="14"/>
  <c r="G9" i="14"/>
  <c r="F9" i="14"/>
  <c r="E9" i="14"/>
  <c r="D9" i="14"/>
  <c r="C9" i="14"/>
  <c r="B9" i="14"/>
  <c r="H7" i="14"/>
  <c r="G7" i="14"/>
  <c r="F7" i="14"/>
  <c r="E7" i="14"/>
  <c r="D7" i="14"/>
  <c r="C7" i="14"/>
  <c r="B7" i="14"/>
  <c r="H5" i="14"/>
  <c r="G5" i="14"/>
  <c r="F5" i="14"/>
  <c r="E5" i="14"/>
  <c r="D5" i="14"/>
  <c r="C5" i="14"/>
  <c r="B5" i="14"/>
  <c r="C15" i="15"/>
  <c r="B15" i="15"/>
  <c r="H13" i="15"/>
  <c r="G13" i="15"/>
  <c r="F13" i="15"/>
  <c r="E13" i="15"/>
  <c r="D13" i="15"/>
  <c r="C13" i="15"/>
  <c r="B13" i="15"/>
  <c r="H11" i="15"/>
  <c r="G11" i="15"/>
  <c r="F11" i="15"/>
  <c r="E11" i="15"/>
  <c r="D11" i="15"/>
  <c r="C11" i="15"/>
  <c r="B11" i="15"/>
  <c r="H9" i="15"/>
  <c r="G9" i="15"/>
  <c r="F9" i="15"/>
  <c r="E9" i="15"/>
  <c r="D9" i="15"/>
  <c r="C9" i="15"/>
  <c r="B9" i="15"/>
  <c r="H7" i="15"/>
  <c r="G7" i="15"/>
  <c r="F7" i="15"/>
  <c r="E7" i="15"/>
  <c r="D7" i="15"/>
  <c r="C7" i="15"/>
  <c r="B7" i="15"/>
  <c r="H5" i="15"/>
  <c r="G5" i="15"/>
  <c r="F5" i="15"/>
  <c r="E5" i="15"/>
  <c r="D5" i="15"/>
  <c r="C5" i="15"/>
  <c r="B5" i="15"/>
  <c r="C15" i="16"/>
  <c r="B15" i="16"/>
  <c r="H13" i="16"/>
  <c r="G13" i="16"/>
  <c r="F13" i="16"/>
  <c r="E13" i="16"/>
  <c r="D13" i="16"/>
  <c r="C13" i="16"/>
  <c r="B13" i="16"/>
  <c r="H11" i="16"/>
  <c r="G11" i="16"/>
  <c r="F11" i="16"/>
  <c r="E11" i="16"/>
  <c r="D11" i="16"/>
  <c r="C11" i="16"/>
  <c r="B11" i="16"/>
  <c r="H9" i="16"/>
  <c r="G9" i="16"/>
  <c r="F9" i="16"/>
  <c r="E9" i="16"/>
  <c r="D9" i="16"/>
  <c r="C9" i="16"/>
  <c r="B9" i="16"/>
  <c r="H7" i="16"/>
  <c r="G7" i="16"/>
  <c r="F7" i="16"/>
  <c r="E7" i="16"/>
  <c r="D7" i="16"/>
  <c r="C7" i="16"/>
  <c r="B7" i="16"/>
  <c r="H5" i="16"/>
  <c r="G5" i="16"/>
  <c r="F5" i="16"/>
  <c r="E5" i="16"/>
  <c r="D5" i="16"/>
  <c r="C5" i="16"/>
  <c r="B5" i="16"/>
  <c r="C15" i="17"/>
  <c r="B15" i="17"/>
  <c r="H13" i="17"/>
  <c r="G13" i="17"/>
  <c r="F13" i="17"/>
  <c r="E13" i="17"/>
  <c r="D13" i="17"/>
  <c r="C13" i="17"/>
  <c r="B13" i="17"/>
  <c r="H11" i="17"/>
  <c r="G11" i="17"/>
  <c r="F11" i="17"/>
  <c r="E11" i="17"/>
  <c r="D11" i="17"/>
  <c r="C11" i="17"/>
  <c r="B11" i="17"/>
  <c r="H9" i="17"/>
  <c r="G9" i="17"/>
  <c r="F9" i="17"/>
  <c r="E9" i="17"/>
  <c r="D9" i="17"/>
  <c r="C9" i="17"/>
  <c r="B9" i="17"/>
  <c r="H7" i="17"/>
  <c r="G7" i="17"/>
  <c r="F7" i="17"/>
  <c r="E7" i="17"/>
  <c r="D7" i="17"/>
  <c r="C7" i="17"/>
  <c r="B7" i="17"/>
  <c r="H5" i="17"/>
  <c r="G5" i="17"/>
  <c r="F5" i="17"/>
  <c r="E5" i="17"/>
  <c r="D5" i="17"/>
  <c r="C5" i="17"/>
  <c r="B5" i="17"/>
  <c r="C15" i="18"/>
  <c r="B15" i="18"/>
  <c r="H13" i="18"/>
  <c r="G13" i="18"/>
  <c r="F13" i="18"/>
  <c r="E13" i="18"/>
  <c r="D13" i="18"/>
  <c r="C13" i="18"/>
  <c r="B13" i="18"/>
  <c r="H11" i="18"/>
  <c r="G11" i="18"/>
  <c r="F11" i="18"/>
  <c r="E11" i="18"/>
  <c r="D11" i="18"/>
  <c r="C11" i="18"/>
  <c r="B11" i="18"/>
  <c r="H9" i="18"/>
  <c r="G9" i="18"/>
  <c r="F9" i="18"/>
  <c r="E9" i="18"/>
  <c r="D9" i="18"/>
  <c r="C9" i="18"/>
  <c r="B9" i="18"/>
  <c r="H7" i="18"/>
  <c r="G7" i="18"/>
  <c r="F7" i="18"/>
  <c r="E7" i="18"/>
  <c r="D7" i="18"/>
  <c r="C7" i="18"/>
  <c r="B7" i="18"/>
  <c r="H5" i="18"/>
  <c r="G5" i="18"/>
  <c r="F5" i="18"/>
  <c r="E5" i="18"/>
  <c r="D5" i="18"/>
  <c r="C5" i="18"/>
  <c r="B5" i="18"/>
  <c r="C15" i="19"/>
  <c r="B15" i="19"/>
  <c r="H13" i="19"/>
  <c r="G13" i="19"/>
  <c r="F13" i="19"/>
  <c r="E13" i="19"/>
  <c r="D13" i="19"/>
  <c r="C13" i="19"/>
  <c r="B13" i="19"/>
  <c r="H11" i="19"/>
  <c r="G11" i="19"/>
  <c r="F11" i="19"/>
  <c r="E11" i="19"/>
  <c r="D11" i="19"/>
  <c r="C11" i="19"/>
  <c r="B11" i="19"/>
  <c r="H9" i="19"/>
  <c r="G9" i="19"/>
  <c r="F9" i="19"/>
  <c r="E9" i="19"/>
  <c r="D9" i="19"/>
  <c r="C9" i="19"/>
  <c r="B9" i="19"/>
  <c r="H7" i="19"/>
  <c r="G7" i="19"/>
  <c r="F7" i="19"/>
  <c r="E7" i="19"/>
  <c r="D7" i="19"/>
  <c r="C7" i="19"/>
  <c r="B7" i="19"/>
  <c r="H5" i="19"/>
  <c r="G5" i="19"/>
  <c r="F5" i="19"/>
  <c r="E5" i="19"/>
  <c r="D5" i="19"/>
  <c r="C5" i="19"/>
  <c r="B5" i="19"/>
  <c r="C15" i="10"/>
  <c r="B15" i="10"/>
  <c r="H13" i="10"/>
  <c r="G13" i="10"/>
  <c r="F13" i="10"/>
  <c r="E13" i="10"/>
  <c r="D13" i="10"/>
  <c r="C13" i="10"/>
  <c r="B13" i="10"/>
  <c r="H11" i="10"/>
  <c r="G11" i="10"/>
  <c r="F11" i="10"/>
  <c r="E11" i="10"/>
  <c r="D11" i="10"/>
  <c r="C11" i="10"/>
  <c r="B11" i="10"/>
  <c r="H9" i="10"/>
  <c r="G9" i="10"/>
  <c r="F9" i="10"/>
  <c r="E9" i="10"/>
  <c r="D9" i="10"/>
  <c r="C9" i="10"/>
  <c r="B9" i="10"/>
  <c r="H7" i="10"/>
  <c r="G7" i="10"/>
  <c r="F7" i="10"/>
  <c r="E7" i="10"/>
  <c r="D7" i="10"/>
  <c r="C7" i="10"/>
  <c r="B7" i="10"/>
  <c r="H5" i="10"/>
  <c r="G5" i="10"/>
  <c r="F5" i="10"/>
  <c r="E5" i="10"/>
  <c r="D5" i="10"/>
  <c r="C5" i="10"/>
  <c r="B5" i="10"/>
  <c r="C15" i="9"/>
  <c r="B15" i="9"/>
  <c r="H13" i="9"/>
  <c r="G13" i="9"/>
  <c r="F13" i="9"/>
  <c r="E13" i="9"/>
  <c r="D13" i="9"/>
  <c r="C13" i="9"/>
  <c r="B13" i="9"/>
  <c r="H11" i="9"/>
  <c r="G11" i="9"/>
  <c r="F11" i="9"/>
  <c r="E11" i="9"/>
  <c r="D11" i="9"/>
  <c r="C11" i="9"/>
  <c r="B11" i="9"/>
  <c r="H9" i="9"/>
  <c r="G9" i="9"/>
  <c r="F9" i="9"/>
  <c r="E9" i="9"/>
  <c r="D9" i="9"/>
  <c r="C9" i="9"/>
  <c r="B9" i="9"/>
  <c r="H7" i="9"/>
  <c r="G7" i="9"/>
  <c r="F7" i="9"/>
  <c r="E7" i="9"/>
  <c r="D7" i="9"/>
  <c r="C7" i="9"/>
  <c r="B7" i="9"/>
  <c r="H5" i="9"/>
  <c r="G5" i="9"/>
  <c r="F5" i="9"/>
  <c r="E5" i="9"/>
  <c r="D5" i="9"/>
  <c r="C5" i="9"/>
  <c r="B5" i="9"/>
  <c r="C15" i="6"/>
  <c r="C5" i="6"/>
  <c r="E5" i="6"/>
  <c r="F5" i="6"/>
  <c r="G5" i="6"/>
  <c r="H5" i="6"/>
  <c r="B7" i="6"/>
  <c r="C7" i="6"/>
  <c r="D7" i="6"/>
  <c r="E7" i="6"/>
  <c r="F7" i="6"/>
  <c r="G7" i="6"/>
  <c r="B9" i="6"/>
  <c r="C9" i="6"/>
  <c r="D9" i="6"/>
  <c r="E9" i="6"/>
  <c r="F9" i="6"/>
  <c r="G9" i="6"/>
  <c r="H9" i="6"/>
  <c r="B11" i="6"/>
  <c r="C11" i="6"/>
  <c r="D11" i="6"/>
  <c r="E11" i="6"/>
  <c r="F11" i="6"/>
  <c r="G11" i="6"/>
  <c r="H11" i="6"/>
  <c r="B13" i="6"/>
  <c r="C13" i="6"/>
  <c r="D13" i="6"/>
  <c r="E13" i="6"/>
  <c r="F13" i="6"/>
  <c r="G13" i="6"/>
  <c r="H13" i="6"/>
  <c r="B15" i="6"/>
</calcChain>
</file>

<file path=xl/sharedStrings.xml><?xml version="1.0" encoding="utf-8"?>
<sst xmlns="http://schemas.openxmlformats.org/spreadsheetml/2006/main" count="122" uniqueCount="23">
  <si>
    <t>OCTOBRE 2012</t>
  </si>
  <si>
    <t>LUNDI</t>
  </si>
  <si>
    <t>MARDI</t>
  </si>
  <si>
    <t>MERCREDI</t>
  </si>
  <si>
    <t>JEUDI</t>
  </si>
  <si>
    <t>VENDREDI</t>
  </si>
  <si>
    <t>SAMEDI</t>
  </si>
  <si>
    <t>DIMANCHE</t>
  </si>
  <si>
    <t>NOTES :</t>
  </si>
  <si>
    <t>SÉLECTIONNEZ L’ANNÉE :</t>
  </si>
  <si>
    <t>MARS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</si>
  <si>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</si>
  <si>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</si>
  <si>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</si>
  <si>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</si>
  <si>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</si>
  <si>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</si>
  <si>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</si>
  <si>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</si>
  <si>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 xml:space="preserve">NOVEMBRE </t>
  </si>
  <si>
    <t>DÉCEMBRE</t>
  </si>
  <si>
    <t>Planning:</t>
  </si>
  <si>
    <t>Verdun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</si>
</sst>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mmmm"/>
  </numFmts>
  <fonts count="21" x14ac:knownFonts="1">
    <font>
      <sz val="12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sz val="10"/>
      <name val="Century Gothic"/>
      <family val="2"/>
    </font>
    <font>
      <b/>
      <sz val="28"/>
      <color theme="1" tint="0.34998626667073579"/>
      <name val="Cambria"/>
      <family val="2"/>
      <scheme val="minor"/>
    </font>
    <font>
      <sz val="28"/>
      <color theme="8" tint="-0.499984740745262"/>
      <name val="Cambria"/>
      <family val="2"/>
      <scheme val="minor"/>
    </font>
    <font>
      <sz val="11"/>
      <color theme="0" tint="-0.499984740745262"/>
      <name val="Cambria"/>
      <family val="2"/>
      <scheme val="minor"/>
    </font>
    <font>
      <u/>
      <sz val="12"/>
      <color theme="10"/>
      <name val="Cambria"/>
      <family val="2"/>
      <scheme val="minor"/>
    </font>
    <font>
      <b/>
      <sz val="11"/>
      <color theme="1"/>
      <name val="Cambria"/>
      <family val="2"/>
      <scheme val="minor"/>
    </font>
    <font>
      <sz val="11"/>
      <name val="Cambria"/>
      <family val="1"/>
      <scheme val="minor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28"/>
      <name val="Cambria"/>
      <family val="2"/>
      <scheme val="minor"/>
    </font>
    <font>
      <sz val="40"/>
      <name val="Cambria"/>
      <family val="2"/>
      <scheme val="minor"/>
    </font>
    <font>
      <sz val="24"/>
      <name val="Cambria"/>
      <family val="2"/>
      <scheme val="minor"/>
    </font>
    <font>
      <sz val="10"/>
      <color theme="1" tint="0.249977111117893"/>
      <name val="Cambria"/>
      <family val="2"/>
      <scheme val="minor"/>
    </font>
    <font>
      <b/>
      <sz val="11"/>
      <color theme="1" tint="0.249977111117893"/>
      <name val="Cambria"/>
      <family val="2"/>
      <scheme val="minor"/>
    </font>
    <font>
      <sz val="10"/>
      <color theme="1"/>
      <name val="Cambria"/>
      <family val="2"/>
      <scheme val="minor"/>
    </font>
    <font>
      <sz val="36"/>
      <name val="Cambria"/>
      <family val="2"/>
      <scheme val="minor"/>
    </font>
    <font>
      <sz val="11"/>
      <color rgb="FFB95325"/>
      <name val="Cambri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EC8734"/>
        <bgColor indexed="64"/>
      </patternFill>
    </fill>
  </fills>
  <borders count="19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7"/>
      </right>
      <top style="thin">
        <color indexed="64"/>
      </top>
      <bottom/>
      <diagonal/>
    </border>
    <border>
      <left style="thin">
        <color theme="7"/>
      </left>
      <right style="thin">
        <color theme="7"/>
      </right>
      <top style="thin">
        <color indexed="64"/>
      </top>
      <bottom/>
      <diagonal/>
    </border>
    <border>
      <left style="thin">
        <color theme="7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theme="7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1" fillId="2" borderId="1" applyNumberFormat="0" applyAlignment="0" applyProtection="0"/>
    <xf numFmtId="0" fontId="3" fillId="3" borderId="0" applyNumberFormat="0" applyBorder="0" applyAlignment="0" applyProtection="0"/>
    <xf numFmtId="0" fontId="5" fillId="0" borderId="0" applyNumberFormat="0" applyFill="0" applyAlignment="0" applyProtection="0"/>
    <xf numFmtId="0" fontId="8" fillId="0" borderId="0" applyNumberFormat="0" applyFill="0" applyBorder="0" applyAlignment="0" applyProtection="0"/>
  </cellStyleXfs>
  <cellXfs count="66">
    <xf numFmtId="0" fontId="0" fillId="0" borderId="0" xfId="0"/>
    <xf numFmtId="0" fontId="2" fillId="0" borderId="0" xfId="1"/>
    <xf numFmtId="0" fontId="4" fillId="0" borderId="0" xfId="1" applyFont="1"/>
    <xf numFmtId="165" fontId="6" fillId="0" borderId="0" xfId="0" applyNumberFormat="1" applyFont="1" applyFill="1" applyBorder="1" applyAlignment="1">
      <alignment vertical="center" textRotation="90"/>
    </xf>
    <xf numFmtId="0" fontId="8" fillId="0" borderId="0" xfId="5"/>
    <xf numFmtId="0" fontId="7" fillId="0" borderId="0" xfId="1" applyFont="1" applyAlignment="1">
      <alignment horizontal="center"/>
    </xf>
    <xf numFmtId="0" fontId="7" fillId="0" borderId="0" xfId="1" applyFont="1" applyAlignment="1">
      <alignment horizontal="right"/>
    </xf>
    <xf numFmtId="0" fontId="2" fillId="0" borderId="0" xfId="1" applyAlignment="1">
      <alignment vertical="top"/>
    </xf>
    <xf numFmtId="0" fontId="2" fillId="0" borderId="0" xfId="1" applyAlignment="1">
      <alignment horizontal="right" vertical="top"/>
    </xf>
    <xf numFmtId="0" fontId="12" fillId="0" borderId="0" xfId="0" applyFont="1"/>
    <xf numFmtId="165" fontId="13" fillId="0" borderId="0" xfId="0" applyNumberFormat="1" applyFont="1" applyFill="1" applyBorder="1" applyAlignment="1">
      <alignment vertical="center" textRotation="90"/>
    </xf>
    <xf numFmtId="0" fontId="2" fillId="0" borderId="0" xfId="1" applyFont="1"/>
    <xf numFmtId="165" fontId="12" fillId="0" borderId="0" xfId="0" applyNumberFormat="1" applyFont="1"/>
    <xf numFmtId="0" fontId="15" fillId="0" borderId="0" xfId="0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10" fillId="0" borderId="0" xfId="1" applyNumberFormat="1" applyFont="1" applyBorder="1" applyAlignment="1">
      <alignment horizontal="center"/>
    </xf>
    <xf numFmtId="0" fontId="11" fillId="0" borderId="2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164" fontId="10" fillId="0" borderId="5" xfId="1" applyNumberFormat="1" applyFont="1" applyFill="1" applyBorder="1" applyAlignment="1">
      <alignment horizontal="left" vertical="top" wrapText="1"/>
    </xf>
    <xf numFmtId="164" fontId="10" fillId="0" borderId="14" xfId="1" applyNumberFormat="1" applyFont="1" applyFill="1" applyBorder="1" applyAlignment="1">
      <alignment horizontal="left" vertical="top" wrapText="1"/>
    </xf>
    <xf numFmtId="49" fontId="10" fillId="0" borderId="0" xfId="1" applyNumberFormat="1" applyFont="1" applyBorder="1" applyAlignment="1">
      <alignment horizontal="center"/>
    </xf>
    <xf numFmtId="0" fontId="11" fillId="0" borderId="15" xfId="2" applyFont="1" applyFill="1" applyBorder="1" applyAlignment="1">
      <alignment horizontal="center" vertical="center"/>
    </xf>
    <xf numFmtId="0" fontId="11" fillId="0" borderId="14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164" fontId="10" fillId="0" borderId="15" xfId="1" applyNumberFormat="1" applyFont="1" applyFill="1" applyBorder="1" applyAlignment="1">
      <alignment horizontal="left" vertical="top" wrapText="1"/>
    </xf>
    <xf numFmtId="0" fontId="16" fillId="0" borderId="7" xfId="1" applyFont="1" applyFill="1" applyBorder="1" applyAlignment="1">
      <alignment horizontal="center" vertical="top" wrapText="1"/>
    </xf>
    <xf numFmtId="0" fontId="16" fillId="0" borderId="12" xfId="1" applyFont="1" applyFill="1" applyBorder="1" applyAlignment="1">
      <alignment horizontal="center" vertical="top" wrapText="1"/>
    </xf>
    <xf numFmtId="0" fontId="16" fillId="0" borderId="7" xfId="3" applyFont="1" applyFill="1" applyBorder="1" applyAlignment="1">
      <alignment horizontal="center" vertical="top" wrapText="1"/>
    </xf>
    <xf numFmtId="0" fontId="18" fillId="0" borderId="11" xfId="1" applyFont="1" applyFill="1" applyBorder="1" applyAlignment="1">
      <alignment horizontal="center" vertical="top" wrapText="1"/>
    </xf>
    <xf numFmtId="0" fontId="18" fillId="0" borderId="7" xfId="1" applyFont="1" applyFill="1" applyBorder="1" applyAlignment="1">
      <alignment horizontal="center" vertical="top" wrapText="1"/>
    </xf>
    <xf numFmtId="0" fontId="18" fillId="0" borderId="12" xfId="1" applyFont="1" applyFill="1" applyBorder="1" applyAlignment="1">
      <alignment horizontal="center" vertical="top" wrapText="1"/>
    </xf>
    <xf numFmtId="0" fontId="18" fillId="0" borderId="11" xfId="3" applyFont="1" applyFill="1" applyBorder="1" applyAlignment="1">
      <alignment horizontal="center" vertical="top" wrapText="1"/>
    </xf>
    <xf numFmtId="0" fontId="18" fillId="0" borderId="7" xfId="3" applyFont="1" applyFill="1" applyBorder="1" applyAlignment="1">
      <alignment horizontal="center" vertical="top" wrapText="1"/>
    </xf>
    <xf numFmtId="49" fontId="2" fillId="0" borderId="0" xfId="1" applyNumberFormat="1" applyFont="1" applyBorder="1" applyAlignment="1">
      <alignment horizontal="center"/>
    </xf>
    <xf numFmtId="0" fontId="19" fillId="0" borderId="0" xfId="1" applyNumberFormat="1" applyFont="1" applyBorder="1" applyAlignment="1">
      <alignment vertical="center"/>
    </xf>
    <xf numFmtId="0" fontId="2" fillId="0" borderId="0" xfId="1" applyNumberFormat="1" applyFont="1" applyBorder="1" applyAlignment="1">
      <alignment horizontal="center"/>
    </xf>
    <xf numFmtId="0" fontId="2" fillId="0" borderId="0" xfId="1" applyAlignment="1">
      <alignment horizontal="left" vertical="top"/>
    </xf>
    <xf numFmtId="0" fontId="14" fillId="0" borderId="0" xfId="1" applyNumberFormat="1" applyFont="1" applyBorder="1" applyAlignment="1">
      <alignment horizontal="center" vertical="center"/>
    </xf>
    <xf numFmtId="0" fontId="17" fillId="0" borderId="11" xfId="2" applyFont="1" applyFill="1" applyBorder="1" applyAlignment="1">
      <alignment horizontal="left" vertical="top" wrapText="1"/>
    </xf>
    <xf numFmtId="0" fontId="17" fillId="0" borderId="12" xfId="2" applyFont="1" applyFill="1" applyBorder="1" applyAlignment="1">
      <alignment horizontal="left" vertical="top" wrapText="1"/>
    </xf>
    <xf numFmtId="0" fontId="17" fillId="0" borderId="13" xfId="2" applyFont="1" applyFill="1" applyBorder="1" applyAlignment="1">
      <alignment horizontal="left" vertical="top" wrapText="1"/>
    </xf>
    <xf numFmtId="164" fontId="11" fillId="0" borderId="8" xfId="2" applyNumberFormat="1" applyFont="1" applyFill="1" applyBorder="1" applyAlignment="1">
      <alignment horizontal="left" vertical="center" wrapText="1"/>
    </xf>
    <xf numFmtId="164" fontId="11" fillId="0" borderId="9" xfId="2" applyNumberFormat="1" applyFont="1" applyFill="1" applyBorder="1" applyAlignment="1">
      <alignment horizontal="left" vertical="center" wrapText="1"/>
    </xf>
    <xf numFmtId="164" fontId="11" fillId="0" borderId="10" xfId="2" applyNumberFormat="1" applyFont="1" applyFill="1" applyBorder="1" applyAlignment="1">
      <alignment horizontal="left" vertical="center" wrapText="1"/>
    </xf>
    <xf numFmtId="164" fontId="11" fillId="0" borderId="18" xfId="2" applyNumberFormat="1" applyFont="1" applyFill="1" applyBorder="1" applyAlignment="1">
      <alignment horizontal="left" vertical="center" wrapText="1"/>
    </xf>
    <xf numFmtId="0" fontId="9" fillId="0" borderId="12" xfId="2" applyFont="1" applyFill="1" applyBorder="1" applyAlignment="1">
      <alignment horizontal="left" vertical="top" wrapText="1"/>
    </xf>
    <xf numFmtId="0" fontId="9" fillId="0" borderId="13" xfId="2" applyFont="1" applyFill="1" applyBorder="1" applyAlignment="1">
      <alignment horizontal="left" vertical="top" wrapText="1"/>
    </xf>
    <xf numFmtId="49" fontId="14" fillId="0" borderId="0" xfId="1" applyNumberFormat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left" vertical="center"/>
    </xf>
    <xf numFmtId="49" fontId="19" fillId="0" borderId="0" xfId="1" applyNumberFormat="1" applyFont="1" applyBorder="1" applyAlignment="1">
      <alignment horizontal="center" vertical="center"/>
    </xf>
    <xf numFmtId="49" fontId="14" fillId="0" borderId="0" xfId="1" applyNumberFormat="1" applyFont="1" applyBorder="1" applyAlignment="1">
      <alignment vertical="center"/>
    </xf>
    <xf numFmtId="0" fontId="20" fillId="0" borderId="0" xfId="1" applyFont="1" applyBorder="1" applyAlignment="1">
      <alignment horizontal="left"/>
    </xf>
    <xf numFmtId="164" fontId="10" fillId="4" borderId="5" xfId="1" applyNumberFormat="1" applyFont="1" applyFill="1" applyBorder="1" applyAlignment="1">
      <alignment horizontal="left" vertical="top" wrapText="1"/>
    </xf>
    <xf numFmtId="164" fontId="10" fillId="4" borderId="0" xfId="1" applyNumberFormat="1" applyFont="1" applyFill="1" applyBorder="1" applyAlignment="1">
      <alignment horizontal="left" vertical="top" wrapText="1"/>
    </xf>
    <xf numFmtId="0" fontId="16" fillId="4" borderId="6" xfId="1" applyFont="1" applyFill="1" applyBorder="1" applyAlignment="1">
      <alignment horizontal="center" vertical="top" wrapText="1"/>
    </xf>
    <xf numFmtId="0" fontId="16" fillId="4" borderId="0" xfId="1" applyFont="1" applyFill="1" applyBorder="1" applyAlignment="1">
      <alignment horizontal="center" vertical="top" wrapText="1"/>
    </xf>
    <xf numFmtId="0" fontId="16" fillId="4" borderId="6" xfId="3" applyFont="1" applyFill="1" applyBorder="1" applyAlignment="1">
      <alignment horizontal="center" vertical="top" wrapText="1"/>
    </xf>
    <xf numFmtId="164" fontId="10" fillId="4" borderId="6" xfId="1" applyNumberFormat="1" applyFont="1" applyFill="1" applyBorder="1" applyAlignment="1">
      <alignment horizontal="left" vertical="top" wrapText="1"/>
    </xf>
    <xf numFmtId="164" fontId="10" fillId="4" borderId="15" xfId="1" applyNumberFormat="1" applyFont="1" applyFill="1" applyBorder="1" applyAlignment="1">
      <alignment horizontal="left" vertical="top" wrapText="1"/>
    </xf>
    <xf numFmtId="0" fontId="18" fillId="4" borderId="16" xfId="1" applyFont="1" applyFill="1" applyBorder="1" applyAlignment="1">
      <alignment horizontal="center" vertical="top" wrapText="1"/>
    </xf>
    <xf numFmtId="0" fontId="18" fillId="4" borderId="6" xfId="1" applyFont="1" applyFill="1" applyBorder="1" applyAlignment="1">
      <alignment horizontal="center" vertical="top" wrapText="1"/>
    </xf>
    <xf numFmtId="0" fontId="18" fillId="4" borderId="0" xfId="1" applyFont="1" applyFill="1" applyBorder="1" applyAlignment="1">
      <alignment horizontal="center" vertical="top" wrapText="1"/>
    </xf>
    <xf numFmtId="0" fontId="18" fillId="4" borderId="16" xfId="3" applyFont="1" applyFill="1" applyBorder="1" applyAlignment="1">
      <alignment horizontal="center" vertical="top" wrapText="1"/>
    </xf>
    <xf numFmtId="0" fontId="18" fillId="4" borderId="6" xfId="3" applyFont="1" applyFill="1" applyBorder="1" applyAlignment="1">
      <alignment horizontal="center" vertical="top" wrapText="1"/>
    </xf>
    <xf numFmtId="164" fontId="10" fillId="4" borderId="16" xfId="1" applyNumberFormat="1" applyFont="1" applyFill="1" applyBorder="1" applyAlignment="1">
      <alignment horizontal="left" vertical="top" wrapText="1"/>
    </xf>
  </cellXfs>
  <cellStyles count="6">
    <cellStyle name="40% - Accent1 2" xfId="3"/>
    <cellStyle name="Accent1 2" xfId="2"/>
    <cellStyle name="Heading 1 2" xfId="4"/>
    <cellStyle name="Lien hypertexte" xfId="5" builtinId="8"/>
    <cellStyle name="Normal" xfId="0" builtinId="0" customBuiltin="1"/>
    <cellStyle name="Normal 2" xfId="1"/>
  </cellStyles>
  <dxfs count="13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3" defaultTableStyle="TableStyleMedium2" defaultPivotStyle="PivotStyleLight16">
    <tableStyle name="MySqlDefault" pivot="0" table="0" count="2">
      <tableStyleElement type="wholeTable" dxfId="12"/>
      <tableStyleElement type="headerRow" dxfId="11"/>
    </tableStyle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EC8734"/>
      <color rgb="FFB95325"/>
      <color rgb="FF8CCFF0"/>
      <color rgb="FFEAE8E0"/>
      <color rgb="FFC17529"/>
      <color rgb="FFFDFDFD"/>
      <color rgb="FFA19574"/>
      <color rgb="FFEAE8EA"/>
      <color rgb="FFA1A97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Année_Calendaire" max="2999" min="1900" page="10" val="2016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981075</xdr:colOff>
          <xdr:row>1</xdr:row>
          <xdr:rowOff>47625</xdr:rowOff>
        </xdr:from>
        <xdr:to>
          <xdr:col>12</xdr:col>
          <xdr:colOff>114300</xdr:colOff>
          <xdr:row>2</xdr:row>
          <xdr:rowOff>9525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228600</xdr:colOff>
          <xdr:row>3</xdr:row>
          <xdr:rowOff>19050</xdr:rowOff>
        </xdr:from>
        <xdr:to>
          <xdr:col>11</xdr:col>
          <xdr:colOff>895350</xdr:colOff>
          <xdr:row>7</xdr:row>
          <xdr:rowOff>647700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2</xdr:row>
          <xdr:rowOff>314325</xdr:rowOff>
        </xdr:from>
        <xdr:to>
          <xdr:col>11</xdr:col>
          <xdr:colOff>876300</xdr:colOff>
          <xdr:row>2</xdr:row>
          <xdr:rowOff>723900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228600</xdr:colOff>
          <xdr:row>7</xdr:row>
          <xdr:rowOff>676275</xdr:rowOff>
        </xdr:from>
        <xdr:to>
          <xdr:col>11</xdr:col>
          <xdr:colOff>904875</xdr:colOff>
          <xdr:row>9</xdr:row>
          <xdr:rowOff>180975</xdr:rowOff>
        </xdr:to>
        <xdr:sp macro="" textlink="">
          <xdr:nvSpPr>
            <xdr:cNvPr id="1032" name="CommandButton3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9</xdr:row>
          <xdr:rowOff>219075</xdr:rowOff>
        </xdr:from>
        <xdr:to>
          <xdr:col>11</xdr:col>
          <xdr:colOff>904875</xdr:colOff>
          <xdr:row>9</xdr:row>
          <xdr:rowOff>638175</xdr:rowOff>
        </xdr:to>
        <xdr:sp macro="" textlink="">
          <xdr:nvSpPr>
            <xdr:cNvPr id="1033" name="CommandButton4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2</xdr:row>
          <xdr:rowOff>723900</xdr:rowOff>
        </xdr:from>
        <xdr:to>
          <xdr:col>9</xdr:col>
          <xdr:colOff>1019175</xdr:colOff>
          <xdr:row>4</xdr:row>
          <xdr:rowOff>38100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3</xdr:row>
          <xdr:rowOff>0</xdr:rowOff>
        </xdr:from>
        <xdr:to>
          <xdr:col>9</xdr:col>
          <xdr:colOff>962025</xdr:colOff>
          <xdr:row>4</xdr:row>
          <xdr:rowOff>47625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3</xdr:row>
          <xdr:rowOff>0</xdr:rowOff>
        </xdr:from>
        <xdr:to>
          <xdr:col>9</xdr:col>
          <xdr:colOff>923925</xdr:colOff>
          <xdr:row>4</xdr:row>
          <xdr:rowOff>47625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3</xdr:row>
          <xdr:rowOff>0</xdr:rowOff>
        </xdr:from>
        <xdr:to>
          <xdr:col>9</xdr:col>
          <xdr:colOff>923925</xdr:colOff>
          <xdr:row>4</xdr:row>
          <xdr:rowOff>47625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3</xdr:row>
          <xdr:rowOff>0</xdr:rowOff>
        </xdr:from>
        <xdr:to>
          <xdr:col>9</xdr:col>
          <xdr:colOff>962025</xdr:colOff>
          <xdr:row>4</xdr:row>
          <xdr:rowOff>47625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3</xdr:row>
          <xdr:rowOff>0</xdr:rowOff>
        </xdr:from>
        <xdr:to>
          <xdr:col>9</xdr:col>
          <xdr:colOff>952500</xdr:colOff>
          <xdr:row>4</xdr:row>
          <xdr:rowOff>47625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3</xdr:row>
          <xdr:rowOff>0</xdr:rowOff>
        </xdr:from>
        <xdr:to>
          <xdr:col>9</xdr:col>
          <xdr:colOff>942975</xdr:colOff>
          <xdr:row>4</xdr:row>
          <xdr:rowOff>47625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3</xdr:row>
          <xdr:rowOff>0</xdr:rowOff>
        </xdr:from>
        <xdr:to>
          <xdr:col>9</xdr:col>
          <xdr:colOff>962025</xdr:colOff>
          <xdr:row>4</xdr:row>
          <xdr:rowOff>47625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3</xdr:row>
          <xdr:rowOff>9525</xdr:rowOff>
        </xdr:from>
        <xdr:to>
          <xdr:col>9</xdr:col>
          <xdr:colOff>942975</xdr:colOff>
          <xdr:row>4</xdr:row>
          <xdr:rowOff>57150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3</xdr:row>
          <xdr:rowOff>9525</xdr:rowOff>
        </xdr:from>
        <xdr:to>
          <xdr:col>9</xdr:col>
          <xdr:colOff>933450</xdr:colOff>
          <xdr:row>4</xdr:row>
          <xdr:rowOff>57150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3</xdr:row>
          <xdr:rowOff>0</xdr:rowOff>
        </xdr:from>
        <xdr:to>
          <xdr:col>9</xdr:col>
          <xdr:colOff>933450</xdr:colOff>
          <xdr:row>4</xdr:row>
          <xdr:rowOff>47625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ctrlProp" Target="../ctrlProps/ctrlProp1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6.emf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3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5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7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8.emf"/><Relationship Id="rId4" Type="http://schemas.openxmlformats.org/officeDocument/2006/relationships/control" Target="../activeX/activeX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9.emf"/><Relationship Id="rId4" Type="http://schemas.openxmlformats.org/officeDocument/2006/relationships/control" Target="../activeX/activeX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0.emf"/><Relationship Id="rId4" Type="http://schemas.openxmlformats.org/officeDocument/2006/relationships/control" Target="../activeX/activeX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1.emf"/><Relationship Id="rId4" Type="http://schemas.openxmlformats.org/officeDocument/2006/relationships/control" Target="../activeX/activeX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2.emf"/><Relationship Id="rId4" Type="http://schemas.openxmlformats.org/officeDocument/2006/relationships/control" Target="../activeX/activeX1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3.emf"/><Relationship Id="rId4" Type="http://schemas.openxmlformats.org/officeDocument/2006/relationships/control" Target="../activeX/activeX1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14.emf"/><Relationship Id="rId4" Type="http://schemas.openxmlformats.org/officeDocument/2006/relationships/control" Target="../activeX/activeX1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15.emf"/><Relationship Id="rId4" Type="http://schemas.openxmlformats.org/officeDocument/2006/relationships/control" Target="../activeX/activeX1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6.emf"/><Relationship Id="rId4" Type="http://schemas.openxmlformats.org/officeDocument/2006/relationships/control" Target="../activeX/activeX1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17.emf"/><Relationship Id="rId4" Type="http://schemas.openxmlformats.org/officeDocument/2006/relationships/control" Target="../activeX/activeX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R20"/>
  <sheetViews>
    <sheetView showGridLines="0" tabSelected="1" zoomScaleNormal="100" workbookViewId="0">
      <selection activeCell="D2" sqref="D2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customHeight="1" x14ac:dyDescent="0.25">
      <c r="A1"/>
      <c r="F1" s="7"/>
      <c r="G1" s="37"/>
      <c r="H1" s="37"/>
      <c r="L1" s="14" t="s">
        <v>9</v>
      </c>
    </row>
    <row r="2" spans="1:18" ht="26.25" customHeight="1" x14ac:dyDescent="0.25">
      <c r="A2"/>
      <c r="L2" s="13">
        <v>2016</v>
      </c>
    </row>
    <row r="3" spans="1:18" ht="57.75" customHeight="1" x14ac:dyDescent="0.25">
      <c r="A3"/>
      <c r="B3" s="38" t="s">
        <v>11</v>
      </c>
      <c r="C3" s="38"/>
      <c r="D3" s="38">
        <f>L2</f>
        <v>2016</v>
      </c>
      <c r="E3" s="38"/>
      <c r="F3" s="15" t="s">
        <v>21</v>
      </c>
      <c r="G3" s="52" t="s">
        <v>22</v>
      </c>
      <c r="H3" s="52"/>
    </row>
    <row r="4" spans="1:18" s="9" customFormat="1" ht="29.25" customHeight="1" x14ac:dyDescent="0.25">
      <c r="B4" s="16" t="s">
        <v>1</v>
      </c>
      <c r="C4" s="17" t="s">
        <v>2</v>
      </c>
      <c r="D4" s="17" t="s">
        <v>3</v>
      </c>
      <c r="E4" s="17" t="s">
        <v>4</v>
      </c>
      <c r="F4" s="17" t="s">
        <v>5</v>
      </c>
      <c r="G4" s="17" t="s">
        <v>6</v>
      </c>
      <c r="H4" s="18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3" t="str">
        <f>IF(DAY(Jan_Dim1)=1,"",IF(AND(YEAR(Jan_Dim1+1)=Année_Calendaire,MONTH(Jan_Dim1+1)=1),Jan_Dim1+1,""))</f>
        <v/>
      </c>
      <c r="C5" s="53" t="str">
        <f>IF(DAY(Jan_Dim1)=1,"",IF(AND(YEAR(Jan_Dim1+2)=Année_Calendaire,MONTH(Jan_Dim1+2)=1),Jan_Dim1+2,""))</f>
        <v/>
      </c>
      <c r="D5" s="54" t="str">
        <f>IF(DAY(Jan_Dim1)=1,"",IF(AND(YEAR(Jan_Dim1+3)=Année_Calendaire,MONTH(Jan_Dim1+3)=1),Jan_Dim1+3,""))</f>
        <v/>
      </c>
      <c r="E5" s="53" t="str">
        <f>IF(DAY(Jan_Dim1)=1,"",IF(AND(YEAR(Jan_Dim1+4)=Année_Calendaire,MONTH(Jan_Dim1+4)=1),Jan_Dim1+4,""))</f>
        <v/>
      </c>
      <c r="F5" s="54">
        <f>IF(DAY(Jan_Dim1)=1,"",IF(AND(YEAR(Jan_Dim1+5)=Année_Calendaire,MONTH(Jan_Dim1+5)=1),Jan_Dim1+5,""))</f>
        <v>42370</v>
      </c>
      <c r="G5" s="53">
        <f>IF(DAY(Jan_Dim1)=1,"",IF(AND(YEAR(Jan_Dim1+6)=Année_Calendaire,MONTH(Jan_Dim1+6)=1),Jan_Dim1+6,""))</f>
        <v>42371</v>
      </c>
      <c r="H5" s="53">
        <f>IF(DAY(Jan_Dim1)=1,IF(AND(YEAR(Jan_Dim1)=Année_Calendaire,MONTH(Jan_Dim1)=1),Jan_Dim1,""),IF(AND(YEAR(Jan_Dim1+7)=Année_Calendaire,MONTH(Jan_Dim1+7)=1),Jan_Dim1+7,""))</f>
        <v>42372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55"/>
      <c r="C6" s="55"/>
      <c r="D6" s="56"/>
      <c r="E6" s="55"/>
      <c r="F6" s="56"/>
      <c r="G6" s="57"/>
      <c r="H6" s="57"/>
      <c r="I6" s="3"/>
    </row>
    <row r="7" spans="1:18" s="11" customFormat="1" ht="15" customHeight="1" x14ac:dyDescent="0.25">
      <c r="A7" s="9"/>
      <c r="B7" s="19">
        <f>IF(DAY(Jan_Dim1)=1,IF(AND(YEAR(Jan_Dim1+1)=Année_Calendaire,MONTH(Jan_Dim1+1)=1),Jan_Dim1+1,""),IF(AND(YEAR(Jan_Dim1+8)=Année_Calendaire,MONTH(Jan_Dim1+8)=1),Jan_Dim1+8,""))</f>
        <v>42373</v>
      </c>
      <c r="C7" s="19">
        <f>IF(DAY(Jan_Dim1)=1,IF(AND(YEAR(Jan_Dim1+2)=Année_Calendaire,MONTH(Jan_Dim1+2)=1),Jan_Dim1+2,""),IF(AND(YEAR(Jan_Dim1+9)=Année_Calendaire,MONTH(Jan_Dim1+9)=1),Jan_Dim1+9,""))</f>
        <v>42374</v>
      </c>
      <c r="D7" s="20">
        <f>IF(DAY(Jan_Dim1)=1,IF(AND(YEAR(Jan_Dim1+3)=Année_Calendaire,MONTH(Jan_Dim1+3)=1),Jan_Dim1+3,""),IF(AND(YEAR(Jan_Dim1+10)=Année_Calendaire,MONTH(Jan_Dim1+10)=1),Jan_Dim1+10,""))</f>
        <v>42375</v>
      </c>
      <c r="E7" s="19">
        <f>IF(DAY(Jan_Dim1)=1,IF(AND(YEAR(Jan_Dim1+4)=Année_Calendaire,MONTH(Jan_Dim1+4)=1),Jan_Dim1+4,""),IF(AND(YEAR(Jan_Dim1+11)=Année_Calendaire,MONTH(Jan_Dim1+11)=1),Jan_Dim1+11,""))</f>
        <v>42376</v>
      </c>
      <c r="F7" s="20">
        <f>IF(DAY(Jan_Dim1)=1,IF(AND(YEAR(Jan_Dim1+5)=Année_Calendaire,MONTH(Jan_Dim1+5)=1),Jan_Dim1+5,""),IF(AND(YEAR(Jan_Dim1+12)=Année_Calendaire,MONTH(Jan_Dim1+12)=1),Jan_Dim1+12,""))</f>
        <v>42377</v>
      </c>
      <c r="G7" s="19">
        <f>IF(DAY(Jan_Dim1)=1,IF(AND(YEAR(Jan_Dim1+6)=Année_Calendaire,MONTH(Jan_Dim1+6)=1),Jan_Dim1+6,""),IF(AND(YEAR(Jan_Dim1+13)=Année_Calendaire,MONTH(Jan_Dim1+13)=1),Jan_Dim1+13,""))</f>
        <v>42378</v>
      </c>
      <c r="H7" s="19">
        <f>IF(DAY(Jan_Dim1)=1,IF(AND(YEAR(Jan_Dim1+7)=Année_Calendaire,MONTH(Jan_Dim1+7)=1),Jan_Dim1+7,""),IF(AND(YEAR(Jan_Dim1+14)=Année_Calendaire,MONTH(Jan_Dim1+14)=1),Jan_Dim1+14,""))</f>
        <v>42379</v>
      </c>
      <c r="I7" s="10"/>
    </row>
    <row r="8" spans="1:18" ht="55.5" customHeight="1" x14ac:dyDescent="0.25">
      <c r="A8"/>
      <c r="B8" s="26"/>
      <c r="C8" s="26"/>
      <c r="D8" s="27"/>
      <c r="E8" s="26"/>
      <c r="F8" s="27"/>
      <c r="G8" s="28"/>
      <c r="H8" s="28"/>
      <c r="I8" s="3"/>
    </row>
    <row r="9" spans="1:18" s="11" customFormat="1" ht="15" customHeight="1" x14ac:dyDescent="0.25">
      <c r="A9" s="9"/>
      <c r="B9" s="58">
        <f>IF(DAY(Jan_Dim1)=1,IF(AND(YEAR(Jan_Dim1+8)=Année_Calendaire,MONTH(Jan_Dim1+8)=1),Jan_Dim1+8,""),IF(AND(YEAR(Jan_Dim1+15)=Année_Calendaire,MONTH(Jan_Dim1+15)=1),Jan_Dim1+15,""))</f>
        <v>42380</v>
      </c>
      <c r="C9" s="58">
        <f>IF(DAY(Jan_Dim1)=1,IF(AND(YEAR(Jan_Dim1+9)=Année_Calendaire,MONTH(Jan_Dim1+9)=1),Jan_Dim1+9,""),IF(AND(YEAR(Jan_Dim1+16)=Année_Calendaire,MONTH(Jan_Dim1+16)=1),Jan_Dim1+16,""))</f>
        <v>42381</v>
      </c>
      <c r="D9" s="54">
        <f>IF(DAY(Jan_Dim1)=1,IF(AND(YEAR(Jan_Dim1+10)=Année_Calendaire,MONTH(Jan_Dim1+10)=1),Jan_Dim1+10,""),IF(AND(YEAR(Jan_Dim1+17)=Année_Calendaire,MONTH(Jan_Dim1+17)=1),Jan_Dim1+17,""))</f>
        <v>42382</v>
      </c>
      <c r="E9" s="58">
        <f>IF(DAY(Jan_Dim1)=1,IF(AND(YEAR(Jan_Dim1+11)=Année_Calendaire,MONTH(Jan_Dim1+11)=1),Jan_Dim1+11,""),IF(AND(YEAR(Jan_Dim1+18)=Année_Calendaire,MONTH(Jan_Dim1+18)=1),Jan_Dim1+18,""))</f>
        <v>42383</v>
      </c>
      <c r="F9" s="54">
        <f>IF(DAY(Jan_Dim1)=1,IF(AND(YEAR(Jan_Dim1+12)=Année_Calendaire,MONTH(Jan_Dim1+12)=1),Jan_Dim1+12,""),IF(AND(YEAR(Jan_Dim1+19)=Année_Calendaire,MONTH(Jan_Dim1+19)=1),Jan_Dim1+19,""))</f>
        <v>42384</v>
      </c>
      <c r="G9" s="58">
        <f>IF(DAY(Jan_Dim1)=1,IF(AND(YEAR(Jan_Dim1+13)=Année_Calendaire,MONTH(Jan_Dim1+13)=1),Jan_Dim1+13,""),IF(AND(YEAR(Jan_Dim1+20)=Année_Calendaire,MONTH(Jan_Dim1+20)=1),Jan_Dim1+20,""))</f>
        <v>42385</v>
      </c>
      <c r="H9" s="58">
        <f>IF(DAY(Jan_Dim1)=1,IF(AND(YEAR(Jan_Dim1+14)=Année_Calendaire,MONTH(Jan_Dim1+14)=1),Jan_Dim1+14,""),IF(AND(YEAR(Jan_Dim1+21)=Année_Calendaire,MONTH(Jan_Dim1+21)=1),Jan_Dim1+21,""))</f>
        <v>42386</v>
      </c>
      <c r="I9" s="10"/>
    </row>
    <row r="10" spans="1:18" ht="55.5" customHeight="1" x14ac:dyDescent="0.25">
      <c r="A10"/>
      <c r="B10" s="55"/>
      <c r="C10" s="55"/>
      <c r="D10" s="56"/>
      <c r="E10" s="55"/>
      <c r="F10" s="56"/>
      <c r="G10" s="57"/>
      <c r="H10" s="57"/>
      <c r="I10" s="3"/>
    </row>
    <row r="11" spans="1:18" s="11" customFormat="1" ht="15" customHeight="1" x14ac:dyDescent="0.25">
      <c r="A11" s="9"/>
      <c r="B11" s="19">
        <f>IF(DAY(Jan_Dim1)=1,IF(AND(YEAR(Jan_Dim1+15)=Année_Calendaire,MONTH(Jan_Dim1+15)=1),Jan_Dim1+15,""),IF(AND(YEAR(Jan_Dim1+22)=Année_Calendaire,MONTH(Jan_Dim1+22)=1),Jan_Dim1+22,""))</f>
        <v>42387</v>
      </c>
      <c r="C11" s="19">
        <f>IF(DAY(Jan_Dim1)=1,IF(AND(YEAR(Jan_Dim1+16)=Année_Calendaire,MONTH(Jan_Dim1+16)=1),Jan_Dim1+16,""),IF(AND(YEAR(Jan_Dim1+23)=Année_Calendaire,MONTH(Jan_Dim1+23)=1),Jan_Dim1+23,""))</f>
        <v>42388</v>
      </c>
      <c r="D11" s="20">
        <f>IF(DAY(Jan_Dim1)=1,IF(AND(YEAR(Jan_Dim1+17)=Année_Calendaire,MONTH(Jan_Dim1+17)=1),Jan_Dim1+17,""),IF(AND(YEAR(Jan_Dim1+24)=Année_Calendaire,MONTH(Jan_Dim1+24)=1),Jan_Dim1+24,""))</f>
        <v>42389</v>
      </c>
      <c r="E11" s="19">
        <f>IF(DAY(Jan_Dim1)=1,IF(AND(YEAR(Jan_Dim1+18)=Année_Calendaire,MONTH(Jan_Dim1+18)=1),Jan_Dim1+18,""),IF(AND(YEAR(Jan_Dim1+25)=Année_Calendaire,MONTH(Jan_Dim1+25)=1),Jan_Dim1+25,""))</f>
        <v>42390</v>
      </c>
      <c r="F11" s="20">
        <f>IF(DAY(Jan_Dim1)=1,IF(AND(YEAR(Jan_Dim1+19)=Année_Calendaire,MONTH(Jan_Dim1+19)=1),Jan_Dim1+19,""),IF(AND(YEAR(Jan_Dim1+26)=Année_Calendaire,MONTH(Jan_Dim1+26)=1),Jan_Dim1+26,""))</f>
        <v>42391</v>
      </c>
      <c r="G11" s="19">
        <f>IF(DAY(Jan_Dim1)=1,IF(AND(YEAR(Jan_Dim1+20)=Année_Calendaire,MONTH(Jan_Dim1+20)=1),Jan_Dim1+20,""),IF(AND(YEAR(Jan_Dim1+27)=Année_Calendaire,MONTH(Jan_Dim1+27)=1),Jan_Dim1+27,""))</f>
        <v>42392</v>
      </c>
      <c r="H11" s="19">
        <f>IF(DAY(Jan_Dim1)=1,IF(AND(YEAR(Jan_Dim1+21)=Année_Calendaire,MONTH(Jan_Dim1+21)=1),Jan_Dim1+21,""),IF(AND(YEAR(Jan_Dim1+28)=Année_Calendaire,MONTH(Jan_Dim1+28)=1),Jan_Dim1+28,""))</f>
        <v>42393</v>
      </c>
      <c r="I11" s="10"/>
    </row>
    <row r="12" spans="1:18" ht="55.5" customHeight="1" x14ac:dyDescent="0.25">
      <c r="A12"/>
      <c r="B12" s="26"/>
      <c r="C12" s="26"/>
      <c r="D12" s="27"/>
      <c r="E12" s="26"/>
      <c r="F12" s="27"/>
      <c r="G12" s="28"/>
      <c r="H12" s="28"/>
      <c r="I12" s="3"/>
    </row>
    <row r="13" spans="1:18" s="11" customFormat="1" ht="15" customHeight="1" x14ac:dyDescent="0.25">
      <c r="A13" s="9"/>
      <c r="B13" s="58">
        <f>IF(DAY(Jan_Dim1)=1,IF(AND(YEAR(Jan_Dim1+22)=Année_Calendaire,MONTH(Jan_Dim1+22)=1),Jan_Dim1+22,""),IF(AND(YEAR(Jan_Dim1+29)=Année_Calendaire,MONTH(Jan_Dim1+29)=1),Jan_Dim1+29,""))</f>
        <v>42394</v>
      </c>
      <c r="C13" s="58">
        <f>IF(DAY(Jan_Dim1)=1,IF(AND(YEAR(Jan_Dim1+23)=Année_Calendaire,MONTH(Jan_Dim1+23)=1),Jan_Dim1+23,""),IF(AND(YEAR(Jan_Dim1+30)=Année_Calendaire,MONTH(Jan_Dim1+30)=1),Jan_Dim1+30,""))</f>
        <v>42395</v>
      </c>
      <c r="D13" s="54">
        <f>IF(DAY(Jan_Dim1)=1,IF(AND(YEAR(Jan_Dim1+24)=Année_Calendaire,MONTH(Jan_Dim1+24)=1),Jan_Dim1+24,""),IF(AND(YEAR(Jan_Dim1+31)=Année_Calendaire,MONTH(Jan_Dim1+31)=1),Jan_Dim1+31,""))</f>
        <v>42396</v>
      </c>
      <c r="E13" s="58">
        <f>IF(DAY(Jan_Dim1)=1,IF(AND(YEAR(Jan_Dim1+25)=Année_Calendaire,MONTH(Jan_Dim1+25)=1),Jan_Dim1+25,""),IF(AND(YEAR(Jan_Dim1+32)=Année_Calendaire,MONTH(Jan_Dim1+32)=1),Jan_Dim1+32,""))</f>
        <v>42397</v>
      </c>
      <c r="F13" s="54">
        <f>IF(DAY(Jan_Dim1)=1,IF(AND(YEAR(Jan_Dim1+26)=Année_Calendaire,MONTH(Jan_Dim1+26)=1),Jan_Dim1+26,""),IF(AND(YEAR(Jan_Dim1+33)=Année_Calendaire,MONTH(Jan_Dim1+33)=1),Jan_Dim1+33,""))</f>
        <v>42398</v>
      </c>
      <c r="G13" s="58">
        <f>IF(DAY(Jan_Dim1)=1,IF(AND(YEAR(Jan_Dim1+27)=Année_Calendaire,MONTH(Jan_Dim1+27)=1),Jan_Dim1+27,""),IF(AND(YEAR(Jan_Dim1+34)=Année_Calendaire,MONTH(Jan_Dim1+34)=1),Jan_Dim1+34,""))</f>
        <v>42399</v>
      </c>
      <c r="H13" s="58">
        <f>IF(DAY(Jan_Dim1)=1,IF(AND(YEAR(Jan_Dim1+28)=Année_Calendaire,MONTH(Jan_Dim1+28)=1),Jan_Dim1+28,""),IF(AND(YEAR(Jan_Dim1+35)=Année_Calendaire,MONTH(Jan_Dim1+35)=1),Jan_Dim1+35,""))</f>
        <v>42400</v>
      </c>
      <c r="I13" s="10"/>
    </row>
    <row r="14" spans="1:18" ht="55.5" customHeight="1" x14ac:dyDescent="0.25">
      <c r="A14"/>
      <c r="B14" s="55"/>
      <c r="C14" s="55"/>
      <c r="D14" s="56"/>
      <c r="E14" s="55"/>
      <c r="F14" s="56"/>
      <c r="G14" s="57"/>
      <c r="H14" s="57"/>
      <c r="I14" s="3"/>
    </row>
    <row r="15" spans="1:18" ht="15" customHeight="1" x14ac:dyDescent="0.25">
      <c r="A15"/>
      <c r="B15" s="19" t="str">
        <f>IF(DAY(Jan_Dim1)=1,IF(AND(YEAR(Jan_Dim1+29)=Année_Calendaire,MONTH(Jan_Dim1+29)=1),Jan_Dim1+29,""),IF(AND(YEAR(Jan_Dim1+36)=Année_Calendaire,MONTH(Jan_Dim1+36)=1),Jan_Dim1+36,""))</f>
        <v/>
      </c>
      <c r="C15" s="19" t="str">
        <f>IF(DAY(Jan_Dim1)=1,IF(AND(YEAR(Jan_Dim1+30)=Année_Calendaire,MONTH(Jan_Dim1+30)=1),Jan_Dim1+30,""),IF(AND(YEAR(Jan_Dim1+37)=Année_Calendaire,MONTH(Jan_Dim1+37)=1),Jan_Dim1+37,""))</f>
        <v/>
      </c>
      <c r="D15" s="42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26"/>
      <c r="C16" s="26"/>
      <c r="D16" s="39"/>
      <c r="E16" s="40"/>
      <c r="F16" s="40"/>
      <c r="G16" s="40"/>
      <c r="H16" s="41"/>
      <c r="I16" s="3"/>
    </row>
    <row r="17" spans="3:5" ht="17.2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6">
    <mergeCell ref="G1:H1"/>
    <mergeCell ref="D3:E3"/>
    <mergeCell ref="D16:H16"/>
    <mergeCell ref="D15:H15"/>
    <mergeCell ref="B3:C3"/>
    <mergeCell ref="G3:H3"/>
  </mergeCells>
  <printOptions horizontalCentered="1" verticalCentered="1"/>
  <pageMargins left="0.2" right="0.2" top="0.25" bottom="0.25" header="0" footer="0"/>
  <pageSetup scale="69" orientation="landscape" r:id="rId1"/>
  <headerFooter scaleWithDoc="0" alignWithMargins="0"/>
  <customProperties>
    <customPr name="SheetChanged" r:id="rId2"/>
  </customProperties>
  <drawing r:id="rId3"/>
  <legacyDrawing r:id="rId4"/>
  <controls>
    <mc:AlternateContent xmlns:mc="http://schemas.openxmlformats.org/markup-compatibility/2006">
      <mc:Choice Requires="x14">
        <control shapeId="1031" r:id="rId5" name="CommandButton2">
          <controlPr autoLine="0" r:id="rId6">
            <anchor moveWithCells="1">
              <from>
                <xdr:col>9</xdr:col>
                <xdr:colOff>247650</xdr:colOff>
                <xdr:row>2</xdr:row>
                <xdr:rowOff>314325</xdr:rowOff>
              </from>
              <to>
                <xdr:col>11</xdr:col>
                <xdr:colOff>876300</xdr:colOff>
                <xdr:row>2</xdr:row>
                <xdr:rowOff>723900</xdr:rowOff>
              </to>
            </anchor>
          </controlPr>
        </control>
      </mc:Choice>
      <mc:Fallback>
        <control shapeId="1031" r:id="rId5" name="CommandButton2"/>
      </mc:Fallback>
    </mc:AlternateContent>
    <mc:AlternateContent xmlns:mc="http://schemas.openxmlformats.org/markup-compatibility/2006">
      <mc:Choice Requires="x14">
        <control shapeId="1030" r:id="rId7" name="CommandButton1">
          <controlPr defaultSize="0" autoLine="0" r:id="rId8">
            <anchor moveWithCells="1">
              <from>
                <xdr:col>9</xdr:col>
                <xdr:colOff>228600</xdr:colOff>
                <xdr:row>3</xdr:row>
                <xdr:rowOff>19050</xdr:rowOff>
              </from>
              <to>
                <xdr:col>11</xdr:col>
                <xdr:colOff>895350</xdr:colOff>
                <xdr:row>7</xdr:row>
                <xdr:rowOff>647700</xdr:rowOff>
              </to>
            </anchor>
          </controlPr>
        </control>
      </mc:Choice>
      <mc:Fallback>
        <control shapeId="1030" r:id="rId7" name="CommandButton1"/>
      </mc:Fallback>
    </mc:AlternateContent>
    <mc:AlternateContent xmlns:mc="http://schemas.openxmlformats.org/markup-compatibility/2006">
      <mc:Choice Requires="x14">
        <control shapeId="1032" r:id="rId9" name="CommandButton3">
          <controlPr defaultSize="0" autoLine="0" r:id="rId10">
            <anchor moveWithCells="1">
              <from>
                <xdr:col>9</xdr:col>
                <xdr:colOff>228600</xdr:colOff>
                <xdr:row>7</xdr:row>
                <xdr:rowOff>676275</xdr:rowOff>
              </from>
              <to>
                <xdr:col>11</xdr:col>
                <xdr:colOff>904875</xdr:colOff>
                <xdr:row>9</xdr:row>
                <xdr:rowOff>180975</xdr:rowOff>
              </to>
            </anchor>
          </controlPr>
        </control>
      </mc:Choice>
      <mc:Fallback>
        <control shapeId="1032" r:id="rId9" name="CommandButton3"/>
      </mc:Fallback>
    </mc:AlternateContent>
    <mc:AlternateContent xmlns:mc="http://schemas.openxmlformats.org/markup-compatibility/2006">
      <mc:Choice Requires="x14">
        <control shapeId="1033" r:id="rId11" name="CommandButton4">
          <controlPr defaultSize="0" autoLine="0" r:id="rId12">
            <anchor moveWithCells="1">
              <from>
                <xdr:col>9</xdr:col>
                <xdr:colOff>209550</xdr:colOff>
                <xdr:row>9</xdr:row>
                <xdr:rowOff>219075</xdr:rowOff>
              </from>
              <to>
                <xdr:col>11</xdr:col>
                <xdr:colOff>904875</xdr:colOff>
                <xdr:row>9</xdr:row>
                <xdr:rowOff>638175</xdr:rowOff>
              </to>
            </anchor>
          </controlPr>
        </control>
      </mc:Choice>
      <mc:Fallback>
        <control shapeId="1033" r:id="rId11" name="CommandButton4"/>
      </mc:Fallback>
    </mc:AlternateContent>
    <mc:AlternateContent xmlns:mc="http://schemas.openxmlformats.org/markup-compatibility/2006">
      <mc:Choice Requires="x14">
        <control shapeId="1026" r:id="rId13" name="Spinner 2">
          <controlPr defaultSize="0" autoPict="0" altText="Spinner control. Use spinner to change calendar year or type desired year in cell L2">
            <anchor moveWithCells="1">
              <from>
                <xdr:col>11</xdr:col>
                <xdr:colOff>981075</xdr:colOff>
                <xdr:row>1</xdr:row>
                <xdr:rowOff>47625</xdr:rowOff>
              </from>
              <to>
                <xdr:col>12</xdr:col>
                <xdr:colOff>114300</xdr:colOff>
                <xdr:row>2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R20"/>
  <sheetViews>
    <sheetView showGridLines="0" zoomScaleNormal="100" workbookViewId="0">
      <selection activeCell="I8" sqref="I8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customHeight="1" x14ac:dyDescent="0.25">
      <c r="A1"/>
      <c r="F1" s="7"/>
      <c r="G1" s="37"/>
      <c r="H1" s="37"/>
      <c r="L1" s="11"/>
    </row>
    <row r="2" spans="1:18" ht="26.25" customHeight="1" x14ac:dyDescent="0.25">
      <c r="A2"/>
      <c r="L2" s="11"/>
    </row>
    <row r="3" spans="1:18" ht="57.75" customHeight="1" x14ac:dyDescent="0.25">
      <c r="A3"/>
      <c r="B3" s="48" t="s">
        <v>12</v>
      </c>
      <c r="C3" s="48"/>
      <c r="D3" s="49">
        <f>Jan!L2</f>
        <v>2016</v>
      </c>
      <c r="E3" s="49"/>
      <c r="F3" s="21" t="s">
        <v>21</v>
      </c>
      <c r="G3" s="52" t="str">
        <f>Jan!G3</f>
        <v>Verdun</v>
      </c>
      <c r="H3" s="52"/>
    </row>
    <row r="4" spans="1:18" s="9" customFormat="1" ht="29.25" customHeight="1" x14ac:dyDescent="0.25">
      <c r="B4" s="22" t="s">
        <v>1</v>
      </c>
      <c r="C4" s="23" t="s">
        <v>2</v>
      </c>
      <c r="D4" s="17" t="s">
        <v>3</v>
      </c>
      <c r="E4" s="23" t="s">
        <v>4</v>
      </c>
      <c r="F4" s="17" t="s">
        <v>5</v>
      </c>
      <c r="G4" s="23" t="s">
        <v>6</v>
      </c>
      <c r="H4" s="24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9">
        <f>IF(DAY(Fév_Dim1)=1,"",IF(AND(YEAR(Fév_Dim1+1)=Année_Calendaire,MONTH(Fév_Dim1+1)=2),Fév_Dim1+1,""))</f>
        <v>42401</v>
      </c>
      <c r="C5" s="53">
        <f>IF(DAY(Fév_Dim1)=1,"",IF(AND(YEAR(Fév_Dim1+2)=Année_Calendaire,MONTH(Fév_Dim1+2)=2),Fév_Dim1+2,""))</f>
        <v>42402</v>
      </c>
      <c r="D5" s="54">
        <f>IF(DAY(Fév_Dim1)=1,"",IF(AND(YEAR(Fév_Dim1+3)=Année_Calendaire,MONTH(Fév_Dim1+3)=2),Fév_Dim1+3,""))</f>
        <v>42403</v>
      </c>
      <c r="E5" s="53">
        <f>IF(DAY(Fév_Dim1)=1,"",IF(AND(YEAR(Fév_Dim1+4)=Année_Calendaire,MONTH(Fév_Dim1+4)=2),Fév_Dim1+4,""))</f>
        <v>42404</v>
      </c>
      <c r="F5" s="54">
        <f>IF(DAY(Fév_Dim1)=1,"",IF(AND(YEAR(Fév_Dim1+5)=Année_Calendaire,MONTH(Fév_Dim1+5)=2),Fév_Dim1+5,""))</f>
        <v>42405</v>
      </c>
      <c r="G5" s="59">
        <f>IF(DAY(Fév_Dim1)=1,"",IF(AND(YEAR(Fév_Dim1+6)=Année_Calendaire,MONTH(Fév_Dim1+6)=2),Fév_Dim1+6,""))</f>
        <v>42406</v>
      </c>
      <c r="H5" s="53">
        <f>IF(DAY(Fév_Dim1)=1,IF(AND(YEAR(Fév_Dim1)=Année_Calendaire,MONTH(Fév_Dim1)=2),Fév_Dim1,""),IF(AND(YEAR(Fév_Dim1+7)=Année_Calendaire,MONTH(Fév_Dim1+7)=2),Fév_Dim1+7,""))</f>
        <v>42407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60"/>
      <c r="C6" s="61"/>
      <c r="D6" s="62"/>
      <c r="E6" s="61"/>
      <c r="F6" s="62"/>
      <c r="G6" s="63"/>
      <c r="H6" s="64"/>
      <c r="I6" s="3"/>
    </row>
    <row r="7" spans="1:18" s="11" customFormat="1" ht="15" customHeight="1" x14ac:dyDescent="0.25">
      <c r="A7" s="9"/>
      <c r="B7" s="25">
        <f>IF(DAY(Fév_Dim1)=1,IF(AND(YEAR(Fév_Dim1+1)=Année_Calendaire,MONTH(Fév_Dim1+1)=2),Fév_Dim1+1,""),IF(AND(YEAR(Fév_Dim1+8)=Année_Calendaire,MONTH(Fév_Dim1+8)=2),Fév_Dim1+8,""))</f>
        <v>42408</v>
      </c>
      <c r="C7" s="19">
        <f>IF(DAY(Fév_Dim1)=1,IF(AND(YEAR(Fév_Dim1+2)=Année_Calendaire,MONTH(Fév_Dim1+2)=2),Fév_Dim1+2,""),IF(AND(YEAR(Fév_Dim1+9)=Année_Calendaire,MONTH(Fév_Dim1+9)=2),Fév_Dim1+9,""))</f>
        <v>42409</v>
      </c>
      <c r="D7" s="20">
        <f>IF(DAY(Fév_Dim1)=1,IF(AND(YEAR(Fév_Dim1+3)=Année_Calendaire,MONTH(Fév_Dim1+3)=2),Fév_Dim1+3,""),IF(AND(YEAR(Fév_Dim1+10)=Année_Calendaire,MONTH(Fév_Dim1+10)=2),Fév_Dim1+10,""))</f>
        <v>42410</v>
      </c>
      <c r="E7" s="19">
        <f>IF(DAY(Fév_Dim1)=1,IF(AND(YEAR(Fév_Dim1+4)=Année_Calendaire,MONTH(Fév_Dim1+4)=2),Fév_Dim1+4,""),IF(AND(YEAR(Fév_Dim1+11)=Année_Calendaire,MONTH(Fév_Dim1+11)=2),Fév_Dim1+11,""))</f>
        <v>42411</v>
      </c>
      <c r="F7" s="20">
        <f>IF(DAY(Fév_Dim1)=1,IF(AND(YEAR(Fév_Dim1+5)=Année_Calendaire,MONTH(Fév_Dim1+5)=2),Fév_Dim1+5,""),IF(AND(YEAR(Fév_Dim1+12)=Année_Calendaire,MONTH(Fév_Dim1+12)=2),Fév_Dim1+12,""))</f>
        <v>42412</v>
      </c>
      <c r="G7" s="25">
        <f>IF(DAY(Fév_Dim1)=1,IF(AND(YEAR(Fév_Dim1+6)=Année_Calendaire,MONTH(Fév_Dim1+6)=2),Fév_Dim1+6,""),IF(AND(YEAR(Fév_Dim1+13)=Année_Calendaire,MONTH(Fév_Dim1+13)=2),Fév_Dim1+13,""))</f>
        <v>42413</v>
      </c>
      <c r="H7" s="19">
        <f>IF(DAY(Fév_Dim1)=1,IF(AND(YEAR(Fév_Dim1+7)=Année_Calendaire,MONTH(Fév_Dim1+7)=2),Fév_Dim1+7,""),IF(AND(YEAR(Fév_Dim1+14)=Année_Calendaire,MONTH(Fév_Dim1+14)=2),Fév_Dim1+14,""))</f>
        <v>42414</v>
      </c>
      <c r="I7" s="10"/>
    </row>
    <row r="8" spans="1:18" ht="55.5" customHeight="1" x14ac:dyDescent="0.25">
      <c r="A8"/>
      <c r="B8" s="29"/>
      <c r="C8" s="30"/>
      <c r="D8" s="31"/>
      <c r="E8" s="30"/>
      <c r="F8" s="31"/>
      <c r="G8" s="32"/>
      <c r="H8" s="33"/>
      <c r="I8" s="3"/>
    </row>
    <row r="9" spans="1:18" s="11" customFormat="1" ht="15" customHeight="1" x14ac:dyDescent="0.25">
      <c r="A9" s="9"/>
      <c r="B9" s="65">
        <f>IF(DAY(Fév_Dim1)=1,IF(AND(YEAR(Fév_Dim1+8)=Année_Calendaire,MONTH(Fév_Dim1+8)=2),Fév_Dim1+8,""),IF(AND(YEAR(Fév_Dim1+15)=Année_Calendaire,MONTH(Fév_Dim1+15)=2),Fév_Dim1+15,""))</f>
        <v>42415</v>
      </c>
      <c r="C9" s="58">
        <f>IF(DAY(Fév_Dim1)=1,IF(AND(YEAR(Fév_Dim1+9)=Année_Calendaire,MONTH(Fév_Dim1+9)=2),Fév_Dim1+9,""),IF(AND(YEAR(Fév_Dim1+16)=Année_Calendaire,MONTH(Fév_Dim1+16)=2),Fév_Dim1+16,""))</f>
        <v>42416</v>
      </c>
      <c r="D9" s="54">
        <f>IF(DAY(Fév_Dim1)=1,IF(AND(YEAR(Fév_Dim1+10)=Année_Calendaire,MONTH(Fév_Dim1+10)=2),Fév_Dim1+10,""),IF(AND(YEAR(Fév_Dim1+17)=Année_Calendaire,MONTH(Fév_Dim1+17)=2),Fév_Dim1+17,""))</f>
        <v>42417</v>
      </c>
      <c r="E9" s="58">
        <f>IF(DAY(Fév_Dim1)=1,IF(AND(YEAR(Fév_Dim1+11)=Année_Calendaire,MONTH(Fév_Dim1+11)=2),Fév_Dim1+11,""),IF(AND(YEAR(Fév_Dim1+18)=Année_Calendaire,MONTH(Fév_Dim1+18)=2),Fév_Dim1+18,""))</f>
        <v>42418</v>
      </c>
      <c r="F9" s="54">
        <f>IF(DAY(Fév_Dim1)=1,IF(AND(YEAR(Fév_Dim1+12)=Année_Calendaire,MONTH(Fév_Dim1+12)=2),Fév_Dim1+12,""),IF(AND(YEAR(Fév_Dim1+19)=Année_Calendaire,MONTH(Fév_Dim1+19)=2),Fév_Dim1+19,""))</f>
        <v>42419</v>
      </c>
      <c r="G9" s="65">
        <f>IF(DAY(Fév_Dim1)=1,IF(AND(YEAR(Fév_Dim1+13)=Année_Calendaire,MONTH(Fév_Dim1+13)=2),Fév_Dim1+13,""),IF(AND(YEAR(Fév_Dim1+20)=Année_Calendaire,MONTH(Fév_Dim1+20)=2),Fév_Dim1+20,""))</f>
        <v>42420</v>
      </c>
      <c r="H9" s="58">
        <f>IF(DAY(Fév_Dim1)=1,IF(AND(YEAR(Fév_Dim1+14)=Année_Calendaire,MONTH(Fév_Dim1+14)=2),Fév_Dim1+14,""),IF(AND(YEAR(Fév_Dim1+21)=Année_Calendaire,MONTH(Fév_Dim1+21)=2),Fév_Dim1+21,""))</f>
        <v>42421</v>
      </c>
      <c r="I9" s="10"/>
    </row>
    <row r="10" spans="1:18" ht="55.5" customHeight="1" x14ac:dyDescent="0.25">
      <c r="A10"/>
      <c r="B10" s="60"/>
      <c r="C10" s="61"/>
      <c r="D10" s="62"/>
      <c r="E10" s="61"/>
      <c r="F10" s="62"/>
      <c r="G10" s="63"/>
      <c r="H10" s="64"/>
      <c r="I10" s="3"/>
    </row>
    <row r="11" spans="1:18" s="11" customFormat="1" ht="15" customHeight="1" x14ac:dyDescent="0.25">
      <c r="A11" s="9"/>
      <c r="B11" s="25">
        <f>IF(DAY(Fév_Dim1)=1,IF(AND(YEAR(Fév_Dim1+15)=Année_Calendaire,MONTH(Fév_Dim1+15)=2),Fév_Dim1+15,""),IF(AND(YEAR(Fév_Dim1+22)=Année_Calendaire,MONTH(Fév_Dim1+22)=2),Fév_Dim1+22,""))</f>
        <v>42422</v>
      </c>
      <c r="C11" s="19">
        <f>IF(DAY(Fév_Dim1)=1,IF(AND(YEAR(Fév_Dim1+16)=Année_Calendaire,MONTH(Fév_Dim1+16)=2),Fév_Dim1+16,""),IF(AND(YEAR(Fév_Dim1+23)=Année_Calendaire,MONTH(Fév_Dim1+23)=2),Fév_Dim1+23,""))</f>
        <v>42423</v>
      </c>
      <c r="D11" s="20">
        <f>IF(DAY(Fév_Dim1)=1,IF(AND(YEAR(Fév_Dim1+17)=Année_Calendaire,MONTH(Fév_Dim1+17)=2),Fév_Dim1+17,""),IF(AND(YEAR(Fév_Dim1+24)=Année_Calendaire,MONTH(Fév_Dim1+24)=2),Fév_Dim1+24,""))</f>
        <v>42424</v>
      </c>
      <c r="E11" s="19">
        <f>IF(DAY(Fév_Dim1)=1,IF(AND(YEAR(Fév_Dim1+18)=Année_Calendaire,MONTH(Fév_Dim1+18)=2),Fév_Dim1+18,""),IF(AND(YEAR(Fév_Dim1+25)=Année_Calendaire,MONTH(Fév_Dim1+25)=2),Fév_Dim1+25,""))</f>
        <v>42425</v>
      </c>
      <c r="F11" s="20">
        <f>IF(DAY(Fév_Dim1)=1,IF(AND(YEAR(Fév_Dim1+19)=Année_Calendaire,MONTH(Fév_Dim1+19)=2),Fév_Dim1+19,""),IF(AND(YEAR(Fév_Dim1+26)=Année_Calendaire,MONTH(Fév_Dim1+26)=2),Fév_Dim1+26,""))</f>
        <v>42426</v>
      </c>
      <c r="G11" s="25">
        <f>IF(DAY(Fév_Dim1)=1,IF(AND(YEAR(Fév_Dim1+20)=Année_Calendaire,MONTH(Fév_Dim1+20)=2),Fév_Dim1+20,""),IF(AND(YEAR(Fév_Dim1+27)=Année_Calendaire,MONTH(Fév_Dim1+27)=2),Fév_Dim1+27,""))</f>
        <v>42427</v>
      </c>
      <c r="H11" s="19">
        <f>IF(DAY(Fév_Dim1)=1,IF(AND(YEAR(Fév_Dim1+21)=Année_Calendaire,MONTH(Fév_Dim1+21)=2),Fév_Dim1+21,""),IF(AND(YEAR(Fév_Dim1+28)=Année_Calendaire,MONTH(Fév_Dim1+28)=2),Fév_Dim1+28,""))</f>
        <v>42428</v>
      </c>
      <c r="I11" s="10"/>
    </row>
    <row r="12" spans="1:18" ht="55.5" customHeight="1" x14ac:dyDescent="0.25">
      <c r="A12"/>
      <c r="B12" s="29"/>
      <c r="C12" s="30"/>
      <c r="D12" s="31"/>
      <c r="E12" s="30"/>
      <c r="F12" s="31"/>
      <c r="G12" s="32"/>
      <c r="H12" s="33"/>
      <c r="I12" s="3"/>
    </row>
    <row r="13" spans="1:18" s="11" customFormat="1" ht="15" customHeight="1" x14ac:dyDescent="0.25">
      <c r="A13" s="9"/>
      <c r="B13" s="65">
        <f>IF(DAY(Fév_Dim1)=1,IF(AND(YEAR(Fév_Dim1+22)=Année_Calendaire,MONTH(Fév_Dim1+22)=2),Fév_Dim1+22,""),IF(AND(YEAR(Fév_Dim1+29)=Année_Calendaire,MONTH(Fév_Dim1+29)=2),Fév_Dim1+29,""))</f>
        <v>42429</v>
      </c>
      <c r="C13" s="58" t="str">
        <f>IF(DAY(Fév_Dim1)=1,IF(AND(YEAR(Fév_Dim1+23)=Année_Calendaire,MONTH(Fév_Dim1+23)=2),Fév_Dim1+23,""),IF(AND(YEAR(Fév_Dim1+30)=Année_Calendaire,MONTH(Fév_Dim1+30)=2),Fév_Dim1+30,""))</f>
        <v/>
      </c>
      <c r="D13" s="54" t="str">
        <f>IF(DAY(Fév_Dim1)=1,IF(AND(YEAR(Fév_Dim1+24)=Année_Calendaire,MONTH(Fév_Dim1+24)=2),Fév_Dim1+24,""),IF(AND(YEAR(Fév_Dim1+31)=Année_Calendaire,MONTH(Fév_Dim1+31)=2),Fév_Dim1+31,""))</f>
        <v/>
      </c>
      <c r="E13" s="58" t="str">
        <f>IF(DAY(Fév_Dim1)=1,IF(AND(YEAR(Fév_Dim1+25)=Année_Calendaire,MONTH(Fév_Dim1+25)=2),Fév_Dim1+25,""),IF(AND(YEAR(Fév_Dim1+32)=Année_Calendaire,MONTH(Fév_Dim1+32)=2),Fév_Dim1+32,""))</f>
        <v/>
      </c>
      <c r="F13" s="54" t="str">
        <f>IF(DAY(Fév_Dim1)=1,IF(AND(YEAR(Fév_Dim1+26)=Année_Calendaire,MONTH(Fév_Dim1+26)=2),Fév_Dim1+26,""),IF(AND(YEAR(Fév_Dim1+33)=Année_Calendaire,MONTH(Fév_Dim1+33)=2),Fév_Dim1+33,""))</f>
        <v/>
      </c>
      <c r="G13" s="65" t="str">
        <f>IF(DAY(Fév_Dim1)=1,IF(AND(YEAR(Fév_Dim1+27)=Année_Calendaire,MONTH(Fév_Dim1+27)=2),Fév_Dim1+27,""),IF(AND(YEAR(Fév_Dim1+34)=Année_Calendaire,MONTH(Fév_Dim1+34)=2),Fév_Dim1+34,""))</f>
        <v/>
      </c>
      <c r="H13" s="58" t="str">
        <f>IF(DAY(Fév_Dim1)=1,IF(AND(YEAR(Fév_Dim1+28)=Année_Calendaire,MONTH(Fév_Dim1+28)=2),Fév_Dim1+28,""),IF(AND(YEAR(Fév_Dim1+35)=Année_Calendaire,MONTH(Fév_Dim1+35)=2),Fév_Dim1+35,""))</f>
        <v/>
      </c>
      <c r="I13" s="10"/>
    </row>
    <row r="14" spans="1:18" ht="55.5" customHeight="1" x14ac:dyDescent="0.25">
      <c r="A14"/>
      <c r="B14" s="60"/>
      <c r="C14" s="61"/>
      <c r="D14" s="62"/>
      <c r="E14" s="61"/>
      <c r="F14" s="62"/>
      <c r="G14" s="63"/>
      <c r="H14" s="64"/>
      <c r="I14" s="3"/>
    </row>
    <row r="15" spans="1:18" ht="15" customHeight="1" x14ac:dyDescent="0.25">
      <c r="A15"/>
      <c r="B15" s="19" t="str">
        <f>IF(DAY(Fév_Dim1)=1,IF(AND(YEAR(Fév_Dim1+29)=Année_Calendaire,MONTH(Fév_Dim1+29)=2),Fév_Dim1+29,""),IF(AND(YEAR(Fév_Dim1+36)=Année_Calendaire,MONTH(Fév_Dim1+36)=2),Fév_Dim1+36,""))</f>
        <v/>
      </c>
      <c r="C15" s="19" t="str">
        <f>IF(DAY(Fév_Dim1)=1,IF(AND(YEAR(Fév_Dim1+30)=Année_Calendaire,MONTH(Fév_Dim1+30)=2),Fév_Dim1+30,""),IF(AND(YEAR(Fév_Dim1+37)=Année_Calendaire,MONTH(Fév_Dim1+37)=2),Fév_Dim1+37,""))</f>
        <v/>
      </c>
      <c r="D15" s="45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30"/>
      <c r="C16" s="30"/>
      <c r="D16" s="46"/>
      <c r="E16" s="46"/>
      <c r="F16" s="46"/>
      <c r="G16" s="46"/>
      <c r="H16" s="47"/>
      <c r="I16" s="3"/>
    </row>
    <row r="17" spans="3:5" ht="17.2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6">
    <mergeCell ref="G1:H1"/>
    <mergeCell ref="G3:H3"/>
    <mergeCell ref="D15:H15"/>
    <mergeCell ref="D16:H16"/>
    <mergeCell ref="B3:C3"/>
    <mergeCell ref="D3:E3"/>
  </mergeCells>
  <printOptions horizontalCentered="1" verticalCentered="1"/>
  <pageMargins left="0.2" right="0.2" top="0.25" bottom="0.25" header="0" footer="0"/>
  <pageSetup scale="69" orientation="landscape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8</xdr:col>
                <xdr:colOff>238125</xdr:colOff>
                <xdr:row>2</xdr:row>
                <xdr:rowOff>723900</xdr:rowOff>
              </from>
              <to>
                <xdr:col>9</xdr:col>
                <xdr:colOff>1019175</xdr:colOff>
                <xdr:row>4</xdr:row>
                <xdr:rowOff>38100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R20"/>
  <sheetViews>
    <sheetView showGridLines="0" zoomScaleNormal="100" workbookViewId="0">
      <selection activeCell="L8" sqref="L8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x14ac:dyDescent="0.25">
      <c r="A1"/>
      <c r="F1" s="7"/>
      <c r="G1" s="37"/>
      <c r="H1" s="37"/>
      <c r="L1" s="11"/>
    </row>
    <row r="2" spans="1:18" ht="26.25" customHeight="1" x14ac:dyDescent="0.25">
      <c r="A2"/>
      <c r="L2" s="11"/>
    </row>
    <row r="3" spans="1:18" ht="57.75" customHeight="1" x14ac:dyDescent="0.25">
      <c r="A3"/>
      <c r="B3" s="48" t="s">
        <v>10</v>
      </c>
      <c r="C3" s="48"/>
      <c r="D3" s="49">
        <f>Jan!L2</f>
        <v>2016</v>
      </c>
      <c r="E3" s="49"/>
      <c r="F3" s="21" t="s">
        <v>21</v>
      </c>
      <c r="G3" s="52" t="str">
        <f>Jan!G3</f>
        <v>Verdun</v>
      </c>
      <c r="H3" s="52"/>
    </row>
    <row r="4" spans="1:18" s="9" customFormat="1" ht="29.25" customHeight="1" x14ac:dyDescent="0.25">
      <c r="B4" s="22" t="s">
        <v>1</v>
      </c>
      <c r="C4" s="23" t="s">
        <v>2</v>
      </c>
      <c r="D4" s="17" t="s">
        <v>3</v>
      </c>
      <c r="E4" s="23" t="s">
        <v>4</v>
      </c>
      <c r="F4" s="17" t="s">
        <v>5</v>
      </c>
      <c r="G4" s="23" t="s">
        <v>6</v>
      </c>
      <c r="H4" s="24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9" t="str">
        <f>IF(DAY(Mar_Dim1)=1,"",IF(AND(YEAR(Mar_Dim1+1)=Année_Calendaire,MONTH(Mar_Dim1+1)=3),Mar_Dim1+1,""))</f>
        <v/>
      </c>
      <c r="C5" s="53">
        <f>IF(DAY(Mar_Dim1)=1,"",IF(AND(YEAR(Mar_Dim1+2)=Année_Calendaire,MONTH(Mar_Dim1+2)=3),Mar_Dim1+2,""))</f>
        <v>42430</v>
      </c>
      <c r="D5" s="54">
        <f>IF(DAY(Mar_Dim1)=1,"",IF(AND(YEAR(Mar_Dim1+3)=Année_Calendaire,MONTH(Mar_Dim1+3)=3),Mar_Dim1+3,""))</f>
        <v>42431</v>
      </c>
      <c r="E5" s="53">
        <f>IF(DAY(Mar_Dim1)=1,"",IF(AND(YEAR(Mar_Dim1+4)=Année_Calendaire,MONTH(Mar_Dim1+4)=3),Mar_Dim1+4,""))</f>
        <v>42432</v>
      </c>
      <c r="F5" s="54">
        <f>IF(DAY(Mar_Dim1)=1,"",IF(AND(YEAR(Mar_Dim1+5)=Année_Calendaire,MONTH(Mar_Dim1+5)=3),Mar_Dim1+5,""))</f>
        <v>42433</v>
      </c>
      <c r="G5" s="59">
        <f>IF(DAY(Mar_Dim1)=1,"",IF(AND(YEAR(Mar_Dim1+6)=Année_Calendaire,MONTH(Mar_Dim1+6)=3),Mar_Dim1+6,""))</f>
        <v>42434</v>
      </c>
      <c r="H5" s="53">
        <f>IF(DAY(Mar_Dim1)=1,IF(AND(YEAR(Mar_Dim1)=Année_Calendaire,MONTH(Mar_Dim1)=3),Mar_Dim1,""),IF(AND(YEAR(Mar_Dim1+7)=Année_Calendaire,MONTH(Mar_Dim1+7)=3),Mar_Dim1+7,""))</f>
        <v>42435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60"/>
      <c r="C6" s="61"/>
      <c r="D6" s="62"/>
      <c r="E6" s="61"/>
      <c r="F6" s="62"/>
      <c r="G6" s="63"/>
      <c r="H6" s="64"/>
      <c r="I6" s="3"/>
    </row>
    <row r="7" spans="1:18" s="11" customFormat="1" ht="15" customHeight="1" x14ac:dyDescent="0.25">
      <c r="A7" s="9"/>
      <c r="B7" s="25">
        <f>IF(DAY(Mar_Dim1)=1,IF(AND(YEAR(Mar_Dim1+1)=Année_Calendaire,MONTH(Mar_Dim1+1)=3),Mar_Dim1+1,""),IF(AND(YEAR(Mar_Dim1+8)=Année_Calendaire,MONTH(Mar_Dim1+8)=3),Mar_Dim1+8,""))</f>
        <v>42436</v>
      </c>
      <c r="C7" s="19">
        <f>IF(DAY(Mar_Dim1)=1,IF(AND(YEAR(Mar_Dim1+2)=Année_Calendaire,MONTH(Mar_Dim1+2)=3),Mar_Dim1+2,""),IF(AND(YEAR(Mar_Dim1+9)=Année_Calendaire,MONTH(Mar_Dim1+9)=3),Mar_Dim1+9,""))</f>
        <v>42437</v>
      </c>
      <c r="D7" s="20">
        <f>IF(DAY(Mar_Dim1)=1,IF(AND(YEAR(Mar_Dim1+3)=Année_Calendaire,MONTH(Mar_Dim1+3)=3),Mar_Dim1+3,""),IF(AND(YEAR(Mar_Dim1+10)=Année_Calendaire,MONTH(Mar_Dim1+10)=3),Mar_Dim1+10,""))</f>
        <v>42438</v>
      </c>
      <c r="E7" s="19">
        <f>IF(DAY(Mar_Dim1)=1,IF(AND(YEAR(Mar_Dim1+4)=Année_Calendaire,MONTH(Mar_Dim1+4)=3),Mar_Dim1+4,""),IF(AND(YEAR(Mar_Dim1+11)=Année_Calendaire,MONTH(Mar_Dim1+11)=3),Mar_Dim1+11,""))</f>
        <v>42439</v>
      </c>
      <c r="F7" s="20">
        <f>IF(DAY(Mar_Dim1)=1,IF(AND(YEAR(Mar_Dim1+5)=Année_Calendaire,MONTH(Mar_Dim1+5)=3),Mar_Dim1+5,""),IF(AND(YEAR(Mar_Dim1+12)=Année_Calendaire,MONTH(Mar_Dim1+12)=3),Mar_Dim1+12,""))</f>
        <v>42440</v>
      </c>
      <c r="G7" s="25">
        <f>IF(DAY(Mar_Dim1)=1,IF(AND(YEAR(Mar_Dim1+6)=Année_Calendaire,MONTH(Mar_Dim1+6)=3),Mar_Dim1+6,""),IF(AND(YEAR(Mar_Dim1+13)=Année_Calendaire,MONTH(Mar_Dim1+13)=3),Mar_Dim1+13,""))</f>
        <v>42441</v>
      </c>
      <c r="H7" s="19">
        <f>IF(DAY(Mar_Dim1)=1,IF(AND(YEAR(Mar_Dim1+7)=Année_Calendaire,MONTH(Mar_Dim1+7)=3),Mar_Dim1+7,""),IF(AND(YEAR(Mar_Dim1+14)=Année_Calendaire,MONTH(Mar_Dim1+14)=3),Mar_Dim1+14,""))</f>
        <v>42442</v>
      </c>
      <c r="I7" s="10"/>
    </row>
    <row r="8" spans="1:18" ht="55.5" customHeight="1" x14ac:dyDescent="0.25">
      <c r="A8"/>
      <c r="B8" s="29"/>
      <c r="C8" s="30"/>
      <c r="D8" s="31"/>
      <c r="E8" s="30"/>
      <c r="F8" s="31"/>
      <c r="G8" s="32"/>
      <c r="H8" s="33"/>
      <c r="I8" s="3"/>
    </row>
    <row r="9" spans="1:18" s="11" customFormat="1" ht="15" customHeight="1" x14ac:dyDescent="0.25">
      <c r="A9" s="9"/>
      <c r="B9" s="65">
        <f>IF(DAY(Mar_Dim1)=1,IF(AND(YEAR(Mar_Dim1+8)=Année_Calendaire,MONTH(Mar_Dim1+8)=3),Mar_Dim1+8,""),IF(AND(YEAR(Mar_Dim1+15)=Année_Calendaire,MONTH(Mar_Dim1+15)=3),Mar_Dim1+15,""))</f>
        <v>42443</v>
      </c>
      <c r="C9" s="58">
        <f>IF(DAY(Mar_Dim1)=1,IF(AND(YEAR(Mar_Dim1+9)=Année_Calendaire,MONTH(Mar_Dim1+9)=3),Mar_Dim1+9,""),IF(AND(YEAR(Mar_Dim1+16)=Année_Calendaire,MONTH(Mar_Dim1+16)=3),Mar_Dim1+16,""))</f>
        <v>42444</v>
      </c>
      <c r="D9" s="54">
        <f>IF(DAY(Mar_Dim1)=1,IF(AND(YEAR(Mar_Dim1+10)=Année_Calendaire,MONTH(Mar_Dim1+10)=3),Mar_Dim1+10,""),IF(AND(YEAR(Mar_Dim1+17)=Année_Calendaire,MONTH(Mar_Dim1+17)=3),Mar_Dim1+17,""))</f>
        <v>42445</v>
      </c>
      <c r="E9" s="58">
        <f>IF(DAY(Mar_Dim1)=1,IF(AND(YEAR(Mar_Dim1+11)=Année_Calendaire,MONTH(Mar_Dim1+11)=3),Mar_Dim1+11,""),IF(AND(YEAR(Mar_Dim1+18)=Année_Calendaire,MONTH(Mar_Dim1+18)=3),Mar_Dim1+18,""))</f>
        <v>42446</v>
      </c>
      <c r="F9" s="54">
        <f>IF(DAY(Mar_Dim1)=1,IF(AND(YEAR(Mar_Dim1+12)=Année_Calendaire,MONTH(Mar_Dim1+12)=3),Mar_Dim1+12,""),IF(AND(YEAR(Mar_Dim1+19)=Année_Calendaire,MONTH(Mar_Dim1+19)=3),Mar_Dim1+19,""))</f>
        <v>42447</v>
      </c>
      <c r="G9" s="65">
        <f>IF(DAY(Mar_Dim1)=1,IF(AND(YEAR(Mar_Dim1+13)=Année_Calendaire,MONTH(Mar_Dim1+13)=3),Mar_Dim1+13,""),IF(AND(YEAR(Mar_Dim1+20)=Année_Calendaire,MONTH(Mar_Dim1+20)=3),Mar_Dim1+20,""))</f>
        <v>42448</v>
      </c>
      <c r="H9" s="58">
        <f>IF(DAY(Mar_Dim1)=1,IF(AND(YEAR(Mar_Dim1+14)=Année_Calendaire,MONTH(Mar_Dim1+14)=3),Mar_Dim1+14,""),IF(AND(YEAR(Mar_Dim1+21)=Année_Calendaire,MONTH(Mar_Dim1+21)=3),Mar_Dim1+21,""))</f>
        <v>42449</v>
      </c>
      <c r="I9" s="10"/>
    </row>
    <row r="10" spans="1:18" ht="55.5" customHeight="1" x14ac:dyDescent="0.25">
      <c r="A10"/>
      <c r="B10" s="60"/>
      <c r="C10" s="61"/>
      <c r="D10" s="62"/>
      <c r="E10" s="61"/>
      <c r="F10" s="62"/>
      <c r="G10" s="63"/>
      <c r="H10" s="64"/>
      <c r="I10" s="3"/>
    </row>
    <row r="11" spans="1:18" s="11" customFormat="1" ht="15" customHeight="1" x14ac:dyDescent="0.25">
      <c r="A11" s="9"/>
      <c r="B11" s="25">
        <f>IF(DAY(Mar_Dim1)=1,IF(AND(YEAR(Mar_Dim1+15)=Année_Calendaire,MONTH(Mar_Dim1+15)=3),Mar_Dim1+15,""),IF(AND(YEAR(Mar_Dim1+22)=Année_Calendaire,MONTH(Mar_Dim1+22)=3),Mar_Dim1+22,""))</f>
        <v>42450</v>
      </c>
      <c r="C11" s="19">
        <f>IF(DAY(Mar_Dim1)=1,IF(AND(YEAR(Mar_Dim1+16)=Année_Calendaire,MONTH(Mar_Dim1+16)=3),Mar_Dim1+16,""),IF(AND(YEAR(Mar_Dim1+23)=Année_Calendaire,MONTH(Mar_Dim1+23)=3),Mar_Dim1+23,""))</f>
        <v>42451</v>
      </c>
      <c r="D11" s="20">
        <f>IF(DAY(Mar_Dim1)=1,IF(AND(YEAR(Mar_Dim1+17)=Année_Calendaire,MONTH(Mar_Dim1+17)=3),Mar_Dim1+17,""),IF(AND(YEAR(Mar_Dim1+24)=Année_Calendaire,MONTH(Mar_Dim1+24)=3),Mar_Dim1+24,""))</f>
        <v>42452</v>
      </c>
      <c r="E11" s="19">
        <f>IF(DAY(Mar_Dim1)=1,IF(AND(YEAR(Mar_Dim1+18)=Année_Calendaire,MONTH(Mar_Dim1+18)=3),Mar_Dim1+18,""),IF(AND(YEAR(Mar_Dim1+25)=Année_Calendaire,MONTH(Mar_Dim1+25)=3),Mar_Dim1+25,""))</f>
        <v>42453</v>
      </c>
      <c r="F11" s="20">
        <f>IF(DAY(Mar_Dim1)=1,IF(AND(YEAR(Mar_Dim1+19)=Année_Calendaire,MONTH(Mar_Dim1+19)=3),Mar_Dim1+19,""),IF(AND(YEAR(Mar_Dim1+26)=Année_Calendaire,MONTH(Mar_Dim1+26)=3),Mar_Dim1+26,""))</f>
        <v>42454</v>
      </c>
      <c r="G11" s="25">
        <f>IF(DAY(Mar_Dim1)=1,IF(AND(YEAR(Mar_Dim1+20)=Année_Calendaire,MONTH(Mar_Dim1+20)=3),Mar_Dim1+20,""),IF(AND(YEAR(Mar_Dim1+27)=Année_Calendaire,MONTH(Mar_Dim1+27)=3),Mar_Dim1+27,""))</f>
        <v>42455</v>
      </c>
      <c r="H11" s="19">
        <f>IF(DAY(Mar_Dim1)=1,IF(AND(YEAR(Mar_Dim1+21)=Année_Calendaire,MONTH(Mar_Dim1+21)=3),Mar_Dim1+21,""),IF(AND(YEAR(Mar_Dim1+28)=Année_Calendaire,MONTH(Mar_Dim1+28)=3),Mar_Dim1+28,""))</f>
        <v>42456</v>
      </c>
      <c r="I11" s="10"/>
    </row>
    <row r="12" spans="1:18" ht="55.5" customHeight="1" x14ac:dyDescent="0.25">
      <c r="A12"/>
      <c r="B12" s="29"/>
      <c r="C12" s="30"/>
      <c r="D12" s="31"/>
      <c r="E12" s="30"/>
      <c r="F12" s="31"/>
      <c r="G12" s="32"/>
      <c r="H12" s="33"/>
      <c r="I12" s="3"/>
    </row>
    <row r="13" spans="1:18" s="11" customFormat="1" ht="15" customHeight="1" x14ac:dyDescent="0.25">
      <c r="A13" s="9"/>
      <c r="B13" s="65">
        <f>IF(DAY(Mar_Dim1)=1,IF(AND(YEAR(Mar_Dim1+22)=Année_Calendaire,MONTH(Mar_Dim1+22)=3),Mar_Dim1+22,""),IF(AND(YEAR(Mar_Dim1+29)=Année_Calendaire,MONTH(Mar_Dim1+29)=3),Mar_Dim1+29,""))</f>
        <v>42457</v>
      </c>
      <c r="C13" s="58">
        <f>IF(DAY(Mar_Dim1)=1,IF(AND(YEAR(Mar_Dim1+23)=Année_Calendaire,MONTH(Mar_Dim1+23)=3),Mar_Dim1+23,""),IF(AND(YEAR(Mar_Dim1+30)=Année_Calendaire,MONTH(Mar_Dim1+30)=3),Mar_Dim1+30,""))</f>
        <v>42458</v>
      </c>
      <c r="D13" s="54">
        <f>IF(DAY(Mar_Dim1)=1,IF(AND(YEAR(Mar_Dim1+24)=Année_Calendaire,MONTH(Mar_Dim1+24)=3),Mar_Dim1+24,""),IF(AND(YEAR(Mar_Dim1+31)=Année_Calendaire,MONTH(Mar_Dim1+31)=3),Mar_Dim1+31,""))</f>
        <v>42459</v>
      </c>
      <c r="E13" s="58">
        <f>IF(DAY(Mar_Dim1)=1,IF(AND(YEAR(Mar_Dim1+25)=Année_Calendaire,MONTH(Mar_Dim1+25)=3),Mar_Dim1+25,""),IF(AND(YEAR(Mar_Dim1+32)=Année_Calendaire,MONTH(Mar_Dim1+32)=3),Mar_Dim1+32,""))</f>
        <v>42460</v>
      </c>
      <c r="F13" s="54" t="str">
        <f>IF(DAY(Mar_Dim1)=1,IF(AND(YEAR(Mar_Dim1+26)=Année_Calendaire,MONTH(Mar_Dim1+26)=3),Mar_Dim1+26,""),IF(AND(YEAR(Mar_Dim1+33)=Année_Calendaire,MONTH(Mar_Dim1+33)=3),Mar_Dim1+33,""))</f>
        <v/>
      </c>
      <c r="G13" s="65" t="str">
        <f>IF(DAY(Mar_Dim1)=1,IF(AND(YEAR(Mar_Dim1+27)=Année_Calendaire,MONTH(Mar_Dim1+27)=3),Mar_Dim1+27,""),IF(AND(YEAR(Mar_Dim1+34)=Année_Calendaire,MONTH(Mar_Dim1+34)=3),Mar_Dim1+34,""))</f>
        <v/>
      </c>
      <c r="H13" s="58" t="str">
        <f>IF(DAY(Mar_Dim1)=1,IF(AND(YEAR(Mar_Dim1+28)=Année_Calendaire,MONTH(Mar_Dim1+28)=3),Mar_Dim1+28,""),IF(AND(YEAR(Mar_Dim1+35)=Année_Calendaire,MONTH(Mar_Dim1+35)=3),Mar_Dim1+35,""))</f>
        <v/>
      </c>
      <c r="I13" s="10"/>
    </row>
    <row r="14" spans="1:18" ht="55.5" customHeight="1" x14ac:dyDescent="0.25">
      <c r="A14"/>
      <c r="B14" s="60"/>
      <c r="C14" s="61"/>
      <c r="D14" s="62"/>
      <c r="E14" s="61"/>
      <c r="F14" s="62"/>
      <c r="G14" s="63"/>
      <c r="H14" s="64"/>
      <c r="I14" s="3"/>
    </row>
    <row r="15" spans="1:18" ht="15" customHeight="1" x14ac:dyDescent="0.25">
      <c r="A15"/>
      <c r="B15" s="19" t="str">
        <f>IF(DAY(Mar_Dim1)=1,IF(AND(YEAR(Mar_Dim1+29)=Année_Calendaire,MONTH(Mar_Dim1+29)=3),Mar_Dim1+29,""),IF(AND(YEAR(Mar_Dim1+36)=Année_Calendaire,MONTH(Mar_Dim1+36)=3),Mar_Dim1+36,""))</f>
        <v/>
      </c>
      <c r="C15" s="19" t="str">
        <f>IF(DAY(Mar_Dim1)=1,IF(AND(YEAR(Mar_Dim1+30)=Année_Calendaire,MONTH(Mar_Dim1+30)=3),Mar_Dim1+30,""),IF(AND(YEAR(Mar_Dim1+37)=Année_Calendaire,MONTH(Mar_Dim1+37)=3),Mar_Dim1+37,""))</f>
        <v/>
      </c>
      <c r="D15" s="45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30"/>
      <c r="C16" s="30"/>
      <c r="D16" s="46"/>
      <c r="E16" s="46"/>
      <c r="F16" s="46"/>
      <c r="G16" s="46"/>
      <c r="H16" s="47"/>
      <c r="I16" s="3"/>
    </row>
    <row r="17" spans="3:5" ht="17.2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6">
    <mergeCell ref="G1:H1"/>
    <mergeCell ref="G3:H3"/>
    <mergeCell ref="D15:H15"/>
    <mergeCell ref="D16:H16"/>
    <mergeCell ref="B3:C3"/>
    <mergeCell ref="D3:E3"/>
  </mergeCells>
  <printOptions horizontalCentered="1" verticalCentered="1"/>
  <pageMargins left="0.2" right="0.2" top="0.25" bottom="0.25" header="0" footer="0"/>
  <pageSetup scale="69" orientation="landscape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8</xdr:col>
                <xdr:colOff>180975</xdr:colOff>
                <xdr:row>3</xdr:row>
                <xdr:rowOff>0</xdr:rowOff>
              </from>
              <to>
                <xdr:col>9</xdr:col>
                <xdr:colOff>962025</xdr:colOff>
                <xdr:row>4</xdr:row>
                <xdr:rowOff>47625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R20"/>
  <sheetViews>
    <sheetView showGridLines="0" zoomScaleNormal="100" workbookViewId="0">
      <selection activeCell="I8" sqref="I8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x14ac:dyDescent="0.25">
      <c r="A1"/>
      <c r="F1" s="7"/>
      <c r="G1" s="37"/>
      <c r="H1" s="37"/>
      <c r="L1" s="11"/>
    </row>
    <row r="2" spans="1:18" ht="26.25" customHeight="1" x14ac:dyDescent="0.25">
      <c r="A2"/>
      <c r="L2" s="11"/>
    </row>
    <row r="3" spans="1:18" ht="57.75" customHeight="1" x14ac:dyDescent="0.25">
      <c r="A3"/>
      <c r="B3" s="48" t="s">
        <v>13</v>
      </c>
      <c r="C3" s="48"/>
      <c r="D3" s="49">
        <f>Jan!L2</f>
        <v>2016</v>
      </c>
      <c r="E3" s="49"/>
      <c r="F3" s="21" t="s">
        <v>21</v>
      </c>
      <c r="G3" s="52" t="str">
        <f>Jan!G3</f>
        <v>Verdun</v>
      </c>
      <c r="H3" s="52"/>
    </row>
    <row r="4" spans="1:18" s="9" customFormat="1" ht="29.25" customHeight="1" x14ac:dyDescent="0.25">
      <c r="B4" s="22" t="s">
        <v>1</v>
      </c>
      <c r="C4" s="23" t="s">
        <v>2</v>
      </c>
      <c r="D4" s="17" t="s">
        <v>3</v>
      </c>
      <c r="E4" s="23" t="s">
        <v>4</v>
      </c>
      <c r="F4" s="17" t="s">
        <v>5</v>
      </c>
      <c r="G4" s="23" t="s">
        <v>6</v>
      </c>
      <c r="H4" s="24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9" t="str">
        <f>IF(DAY(Avr_Dim1)=1,"",IF(AND(YEAR(Avr_Dim1+1)=Année_Calendaire,MONTH(Avr_Dim1+1)=4),Avr_Dim1+1,""))</f>
        <v/>
      </c>
      <c r="C5" s="53" t="str">
        <f>IF(DAY(Avr_Dim1)=1,"",IF(AND(YEAR(Avr_Dim1+2)=Année_Calendaire,MONTH(Avr_Dim1+2)=4),Avr_Dim1+2,""))</f>
        <v/>
      </c>
      <c r="D5" s="54" t="str">
        <f>IF(DAY(Avr_Dim1)=1,"",IF(AND(YEAR(Avr_Dim1+3)=Année_Calendaire,MONTH(Avr_Dim1+3)=4),Avr_Dim1+3,""))</f>
        <v/>
      </c>
      <c r="E5" s="53" t="str">
        <f>IF(DAY(Avr_Dim1)=1,"",IF(AND(YEAR(Avr_Dim1+4)=Année_Calendaire,MONTH(Avr_Dim1+4)=4),Avr_Dim1+4,""))</f>
        <v/>
      </c>
      <c r="F5" s="54">
        <f>IF(DAY(Avr_Dim1)=1,"",IF(AND(YEAR(Avr_Dim1+5)=Année_Calendaire,MONTH(Avr_Dim1+5)=4),Avr_Dim1+5,""))</f>
        <v>42461</v>
      </c>
      <c r="G5" s="59">
        <f>IF(DAY(Avr_Dim1)=1,"",IF(AND(YEAR(Avr_Dim1+6)=Année_Calendaire,MONTH(Avr_Dim1+6)=4),Avr_Dim1+6,""))</f>
        <v>42462</v>
      </c>
      <c r="H5" s="53">
        <f>IF(DAY(Avr_Dim1)=1,IF(AND(YEAR(Avr_Dim1)=Année_Calendaire,MONTH(Avr_Dim1)=4),Avr_Dim1,""),IF(AND(YEAR(Avr_Dim1+7)=Année_Calendaire,MONTH(Avr_Dim1+7)=4),Avr_Dim1+7,""))</f>
        <v>42463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60"/>
      <c r="C6" s="61"/>
      <c r="D6" s="62"/>
      <c r="E6" s="61"/>
      <c r="F6" s="62"/>
      <c r="G6" s="63"/>
      <c r="H6" s="64"/>
      <c r="I6" s="3"/>
    </row>
    <row r="7" spans="1:18" s="11" customFormat="1" ht="15" customHeight="1" x14ac:dyDescent="0.25">
      <c r="A7" s="9"/>
      <c r="B7" s="25">
        <f>IF(DAY(Avr_Dim1)=1,IF(AND(YEAR(Avr_Dim1+1)=Année_Calendaire,MONTH(Avr_Dim1+1)=4),Avr_Dim1+1,""),IF(AND(YEAR(Avr_Dim1+8)=Année_Calendaire,MONTH(Avr_Dim1+8)=4),Avr_Dim1+8,""))</f>
        <v>42464</v>
      </c>
      <c r="C7" s="19">
        <f>IF(DAY(Avr_Dim1)=1,IF(AND(YEAR(Avr_Dim1+2)=Année_Calendaire,MONTH(Avr_Dim1+2)=4),Avr_Dim1+2,""),IF(AND(YEAR(Avr_Dim1+9)=Année_Calendaire,MONTH(Avr_Dim1+9)=4),Avr_Dim1+9,""))</f>
        <v>42465</v>
      </c>
      <c r="D7" s="20">
        <f>IF(DAY(Avr_Dim1)=1,IF(AND(YEAR(Avr_Dim1+3)=Année_Calendaire,MONTH(Avr_Dim1+3)=4),Avr_Dim1+3,""),IF(AND(YEAR(Avr_Dim1+10)=Année_Calendaire,MONTH(Avr_Dim1+10)=4),Avr_Dim1+10,""))</f>
        <v>42466</v>
      </c>
      <c r="E7" s="19">
        <f>IF(DAY(Avr_Dim1)=1,IF(AND(YEAR(Avr_Dim1+4)=Année_Calendaire,MONTH(Avr_Dim1+4)=4),Avr_Dim1+4,""),IF(AND(YEAR(Avr_Dim1+11)=Année_Calendaire,MONTH(Avr_Dim1+11)=4),Avr_Dim1+11,""))</f>
        <v>42467</v>
      </c>
      <c r="F7" s="20">
        <f>IF(DAY(Avr_Dim1)=1,IF(AND(YEAR(Avr_Dim1+5)=Année_Calendaire,MONTH(Avr_Dim1+5)=4),Avr_Dim1+5,""),IF(AND(YEAR(Avr_Dim1+12)=Année_Calendaire,MONTH(Avr_Dim1+12)=4),Avr_Dim1+12,""))</f>
        <v>42468</v>
      </c>
      <c r="G7" s="25">
        <f>IF(DAY(Avr_Dim1)=1,IF(AND(YEAR(Avr_Dim1+6)=Année_Calendaire,MONTH(Avr_Dim1+6)=4),Avr_Dim1+6,""),IF(AND(YEAR(Avr_Dim1+13)=Année_Calendaire,MONTH(Avr_Dim1+13)=4),Avr_Dim1+13,""))</f>
        <v>42469</v>
      </c>
      <c r="H7" s="19">
        <f>IF(DAY(Avr_Dim1)=1,IF(AND(YEAR(Avr_Dim1+7)=Année_Calendaire,MONTH(Avr_Dim1+7)=4),Avr_Dim1+7,""),IF(AND(YEAR(Avr_Dim1+14)=Année_Calendaire,MONTH(Avr_Dim1+14)=4),Avr_Dim1+14,""))</f>
        <v>42470</v>
      </c>
      <c r="I7" s="10"/>
    </row>
    <row r="8" spans="1:18" ht="55.5" customHeight="1" x14ac:dyDescent="0.25">
      <c r="A8"/>
      <c r="B8" s="29"/>
      <c r="C8" s="30"/>
      <c r="D8" s="31"/>
      <c r="E8" s="30"/>
      <c r="F8" s="31"/>
      <c r="G8" s="32"/>
      <c r="H8" s="33"/>
      <c r="I8" s="3"/>
    </row>
    <row r="9" spans="1:18" s="11" customFormat="1" ht="15" customHeight="1" x14ac:dyDescent="0.25">
      <c r="A9" s="9"/>
      <c r="B9" s="65">
        <f>IF(DAY(Avr_Dim1)=1,IF(AND(YEAR(Avr_Dim1+8)=Année_Calendaire,MONTH(Avr_Dim1+8)=4),Avr_Dim1+8,""),IF(AND(YEAR(Avr_Dim1+15)=Année_Calendaire,MONTH(Avr_Dim1+15)=4),Avr_Dim1+15,""))</f>
        <v>42471</v>
      </c>
      <c r="C9" s="58">
        <f>IF(DAY(Avr_Dim1)=1,IF(AND(YEAR(Avr_Dim1+9)=Année_Calendaire,MONTH(Avr_Dim1+9)=4),Avr_Dim1+9,""),IF(AND(YEAR(Avr_Dim1+16)=Année_Calendaire,MONTH(Avr_Dim1+16)=4),Avr_Dim1+16,""))</f>
        <v>42472</v>
      </c>
      <c r="D9" s="54">
        <f>IF(DAY(Avr_Dim1)=1,IF(AND(YEAR(Avr_Dim1+10)=Année_Calendaire,MONTH(Avr_Dim1+10)=4),Avr_Dim1+10,""),IF(AND(YEAR(Avr_Dim1+17)=Année_Calendaire,MONTH(Avr_Dim1+17)=4),Avr_Dim1+17,""))</f>
        <v>42473</v>
      </c>
      <c r="E9" s="58">
        <f>IF(DAY(Avr_Dim1)=1,IF(AND(YEAR(Avr_Dim1+11)=Année_Calendaire,MONTH(Avr_Dim1+11)=4),Avr_Dim1+11,""),IF(AND(YEAR(Avr_Dim1+18)=Année_Calendaire,MONTH(Avr_Dim1+18)=4),Avr_Dim1+18,""))</f>
        <v>42474</v>
      </c>
      <c r="F9" s="54">
        <f>IF(DAY(Avr_Dim1)=1,IF(AND(YEAR(Avr_Dim1+12)=Année_Calendaire,MONTH(Avr_Dim1+12)=4),Avr_Dim1+12,""),IF(AND(YEAR(Avr_Dim1+19)=Année_Calendaire,MONTH(Avr_Dim1+19)=4),Avr_Dim1+19,""))</f>
        <v>42475</v>
      </c>
      <c r="G9" s="65">
        <f>IF(DAY(Avr_Dim1)=1,IF(AND(YEAR(Avr_Dim1+13)=Année_Calendaire,MONTH(Avr_Dim1+13)=4),Avr_Dim1+13,""),IF(AND(YEAR(Avr_Dim1+20)=Année_Calendaire,MONTH(Avr_Dim1+20)=4),Avr_Dim1+20,""))</f>
        <v>42476</v>
      </c>
      <c r="H9" s="58">
        <f>IF(DAY(Avr_Dim1)=1,IF(AND(YEAR(Avr_Dim1+14)=Année_Calendaire,MONTH(Avr_Dim1+14)=4),Avr_Dim1+14,""),IF(AND(YEAR(Avr_Dim1+21)=Année_Calendaire,MONTH(Avr_Dim1+21)=4),Avr_Dim1+21,""))</f>
        <v>42477</v>
      </c>
      <c r="I9" s="10"/>
    </row>
    <row r="10" spans="1:18" ht="55.5" customHeight="1" x14ac:dyDescent="0.25">
      <c r="A10"/>
      <c r="B10" s="60"/>
      <c r="C10" s="61"/>
      <c r="D10" s="62"/>
      <c r="E10" s="61"/>
      <c r="F10" s="62"/>
      <c r="G10" s="63"/>
      <c r="H10" s="64"/>
      <c r="I10" s="3"/>
    </row>
    <row r="11" spans="1:18" s="11" customFormat="1" ht="15" customHeight="1" x14ac:dyDescent="0.25">
      <c r="A11" s="9"/>
      <c r="B11" s="25">
        <f>IF(DAY(Avr_Dim1)=1,IF(AND(YEAR(Avr_Dim1+15)=Année_Calendaire,MONTH(Avr_Dim1+15)=4),Avr_Dim1+15,""),IF(AND(YEAR(Avr_Dim1+22)=Année_Calendaire,MONTH(Avr_Dim1+22)=4),Avr_Dim1+22,""))</f>
        <v>42478</v>
      </c>
      <c r="C11" s="19">
        <f>IF(DAY(Avr_Dim1)=1,IF(AND(YEAR(Avr_Dim1+16)=Année_Calendaire,MONTH(Avr_Dim1+16)=4),Avr_Dim1+16,""),IF(AND(YEAR(Avr_Dim1+23)=Année_Calendaire,MONTH(Avr_Dim1+23)=4),Avr_Dim1+23,""))</f>
        <v>42479</v>
      </c>
      <c r="D11" s="20">
        <f>IF(DAY(Avr_Dim1)=1,IF(AND(YEAR(Avr_Dim1+17)=Année_Calendaire,MONTH(Avr_Dim1+17)=4),Avr_Dim1+17,""),IF(AND(YEAR(Avr_Dim1+24)=Année_Calendaire,MONTH(Avr_Dim1+24)=4),Avr_Dim1+24,""))</f>
        <v>42480</v>
      </c>
      <c r="E11" s="19">
        <f>IF(DAY(Avr_Dim1)=1,IF(AND(YEAR(Avr_Dim1+18)=Année_Calendaire,MONTH(Avr_Dim1+18)=4),Avr_Dim1+18,""),IF(AND(YEAR(Avr_Dim1+25)=Année_Calendaire,MONTH(Avr_Dim1+25)=4),Avr_Dim1+25,""))</f>
        <v>42481</v>
      </c>
      <c r="F11" s="20">
        <f>IF(DAY(Avr_Dim1)=1,IF(AND(YEAR(Avr_Dim1+19)=Année_Calendaire,MONTH(Avr_Dim1+19)=4),Avr_Dim1+19,""),IF(AND(YEAR(Avr_Dim1+26)=Année_Calendaire,MONTH(Avr_Dim1+26)=4),Avr_Dim1+26,""))</f>
        <v>42482</v>
      </c>
      <c r="G11" s="25">
        <f>IF(DAY(Avr_Dim1)=1,IF(AND(YEAR(Avr_Dim1+20)=Année_Calendaire,MONTH(Avr_Dim1+20)=4),Avr_Dim1+20,""),IF(AND(YEAR(Avr_Dim1+27)=Année_Calendaire,MONTH(Avr_Dim1+27)=4),Avr_Dim1+27,""))</f>
        <v>42483</v>
      </c>
      <c r="H11" s="19">
        <f>IF(DAY(Avr_Dim1)=1,IF(AND(YEAR(Avr_Dim1+21)=Année_Calendaire,MONTH(Avr_Dim1+21)=4),Avr_Dim1+21,""),IF(AND(YEAR(Avr_Dim1+28)=Année_Calendaire,MONTH(Avr_Dim1+28)=4),Avr_Dim1+28,""))</f>
        <v>42484</v>
      </c>
      <c r="I11" s="10"/>
    </row>
    <row r="12" spans="1:18" ht="55.5" customHeight="1" x14ac:dyDescent="0.25">
      <c r="A12"/>
      <c r="B12" s="29"/>
      <c r="C12" s="30"/>
      <c r="D12" s="31"/>
      <c r="E12" s="30"/>
      <c r="F12" s="31"/>
      <c r="G12" s="32"/>
      <c r="H12" s="33"/>
      <c r="I12" s="3"/>
    </row>
    <row r="13" spans="1:18" s="11" customFormat="1" ht="15" customHeight="1" x14ac:dyDescent="0.25">
      <c r="A13" s="9"/>
      <c r="B13" s="65">
        <f>IF(DAY(Avr_Dim1)=1,IF(AND(YEAR(Avr_Dim1+22)=Année_Calendaire,MONTH(Avr_Dim1+22)=4),Avr_Dim1+22,""),IF(AND(YEAR(Avr_Dim1+29)=Année_Calendaire,MONTH(Avr_Dim1+29)=4),Avr_Dim1+29,""))</f>
        <v>42485</v>
      </c>
      <c r="C13" s="58">
        <f>IF(DAY(Avr_Dim1)=1,IF(AND(YEAR(Avr_Dim1+23)=Année_Calendaire,MONTH(Avr_Dim1+23)=4),Avr_Dim1+23,""),IF(AND(YEAR(Avr_Dim1+30)=Année_Calendaire,MONTH(Avr_Dim1+30)=4),Avr_Dim1+30,""))</f>
        <v>42486</v>
      </c>
      <c r="D13" s="54">
        <f>IF(DAY(Avr_Dim1)=1,IF(AND(YEAR(Avr_Dim1+24)=Année_Calendaire,MONTH(Avr_Dim1+24)=4),Avr_Dim1+24,""),IF(AND(YEAR(Avr_Dim1+31)=Année_Calendaire,MONTH(Avr_Dim1+31)=4),Avr_Dim1+31,""))</f>
        <v>42487</v>
      </c>
      <c r="E13" s="58">
        <f>IF(DAY(Avr_Dim1)=1,IF(AND(YEAR(Avr_Dim1+25)=Année_Calendaire,MONTH(Avr_Dim1+25)=4),Avr_Dim1+25,""),IF(AND(YEAR(Avr_Dim1+32)=Année_Calendaire,MONTH(Avr_Dim1+32)=4),Avr_Dim1+32,""))</f>
        <v>42488</v>
      </c>
      <c r="F13" s="54">
        <f>IF(DAY(Avr_Dim1)=1,IF(AND(YEAR(Avr_Dim1+26)=Année_Calendaire,MONTH(Avr_Dim1+26)=4),Avr_Dim1+26,""),IF(AND(YEAR(Avr_Dim1+33)=Année_Calendaire,MONTH(Avr_Dim1+33)=4),Avr_Dim1+33,""))</f>
        <v>42489</v>
      </c>
      <c r="G13" s="65">
        <f>IF(DAY(Avr_Dim1)=1,IF(AND(YEAR(Avr_Dim1+27)=Année_Calendaire,MONTH(Avr_Dim1+27)=4),Avr_Dim1+27,""),IF(AND(YEAR(Avr_Dim1+34)=Année_Calendaire,MONTH(Avr_Dim1+34)=4),Avr_Dim1+34,""))</f>
        <v>42490</v>
      </c>
      <c r="H13" s="58" t="str">
        <f>IF(DAY(Avr_Dim1)=1,IF(AND(YEAR(Avr_Dim1+28)=Année_Calendaire,MONTH(Avr_Dim1+28)=4),Avr_Dim1+28,""),IF(AND(YEAR(Avr_Dim1+35)=Année_Calendaire,MONTH(Avr_Dim1+35)=4),Avr_Dim1+35,""))</f>
        <v/>
      </c>
      <c r="I13" s="10"/>
    </row>
    <row r="14" spans="1:18" ht="55.5" customHeight="1" x14ac:dyDescent="0.25">
      <c r="A14"/>
      <c r="B14" s="60"/>
      <c r="C14" s="61"/>
      <c r="D14" s="62"/>
      <c r="E14" s="61"/>
      <c r="F14" s="62"/>
      <c r="G14" s="63"/>
      <c r="H14" s="64"/>
      <c r="I14" s="3"/>
    </row>
    <row r="15" spans="1:18" ht="15" customHeight="1" x14ac:dyDescent="0.25">
      <c r="A15"/>
      <c r="B15" s="19" t="str">
        <f>IF(DAY(Avr_Dim1)=1,IF(AND(YEAR(Avr_Dim1+29)=Année_Calendaire,MONTH(Avr_Dim1+29)=4),Avr_Dim1+29,""),IF(AND(YEAR(Avr_Dim1+36)=Année_Calendaire,MONTH(Avr_Dim1+36)=4),Avr_Dim1+36,""))</f>
        <v/>
      </c>
      <c r="C15" s="19" t="str">
        <f>IF(DAY(Avr_Dim1)=1,IF(AND(YEAR(Avr_Dim1+30)=Année_Calendaire,MONTH(Avr_Dim1+30)=4),Avr_Dim1+30,""),IF(AND(YEAR(Avr_Dim1+37)=Année_Calendaire,MONTH(Avr_Dim1+37)=4),Avr_Dim1+37,""))</f>
        <v/>
      </c>
      <c r="D15" s="45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30"/>
      <c r="C16" s="30"/>
      <c r="D16" s="46"/>
      <c r="E16" s="46"/>
      <c r="F16" s="46"/>
      <c r="G16" s="46"/>
      <c r="H16" s="47"/>
      <c r="I16" s="3"/>
    </row>
    <row r="17" spans="3:5" ht="17.2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6">
    <mergeCell ref="G1:H1"/>
    <mergeCell ref="G3:H3"/>
    <mergeCell ref="D15:H15"/>
    <mergeCell ref="D16:H16"/>
    <mergeCell ref="B3:C3"/>
    <mergeCell ref="D3:E3"/>
  </mergeCells>
  <printOptions horizontalCentered="1" verticalCentered="1"/>
  <pageMargins left="0.2" right="0.2" top="0.25" bottom="0.25" header="0" footer="0"/>
  <pageSetup scale="69" orientation="landscape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8</xdr:col>
                <xdr:colOff>142875</xdr:colOff>
                <xdr:row>3</xdr:row>
                <xdr:rowOff>0</xdr:rowOff>
              </from>
              <to>
                <xdr:col>9</xdr:col>
                <xdr:colOff>923925</xdr:colOff>
                <xdr:row>4</xdr:row>
                <xdr:rowOff>47625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R20"/>
  <sheetViews>
    <sheetView showGridLines="0" zoomScaleNormal="100" workbookViewId="0">
      <selection activeCell="J8" sqref="J8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x14ac:dyDescent="0.25">
      <c r="A1"/>
      <c r="F1" s="7"/>
      <c r="G1" s="37"/>
      <c r="H1" s="37"/>
      <c r="L1" s="11"/>
    </row>
    <row r="2" spans="1:18" ht="26.25" customHeight="1" x14ac:dyDescent="0.25">
      <c r="A2"/>
      <c r="L2" s="11"/>
    </row>
    <row r="3" spans="1:18" ht="57.75" customHeight="1" x14ac:dyDescent="0.25">
      <c r="A3"/>
      <c r="B3" s="48" t="s">
        <v>14</v>
      </c>
      <c r="C3" s="48"/>
      <c r="D3" s="49">
        <f>Jan!L2</f>
        <v>2016</v>
      </c>
      <c r="E3" s="49"/>
      <c r="F3" s="21" t="s">
        <v>21</v>
      </c>
      <c r="G3" s="52" t="str">
        <f>Jan!G3</f>
        <v>Verdun</v>
      </c>
      <c r="H3" s="52"/>
    </row>
    <row r="4" spans="1:18" s="9" customFormat="1" ht="29.25" customHeight="1" x14ac:dyDescent="0.25">
      <c r="B4" s="22" t="s">
        <v>1</v>
      </c>
      <c r="C4" s="23" t="s">
        <v>2</v>
      </c>
      <c r="D4" s="17" t="s">
        <v>3</v>
      </c>
      <c r="E4" s="23" t="s">
        <v>4</v>
      </c>
      <c r="F4" s="17" t="s">
        <v>5</v>
      </c>
      <c r="G4" s="23" t="s">
        <v>6</v>
      </c>
      <c r="H4" s="24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9" t="str">
        <f>IF(DAY(Mai_Dim1)=1,"",IF(AND(YEAR(Mai_Dim1+1)=Année_Calendaire,MONTH(Mai_Dim1+1)=5),Mai_Dim1+1,""))</f>
        <v/>
      </c>
      <c r="C5" s="53" t="str">
        <f>IF(DAY(Mai_Dim1)=1,"",IF(AND(YEAR(Mai_Dim1+2)=Année_Calendaire,MONTH(Mai_Dim1+2)=5),Mai_Dim1+2,""))</f>
        <v/>
      </c>
      <c r="D5" s="54" t="str">
        <f>IF(DAY(Mai_Dim1)=1,"",IF(AND(YEAR(Mai_Dim1+3)=Année_Calendaire,MONTH(Mai_Dim1+3)=5),Mai_Dim1+3,""))</f>
        <v/>
      </c>
      <c r="E5" s="53" t="str">
        <f>IF(DAY(Mai_Dim1)=1,"",IF(AND(YEAR(Mai_Dim1+4)=Année_Calendaire,MONTH(Mai_Dim1+4)=5),Mai_Dim1+4,""))</f>
        <v/>
      </c>
      <c r="F5" s="54" t="str">
        <f>IF(DAY(Mai_Dim1)=1,"",IF(AND(YEAR(Mai_Dim1+5)=Année_Calendaire,MONTH(Mai_Dim1+5)=5),Mai_Dim1+5,""))</f>
        <v/>
      </c>
      <c r="G5" s="59" t="str">
        <f>IF(DAY(Mai_Dim1)=1,"",IF(AND(YEAR(Mai_Dim1+6)=Année_Calendaire,MONTH(Mai_Dim1+6)=5),Mai_Dim1+6,""))</f>
        <v/>
      </c>
      <c r="H5" s="53">
        <f>IF(DAY(Mai_Dim1)=1,IF(AND(YEAR(Mai_Dim1)=Année_Calendaire,MONTH(Mai_Dim1)=5),Mai_Dim1,""),IF(AND(YEAR(Mai_Dim1+7)=Année_Calendaire,MONTH(Mai_Dim1+7)=5),Mai_Dim1+7,""))</f>
        <v>42491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60"/>
      <c r="C6" s="61"/>
      <c r="D6" s="62"/>
      <c r="E6" s="61"/>
      <c r="F6" s="62"/>
      <c r="G6" s="63"/>
      <c r="H6" s="64"/>
      <c r="I6" s="3"/>
    </row>
    <row r="7" spans="1:18" s="11" customFormat="1" ht="15" customHeight="1" x14ac:dyDescent="0.25">
      <c r="A7" s="9"/>
      <c r="B7" s="25">
        <f>IF(DAY(Mai_Dim1)=1,IF(AND(YEAR(Mai_Dim1+1)=Année_Calendaire,MONTH(Mai_Dim1+1)=5),Mai_Dim1+1,""),IF(AND(YEAR(Mai_Dim1+8)=Année_Calendaire,MONTH(Mai_Dim1+8)=5),Mai_Dim1+8,""))</f>
        <v>42492</v>
      </c>
      <c r="C7" s="19">
        <f>IF(DAY(Mai_Dim1)=1,IF(AND(YEAR(Mai_Dim1+2)=Année_Calendaire,MONTH(Mai_Dim1+2)=5),Mai_Dim1+2,""),IF(AND(YEAR(Mai_Dim1+9)=Année_Calendaire,MONTH(Mai_Dim1+9)=5),Mai_Dim1+9,""))</f>
        <v>42493</v>
      </c>
      <c r="D7" s="20">
        <f>IF(DAY(Mai_Dim1)=1,IF(AND(YEAR(Mai_Dim1+3)=Année_Calendaire,MONTH(Mai_Dim1+3)=5),Mai_Dim1+3,""),IF(AND(YEAR(Mai_Dim1+10)=Année_Calendaire,MONTH(Mai_Dim1+10)=5),Mai_Dim1+10,""))</f>
        <v>42494</v>
      </c>
      <c r="E7" s="19">
        <f>IF(DAY(Mai_Dim1)=1,IF(AND(YEAR(Mai_Dim1+4)=Année_Calendaire,MONTH(Mai_Dim1+4)=5),Mai_Dim1+4,""),IF(AND(YEAR(Mai_Dim1+11)=Année_Calendaire,MONTH(Mai_Dim1+11)=5),Mai_Dim1+11,""))</f>
        <v>42495</v>
      </c>
      <c r="F7" s="20">
        <f>IF(DAY(Mai_Dim1)=1,IF(AND(YEAR(Mai_Dim1+5)=Année_Calendaire,MONTH(Mai_Dim1+5)=5),Mai_Dim1+5,""),IF(AND(YEAR(Mai_Dim1+12)=Année_Calendaire,MONTH(Mai_Dim1+12)=5),Mai_Dim1+12,""))</f>
        <v>42496</v>
      </c>
      <c r="G7" s="25">
        <f>IF(DAY(Mai_Dim1)=1,IF(AND(YEAR(Mai_Dim1+6)=Année_Calendaire,MONTH(Mai_Dim1+6)=5),Mai_Dim1+6,""),IF(AND(YEAR(Mai_Dim1+13)=Année_Calendaire,MONTH(Mai_Dim1+13)=5),Mai_Dim1+13,""))</f>
        <v>42497</v>
      </c>
      <c r="H7" s="19">
        <f>IF(DAY(Mai_Dim1)=1,IF(AND(YEAR(Mai_Dim1+7)=Année_Calendaire,MONTH(Mai_Dim1+7)=5),Mai_Dim1+7,""),IF(AND(YEAR(Mai_Dim1+14)=Année_Calendaire,MONTH(Mai_Dim1+14)=5),Mai_Dim1+14,""))</f>
        <v>42498</v>
      </c>
      <c r="I7" s="10"/>
    </row>
    <row r="8" spans="1:18" ht="55.5" customHeight="1" x14ac:dyDescent="0.25">
      <c r="A8"/>
      <c r="B8" s="29"/>
      <c r="C8" s="30"/>
      <c r="D8" s="31"/>
      <c r="E8" s="30"/>
      <c r="F8" s="31"/>
      <c r="G8" s="32"/>
      <c r="H8" s="33"/>
      <c r="I8" s="3"/>
    </row>
    <row r="9" spans="1:18" s="11" customFormat="1" ht="15" customHeight="1" x14ac:dyDescent="0.25">
      <c r="A9" s="9"/>
      <c r="B9" s="65">
        <f>IF(DAY(Mai_Dim1)=1,IF(AND(YEAR(Mai_Dim1+8)=Année_Calendaire,MONTH(Mai_Dim1+8)=5),Mai_Dim1+8,""),IF(AND(YEAR(Mai_Dim1+15)=Année_Calendaire,MONTH(Mai_Dim1+15)=5),Mai_Dim1+15,""))</f>
        <v>42499</v>
      </c>
      <c r="C9" s="58">
        <f>IF(DAY(Mai_Dim1)=1,IF(AND(YEAR(Mai_Dim1+9)=Année_Calendaire,MONTH(Mai_Dim1+9)=5),Mai_Dim1+9,""),IF(AND(YEAR(Mai_Dim1+16)=Année_Calendaire,MONTH(Mai_Dim1+16)=5),Mai_Dim1+16,""))</f>
        <v>42500</v>
      </c>
      <c r="D9" s="54">
        <f>IF(DAY(Mai_Dim1)=1,IF(AND(YEAR(Mai_Dim1+10)=Année_Calendaire,MONTH(Mai_Dim1+10)=5),Mai_Dim1+10,""),IF(AND(YEAR(Mai_Dim1+17)=Année_Calendaire,MONTH(Mai_Dim1+17)=5),Mai_Dim1+17,""))</f>
        <v>42501</v>
      </c>
      <c r="E9" s="58">
        <f>IF(DAY(Mai_Dim1)=1,IF(AND(YEAR(Mai_Dim1+11)=Année_Calendaire,MONTH(Mai_Dim1+11)=5),Mai_Dim1+11,""),IF(AND(YEAR(Mai_Dim1+18)=Année_Calendaire,MONTH(Mai_Dim1+18)=5),Mai_Dim1+18,""))</f>
        <v>42502</v>
      </c>
      <c r="F9" s="54">
        <f>IF(DAY(Mai_Dim1)=1,IF(AND(YEAR(Mai_Dim1+12)=Année_Calendaire,MONTH(Mai_Dim1+12)=5),Mai_Dim1+12,""),IF(AND(YEAR(Mai_Dim1+19)=Année_Calendaire,MONTH(Mai_Dim1+19)=5),Mai_Dim1+19,""))</f>
        <v>42503</v>
      </c>
      <c r="G9" s="65">
        <f>IF(DAY(Mai_Dim1)=1,IF(AND(YEAR(Mai_Dim1+13)=Année_Calendaire,MONTH(Mai_Dim1+13)=5),Mai_Dim1+13,""),IF(AND(YEAR(Mai_Dim1+20)=Année_Calendaire,MONTH(Mai_Dim1+20)=5),Mai_Dim1+20,""))</f>
        <v>42504</v>
      </c>
      <c r="H9" s="58">
        <f>IF(DAY(Mai_Dim1)=1,IF(AND(YEAR(Mai_Dim1+14)=Année_Calendaire,MONTH(Mai_Dim1+14)=5),Mai_Dim1+14,""),IF(AND(YEAR(Mai_Dim1+21)=Année_Calendaire,MONTH(Mai_Dim1+21)=5),Mai_Dim1+21,""))</f>
        <v>42505</v>
      </c>
      <c r="I9" s="10"/>
    </row>
    <row r="10" spans="1:18" ht="55.5" customHeight="1" x14ac:dyDescent="0.25">
      <c r="A10"/>
      <c r="B10" s="60"/>
      <c r="C10" s="61"/>
      <c r="D10" s="62"/>
      <c r="E10" s="61"/>
      <c r="F10" s="62"/>
      <c r="G10" s="63"/>
      <c r="H10" s="64"/>
      <c r="I10" s="3"/>
    </row>
    <row r="11" spans="1:18" s="11" customFormat="1" ht="15" customHeight="1" x14ac:dyDescent="0.25">
      <c r="A11" s="9"/>
      <c r="B11" s="25">
        <f>IF(DAY(Mai_Dim1)=1,IF(AND(YEAR(Mai_Dim1+15)=Année_Calendaire,MONTH(Mai_Dim1+15)=5),Mai_Dim1+15,""),IF(AND(YEAR(Mai_Dim1+22)=Année_Calendaire,MONTH(Mai_Dim1+22)=5),Mai_Dim1+22,""))</f>
        <v>42506</v>
      </c>
      <c r="C11" s="19">
        <f>IF(DAY(Mai_Dim1)=1,IF(AND(YEAR(Mai_Dim1+16)=Année_Calendaire,MONTH(Mai_Dim1+16)=5),Mai_Dim1+16,""),IF(AND(YEAR(Mai_Dim1+23)=Année_Calendaire,MONTH(Mai_Dim1+23)=5),Mai_Dim1+23,""))</f>
        <v>42507</v>
      </c>
      <c r="D11" s="20">
        <f>IF(DAY(Mai_Dim1)=1,IF(AND(YEAR(Mai_Dim1+17)=Année_Calendaire,MONTH(Mai_Dim1+17)=5),Mai_Dim1+17,""),IF(AND(YEAR(Mai_Dim1+24)=Année_Calendaire,MONTH(Mai_Dim1+24)=5),Mai_Dim1+24,""))</f>
        <v>42508</v>
      </c>
      <c r="E11" s="19">
        <f>IF(DAY(Mai_Dim1)=1,IF(AND(YEAR(Mai_Dim1+18)=Année_Calendaire,MONTH(Mai_Dim1+18)=5),Mai_Dim1+18,""),IF(AND(YEAR(Mai_Dim1+25)=Année_Calendaire,MONTH(Mai_Dim1+25)=5),Mai_Dim1+25,""))</f>
        <v>42509</v>
      </c>
      <c r="F11" s="20">
        <f>IF(DAY(Mai_Dim1)=1,IF(AND(YEAR(Mai_Dim1+19)=Année_Calendaire,MONTH(Mai_Dim1+19)=5),Mai_Dim1+19,""),IF(AND(YEAR(Mai_Dim1+26)=Année_Calendaire,MONTH(Mai_Dim1+26)=5),Mai_Dim1+26,""))</f>
        <v>42510</v>
      </c>
      <c r="G11" s="25">
        <f>IF(DAY(Mai_Dim1)=1,IF(AND(YEAR(Mai_Dim1+20)=Année_Calendaire,MONTH(Mai_Dim1+20)=5),Mai_Dim1+20,""),IF(AND(YEAR(Mai_Dim1+27)=Année_Calendaire,MONTH(Mai_Dim1+27)=5),Mai_Dim1+27,""))</f>
        <v>42511</v>
      </c>
      <c r="H11" s="19">
        <f>IF(DAY(Mai_Dim1)=1,IF(AND(YEAR(Mai_Dim1+21)=Année_Calendaire,MONTH(Mai_Dim1+21)=5),Mai_Dim1+21,""),IF(AND(YEAR(Mai_Dim1+28)=Année_Calendaire,MONTH(Mai_Dim1+28)=5),Mai_Dim1+28,""))</f>
        <v>42512</v>
      </c>
      <c r="I11" s="10"/>
    </row>
    <row r="12" spans="1:18" ht="55.5" customHeight="1" x14ac:dyDescent="0.25">
      <c r="A12"/>
      <c r="B12" s="29"/>
      <c r="C12" s="30"/>
      <c r="D12" s="31"/>
      <c r="E12" s="30"/>
      <c r="F12" s="31"/>
      <c r="G12" s="32"/>
      <c r="H12" s="33"/>
      <c r="I12" s="3"/>
    </row>
    <row r="13" spans="1:18" s="11" customFormat="1" ht="15" customHeight="1" x14ac:dyDescent="0.25">
      <c r="A13" s="9"/>
      <c r="B13" s="65">
        <f>IF(DAY(Mai_Dim1)=1,IF(AND(YEAR(Mai_Dim1+22)=Année_Calendaire,MONTH(Mai_Dim1+22)=5),Mai_Dim1+22,""),IF(AND(YEAR(Mai_Dim1+29)=Année_Calendaire,MONTH(Mai_Dim1+29)=5),Mai_Dim1+29,""))</f>
        <v>42513</v>
      </c>
      <c r="C13" s="58">
        <f>IF(DAY(Mai_Dim1)=1,IF(AND(YEAR(Mai_Dim1+23)=Année_Calendaire,MONTH(Mai_Dim1+23)=5),Mai_Dim1+23,""),IF(AND(YEAR(Mai_Dim1+30)=Année_Calendaire,MONTH(Mai_Dim1+30)=5),Mai_Dim1+30,""))</f>
        <v>42514</v>
      </c>
      <c r="D13" s="54">
        <f>IF(DAY(Mai_Dim1)=1,IF(AND(YEAR(Mai_Dim1+24)=Année_Calendaire,MONTH(Mai_Dim1+24)=5),Mai_Dim1+24,""),IF(AND(YEAR(Mai_Dim1+31)=Année_Calendaire,MONTH(Mai_Dim1+31)=5),Mai_Dim1+31,""))</f>
        <v>42515</v>
      </c>
      <c r="E13" s="58">
        <f>IF(DAY(Mai_Dim1)=1,IF(AND(YEAR(Mai_Dim1+25)=Année_Calendaire,MONTH(Mai_Dim1+25)=5),Mai_Dim1+25,""),IF(AND(YEAR(Mai_Dim1+32)=Année_Calendaire,MONTH(Mai_Dim1+32)=5),Mai_Dim1+32,""))</f>
        <v>42516</v>
      </c>
      <c r="F13" s="54">
        <f>IF(DAY(Mai_Dim1)=1,IF(AND(YEAR(Mai_Dim1+26)=Année_Calendaire,MONTH(Mai_Dim1+26)=5),Mai_Dim1+26,""),IF(AND(YEAR(Mai_Dim1+33)=Année_Calendaire,MONTH(Mai_Dim1+33)=5),Mai_Dim1+33,""))</f>
        <v>42517</v>
      </c>
      <c r="G13" s="65">
        <f>IF(DAY(Mai_Dim1)=1,IF(AND(YEAR(Mai_Dim1+27)=Année_Calendaire,MONTH(Mai_Dim1+27)=5),Mai_Dim1+27,""),IF(AND(YEAR(Mai_Dim1+34)=Année_Calendaire,MONTH(Mai_Dim1+34)=5),Mai_Dim1+34,""))</f>
        <v>42518</v>
      </c>
      <c r="H13" s="58">
        <f>IF(DAY(Mai_Dim1)=1,IF(AND(YEAR(Mai_Dim1+28)=Année_Calendaire,MONTH(Mai_Dim1+28)=5),Mai_Dim1+28,""),IF(AND(YEAR(Mai_Dim1+35)=Année_Calendaire,MONTH(Mai_Dim1+35)=5),Mai_Dim1+35,""))</f>
        <v>42519</v>
      </c>
      <c r="I13" s="10"/>
    </row>
    <row r="14" spans="1:18" ht="55.5" customHeight="1" x14ac:dyDescent="0.25">
      <c r="A14"/>
      <c r="B14" s="60"/>
      <c r="C14" s="61"/>
      <c r="D14" s="62"/>
      <c r="E14" s="61"/>
      <c r="F14" s="62"/>
      <c r="G14" s="63"/>
      <c r="H14" s="64"/>
      <c r="I14" s="3"/>
    </row>
    <row r="15" spans="1:18" ht="15" customHeight="1" x14ac:dyDescent="0.25">
      <c r="A15"/>
      <c r="B15" s="19">
        <f>IF(DAY(Mai_Dim1)=1,IF(AND(YEAR(Mai_Dim1+29)=Année_Calendaire,MONTH(Mai_Dim1+29)=5),Mai_Dim1+29,""),IF(AND(YEAR(Mai_Dim1+36)=Année_Calendaire,MONTH(Mai_Dim1+36)=5),Mai_Dim1+36,""))</f>
        <v>42520</v>
      </c>
      <c r="C15" s="19">
        <f>IF(DAY(Mai_Dim1)=1,IF(AND(YEAR(Mai_Dim1+30)=Année_Calendaire,MONTH(Mai_Dim1+30)=5),Mai_Dim1+30,""),IF(AND(YEAR(Mai_Dim1+37)=Année_Calendaire,MONTH(Mai_Dim1+37)=5),Mai_Dim1+37,""))</f>
        <v>42521</v>
      </c>
      <c r="D15" s="45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30"/>
      <c r="C16" s="30"/>
      <c r="D16" s="46"/>
      <c r="E16" s="46"/>
      <c r="F16" s="46"/>
      <c r="G16" s="46"/>
      <c r="H16" s="47"/>
      <c r="I16" s="3"/>
    </row>
    <row r="17" spans="3:5" ht="17.2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6">
    <mergeCell ref="G1:H1"/>
    <mergeCell ref="G3:H3"/>
    <mergeCell ref="D15:H15"/>
    <mergeCell ref="D16:H16"/>
    <mergeCell ref="B3:C3"/>
    <mergeCell ref="D3:E3"/>
  </mergeCells>
  <printOptions horizontalCentered="1" verticalCentered="1"/>
  <pageMargins left="0.2" right="0.2" top="0.25" bottom="0.25" header="0" footer="0"/>
  <pageSetup scale="69" orientation="landscape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8</xdr:col>
                <xdr:colOff>142875</xdr:colOff>
                <xdr:row>3</xdr:row>
                <xdr:rowOff>0</xdr:rowOff>
              </from>
              <to>
                <xdr:col>9</xdr:col>
                <xdr:colOff>923925</xdr:colOff>
                <xdr:row>4</xdr:row>
                <xdr:rowOff>47625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R20"/>
  <sheetViews>
    <sheetView showGridLines="0" zoomScaleNormal="100" workbookViewId="0">
      <selection activeCell="J9" sqref="J9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x14ac:dyDescent="0.25">
      <c r="A1"/>
      <c r="F1" s="7"/>
      <c r="G1" s="37"/>
      <c r="H1" s="37"/>
      <c r="L1" s="11"/>
    </row>
    <row r="2" spans="1:18" ht="26.25" customHeight="1" x14ac:dyDescent="0.25">
      <c r="A2"/>
      <c r="L2" s="11"/>
    </row>
    <row r="3" spans="1:18" ht="57.75" customHeight="1" x14ac:dyDescent="0.25">
      <c r="A3"/>
      <c r="B3" s="48" t="s">
        <v>15</v>
      </c>
      <c r="C3" s="48"/>
      <c r="D3" s="49">
        <f>Jan!L2</f>
        <v>2016</v>
      </c>
      <c r="E3" s="49"/>
      <c r="F3" s="34" t="s">
        <v>21</v>
      </c>
      <c r="G3" s="52" t="str">
        <f>Jan!G3</f>
        <v>Verdun</v>
      </c>
      <c r="H3" s="52"/>
    </row>
    <row r="4" spans="1:18" s="9" customFormat="1" ht="29.25" customHeight="1" x14ac:dyDescent="0.25">
      <c r="B4" s="22" t="s">
        <v>1</v>
      </c>
      <c r="C4" s="23" t="s">
        <v>2</v>
      </c>
      <c r="D4" s="17" t="s">
        <v>3</v>
      </c>
      <c r="E4" s="23" t="s">
        <v>4</v>
      </c>
      <c r="F4" s="17" t="s">
        <v>5</v>
      </c>
      <c r="G4" s="23" t="s">
        <v>6</v>
      </c>
      <c r="H4" s="24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9" t="str">
        <f>IF(DAY(Juin_Dim1)=1,"",IF(AND(YEAR(Juin_Dim1+1)=Année_Calendaire,MONTH(Juin_Dim1+1)=6),Juin_Dim1+1,""))</f>
        <v/>
      </c>
      <c r="C5" s="53" t="str">
        <f>IF(DAY(Juin_Dim1)=1,"",IF(AND(YEAR(Juin_Dim1+2)=Année_Calendaire,MONTH(Juin_Dim1+2)=6),Juin_Dim1+2,""))</f>
        <v/>
      </c>
      <c r="D5" s="54">
        <f>IF(DAY(Juin_Dim1)=1,"",IF(AND(YEAR(Juin_Dim1+3)=Année_Calendaire,MONTH(Juin_Dim1+3)=6),Juin_Dim1+3,""))</f>
        <v>42522</v>
      </c>
      <c r="E5" s="53">
        <f>IF(DAY(Juin_Dim1)=1,"",IF(AND(YEAR(Juin_Dim1+4)=Année_Calendaire,MONTH(Juin_Dim1+4)=6),Juin_Dim1+4,""))</f>
        <v>42523</v>
      </c>
      <c r="F5" s="54">
        <f>IF(DAY(Juin_Dim1)=1,"",IF(AND(YEAR(Juin_Dim1+5)=Année_Calendaire,MONTH(Juin_Dim1+5)=6),Juin_Dim1+5,""))</f>
        <v>42524</v>
      </c>
      <c r="G5" s="59">
        <f>IF(DAY(Juin_Dim1)=1,"",IF(AND(YEAR(Juin_Dim1+6)=Année_Calendaire,MONTH(Juin_Dim1+6)=6),Juin_Dim1+6,""))</f>
        <v>42525</v>
      </c>
      <c r="H5" s="53">
        <f>IF(DAY(Juin_Dim1)=1,IF(AND(YEAR(Juin_Dim1)=Année_Calendaire,MONTH(Juin_Dim1)=6),Juin_Dim1,""),IF(AND(YEAR(Juin_Dim1+7)=Année_Calendaire,MONTH(Juin_Dim1+7)=6),Juin_Dim1+7,""))</f>
        <v>42526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60"/>
      <c r="C6" s="61"/>
      <c r="D6" s="62"/>
      <c r="E6" s="61"/>
      <c r="F6" s="62"/>
      <c r="G6" s="63"/>
      <c r="H6" s="64"/>
      <c r="I6" s="3"/>
    </row>
    <row r="7" spans="1:18" s="11" customFormat="1" ht="15" customHeight="1" x14ac:dyDescent="0.25">
      <c r="A7" s="9"/>
      <c r="B7" s="25">
        <f>IF(DAY(Juin_Dim1)=1,IF(AND(YEAR(Juin_Dim1+1)=Année_Calendaire,MONTH(Juin_Dim1+1)=6),Juin_Dim1+1,""),IF(AND(YEAR(Juin_Dim1+8)=Année_Calendaire,MONTH(Juin_Dim1+8)=6),Juin_Dim1+8,""))</f>
        <v>42527</v>
      </c>
      <c r="C7" s="19">
        <f>IF(DAY(Juin_Dim1)=1,IF(AND(YEAR(Juin_Dim1+2)=Année_Calendaire,MONTH(Juin_Dim1+2)=6),Juin_Dim1+2,""),IF(AND(YEAR(Juin_Dim1+9)=Année_Calendaire,MONTH(Juin_Dim1+9)=6),Juin_Dim1+9,""))</f>
        <v>42528</v>
      </c>
      <c r="D7" s="20">
        <f>IF(DAY(Juin_Dim1)=1,IF(AND(YEAR(Juin_Dim1+3)=Année_Calendaire,MONTH(Juin_Dim1+3)=6),Juin_Dim1+3,""),IF(AND(YEAR(Juin_Dim1+10)=Année_Calendaire,MONTH(Juin_Dim1+10)=6),Juin_Dim1+10,""))</f>
        <v>42529</v>
      </c>
      <c r="E7" s="19">
        <f>IF(DAY(Juin_Dim1)=1,IF(AND(YEAR(Juin_Dim1+4)=Année_Calendaire,MONTH(Juin_Dim1+4)=6),Juin_Dim1+4,""),IF(AND(YEAR(Juin_Dim1+11)=Année_Calendaire,MONTH(Juin_Dim1+11)=6),Juin_Dim1+11,""))</f>
        <v>42530</v>
      </c>
      <c r="F7" s="20">
        <f>IF(DAY(Juin_Dim1)=1,IF(AND(YEAR(Juin_Dim1+5)=Année_Calendaire,MONTH(Juin_Dim1+5)=6),Juin_Dim1+5,""),IF(AND(YEAR(Juin_Dim1+12)=Année_Calendaire,MONTH(Juin_Dim1+12)=6),Juin_Dim1+12,""))</f>
        <v>42531</v>
      </c>
      <c r="G7" s="25">
        <f>IF(DAY(Juin_Dim1)=1,IF(AND(YEAR(Juin_Dim1+6)=Année_Calendaire,MONTH(Juin_Dim1+6)=6),Juin_Dim1+6,""),IF(AND(YEAR(Juin_Dim1+13)=Année_Calendaire,MONTH(Juin_Dim1+13)=6),Juin_Dim1+13,""))</f>
        <v>42532</v>
      </c>
      <c r="H7" s="19">
        <f>IF(DAY(Juin_Dim1)=1,IF(AND(YEAR(Juin_Dim1+7)=Année_Calendaire,MONTH(Juin_Dim1+7)=6),Juin_Dim1+7,""),IF(AND(YEAR(Juin_Dim1+14)=Année_Calendaire,MONTH(Juin_Dim1+14)=6),Juin_Dim1+14,""))</f>
        <v>42533</v>
      </c>
      <c r="I7" s="10"/>
    </row>
    <row r="8" spans="1:18" ht="55.5" customHeight="1" x14ac:dyDescent="0.25">
      <c r="A8"/>
      <c r="B8" s="29"/>
      <c r="C8" s="30"/>
      <c r="D8" s="31"/>
      <c r="E8" s="30"/>
      <c r="F8" s="31"/>
      <c r="G8" s="32"/>
      <c r="H8" s="33"/>
      <c r="I8" s="3"/>
    </row>
    <row r="9" spans="1:18" s="11" customFormat="1" ht="15" customHeight="1" x14ac:dyDescent="0.25">
      <c r="A9" s="9"/>
      <c r="B9" s="65">
        <f>IF(DAY(Juin_Dim1)=1,IF(AND(YEAR(Juin_Dim1+8)=Année_Calendaire,MONTH(Juin_Dim1+8)=6),Juin_Dim1+8,""),IF(AND(YEAR(Juin_Dim1+15)=Année_Calendaire,MONTH(Juin_Dim1+15)=6),Juin_Dim1+15,""))</f>
        <v>42534</v>
      </c>
      <c r="C9" s="58">
        <f>IF(DAY(Juin_Dim1)=1,IF(AND(YEAR(Juin_Dim1+9)=Année_Calendaire,MONTH(Juin_Dim1+9)=6),Juin_Dim1+9,""),IF(AND(YEAR(Juin_Dim1+16)=Année_Calendaire,MONTH(Juin_Dim1+16)=6),Juin_Dim1+16,""))</f>
        <v>42535</v>
      </c>
      <c r="D9" s="54">
        <f>IF(DAY(Juin_Dim1)=1,IF(AND(YEAR(Juin_Dim1+10)=Année_Calendaire,MONTH(Juin_Dim1+10)=6),Juin_Dim1+10,""),IF(AND(YEAR(Juin_Dim1+17)=Année_Calendaire,MONTH(Juin_Dim1+17)=6),Juin_Dim1+17,""))</f>
        <v>42536</v>
      </c>
      <c r="E9" s="58">
        <f>IF(DAY(Juin_Dim1)=1,IF(AND(YEAR(Juin_Dim1+11)=Année_Calendaire,MONTH(Juin_Dim1+11)=6),Juin_Dim1+11,""),IF(AND(YEAR(Juin_Dim1+18)=Année_Calendaire,MONTH(Juin_Dim1+18)=6),Juin_Dim1+18,""))</f>
        <v>42537</v>
      </c>
      <c r="F9" s="54">
        <f>IF(DAY(Juin_Dim1)=1,IF(AND(YEAR(Juin_Dim1+12)=Année_Calendaire,MONTH(Juin_Dim1+12)=6),Juin_Dim1+12,""),IF(AND(YEAR(Juin_Dim1+19)=Année_Calendaire,MONTH(Juin_Dim1+19)=6),Juin_Dim1+19,""))</f>
        <v>42538</v>
      </c>
      <c r="G9" s="65">
        <f>IF(DAY(Juin_Dim1)=1,IF(AND(YEAR(Juin_Dim1+13)=Année_Calendaire,MONTH(Juin_Dim1+13)=6),Juin_Dim1+13,""),IF(AND(YEAR(Juin_Dim1+20)=Année_Calendaire,MONTH(Juin_Dim1+20)=6),Juin_Dim1+20,""))</f>
        <v>42539</v>
      </c>
      <c r="H9" s="58">
        <f>IF(DAY(Juin_Dim1)=1,IF(AND(YEAR(Juin_Dim1+14)=Année_Calendaire,MONTH(Juin_Dim1+14)=6),Juin_Dim1+14,""),IF(AND(YEAR(Juin_Dim1+21)=Année_Calendaire,MONTH(Juin_Dim1+21)=6),Juin_Dim1+21,""))</f>
        <v>42540</v>
      </c>
      <c r="I9" s="10"/>
    </row>
    <row r="10" spans="1:18" ht="55.5" customHeight="1" x14ac:dyDescent="0.25">
      <c r="A10"/>
      <c r="B10" s="60"/>
      <c r="C10" s="61"/>
      <c r="D10" s="62"/>
      <c r="E10" s="61"/>
      <c r="F10" s="62"/>
      <c r="G10" s="63"/>
      <c r="H10" s="64"/>
      <c r="I10" s="3"/>
    </row>
    <row r="11" spans="1:18" s="11" customFormat="1" ht="15" customHeight="1" x14ac:dyDescent="0.25">
      <c r="A11" s="9"/>
      <c r="B11" s="25">
        <f>IF(DAY(Juin_Dim1)=1,IF(AND(YEAR(Juin_Dim1+15)=Année_Calendaire,MONTH(Juin_Dim1+15)=6),Juin_Dim1+15,""),IF(AND(YEAR(Juin_Dim1+22)=Année_Calendaire,MONTH(Juin_Dim1+22)=6),Juin_Dim1+22,""))</f>
        <v>42541</v>
      </c>
      <c r="C11" s="19">
        <f>IF(DAY(Juin_Dim1)=1,IF(AND(YEAR(Juin_Dim1+16)=Année_Calendaire,MONTH(Juin_Dim1+16)=6),Juin_Dim1+16,""),IF(AND(YEAR(Juin_Dim1+23)=Année_Calendaire,MONTH(Juin_Dim1+23)=6),Juin_Dim1+23,""))</f>
        <v>42542</v>
      </c>
      <c r="D11" s="20">
        <f>IF(DAY(Juin_Dim1)=1,IF(AND(YEAR(Juin_Dim1+17)=Année_Calendaire,MONTH(Juin_Dim1+17)=6),Juin_Dim1+17,""),IF(AND(YEAR(Juin_Dim1+24)=Année_Calendaire,MONTH(Juin_Dim1+24)=6),Juin_Dim1+24,""))</f>
        <v>42543</v>
      </c>
      <c r="E11" s="19">
        <f>IF(DAY(Juin_Dim1)=1,IF(AND(YEAR(Juin_Dim1+18)=Année_Calendaire,MONTH(Juin_Dim1+18)=6),Juin_Dim1+18,""),IF(AND(YEAR(Juin_Dim1+25)=Année_Calendaire,MONTH(Juin_Dim1+25)=6),Juin_Dim1+25,""))</f>
        <v>42544</v>
      </c>
      <c r="F11" s="20">
        <f>IF(DAY(Juin_Dim1)=1,IF(AND(YEAR(Juin_Dim1+19)=Année_Calendaire,MONTH(Juin_Dim1+19)=6),Juin_Dim1+19,""),IF(AND(YEAR(Juin_Dim1+26)=Année_Calendaire,MONTH(Juin_Dim1+26)=6),Juin_Dim1+26,""))</f>
        <v>42545</v>
      </c>
      <c r="G11" s="25">
        <f>IF(DAY(Juin_Dim1)=1,IF(AND(YEAR(Juin_Dim1+20)=Année_Calendaire,MONTH(Juin_Dim1+20)=6),Juin_Dim1+20,""),IF(AND(YEAR(Juin_Dim1+27)=Année_Calendaire,MONTH(Juin_Dim1+27)=6),Juin_Dim1+27,""))</f>
        <v>42546</v>
      </c>
      <c r="H11" s="19">
        <f>IF(DAY(Juin_Dim1)=1,IF(AND(YEAR(Juin_Dim1+21)=Année_Calendaire,MONTH(Juin_Dim1+21)=6),Juin_Dim1+21,""),IF(AND(YEAR(Juin_Dim1+28)=Année_Calendaire,MONTH(Juin_Dim1+28)=6),Juin_Dim1+28,""))</f>
        <v>42547</v>
      </c>
      <c r="I11" s="10"/>
    </row>
    <row r="12" spans="1:18" ht="55.5" customHeight="1" x14ac:dyDescent="0.25">
      <c r="A12"/>
      <c r="B12" s="29"/>
      <c r="C12" s="30"/>
      <c r="D12" s="31"/>
      <c r="E12" s="30"/>
      <c r="F12" s="31"/>
      <c r="G12" s="32"/>
      <c r="H12" s="33"/>
      <c r="I12" s="3"/>
    </row>
    <row r="13" spans="1:18" s="11" customFormat="1" ht="15" customHeight="1" x14ac:dyDescent="0.25">
      <c r="A13" s="9"/>
      <c r="B13" s="65">
        <f>IF(DAY(Juin_Dim1)=1,IF(AND(YEAR(Juin_Dim1+22)=Année_Calendaire,MONTH(Juin_Dim1+22)=6),Juin_Dim1+22,""),IF(AND(YEAR(Juin_Dim1+29)=Année_Calendaire,MONTH(Juin_Dim1+29)=6),Juin_Dim1+29,""))</f>
        <v>42548</v>
      </c>
      <c r="C13" s="58">
        <f>IF(DAY(Juin_Dim1)=1,IF(AND(YEAR(Juin_Dim1+23)=Année_Calendaire,MONTH(Juin_Dim1+23)=6),Juin_Dim1+23,""),IF(AND(YEAR(Juin_Dim1+30)=Année_Calendaire,MONTH(Juin_Dim1+30)=6),Juin_Dim1+30,""))</f>
        <v>42549</v>
      </c>
      <c r="D13" s="54">
        <f>IF(DAY(Juin_Dim1)=1,IF(AND(YEAR(Juin_Dim1+24)=Année_Calendaire,MONTH(Juin_Dim1+24)=6),Juin_Dim1+24,""),IF(AND(YEAR(Juin_Dim1+31)=Année_Calendaire,MONTH(Juin_Dim1+31)=6),Juin_Dim1+31,""))</f>
        <v>42550</v>
      </c>
      <c r="E13" s="58">
        <f>IF(DAY(Juin_Dim1)=1,IF(AND(YEAR(Juin_Dim1+25)=Année_Calendaire,MONTH(Juin_Dim1+25)=6),Juin_Dim1+25,""),IF(AND(YEAR(Juin_Dim1+32)=Année_Calendaire,MONTH(Juin_Dim1+32)=6),Juin_Dim1+32,""))</f>
        <v>42551</v>
      </c>
      <c r="F13" s="54" t="str">
        <f>IF(DAY(Juin_Dim1)=1,IF(AND(YEAR(Juin_Dim1+26)=Année_Calendaire,MONTH(Juin_Dim1+26)=6),Juin_Dim1+26,""),IF(AND(YEAR(Juin_Dim1+33)=Année_Calendaire,MONTH(Juin_Dim1+33)=6),Juin_Dim1+33,""))</f>
        <v/>
      </c>
      <c r="G13" s="65" t="str">
        <f>IF(DAY(Juin_Dim1)=1,IF(AND(YEAR(Juin_Dim1+27)=Année_Calendaire,MONTH(Juin_Dim1+27)=6),Juin_Dim1+27,""),IF(AND(YEAR(Juin_Dim1+34)=Année_Calendaire,MONTH(Juin_Dim1+34)=6),Juin_Dim1+34,""))</f>
        <v/>
      </c>
      <c r="H13" s="58" t="str">
        <f>IF(DAY(Juin_Dim1)=1,IF(AND(YEAR(Juin_Dim1+28)=Année_Calendaire,MONTH(Juin_Dim1+28)=6),Juin_Dim1+28,""),IF(AND(YEAR(Juin_Dim1+35)=Année_Calendaire,MONTH(Juin_Dim1+35)=6),Juin_Dim1+35,""))</f>
        <v/>
      </c>
      <c r="I13" s="10"/>
    </row>
    <row r="14" spans="1:18" ht="55.5" customHeight="1" x14ac:dyDescent="0.25">
      <c r="A14"/>
      <c r="B14" s="60"/>
      <c r="C14" s="61"/>
      <c r="D14" s="62"/>
      <c r="E14" s="61"/>
      <c r="F14" s="62"/>
      <c r="G14" s="63"/>
      <c r="H14" s="64"/>
      <c r="I14" s="3"/>
    </row>
    <row r="15" spans="1:18" ht="15" customHeight="1" x14ac:dyDescent="0.25">
      <c r="A15"/>
      <c r="B15" s="19" t="str">
        <f>IF(DAY(Juin_Dim1)=1,IF(AND(YEAR(Juin_Dim1+29)=Année_Calendaire,MONTH(Juin_Dim1+29)=6),Juin_Dim1+29,""),IF(AND(YEAR(Juin_Dim1+36)=Année_Calendaire,MONTH(Juin_Dim1+36)=6),Juin_Dim1+36,""))</f>
        <v/>
      </c>
      <c r="C15" s="19" t="str">
        <f>IF(DAY(Juin_Dim1)=1,IF(AND(YEAR(Juin_Dim1+30)=Année_Calendaire,MONTH(Juin_Dim1+30)=6),Juin_Dim1+30,""),IF(AND(YEAR(Juin_Dim1+37)=Année_Calendaire,MONTH(Juin_Dim1+37)=6),Juin_Dim1+37,""))</f>
        <v/>
      </c>
      <c r="D15" s="45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30"/>
      <c r="C16" s="30"/>
      <c r="D16" s="46"/>
      <c r="E16" s="46"/>
      <c r="F16" s="46"/>
      <c r="G16" s="46"/>
      <c r="H16" s="47"/>
      <c r="I16" s="3"/>
    </row>
    <row r="17" spans="3:5" ht="17.2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6">
    <mergeCell ref="G1:H1"/>
    <mergeCell ref="G3:H3"/>
    <mergeCell ref="D15:H15"/>
    <mergeCell ref="D16:H16"/>
    <mergeCell ref="B3:C3"/>
    <mergeCell ref="D3:E3"/>
  </mergeCells>
  <printOptions horizontalCentered="1" verticalCentered="1"/>
  <pageMargins left="0.2" right="0.2" top="0.25" bottom="0.25" header="0" footer="0"/>
  <pageSetup scale="69" orientation="landscape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8</xdr:col>
                <xdr:colOff>180975</xdr:colOff>
                <xdr:row>3</xdr:row>
                <xdr:rowOff>0</xdr:rowOff>
              </from>
              <to>
                <xdr:col>9</xdr:col>
                <xdr:colOff>962025</xdr:colOff>
                <xdr:row>4</xdr:row>
                <xdr:rowOff>47625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R20"/>
  <sheetViews>
    <sheetView showGridLines="0" zoomScaleNormal="100" workbookViewId="0">
      <selection activeCell="J6" sqref="J6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x14ac:dyDescent="0.25">
      <c r="A1"/>
      <c r="F1" s="7"/>
      <c r="G1" s="37"/>
      <c r="H1" s="37"/>
      <c r="L1" s="11"/>
    </row>
    <row r="2" spans="1:18" ht="26.25" customHeight="1" x14ac:dyDescent="0.25">
      <c r="A2"/>
      <c r="L2" s="11"/>
    </row>
    <row r="3" spans="1:18" ht="57.75" customHeight="1" x14ac:dyDescent="0.25">
      <c r="A3"/>
      <c r="B3" s="48" t="s">
        <v>17</v>
      </c>
      <c r="C3" s="48"/>
      <c r="D3" s="49">
        <f>Jan!L2</f>
        <v>2016</v>
      </c>
      <c r="E3" s="49"/>
      <c r="F3" s="34" t="s">
        <v>21</v>
      </c>
      <c r="G3" s="52" t="str">
        <f>Jan!G3</f>
        <v>Verdun</v>
      </c>
      <c r="H3" s="52"/>
    </row>
    <row r="4" spans="1:18" s="9" customFormat="1" ht="29.25" customHeight="1" x14ac:dyDescent="0.25">
      <c r="B4" s="22" t="s">
        <v>1</v>
      </c>
      <c r="C4" s="23" t="s">
        <v>2</v>
      </c>
      <c r="D4" s="17" t="s">
        <v>3</v>
      </c>
      <c r="E4" s="23" t="s">
        <v>4</v>
      </c>
      <c r="F4" s="17" t="s">
        <v>5</v>
      </c>
      <c r="G4" s="23" t="s">
        <v>6</v>
      </c>
      <c r="H4" s="24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9">
        <f>IF(DAY(Aoû_Dim1)=1,"",IF(AND(YEAR(Aoû_Dim1+1)=Année_Calendaire,MONTH(Aoû_Dim1+1)=8),Aoû_Dim1+1,""))</f>
        <v>42583</v>
      </c>
      <c r="C5" s="53">
        <f>IF(DAY(Aoû_Dim1)=1,"",IF(AND(YEAR(Aoû_Dim1+2)=Année_Calendaire,MONTH(Aoû_Dim1+2)=8),Aoû_Dim1+2,""))</f>
        <v>42584</v>
      </c>
      <c r="D5" s="54">
        <f>IF(DAY(Aoû_Dim1)=1,"",IF(AND(YEAR(Aoû_Dim1+3)=Année_Calendaire,MONTH(Aoû_Dim1+3)=8),Aoû_Dim1+3,""))</f>
        <v>42585</v>
      </c>
      <c r="E5" s="53">
        <f>IF(DAY(Aoû_Dim1)=1,"",IF(AND(YEAR(Aoû_Dim1+4)=Année_Calendaire,MONTH(Aoû_Dim1+4)=8),Aoû_Dim1+4,""))</f>
        <v>42586</v>
      </c>
      <c r="F5" s="54">
        <f>IF(DAY(Aoû_Dim1)=1,"",IF(AND(YEAR(Aoû_Dim1+5)=Année_Calendaire,MONTH(Aoû_Dim1+5)=8),Aoû_Dim1+5,""))</f>
        <v>42587</v>
      </c>
      <c r="G5" s="59">
        <f>IF(DAY(Aoû_Dim1)=1,"",IF(AND(YEAR(Aoû_Dim1+6)=Année_Calendaire,MONTH(Aoû_Dim1+6)=8),Aoû_Dim1+6,""))</f>
        <v>42588</v>
      </c>
      <c r="H5" s="53">
        <f>IF(DAY(Aoû_Dim1)=1,IF(AND(YEAR(Aoû_Dim1)=Année_Calendaire,MONTH(Aoû_Dim1)=8),Aoû_Dim1,""),IF(AND(YEAR(Aoû_Dim1+7)=Année_Calendaire,MONTH(Aoû_Dim1+7)=8),Aoû_Dim1+7,""))</f>
        <v>42589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60"/>
      <c r="C6" s="61"/>
      <c r="D6" s="62"/>
      <c r="E6" s="61"/>
      <c r="F6" s="62"/>
      <c r="G6" s="63"/>
      <c r="H6" s="64"/>
      <c r="I6" s="3"/>
    </row>
    <row r="7" spans="1:18" s="11" customFormat="1" ht="15" customHeight="1" x14ac:dyDescent="0.25">
      <c r="A7" s="9"/>
      <c r="B7" s="25">
        <f>IF(DAY(Aoû_Dim1)=1,IF(AND(YEAR(Aoû_Dim1+1)=Année_Calendaire,MONTH(Aoû_Dim1+1)=8),Aoû_Dim1+1,""),IF(AND(YEAR(Aoû_Dim1+8)=Année_Calendaire,MONTH(Aoû_Dim1+8)=8),Aoû_Dim1+8,""))</f>
        <v>42590</v>
      </c>
      <c r="C7" s="19">
        <f>IF(DAY(Aoû_Dim1)=1,IF(AND(YEAR(Aoû_Dim1+2)=Année_Calendaire,MONTH(Aoû_Dim1+2)=8),Aoû_Dim1+2,""),IF(AND(YEAR(Aoû_Dim1+9)=Année_Calendaire,MONTH(Aoû_Dim1+9)=8),Aoû_Dim1+9,""))</f>
        <v>42591</v>
      </c>
      <c r="D7" s="20">
        <f>IF(DAY(Aoû_Dim1)=1,IF(AND(YEAR(Aoû_Dim1+3)=Année_Calendaire,MONTH(Aoû_Dim1+3)=8),Aoû_Dim1+3,""),IF(AND(YEAR(Aoû_Dim1+10)=Année_Calendaire,MONTH(Aoû_Dim1+10)=8),Aoû_Dim1+10,""))</f>
        <v>42592</v>
      </c>
      <c r="E7" s="19">
        <f>IF(DAY(Aoû_Dim1)=1,IF(AND(YEAR(Aoû_Dim1+4)=Année_Calendaire,MONTH(Aoû_Dim1+4)=8),Aoû_Dim1+4,""),IF(AND(YEAR(Aoû_Dim1+11)=Année_Calendaire,MONTH(Aoû_Dim1+11)=8),Aoû_Dim1+11,""))</f>
        <v>42593</v>
      </c>
      <c r="F7" s="20">
        <f>IF(DAY(Aoû_Dim1)=1,IF(AND(YEAR(Aoû_Dim1+5)=Année_Calendaire,MONTH(Aoû_Dim1+5)=8),Aoû_Dim1+5,""),IF(AND(YEAR(Aoû_Dim1+12)=Année_Calendaire,MONTH(Aoû_Dim1+12)=8),Aoû_Dim1+12,""))</f>
        <v>42594</v>
      </c>
      <c r="G7" s="25">
        <f>IF(DAY(Aoû_Dim1)=1,IF(AND(YEAR(Aoû_Dim1+6)=Année_Calendaire,MONTH(Aoû_Dim1+6)=8),Aoû_Dim1+6,""),IF(AND(YEAR(Aoû_Dim1+13)=Année_Calendaire,MONTH(Aoû_Dim1+13)=8),Aoû_Dim1+13,""))</f>
        <v>42595</v>
      </c>
      <c r="H7" s="19">
        <f>IF(DAY(Aoû_Dim1)=1,IF(AND(YEAR(Aoû_Dim1+7)=Année_Calendaire,MONTH(Aoû_Dim1+7)=8),Aoû_Dim1+7,""),IF(AND(YEAR(Aoû_Dim1+14)=Année_Calendaire,MONTH(Aoû_Dim1+14)=8),Aoû_Dim1+14,""))</f>
        <v>42596</v>
      </c>
      <c r="I7" s="10"/>
    </row>
    <row r="8" spans="1:18" ht="55.5" customHeight="1" x14ac:dyDescent="0.25">
      <c r="A8"/>
      <c r="B8" s="29"/>
      <c r="C8" s="30"/>
      <c r="D8" s="31"/>
      <c r="E8" s="30"/>
      <c r="F8" s="31"/>
      <c r="G8" s="32"/>
      <c r="H8" s="33"/>
      <c r="I8" s="3"/>
    </row>
    <row r="9" spans="1:18" s="11" customFormat="1" ht="15" customHeight="1" x14ac:dyDescent="0.25">
      <c r="A9" s="9"/>
      <c r="B9" s="65">
        <f>IF(DAY(Aoû_Dim1)=1,IF(AND(YEAR(Aoû_Dim1+8)=Année_Calendaire,MONTH(Aoû_Dim1+8)=8),Aoû_Dim1+8,""),IF(AND(YEAR(Aoû_Dim1+15)=Année_Calendaire,MONTH(Aoû_Dim1+15)=8),Aoû_Dim1+15,""))</f>
        <v>42597</v>
      </c>
      <c r="C9" s="58">
        <f>IF(DAY(Aoû_Dim1)=1,IF(AND(YEAR(Aoû_Dim1+9)=Année_Calendaire,MONTH(Aoû_Dim1+9)=8),Aoû_Dim1+9,""),IF(AND(YEAR(Aoû_Dim1+16)=Année_Calendaire,MONTH(Aoû_Dim1+16)=8),Aoû_Dim1+16,""))</f>
        <v>42598</v>
      </c>
      <c r="D9" s="54">
        <f>IF(DAY(Aoû_Dim1)=1,IF(AND(YEAR(Aoû_Dim1+10)=Année_Calendaire,MONTH(Aoû_Dim1+10)=8),Aoû_Dim1+10,""),IF(AND(YEAR(Aoû_Dim1+17)=Année_Calendaire,MONTH(Aoû_Dim1+17)=8),Aoû_Dim1+17,""))</f>
        <v>42599</v>
      </c>
      <c r="E9" s="58">
        <f>IF(DAY(Aoû_Dim1)=1,IF(AND(YEAR(Aoû_Dim1+11)=Année_Calendaire,MONTH(Aoû_Dim1+11)=8),Aoû_Dim1+11,""),IF(AND(YEAR(Aoû_Dim1+18)=Année_Calendaire,MONTH(Aoû_Dim1+18)=8),Aoû_Dim1+18,""))</f>
        <v>42600</v>
      </c>
      <c r="F9" s="54">
        <f>IF(DAY(Aoû_Dim1)=1,IF(AND(YEAR(Aoû_Dim1+12)=Année_Calendaire,MONTH(Aoû_Dim1+12)=8),Aoû_Dim1+12,""),IF(AND(YEAR(Aoû_Dim1+19)=Année_Calendaire,MONTH(Aoû_Dim1+19)=8),Aoû_Dim1+19,""))</f>
        <v>42601</v>
      </c>
      <c r="G9" s="65">
        <f>IF(DAY(Aoû_Dim1)=1,IF(AND(YEAR(Aoû_Dim1+13)=Année_Calendaire,MONTH(Aoû_Dim1+13)=8),Aoû_Dim1+13,""),IF(AND(YEAR(Aoû_Dim1+20)=Année_Calendaire,MONTH(Aoû_Dim1+20)=8),Aoû_Dim1+20,""))</f>
        <v>42602</v>
      </c>
      <c r="H9" s="58">
        <f>IF(DAY(Aoû_Dim1)=1,IF(AND(YEAR(Aoû_Dim1+14)=Année_Calendaire,MONTH(Aoû_Dim1+14)=8),Aoû_Dim1+14,""),IF(AND(YEAR(Aoû_Dim1+21)=Année_Calendaire,MONTH(Aoû_Dim1+21)=8),Aoû_Dim1+21,""))</f>
        <v>42603</v>
      </c>
      <c r="I9" s="10"/>
    </row>
    <row r="10" spans="1:18" ht="55.5" customHeight="1" x14ac:dyDescent="0.25">
      <c r="A10"/>
      <c r="B10" s="60"/>
      <c r="C10" s="61"/>
      <c r="D10" s="62"/>
      <c r="E10" s="61"/>
      <c r="F10" s="62"/>
      <c r="G10" s="63"/>
      <c r="H10" s="64"/>
      <c r="I10" s="3"/>
    </row>
    <row r="11" spans="1:18" s="11" customFormat="1" ht="15" customHeight="1" x14ac:dyDescent="0.25">
      <c r="A11" s="9"/>
      <c r="B11" s="25">
        <f>IF(DAY(Aoû_Dim1)=1,IF(AND(YEAR(Aoû_Dim1+15)=Année_Calendaire,MONTH(Aoû_Dim1+15)=8),Aoû_Dim1+15,""),IF(AND(YEAR(Aoû_Dim1+22)=Année_Calendaire,MONTH(Aoû_Dim1+22)=8),Aoû_Dim1+22,""))</f>
        <v>42604</v>
      </c>
      <c r="C11" s="19">
        <f>IF(DAY(Aoû_Dim1)=1,IF(AND(YEAR(Aoû_Dim1+16)=Année_Calendaire,MONTH(Aoû_Dim1+16)=8),Aoû_Dim1+16,""),IF(AND(YEAR(Aoû_Dim1+23)=Année_Calendaire,MONTH(Aoû_Dim1+23)=8),Aoû_Dim1+23,""))</f>
        <v>42605</v>
      </c>
      <c r="D11" s="20">
        <f>IF(DAY(Aoû_Dim1)=1,IF(AND(YEAR(Aoû_Dim1+17)=Année_Calendaire,MONTH(Aoû_Dim1+17)=8),Aoû_Dim1+17,""),IF(AND(YEAR(Aoû_Dim1+24)=Année_Calendaire,MONTH(Aoû_Dim1+24)=8),Aoû_Dim1+24,""))</f>
        <v>42606</v>
      </c>
      <c r="E11" s="19">
        <f>IF(DAY(Aoû_Dim1)=1,IF(AND(YEAR(Aoû_Dim1+18)=Année_Calendaire,MONTH(Aoû_Dim1+18)=8),Aoû_Dim1+18,""),IF(AND(YEAR(Aoû_Dim1+25)=Année_Calendaire,MONTH(Aoû_Dim1+25)=8),Aoû_Dim1+25,""))</f>
        <v>42607</v>
      </c>
      <c r="F11" s="20">
        <f>IF(DAY(Aoû_Dim1)=1,IF(AND(YEAR(Aoû_Dim1+19)=Année_Calendaire,MONTH(Aoû_Dim1+19)=8),Aoû_Dim1+19,""),IF(AND(YEAR(Aoû_Dim1+26)=Année_Calendaire,MONTH(Aoû_Dim1+26)=8),Aoû_Dim1+26,""))</f>
        <v>42608</v>
      </c>
      <c r="G11" s="25">
        <f>IF(DAY(Aoû_Dim1)=1,IF(AND(YEAR(Aoû_Dim1+20)=Année_Calendaire,MONTH(Aoû_Dim1+20)=8),Aoû_Dim1+20,""),IF(AND(YEAR(Aoû_Dim1+27)=Année_Calendaire,MONTH(Aoû_Dim1+27)=8),Aoû_Dim1+27,""))</f>
        <v>42609</v>
      </c>
      <c r="H11" s="19">
        <f>IF(DAY(Aoû_Dim1)=1,IF(AND(YEAR(Aoû_Dim1+21)=Année_Calendaire,MONTH(Aoû_Dim1+21)=8),Aoû_Dim1+21,""),IF(AND(YEAR(Aoû_Dim1+28)=Année_Calendaire,MONTH(Aoû_Dim1+28)=8),Aoû_Dim1+28,""))</f>
        <v>42610</v>
      </c>
      <c r="I11" s="10"/>
    </row>
    <row r="12" spans="1:18" ht="55.5" customHeight="1" x14ac:dyDescent="0.25">
      <c r="A12"/>
      <c r="B12" s="29"/>
      <c r="C12" s="30"/>
      <c r="D12" s="31"/>
      <c r="E12" s="30"/>
      <c r="F12" s="31"/>
      <c r="G12" s="32"/>
      <c r="H12" s="33"/>
      <c r="I12" s="3"/>
    </row>
    <row r="13" spans="1:18" s="11" customFormat="1" ht="15" customHeight="1" x14ac:dyDescent="0.25">
      <c r="A13" s="9"/>
      <c r="B13" s="65">
        <f>IF(DAY(Aoû_Dim1)=1,IF(AND(YEAR(Aoû_Dim1+22)=Année_Calendaire,MONTH(Aoû_Dim1+22)=8),Aoû_Dim1+22,""),IF(AND(YEAR(Aoû_Dim1+29)=Année_Calendaire,MONTH(Aoû_Dim1+29)=8),Aoû_Dim1+29,""))</f>
        <v>42611</v>
      </c>
      <c r="C13" s="58">
        <f>IF(DAY(Aoû_Dim1)=1,IF(AND(YEAR(Aoû_Dim1+23)=Année_Calendaire,MONTH(Aoû_Dim1+23)=8),Aoû_Dim1+23,""),IF(AND(YEAR(Aoû_Dim1+30)=Année_Calendaire,MONTH(Aoû_Dim1+30)=8),Aoû_Dim1+30,""))</f>
        <v>42612</v>
      </c>
      <c r="D13" s="54">
        <f>IF(DAY(Aoû_Dim1)=1,IF(AND(YEAR(Aoû_Dim1+24)=Année_Calendaire,MONTH(Aoû_Dim1+24)=8),Aoû_Dim1+24,""),IF(AND(YEAR(Aoû_Dim1+31)=Année_Calendaire,MONTH(Aoû_Dim1+31)=8),Aoû_Dim1+31,""))</f>
        <v>42613</v>
      </c>
      <c r="E13" s="58" t="str">
        <f>IF(DAY(Aoû_Dim1)=1,IF(AND(YEAR(Aoû_Dim1+25)=Année_Calendaire,MONTH(Aoû_Dim1+25)=8),Aoû_Dim1+25,""),IF(AND(YEAR(Aoû_Dim1+32)=Année_Calendaire,MONTH(Aoû_Dim1+32)=8),Aoû_Dim1+32,""))</f>
        <v/>
      </c>
      <c r="F13" s="54" t="str">
        <f>IF(DAY(Aoû_Dim1)=1,IF(AND(YEAR(Aoû_Dim1+26)=Année_Calendaire,MONTH(Aoû_Dim1+26)=8),Aoû_Dim1+26,""),IF(AND(YEAR(Aoû_Dim1+33)=Année_Calendaire,MONTH(Aoû_Dim1+33)=8),Aoû_Dim1+33,""))</f>
        <v/>
      </c>
      <c r="G13" s="65" t="str">
        <f>IF(DAY(Aoû_Dim1)=1,IF(AND(YEAR(Aoû_Dim1+27)=Année_Calendaire,MONTH(Aoû_Dim1+27)=8),Aoû_Dim1+27,""),IF(AND(YEAR(Aoû_Dim1+34)=Année_Calendaire,MONTH(Aoû_Dim1+34)=8),Aoû_Dim1+34,""))</f>
        <v/>
      </c>
      <c r="H13" s="58" t="str">
        <f>IF(DAY(Aoû_Dim1)=1,IF(AND(YEAR(Aoû_Dim1+28)=Année_Calendaire,MONTH(Aoû_Dim1+28)=8),Aoû_Dim1+28,""),IF(AND(YEAR(Aoû_Dim1+35)=Année_Calendaire,MONTH(Aoû_Dim1+35)=8),Aoû_Dim1+35,""))</f>
        <v/>
      </c>
      <c r="I13" s="10"/>
    </row>
    <row r="14" spans="1:18" ht="55.5" customHeight="1" x14ac:dyDescent="0.25">
      <c r="A14"/>
      <c r="B14" s="60"/>
      <c r="C14" s="61"/>
      <c r="D14" s="62"/>
      <c r="E14" s="61"/>
      <c r="F14" s="62"/>
      <c r="G14" s="63"/>
      <c r="H14" s="64"/>
      <c r="I14" s="3"/>
    </row>
    <row r="15" spans="1:18" ht="15" customHeight="1" x14ac:dyDescent="0.25">
      <c r="A15"/>
      <c r="B15" s="19" t="str">
        <f>IF(DAY(Aoû_Dim1)=1,IF(AND(YEAR(Aoû_Dim1+29)=Année_Calendaire,MONTH(Aoû_Dim1+29)=8),Aoû_Dim1+29,""),IF(AND(YEAR(Aoû_Dim1+36)=Année_Calendaire,MONTH(Aoû_Dim1+36)=8),Aoû_Dim1+36,""))</f>
        <v/>
      </c>
      <c r="C15" s="19" t="str">
        <f>IF(DAY(Aoû_Dim1)=1,IF(AND(YEAR(Aoû_Dim1+30)=Année_Calendaire,MONTH(Aoû_Dim1+30)=8),Aoû_Dim1+30,""),IF(AND(YEAR(Aoû_Dim1+37)=Année_Calendaire,MONTH(Aoû_Dim1+37)=8),Aoû_Dim1+37,""))</f>
        <v/>
      </c>
      <c r="D15" s="45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30"/>
      <c r="C16" s="30"/>
      <c r="D16" s="46"/>
      <c r="E16" s="46"/>
      <c r="F16" s="46"/>
      <c r="G16" s="46"/>
      <c r="H16" s="47"/>
      <c r="I16" s="3"/>
    </row>
    <row r="17" spans="3:5" ht="17.2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6">
    <mergeCell ref="G1:H1"/>
    <mergeCell ref="G3:H3"/>
    <mergeCell ref="D15:H15"/>
    <mergeCell ref="D16:H16"/>
    <mergeCell ref="B3:C3"/>
    <mergeCell ref="D3:E3"/>
  </mergeCells>
  <printOptions horizontalCentered="1" verticalCentered="1"/>
  <pageMargins left="0.2" right="0.2" top="0.25" bottom="0.25" header="0" footer="0"/>
  <pageSetup scale="69" orientation="landscape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8</xdr:col>
                <xdr:colOff>171450</xdr:colOff>
                <xdr:row>3</xdr:row>
                <xdr:rowOff>0</xdr:rowOff>
              </from>
              <to>
                <xdr:col>9</xdr:col>
                <xdr:colOff>952500</xdr:colOff>
                <xdr:row>4</xdr:row>
                <xdr:rowOff>47625</xdr:rowOff>
              </to>
            </anchor>
          </controlPr>
        </control>
      </mc:Choice>
      <mc:Fallback>
        <control shapeId="8193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R20"/>
  <sheetViews>
    <sheetView showGridLines="0" zoomScaleNormal="100" workbookViewId="0">
      <selection activeCell="L8" sqref="L8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x14ac:dyDescent="0.25">
      <c r="A1"/>
      <c r="F1" s="7"/>
      <c r="G1" s="37"/>
      <c r="H1" s="37"/>
      <c r="L1" s="11"/>
    </row>
    <row r="2" spans="1:18" ht="26.25" customHeight="1" x14ac:dyDescent="0.25">
      <c r="A2"/>
      <c r="L2" s="11"/>
    </row>
    <row r="3" spans="1:18" ht="57.75" customHeight="1" x14ac:dyDescent="0.25">
      <c r="A3"/>
      <c r="B3" s="48" t="s">
        <v>16</v>
      </c>
      <c r="C3" s="48"/>
      <c r="D3" s="49">
        <f>Jan!L2</f>
        <v>2016</v>
      </c>
      <c r="E3" s="49"/>
      <c r="F3" s="34" t="s">
        <v>21</v>
      </c>
      <c r="G3" s="52" t="str">
        <f>Jan!G3</f>
        <v>Verdun</v>
      </c>
      <c r="H3" s="52"/>
    </row>
    <row r="4" spans="1:18" s="9" customFormat="1" ht="29.25" customHeight="1" x14ac:dyDescent="0.25">
      <c r="B4" s="22" t="s">
        <v>1</v>
      </c>
      <c r="C4" s="23" t="s">
        <v>2</v>
      </c>
      <c r="D4" s="17" t="s">
        <v>3</v>
      </c>
      <c r="E4" s="23" t="s">
        <v>4</v>
      </c>
      <c r="F4" s="17" t="s">
        <v>5</v>
      </c>
      <c r="G4" s="23" t="s">
        <v>6</v>
      </c>
      <c r="H4" s="24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9" t="str">
        <f>IF(DAY(Juil_Dim1)=1,"",IF(AND(YEAR(Juil_Dim1+1)=Année_Calendaire,MONTH(Juil_Dim1+1)=7),Juil_Dim1+1,""))</f>
        <v/>
      </c>
      <c r="C5" s="53" t="str">
        <f>IF(DAY(Juil_Dim1)=1,"",IF(AND(YEAR(Juil_Dim1+2)=Année_Calendaire,MONTH(Juil_Dim1+2)=7),Juil_Dim1+2,""))</f>
        <v/>
      </c>
      <c r="D5" s="54" t="str">
        <f>IF(DAY(Juil_Dim1)=1,"",IF(AND(YEAR(Juil_Dim1+3)=Année_Calendaire,MONTH(Juil_Dim1+3)=7),Juil_Dim1+3,""))</f>
        <v/>
      </c>
      <c r="E5" s="53" t="str">
        <f>IF(DAY(Juil_Dim1)=1,"",IF(AND(YEAR(Juil_Dim1+4)=Année_Calendaire,MONTH(Juil_Dim1+4)=7),Juil_Dim1+4,""))</f>
        <v/>
      </c>
      <c r="F5" s="54">
        <f>IF(DAY(Juil_Dim1)=1,"",IF(AND(YEAR(Juil_Dim1+5)=Année_Calendaire,MONTH(Juil_Dim1+5)=7),Juil_Dim1+5,""))</f>
        <v>42552</v>
      </c>
      <c r="G5" s="59">
        <f>IF(DAY(Juil_Dim1)=1,"",IF(AND(YEAR(Juil_Dim1+6)=Année_Calendaire,MONTH(Juil_Dim1+6)=7),Juil_Dim1+6,""))</f>
        <v>42553</v>
      </c>
      <c r="H5" s="53">
        <f>IF(DAY(Juil_Dim1)=1,IF(AND(YEAR(Juil_Dim1)=Année_Calendaire,MONTH(Juil_Dim1)=7),Juil_Dim1,""),IF(AND(YEAR(Juil_Dim1+7)=Année_Calendaire,MONTH(Juil_Dim1+7)=7),Juil_Dim1+7,""))</f>
        <v>42554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60"/>
      <c r="C6" s="61"/>
      <c r="D6" s="62"/>
      <c r="E6" s="61"/>
      <c r="F6" s="62"/>
      <c r="G6" s="63"/>
      <c r="H6" s="64"/>
      <c r="I6" s="3"/>
    </row>
    <row r="7" spans="1:18" s="11" customFormat="1" ht="15" customHeight="1" x14ac:dyDescent="0.25">
      <c r="A7" s="9"/>
      <c r="B7" s="25">
        <f>IF(DAY(Juil_Dim1)=1,IF(AND(YEAR(Juil_Dim1+1)=Année_Calendaire,MONTH(Juil_Dim1+1)=7),Juil_Dim1+1,""),IF(AND(YEAR(Juil_Dim1+8)=Année_Calendaire,MONTH(Juil_Dim1+8)=7),Juil_Dim1+8,""))</f>
        <v>42555</v>
      </c>
      <c r="C7" s="19">
        <f>IF(DAY(Juil_Dim1)=1,IF(AND(YEAR(Juil_Dim1+2)=Année_Calendaire,MONTH(Juil_Dim1+2)=7),Juil_Dim1+2,""),IF(AND(YEAR(Juil_Dim1+9)=Année_Calendaire,MONTH(Juil_Dim1+9)=7),Juil_Dim1+9,""))</f>
        <v>42556</v>
      </c>
      <c r="D7" s="20">
        <f>IF(DAY(Juil_Dim1)=1,IF(AND(YEAR(Juil_Dim1+3)=Année_Calendaire,MONTH(Juil_Dim1+3)=7),Juil_Dim1+3,""),IF(AND(YEAR(Juil_Dim1+10)=Année_Calendaire,MONTH(Juil_Dim1+10)=7),Juil_Dim1+10,""))</f>
        <v>42557</v>
      </c>
      <c r="E7" s="19">
        <f>IF(DAY(Juil_Dim1)=1,IF(AND(YEAR(Juil_Dim1+4)=Année_Calendaire,MONTH(Juil_Dim1+4)=7),Juil_Dim1+4,""),IF(AND(YEAR(Juil_Dim1+11)=Année_Calendaire,MONTH(Juil_Dim1+11)=7),Juil_Dim1+11,""))</f>
        <v>42558</v>
      </c>
      <c r="F7" s="20">
        <f>IF(DAY(Juil_Dim1)=1,IF(AND(YEAR(Juil_Dim1+5)=Année_Calendaire,MONTH(Juil_Dim1+5)=7),Juil_Dim1+5,""),IF(AND(YEAR(Juil_Dim1+12)=Année_Calendaire,MONTH(Juil_Dim1+12)=7),Juil_Dim1+12,""))</f>
        <v>42559</v>
      </c>
      <c r="G7" s="25">
        <f>IF(DAY(Juil_Dim1)=1,IF(AND(YEAR(Juil_Dim1+6)=Année_Calendaire,MONTH(Juil_Dim1+6)=7),Juil_Dim1+6,""),IF(AND(YEAR(Juil_Dim1+13)=Année_Calendaire,MONTH(Juil_Dim1+13)=7),Juil_Dim1+13,""))</f>
        <v>42560</v>
      </c>
      <c r="H7" s="19">
        <f>IF(DAY(Juil_Dim1)=1,IF(AND(YEAR(Juil_Dim1+7)=Année_Calendaire,MONTH(Juil_Dim1+7)=7),Juil_Dim1+7,""),IF(AND(YEAR(Juil_Dim1+14)=Année_Calendaire,MONTH(Juil_Dim1+14)=7),Juil_Dim1+14,""))</f>
        <v>42561</v>
      </c>
      <c r="I7" s="10"/>
    </row>
    <row r="8" spans="1:18" ht="55.5" customHeight="1" x14ac:dyDescent="0.25">
      <c r="A8"/>
      <c r="B8" s="29"/>
      <c r="C8" s="30"/>
      <c r="D8" s="31"/>
      <c r="E8" s="30"/>
      <c r="F8" s="31"/>
      <c r="G8" s="32"/>
      <c r="H8" s="33"/>
      <c r="I8" s="3"/>
    </row>
    <row r="9" spans="1:18" s="11" customFormat="1" ht="15" customHeight="1" x14ac:dyDescent="0.25">
      <c r="A9" s="9"/>
      <c r="B9" s="65">
        <f>IF(DAY(Juil_Dim1)=1,IF(AND(YEAR(Juil_Dim1+8)=Année_Calendaire,MONTH(Juil_Dim1+8)=7),Juil_Dim1+8,""),IF(AND(YEAR(Juil_Dim1+15)=Année_Calendaire,MONTH(Juil_Dim1+15)=7),Juil_Dim1+15,""))</f>
        <v>42562</v>
      </c>
      <c r="C9" s="58">
        <f>IF(DAY(Juil_Dim1)=1,IF(AND(YEAR(Juil_Dim1+9)=Année_Calendaire,MONTH(Juil_Dim1+9)=7),Juil_Dim1+9,""),IF(AND(YEAR(Juil_Dim1+16)=Année_Calendaire,MONTH(Juil_Dim1+16)=7),Juil_Dim1+16,""))</f>
        <v>42563</v>
      </c>
      <c r="D9" s="54">
        <f>IF(DAY(Juil_Dim1)=1,IF(AND(YEAR(Juil_Dim1+10)=Année_Calendaire,MONTH(Juil_Dim1+10)=7),Juil_Dim1+10,""),IF(AND(YEAR(Juil_Dim1+17)=Année_Calendaire,MONTH(Juil_Dim1+17)=7),Juil_Dim1+17,""))</f>
        <v>42564</v>
      </c>
      <c r="E9" s="58">
        <f>IF(DAY(Juil_Dim1)=1,IF(AND(YEAR(Juil_Dim1+11)=Année_Calendaire,MONTH(Juil_Dim1+11)=7),Juil_Dim1+11,""),IF(AND(YEAR(Juil_Dim1+18)=Année_Calendaire,MONTH(Juil_Dim1+18)=7),Juil_Dim1+18,""))</f>
        <v>42565</v>
      </c>
      <c r="F9" s="54">
        <f>IF(DAY(Juil_Dim1)=1,IF(AND(YEAR(Juil_Dim1+12)=Année_Calendaire,MONTH(Juil_Dim1+12)=7),Juil_Dim1+12,""),IF(AND(YEAR(Juil_Dim1+19)=Année_Calendaire,MONTH(Juil_Dim1+19)=7),Juil_Dim1+19,""))</f>
        <v>42566</v>
      </c>
      <c r="G9" s="65">
        <f>IF(DAY(Juil_Dim1)=1,IF(AND(YEAR(Juil_Dim1+13)=Année_Calendaire,MONTH(Juil_Dim1+13)=7),Juil_Dim1+13,""),IF(AND(YEAR(Juil_Dim1+20)=Année_Calendaire,MONTH(Juil_Dim1+20)=7),Juil_Dim1+20,""))</f>
        <v>42567</v>
      </c>
      <c r="H9" s="58">
        <f>IF(DAY(Juil_Dim1)=1,IF(AND(YEAR(Juil_Dim1+14)=Année_Calendaire,MONTH(Juil_Dim1+14)=7),Juil_Dim1+14,""),IF(AND(YEAR(Juil_Dim1+21)=Année_Calendaire,MONTH(Juil_Dim1+21)=7),Juil_Dim1+21,""))</f>
        <v>42568</v>
      </c>
      <c r="I9" s="10"/>
    </row>
    <row r="10" spans="1:18" ht="55.5" customHeight="1" x14ac:dyDescent="0.25">
      <c r="A10"/>
      <c r="B10" s="60"/>
      <c r="C10" s="61"/>
      <c r="D10" s="62"/>
      <c r="E10" s="61"/>
      <c r="F10" s="62"/>
      <c r="G10" s="63"/>
      <c r="H10" s="64"/>
      <c r="I10" s="3"/>
    </row>
    <row r="11" spans="1:18" s="11" customFormat="1" ht="15" customHeight="1" x14ac:dyDescent="0.25">
      <c r="A11" s="9"/>
      <c r="B11" s="25">
        <f>IF(DAY(Juil_Dim1)=1,IF(AND(YEAR(Juil_Dim1+15)=Année_Calendaire,MONTH(Juil_Dim1+15)=7),Juil_Dim1+15,""),IF(AND(YEAR(Juil_Dim1+22)=Année_Calendaire,MONTH(Juil_Dim1+22)=7),Juil_Dim1+22,""))</f>
        <v>42569</v>
      </c>
      <c r="C11" s="19">
        <f>IF(DAY(Juil_Dim1)=1,IF(AND(YEAR(Juil_Dim1+16)=Année_Calendaire,MONTH(Juil_Dim1+16)=7),Juil_Dim1+16,""),IF(AND(YEAR(Juil_Dim1+23)=Année_Calendaire,MONTH(Juil_Dim1+23)=7),Juil_Dim1+23,""))</f>
        <v>42570</v>
      </c>
      <c r="D11" s="20">
        <f>IF(DAY(Juil_Dim1)=1,IF(AND(YEAR(Juil_Dim1+17)=Année_Calendaire,MONTH(Juil_Dim1+17)=7),Juil_Dim1+17,""),IF(AND(YEAR(Juil_Dim1+24)=Année_Calendaire,MONTH(Juil_Dim1+24)=7),Juil_Dim1+24,""))</f>
        <v>42571</v>
      </c>
      <c r="E11" s="19">
        <f>IF(DAY(Juil_Dim1)=1,IF(AND(YEAR(Juil_Dim1+18)=Année_Calendaire,MONTH(Juil_Dim1+18)=7),Juil_Dim1+18,""),IF(AND(YEAR(Juil_Dim1+25)=Année_Calendaire,MONTH(Juil_Dim1+25)=7),Juil_Dim1+25,""))</f>
        <v>42572</v>
      </c>
      <c r="F11" s="20">
        <f>IF(DAY(Juil_Dim1)=1,IF(AND(YEAR(Juil_Dim1+19)=Année_Calendaire,MONTH(Juil_Dim1+19)=7),Juil_Dim1+19,""),IF(AND(YEAR(Juil_Dim1+26)=Année_Calendaire,MONTH(Juil_Dim1+26)=7),Juil_Dim1+26,""))</f>
        <v>42573</v>
      </c>
      <c r="G11" s="25">
        <f>IF(DAY(Juil_Dim1)=1,IF(AND(YEAR(Juil_Dim1+20)=Année_Calendaire,MONTH(Juil_Dim1+20)=7),Juil_Dim1+20,""),IF(AND(YEAR(Juil_Dim1+27)=Année_Calendaire,MONTH(Juil_Dim1+27)=7),Juil_Dim1+27,""))</f>
        <v>42574</v>
      </c>
      <c r="H11" s="19">
        <f>IF(DAY(Juil_Dim1)=1,IF(AND(YEAR(Juil_Dim1+21)=Année_Calendaire,MONTH(Juil_Dim1+21)=7),Juil_Dim1+21,""),IF(AND(YEAR(Juil_Dim1+28)=Année_Calendaire,MONTH(Juil_Dim1+28)=7),Juil_Dim1+28,""))</f>
        <v>42575</v>
      </c>
      <c r="I11" s="10"/>
    </row>
    <row r="12" spans="1:18" ht="55.5" customHeight="1" x14ac:dyDescent="0.25">
      <c r="A12"/>
      <c r="B12" s="29"/>
      <c r="C12" s="30"/>
      <c r="D12" s="31"/>
      <c r="E12" s="30"/>
      <c r="F12" s="31"/>
      <c r="G12" s="32"/>
      <c r="H12" s="33"/>
      <c r="I12" s="3"/>
    </row>
    <row r="13" spans="1:18" s="11" customFormat="1" ht="15" customHeight="1" x14ac:dyDescent="0.25">
      <c r="A13" s="9"/>
      <c r="B13" s="65">
        <f>IF(DAY(Juil_Dim1)=1,IF(AND(YEAR(Juil_Dim1+22)=Année_Calendaire,MONTH(Juil_Dim1+22)=7),Juil_Dim1+22,""),IF(AND(YEAR(Juil_Dim1+29)=Année_Calendaire,MONTH(Juil_Dim1+29)=7),Juil_Dim1+29,""))</f>
        <v>42576</v>
      </c>
      <c r="C13" s="58">
        <f>IF(DAY(Juil_Dim1)=1,IF(AND(YEAR(Juil_Dim1+23)=Année_Calendaire,MONTH(Juil_Dim1+23)=7),Juil_Dim1+23,""),IF(AND(YEAR(Juil_Dim1+30)=Année_Calendaire,MONTH(Juil_Dim1+30)=7),Juil_Dim1+30,""))</f>
        <v>42577</v>
      </c>
      <c r="D13" s="54">
        <f>IF(DAY(Juil_Dim1)=1,IF(AND(YEAR(Juil_Dim1+24)=Année_Calendaire,MONTH(Juil_Dim1+24)=7),Juil_Dim1+24,""),IF(AND(YEAR(Juil_Dim1+31)=Année_Calendaire,MONTH(Juil_Dim1+31)=7),Juil_Dim1+31,""))</f>
        <v>42578</v>
      </c>
      <c r="E13" s="58">
        <f>IF(DAY(Juil_Dim1)=1,IF(AND(YEAR(Juil_Dim1+25)=Année_Calendaire,MONTH(Juil_Dim1+25)=7),Juil_Dim1+25,""),IF(AND(YEAR(Juil_Dim1+32)=Année_Calendaire,MONTH(Juil_Dim1+32)=7),Juil_Dim1+32,""))</f>
        <v>42579</v>
      </c>
      <c r="F13" s="54">
        <f>IF(DAY(Juil_Dim1)=1,IF(AND(YEAR(Juil_Dim1+26)=Année_Calendaire,MONTH(Juil_Dim1+26)=7),Juil_Dim1+26,""),IF(AND(YEAR(Juil_Dim1+33)=Année_Calendaire,MONTH(Juil_Dim1+33)=7),Juil_Dim1+33,""))</f>
        <v>42580</v>
      </c>
      <c r="G13" s="65">
        <f>IF(DAY(Juil_Dim1)=1,IF(AND(YEAR(Juil_Dim1+27)=Année_Calendaire,MONTH(Juil_Dim1+27)=7),Juil_Dim1+27,""),IF(AND(YEAR(Juil_Dim1+34)=Année_Calendaire,MONTH(Juil_Dim1+34)=7),Juil_Dim1+34,""))</f>
        <v>42581</v>
      </c>
      <c r="H13" s="58">
        <f>IF(DAY(Juil_Dim1)=1,IF(AND(YEAR(Juil_Dim1+28)=Année_Calendaire,MONTH(Juil_Dim1+28)=7),Juil_Dim1+28,""),IF(AND(YEAR(Juil_Dim1+35)=Année_Calendaire,MONTH(Juil_Dim1+35)=7),Juil_Dim1+35,""))</f>
        <v>42582</v>
      </c>
      <c r="I13" s="10"/>
    </row>
    <row r="14" spans="1:18" ht="55.5" customHeight="1" x14ac:dyDescent="0.25">
      <c r="A14"/>
      <c r="B14" s="60"/>
      <c r="C14" s="61"/>
      <c r="D14" s="62"/>
      <c r="E14" s="61"/>
      <c r="F14" s="62"/>
      <c r="G14" s="63"/>
      <c r="H14" s="64"/>
      <c r="I14" s="3"/>
    </row>
    <row r="15" spans="1:18" ht="15" customHeight="1" x14ac:dyDescent="0.25">
      <c r="A15"/>
      <c r="B15" s="19" t="str">
        <f>IF(DAY(Juil_Dim1)=1,IF(AND(YEAR(Juil_Dim1+29)=Année_Calendaire,MONTH(Juil_Dim1+29)=7),Juil_Dim1+29,""),IF(AND(YEAR(Juil_Dim1+36)=Année_Calendaire,MONTH(Juil_Dim1+36)=7),Juil_Dim1+36,""))</f>
        <v/>
      </c>
      <c r="C15" s="19" t="str">
        <f>IF(DAY(Juil_Dim1)=1,IF(AND(YEAR(Juil_Dim1+30)=Année_Calendaire,MONTH(Juil_Dim1+30)=7),Juil_Dim1+30,""),IF(AND(YEAR(Juil_Dim1+37)=Année_Calendaire,MONTH(Juil_Dim1+37)=7),Juil_Dim1+37,""))</f>
        <v/>
      </c>
      <c r="D15" s="45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30"/>
      <c r="C16" s="30"/>
      <c r="D16" s="46"/>
      <c r="E16" s="46"/>
      <c r="F16" s="46"/>
      <c r="G16" s="46"/>
      <c r="H16" s="47"/>
      <c r="I16" s="3"/>
    </row>
    <row r="17" spans="3:5" ht="17.2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6">
    <mergeCell ref="G1:H1"/>
    <mergeCell ref="G3:H3"/>
    <mergeCell ref="D15:H15"/>
    <mergeCell ref="D16:H16"/>
    <mergeCell ref="B3:C3"/>
    <mergeCell ref="D3:E3"/>
  </mergeCells>
  <printOptions horizontalCentered="1" verticalCentered="1"/>
  <pageMargins left="0.2" right="0.2" top="0.25" bottom="0.25" header="0" footer="0"/>
  <pageSetup scale="69" orientation="landscape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8</xdr:col>
                <xdr:colOff>161925</xdr:colOff>
                <xdr:row>3</xdr:row>
                <xdr:rowOff>0</xdr:rowOff>
              </from>
              <to>
                <xdr:col>9</xdr:col>
                <xdr:colOff>942975</xdr:colOff>
                <xdr:row>4</xdr:row>
                <xdr:rowOff>47625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R20"/>
  <sheetViews>
    <sheetView showGridLines="0" zoomScaleNormal="100" workbookViewId="0">
      <selection activeCell="J8" sqref="J8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customHeight="1" x14ac:dyDescent="0.25">
      <c r="A1"/>
      <c r="F1" s="8"/>
      <c r="G1" s="37"/>
      <c r="H1" s="37"/>
      <c r="L1" s="11"/>
    </row>
    <row r="2" spans="1:18" ht="26.25" customHeight="1" x14ac:dyDescent="0.25">
      <c r="A2"/>
      <c r="L2" s="11"/>
    </row>
    <row r="3" spans="1:18" ht="57.75" customHeight="1" x14ac:dyDescent="0.25">
      <c r="A3"/>
      <c r="B3" s="50" t="s">
        <v>18</v>
      </c>
      <c r="C3" s="50"/>
      <c r="D3" s="50"/>
      <c r="E3" s="35">
        <f>Jan!L2</f>
        <v>2016</v>
      </c>
      <c r="F3" s="36" t="s">
        <v>21</v>
      </c>
      <c r="G3" s="52" t="str">
        <f>Jan!G3</f>
        <v>Verdun</v>
      </c>
      <c r="H3" s="52"/>
    </row>
    <row r="4" spans="1:18" s="9" customFormat="1" ht="29.25" customHeight="1" x14ac:dyDescent="0.25">
      <c r="B4" s="22" t="s">
        <v>1</v>
      </c>
      <c r="C4" s="23" t="s">
        <v>2</v>
      </c>
      <c r="D4" s="17" t="s">
        <v>3</v>
      </c>
      <c r="E4" s="23" t="s">
        <v>4</v>
      </c>
      <c r="F4" s="17" t="s">
        <v>5</v>
      </c>
      <c r="G4" s="23" t="s">
        <v>6</v>
      </c>
      <c r="H4" s="24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9" t="str">
        <f>IF(DAY(Sep_Dim1)=1,"",IF(AND(YEAR(Sep_Dim1+1)=Année_Calendaire,MONTH(Sep_Dim1+1)=9),Sep_Dim1+1,""))</f>
        <v/>
      </c>
      <c r="C5" s="53" t="str">
        <f>IF(DAY(Sep_Dim1)=1,"",IF(AND(YEAR(Sep_Dim1+2)=Année_Calendaire,MONTH(Sep_Dim1+2)=9),Sep_Dim1+2,""))</f>
        <v/>
      </c>
      <c r="D5" s="54" t="str">
        <f>IF(DAY(Sep_Dim1)=1,"",IF(AND(YEAR(Sep_Dim1+3)=Année_Calendaire,MONTH(Sep_Dim1+3)=9),Sep_Dim1+3,""))</f>
        <v/>
      </c>
      <c r="E5" s="53">
        <f>IF(DAY(Sep_Dim1)=1,"",IF(AND(YEAR(Sep_Dim1+4)=Année_Calendaire,MONTH(Sep_Dim1+4)=9),Sep_Dim1+4,""))</f>
        <v>42614</v>
      </c>
      <c r="F5" s="54">
        <f>IF(DAY(Sep_Dim1)=1,"",IF(AND(YEAR(Sep_Dim1+5)=Année_Calendaire,MONTH(Sep_Dim1+5)=9),Sep_Dim1+5,""))</f>
        <v>42615</v>
      </c>
      <c r="G5" s="59">
        <f>IF(DAY(Sep_Dim1)=1,"",IF(AND(YEAR(Sep_Dim1+6)=Année_Calendaire,MONTH(Sep_Dim1+6)=9),Sep_Dim1+6,""))</f>
        <v>42616</v>
      </c>
      <c r="H5" s="53">
        <f>IF(DAY(Sep_Dim1)=1,IF(AND(YEAR(Sep_Dim1)=Année_Calendaire,MONTH(Sep_Dim1)=9),Sep_Dim1,""),IF(AND(YEAR(Sep_Dim1+7)=Année_Calendaire,MONTH(Sep_Dim1+7)=9),Sep_Dim1+7,""))</f>
        <v>42617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60"/>
      <c r="C6" s="61"/>
      <c r="D6" s="62"/>
      <c r="E6" s="61"/>
      <c r="F6" s="62"/>
      <c r="G6" s="63"/>
      <c r="H6" s="64"/>
      <c r="I6" s="3"/>
    </row>
    <row r="7" spans="1:18" s="11" customFormat="1" ht="15" customHeight="1" x14ac:dyDescent="0.25">
      <c r="A7" s="9"/>
      <c r="B7" s="25">
        <f>IF(DAY(Sep_Dim1)=1,IF(AND(YEAR(Sep_Dim1+1)=Année_Calendaire,MONTH(Sep_Dim1+1)=9),Sep_Dim1+1,""),IF(AND(YEAR(Sep_Dim1+8)=Année_Calendaire,MONTH(Sep_Dim1+8)=9),Sep_Dim1+8,""))</f>
        <v>42618</v>
      </c>
      <c r="C7" s="19">
        <f>IF(DAY(Sep_Dim1)=1,IF(AND(YEAR(Sep_Dim1+2)=Année_Calendaire,MONTH(Sep_Dim1+2)=9),Sep_Dim1+2,""),IF(AND(YEAR(Sep_Dim1+9)=Année_Calendaire,MONTH(Sep_Dim1+9)=9),Sep_Dim1+9,""))</f>
        <v>42619</v>
      </c>
      <c r="D7" s="20">
        <f>IF(DAY(Sep_Dim1)=1,IF(AND(YEAR(Sep_Dim1+3)=Année_Calendaire,MONTH(Sep_Dim1+3)=9),Sep_Dim1+3,""),IF(AND(YEAR(Sep_Dim1+10)=Année_Calendaire,MONTH(Sep_Dim1+10)=9),Sep_Dim1+10,""))</f>
        <v>42620</v>
      </c>
      <c r="E7" s="19">
        <f>IF(DAY(Sep_Dim1)=1,IF(AND(YEAR(Sep_Dim1+4)=Année_Calendaire,MONTH(Sep_Dim1+4)=9),Sep_Dim1+4,""),IF(AND(YEAR(Sep_Dim1+11)=Année_Calendaire,MONTH(Sep_Dim1+11)=9),Sep_Dim1+11,""))</f>
        <v>42621</v>
      </c>
      <c r="F7" s="20">
        <f>IF(DAY(Sep_Dim1)=1,IF(AND(YEAR(Sep_Dim1+5)=Année_Calendaire,MONTH(Sep_Dim1+5)=9),Sep_Dim1+5,""),IF(AND(YEAR(Sep_Dim1+12)=Année_Calendaire,MONTH(Sep_Dim1+12)=9),Sep_Dim1+12,""))</f>
        <v>42622</v>
      </c>
      <c r="G7" s="25">
        <f>IF(DAY(Sep_Dim1)=1,IF(AND(YEAR(Sep_Dim1+6)=Année_Calendaire,MONTH(Sep_Dim1+6)=9),Sep_Dim1+6,""),IF(AND(YEAR(Sep_Dim1+13)=Année_Calendaire,MONTH(Sep_Dim1+13)=9),Sep_Dim1+13,""))</f>
        <v>42623</v>
      </c>
      <c r="H7" s="19">
        <f>IF(DAY(Sep_Dim1)=1,IF(AND(YEAR(Sep_Dim1+7)=Année_Calendaire,MONTH(Sep_Dim1+7)=9),Sep_Dim1+7,""),IF(AND(YEAR(Sep_Dim1+14)=Année_Calendaire,MONTH(Sep_Dim1+14)=9),Sep_Dim1+14,""))</f>
        <v>42624</v>
      </c>
      <c r="I7" s="10"/>
    </row>
    <row r="8" spans="1:18" ht="55.5" customHeight="1" x14ac:dyDescent="0.25">
      <c r="A8"/>
      <c r="B8" s="29"/>
      <c r="C8" s="30"/>
      <c r="D8" s="31"/>
      <c r="E8" s="30"/>
      <c r="F8" s="31"/>
      <c r="G8" s="32"/>
      <c r="H8" s="33"/>
      <c r="I8" s="3"/>
    </row>
    <row r="9" spans="1:18" s="11" customFormat="1" ht="15" customHeight="1" x14ac:dyDescent="0.25">
      <c r="A9" s="9"/>
      <c r="B9" s="65">
        <f>IF(DAY(Sep_Dim1)=1,IF(AND(YEAR(Sep_Dim1+8)=Année_Calendaire,MONTH(Sep_Dim1+8)=9),Sep_Dim1+8,""),IF(AND(YEAR(Sep_Dim1+15)=Année_Calendaire,MONTH(Sep_Dim1+15)=9),Sep_Dim1+15,""))</f>
        <v>42625</v>
      </c>
      <c r="C9" s="58">
        <f>IF(DAY(Sep_Dim1)=1,IF(AND(YEAR(Sep_Dim1+9)=Année_Calendaire,MONTH(Sep_Dim1+9)=9),Sep_Dim1+9,""),IF(AND(YEAR(Sep_Dim1+16)=Année_Calendaire,MONTH(Sep_Dim1+16)=9),Sep_Dim1+16,""))</f>
        <v>42626</v>
      </c>
      <c r="D9" s="54">
        <f>IF(DAY(Sep_Dim1)=1,IF(AND(YEAR(Sep_Dim1+10)=Année_Calendaire,MONTH(Sep_Dim1+10)=9),Sep_Dim1+10,""),IF(AND(YEAR(Sep_Dim1+17)=Année_Calendaire,MONTH(Sep_Dim1+17)=9),Sep_Dim1+17,""))</f>
        <v>42627</v>
      </c>
      <c r="E9" s="58">
        <f>IF(DAY(Sep_Dim1)=1,IF(AND(YEAR(Sep_Dim1+11)=Année_Calendaire,MONTH(Sep_Dim1+11)=9),Sep_Dim1+11,""),IF(AND(YEAR(Sep_Dim1+18)=Année_Calendaire,MONTH(Sep_Dim1+18)=9),Sep_Dim1+18,""))</f>
        <v>42628</v>
      </c>
      <c r="F9" s="54">
        <f>IF(DAY(Sep_Dim1)=1,IF(AND(YEAR(Sep_Dim1+12)=Année_Calendaire,MONTH(Sep_Dim1+12)=9),Sep_Dim1+12,""),IF(AND(YEAR(Sep_Dim1+19)=Année_Calendaire,MONTH(Sep_Dim1+19)=9),Sep_Dim1+19,""))</f>
        <v>42629</v>
      </c>
      <c r="G9" s="65">
        <f>IF(DAY(Sep_Dim1)=1,IF(AND(YEAR(Sep_Dim1+13)=Année_Calendaire,MONTH(Sep_Dim1+13)=9),Sep_Dim1+13,""),IF(AND(YEAR(Sep_Dim1+20)=Année_Calendaire,MONTH(Sep_Dim1+20)=9),Sep_Dim1+20,""))</f>
        <v>42630</v>
      </c>
      <c r="H9" s="58">
        <f>IF(DAY(Sep_Dim1)=1,IF(AND(YEAR(Sep_Dim1+14)=Année_Calendaire,MONTH(Sep_Dim1+14)=9),Sep_Dim1+14,""),IF(AND(YEAR(Sep_Dim1+21)=Année_Calendaire,MONTH(Sep_Dim1+21)=9),Sep_Dim1+21,""))</f>
        <v>42631</v>
      </c>
      <c r="I9" s="10"/>
    </row>
    <row r="10" spans="1:18" ht="55.5" customHeight="1" x14ac:dyDescent="0.25">
      <c r="A10"/>
      <c r="B10" s="60"/>
      <c r="C10" s="61"/>
      <c r="D10" s="62"/>
      <c r="E10" s="61"/>
      <c r="F10" s="62"/>
      <c r="G10" s="63"/>
      <c r="H10" s="64"/>
      <c r="I10" s="3"/>
    </row>
    <row r="11" spans="1:18" s="11" customFormat="1" ht="15" customHeight="1" x14ac:dyDescent="0.25">
      <c r="A11" s="9"/>
      <c r="B11" s="25">
        <f>IF(DAY(Sep_Dim1)=1,IF(AND(YEAR(Sep_Dim1+15)=Année_Calendaire,MONTH(Sep_Dim1+15)=9),Sep_Dim1+15,""),IF(AND(YEAR(Sep_Dim1+22)=Année_Calendaire,MONTH(Sep_Dim1+22)=9),Sep_Dim1+22,""))</f>
        <v>42632</v>
      </c>
      <c r="C11" s="19">
        <f>IF(DAY(Sep_Dim1)=1,IF(AND(YEAR(Sep_Dim1+16)=Année_Calendaire,MONTH(Sep_Dim1+16)=9),Sep_Dim1+16,""),IF(AND(YEAR(Sep_Dim1+23)=Année_Calendaire,MONTH(Sep_Dim1+23)=9),Sep_Dim1+23,""))</f>
        <v>42633</v>
      </c>
      <c r="D11" s="20">
        <f>IF(DAY(Sep_Dim1)=1,IF(AND(YEAR(Sep_Dim1+17)=Année_Calendaire,MONTH(Sep_Dim1+17)=9),Sep_Dim1+17,""),IF(AND(YEAR(Sep_Dim1+24)=Année_Calendaire,MONTH(Sep_Dim1+24)=9),Sep_Dim1+24,""))</f>
        <v>42634</v>
      </c>
      <c r="E11" s="19">
        <f>IF(DAY(Sep_Dim1)=1,IF(AND(YEAR(Sep_Dim1+18)=Année_Calendaire,MONTH(Sep_Dim1+18)=9),Sep_Dim1+18,""),IF(AND(YEAR(Sep_Dim1+25)=Année_Calendaire,MONTH(Sep_Dim1+25)=9),Sep_Dim1+25,""))</f>
        <v>42635</v>
      </c>
      <c r="F11" s="20">
        <f>IF(DAY(Sep_Dim1)=1,IF(AND(YEAR(Sep_Dim1+19)=Année_Calendaire,MONTH(Sep_Dim1+19)=9),Sep_Dim1+19,""),IF(AND(YEAR(Sep_Dim1+26)=Année_Calendaire,MONTH(Sep_Dim1+26)=9),Sep_Dim1+26,""))</f>
        <v>42636</v>
      </c>
      <c r="G11" s="25">
        <f>IF(DAY(Sep_Dim1)=1,IF(AND(YEAR(Sep_Dim1+20)=Année_Calendaire,MONTH(Sep_Dim1+20)=9),Sep_Dim1+20,""),IF(AND(YEAR(Sep_Dim1+27)=Année_Calendaire,MONTH(Sep_Dim1+27)=9),Sep_Dim1+27,""))</f>
        <v>42637</v>
      </c>
      <c r="H11" s="19">
        <f>IF(DAY(Sep_Dim1)=1,IF(AND(YEAR(Sep_Dim1+21)=Année_Calendaire,MONTH(Sep_Dim1+21)=9),Sep_Dim1+21,""),IF(AND(YEAR(Sep_Dim1+28)=Année_Calendaire,MONTH(Sep_Dim1+28)=9),Sep_Dim1+28,""))</f>
        <v>42638</v>
      </c>
      <c r="I11" s="10"/>
    </row>
    <row r="12" spans="1:18" ht="55.5" customHeight="1" x14ac:dyDescent="0.25">
      <c r="A12"/>
      <c r="B12" s="29"/>
      <c r="C12" s="30"/>
      <c r="D12" s="31"/>
      <c r="E12" s="30"/>
      <c r="F12" s="31"/>
      <c r="G12" s="32"/>
      <c r="H12" s="33"/>
      <c r="I12" s="3"/>
    </row>
    <row r="13" spans="1:18" s="11" customFormat="1" ht="15" customHeight="1" x14ac:dyDescent="0.25">
      <c r="A13" s="9"/>
      <c r="B13" s="65">
        <f>IF(DAY(Sep_Dim1)=1,IF(AND(YEAR(Sep_Dim1+22)=Année_Calendaire,MONTH(Sep_Dim1+22)=9),Sep_Dim1+22,""),IF(AND(YEAR(Sep_Dim1+29)=Année_Calendaire,MONTH(Sep_Dim1+29)=9),Sep_Dim1+29,""))</f>
        <v>42639</v>
      </c>
      <c r="C13" s="58">
        <f>IF(DAY(Sep_Dim1)=1,IF(AND(YEAR(Sep_Dim1+23)=Année_Calendaire,MONTH(Sep_Dim1+23)=9),Sep_Dim1+23,""),IF(AND(YEAR(Sep_Dim1+30)=Année_Calendaire,MONTH(Sep_Dim1+30)=9),Sep_Dim1+30,""))</f>
        <v>42640</v>
      </c>
      <c r="D13" s="54">
        <f>IF(DAY(Sep_Dim1)=1,IF(AND(YEAR(Sep_Dim1+24)=Année_Calendaire,MONTH(Sep_Dim1+24)=9),Sep_Dim1+24,""),IF(AND(YEAR(Sep_Dim1+31)=Année_Calendaire,MONTH(Sep_Dim1+31)=9),Sep_Dim1+31,""))</f>
        <v>42641</v>
      </c>
      <c r="E13" s="58">
        <f>IF(DAY(Sep_Dim1)=1,IF(AND(YEAR(Sep_Dim1+25)=Année_Calendaire,MONTH(Sep_Dim1+25)=9),Sep_Dim1+25,""),IF(AND(YEAR(Sep_Dim1+32)=Année_Calendaire,MONTH(Sep_Dim1+32)=9),Sep_Dim1+32,""))</f>
        <v>42642</v>
      </c>
      <c r="F13" s="54">
        <f>IF(DAY(Sep_Dim1)=1,IF(AND(YEAR(Sep_Dim1+26)=Année_Calendaire,MONTH(Sep_Dim1+26)=9),Sep_Dim1+26,""),IF(AND(YEAR(Sep_Dim1+33)=Année_Calendaire,MONTH(Sep_Dim1+33)=9),Sep_Dim1+33,""))</f>
        <v>42643</v>
      </c>
      <c r="G13" s="65" t="str">
        <f>IF(DAY(Sep_Dim1)=1,IF(AND(YEAR(Sep_Dim1+27)=Année_Calendaire,MONTH(Sep_Dim1+27)=9),Sep_Dim1+27,""),IF(AND(YEAR(Sep_Dim1+34)=Année_Calendaire,MONTH(Sep_Dim1+34)=9),Sep_Dim1+34,""))</f>
        <v/>
      </c>
      <c r="H13" s="58" t="str">
        <f>IF(DAY(Sep_Dim1)=1,IF(AND(YEAR(Sep_Dim1+28)=Année_Calendaire,MONTH(Sep_Dim1+28)=9),Sep_Dim1+28,""),IF(AND(YEAR(Sep_Dim1+35)=Année_Calendaire,MONTH(Sep_Dim1+35)=9),Sep_Dim1+35,""))</f>
        <v/>
      </c>
      <c r="I13" s="10"/>
    </row>
    <row r="14" spans="1:18" ht="55.5" customHeight="1" x14ac:dyDescent="0.25">
      <c r="A14"/>
      <c r="B14" s="60"/>
      <c r="C14" s="61"/>
      <c r="D14" s="62"/>
      <c r="E14" s="61"/>
      <c r="F14" s="62"/>
      <c r="G14" s="63"/>
      <c r="H14" s="64"/>
      <c r="I14" s="3"/>
    </row>
    <row r="15" spans="1:18" ht="15" customHeight="1" x14ac:dyDescent="0.25">
      <c r="A15"/>
      <c r="B15" s="19" t="str">
        <f>IF(DAY(Sep_Dim1)=1,IF(AND(YEAR(Sep_Dim1+29)=Année_Calendaire,MONTH(Sep_Dim1+29)=9),Sep_Dim1+29,""),IF(AND(YEAR(Sep_Dim1+36)=Année_Calendaire,MONTH(Sep_Dim1+36)=9),Sep_Dim1+36,""))</f>
        <v/>
      </c>
      <c r="C15" s="19" t="str">
        <f>IF(DAY(Sep_Dim1)=1,IF(AND(YEAR(Sep_Dim1+30)=Année_Calendaire,MONTH(Sep_Dim1+30)=9),Sep_Dim1+30,""),IF(AND(YEAR(Sep_Dim1+37)=Année_Calendaire,MONTH(Sep_Dim1+37)=9),Sep_Dim1+37,""))</f>
        <v/>
      </c>
      <c r="D15" s="45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30"/>
      <c r="C16" s="30"/>
      <c r="D16" s="46"/>
      <c r="E16" s="46"/>
      <c r="F16" s="46"/>
      <c r="G16" s="46"/>
      <c r="H16" s="47"/>
      <c r="I16" s="3"/>
    </row>
    <row r="17" spans="3:5" ht="17.2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5">
    <mergeCell ref="G1:H1"/>
    <mergeCell ref="G3:H3"/>
    <mergeCell ref="D15:H15"/>
    <mergeCell ref="D16:H16"/>
    <mergeCell ref="B3:D3"/>
  </mergeCells>
  <printOptions horizontalCentered="1" verticalCentered="1"/>
  <pageMargins left="0.2" right="0.2" top="0.25" bottom="0.25" header="0" footer="0"/>
  <pageSetup scale="69" orientation="landscape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8</xdr:col>
                <xdr:colOff>180975</xdr:colOff>
                <xdr:row>3</xdr:row>
                <xdr:rowOff>0</xdr:rowOff>
              </from>
              <to>
                <xdr:col>9</xdr:col>
                <xdr:colOff>962025</xdr:colOff>
                <xdr:row>4</xdr:row>
                <xdr:rowOff>47625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R20"/>
  <sheetViews>
    <sheetView showGridLines="0" zoomScaleNormal="100" workbookViewId="0">
      <selection activeCell="I9" sqref="I9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x14ac:dyDescent="0.25">
      <c r="A1"/>
      <c r="F1" s="7"/>
      <c r="G1" s="37"/>
      <c r="H1" s="37"/>
      <c r="L1" s="11"/>
    </row>
    <row r="2" spans="1:18" ht="26.25" customHeight="1" x14ac:dyDescent="0.25">
      <c r="A2"/>
      <c r="L2" s="11"/>
    </row>
    <row r="3" spans="1:18" ht="57.75" customHeight="1" x14ac:dyDescent="0.25">
      <c r="A3"/>
      <c r="B3" s="51" t="s">
        <v>0</v>
      </c>
      <c r="C3" s="51"/>
      <c r="D3" s="49">
        <f>Jan!L2</f>
        <v>2016</v>
      </c>
      <c r="E3" s="49"/>
      <c r="F3" s="34" t="s">
        <v>21</v>
      </c>
      <c r="G3" s="52" t="str">
        <f>Jan!G3</f>
        <v>Verdun</v>
      </c>
      <c r="H3" s="52"/>
    </row>
    <row r="4" spans="1:18" s="9" customFormat="1" ht="29.25" customHeight="1" x14ac:dyDescent="0.25">
      <c r="B4" s="22" t="s">
        <v>1</v>
      </c>
      <c r="C4" s="23" t="s">
        <v>2</v>
      </c>
      <c r="D4" s="17" t="s">
        <v>3</v>
      </c>
      <c r="E4" s="23" t="s">
        <v>4</v>
      </c>
      <c r="F4" s="17" t="s">
        <v>5</v>
      </c>
      <c r="G4" s="23" t="s">
        <v>6</v>
      </c>
      <c r="H4" s="24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9" t="str">
        <f>IF(DAY(Oct_Dim1)=1,"",IF(AND(YEAR(Oct_Dim1+1)=Année_Calendaire,MONTH(Oct_Dim1+1)=10),Oct_Dim1+1,""))</f>
        <v/>
      </c>
      <c r="C5" s="53" t="str">
        <f>IF(DAY(Oct_Dim1)=1,"",IF(AND(YEAR(Oct_Dim1+2)=Année_Calendaire,MONTH(Oct_Dim1+2)=10),Oct_Dim1+2,""))</f>
        <v/>
      </c>
      <c r="D5" s="54" t="str">
        <f>IF(DAY(Oct_Dim1)=1,"",IF(AND(YEAR(Oct_Dim1+3)=Année_Calendaire,MONTH(Oct_Dim1+3)=10),Oct_Dim1+3,""))</f>
        <v/>
      </c>
      <c r="E5" s="53" t="str">
        <f>IF(DAY(Oct_Dim1)=1,"",IF(AND(YEAR(Oct_Dim1+4)=Année_Calendaire,MONTH(Oct_Dim1+4)=10),Oct_Dim1+4,""))</f>
        <v/>
      </c>
      <c r="F5" s="54" t="str">
        <f>IF(DAY(Oct_Dim1)=1,"",IF(AND(YEAR(Oct_Dim1+5)=Année_Calendaire,MONTH(Oct_Dim1+5)=10),Oct_Dim1+5,""))</f>
        <v/>
      </c>
      <c r="G5" s="59">
        <f>IF(DAY(Oct_Dim1)=1,"",IF(AND(YEAR(Oct_Dim1+6)=Année_Calendaire,MONTH(Oct_Dim1+6)=10),Oct_Dim1+6,""))</f>
        <v>42644</v>
      </c>
      <c r="H5" s="53">
        <f>IF(DAY(Oct_Dim1)=1,IF(AND(YEAR(Oct_Dim1)=Année_Calendaire,MONTH(Oct_Dim1)=10),Oct_Dim1,""),IF(AND(YEAR(Oct_Dim1+7)=Année_Calendaire,MONTH(Oct_Dim1+7)=10),Oct_Dim1+7,""))</f>
        <v>42645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60"/>
      <c r="C6" s="61"/>
      <c r="D6" s="62"/>
      <c r="E6" s="61"/>
      <c r="F6" s="62"/>
      <c r="G6" s="63"/>
      <c r="H6" s="64"/>
      <c r="I6" s="3"/>
    </row>
    <row r="7" spans="1:18" s="11" customFormat="1" ht="15" customHeight="1" x14ac:dyDescent="0.25">
      <c r="A7" s="9"/>
      <c r="B7" s="25">
        <f>IF(DAY(Oct_Dim1)=1,IF(AND(YEAR(Oct_Dim1+1)=Année_Calendaire,MONTH(Oct_Dim1+1)=10),Oct_Dim1+1,""),IF(AND(YEAR(Oct_Dim1+8)=Année_Calendaire,MONTH(Oct_Dim1+8)=10),Oct_Dim1+8,""))</f>
        <v>42646</v>
      </c>
      <c r="C7" s="19">
        <f>IF(DAY(Oct_Dim1)=1,IF(AND(YEAR(Oct_Dim1+2)=Année_Calendaire,MONTH(Oct_Dim1+2)=10),Oct_Dim1+2,""),IF(AND(YEAR(Oct_Dim1+9)=Année_Calendaire,MONTH(Oct_Dim1+9)=10),Oct_Dim1+9,""))</f>
        <v>42647</v>
      </c>
      <c r="D7" s="20">
        <f>IF(DAY(Oct_Dim1)=1,IF(AND(YEAR(Oct_Dim1+3)=Année_Calendaire,MONTH(Oct_Dim1+3)=10),Oct_Dim1+3,""),IF(AND(YEAR(Oct_Dim1+10)=Année_Calendaire,MONTH(Oct_Dim1+10)=10),Oct_Dim1+10,""))</f>
        <v>42648</v>
      </c>
      <c r="E7" s="19">
        <f>IF(DAY(Oct_Dim1)=1,IF(AND(YEAR(Oct_Dim1+4)=Année_Calendaire,MONTH(Oct_Dim1+4)=10),Oct_Dim1+4,""),IF(AND(YEAR(Oct_Dim1+11)=Année_Calendaire,MONTH(Oct_Dim1+11)=10),Oct_Dim1+11,""))</f>
        <v>42649</v>
      </c>
      <c r="F7" s="20">
        <f>IF(DAY(Oct_Dim1)=1,IF(AND(YEAR(Oct_Dim1+5)=Année_Calendaire,MONTH(Oct_Dim1+5)=10),Oct_Dim1+5,""),IF(AND(YEAR(Oct_Dim1+12)=Année_Calendaire,MONTH(Oct_Dim1+12)=10),Oct_Dim1+12,""))</f>
        <v>42650</v>
      </c>
      <c r="G7" s="25">
        <f>IF(DAY(Oct_Dim1)=1,IF(AND(YEAR(Oct_Dim1+6)=Année_Calendaire,MONTH(Oct_Dim1+6)=10),Oct_Dim1+6,""),IF(AND(YEAR(Oct_Dim1+13)=Année_Calendaire,MONTH(Oct_Dim1+13)=10),Oct_Dim1+13,""))</f>
        <v>42651</v>
      </c>
      <c r="H7" s="19">
        <f>IF(DAY(Oct_Dim1)=1,IF(AND(YEAR(Oct_Dim1+7)=Année_Calendaire,MONTH(Oct_Dim1+7)=10),Oct_Dim1+7,""),IF(AND(YEAR(Oct_Dim1+14)=Année_Calendaire,MONTH(Oct_Dim1+14)=10),Oct_Dim1+14,""))</f>
        <v>42652</v>
      </c>
      <c r="I7" s="10"/>
    </row>
    <row r="8" spans="1:18" ht="55.5" customHeight="1" x14ac:dyDescent="0.25">
      <c r="A8"/>
      <c r="B8" s="29"/>
      <c r="C8" s="30"/>
      <c r="D8" s="31"/>
      <c r="E8" s="30"/>
      <c r="F8" s="31"/>
      <c r="G8" s="32"/>
      <c r="H8" s="33"/>
      <c r="I8" s="3"/>
    </row>
    <row r="9" spans="1:18" s="11" customFormat="1" ht="15" customHeight="1" x14ac:dyDescent="0.25">
      <c r="A9" s="9"/>
      <c r="B9" s="65">
        <f>IF(DAY(Oct_Dim1)=1,IF(AND(YEAR(Oct_Dim1+8)=Année_Calendaire,MONTH(Oct_Dim1+8)=10),Oct_Dim1+8,""),IF(AND(YEAR(Oct_Dim1+15)=Année_Calendaire,MONTH(Oct_Dim1+15)=10),Oct_Dim1+15,""))</f>
        <v>42653</v>
      </c>
      <c r="C9" s="58">
        <f>IF(DAY(Oct_Dim1)=1,IF(AND(YEAR(Oct_Dim1+9)=Année_Calendaire,MONTH(Oct_Dim1+9)=10),Oct_Dim1+9,""),IF(AND(YEAR(Oct_Dim1+16)=Année_Calendaire,MONTH(Oct_Dim1+16)=10),Oct_Dim1+16,""))</f>
        <v>42654</v>
      </c>
      <c r="D9" s="54">
        <f>IF(DAY(Oct_Dim1)=1,IF(AND(YEAR(Oct_Dim1+10)=Année_Calendaire,MONTH(Oct_Dim1+10)=10),Oct_Dim1+10,""),IF(AND(YEAR(Oct_Dim1+17)=Année_Calendaire,MONTH(Oct_Dim1+17)=10),Oct_Dim1+17,""))</f>
        <v>42655</v>
      </c>
      <c r="E9" s="58">
        <f>IF(DAY(Oct_Dim1)=1,IF(AND(YEAR(Oct_Dim1+11)=Année_Calendaire,MONTH(Oct_Dim1+11)=10),Oct_Dim1+11,""),IF(AND(YEAR(Oct_Dim1+18)=Année_Calendaire,MONTH(Oct_Dim1+18)=10),Oct_Dim1+18,""))</f>
        <v>42656</v>
      </c>
      <c r="F9" s="54">
        <f>IF(DAY(Oct_Dim1)=1,IF(AND(YEAR(Oct_Dim1+12)=Année_Calendaire,MONTH(Oct_Dim1+12)=10),Oct_Dim1+12,""),IF(AND(YEAR(Oct_Dim1+19)=Année_Calendaire,MONTH(Oct_Dim1+19)=10),Oct_Dim1+19,""))</f>
        <v>42657</v>
      </c>
      <c r="G9" s="65">
        <f>IF(DAY(Oct_Dim1)=1,IF(AND(YEAR(Oct_Dim1+13)=Année_Calendaire,MONTH(Oct_Dim1+13)=10),Oct_Dim1+13,""),IF(AND(YEAR(Oct_Dim1+20)=Année_Calendaire,MONTH(Oct_Dim1+20)=10),Oct_Dim1+20,""))</f>
        <v>42658</v>
      </c>
      <c r="H9" s="58">
        <f>IF(DAY(Oct_Dim1)=1,IF(AND(YEAR(Oct_Dim1+14)=Année_Calendaire,MONTH(Oct_Dim1+14)=10),Oct_Dim1+14,""),IF(AND(YEAR(Oct_Dim1+21)=Année_Calendaire,MONTH(Oct_Dim1+21)=10),Oct_Dim1+21,""))</f>
        <v>42659</v>
      </c>
      <c r="I9" s="10"/>
    </row>
    <row r="10" spans="1:18" ht="55.5" customHeight="1" x14ac:dyDescent="0.25">
      <c r="A10"/>
      <c r="B10" s="60"/>
      <c r="C10" s="61"/>
      <c r="D10" s="62"/>
      <c r="E10" s="61"/>
      <c r="F10" s="62"/>
      <c r="G10" s="63"/>
      <c r="H10" s="64"/>
      <c r="I10" s="3"/>
    </row>
    <row r="11" spans="1:18" s="11" customFormat="1" ht="15" customHeight="1" x14ac:dyDescent="0.25">
      <c r="A11" s="9"/>
      <c r="B11" s="25">
        <f>IF(DAY(Oct_Dim1)=1,IF(AND(YEAR(Oct_Dim1+15)=Année_Calendaire,MONTH(Oct_Dim1+15)=10),Oct_Dim1+15,""),IF(AND(YEAR(Oct_Dim1+22)=Année_Calendaire,MONTH(Oct_Dim1+22)=10),Oct_Dim1+22,""))</f>
        <v>42660</v>
      </c>
      <c r="C11" s="19">
        <f>IF(DAY(Oct_Dim1)=1,IF(AND(YEAR(Oct_Dim1+16)=Année_Calendaire,MONTH(Oct_Dim1+16)=10),Oct_Dim1+16,""),IF(AND(YEAR(Oct_Dim1+23)=Année_Calendaire,MONTH(Oct_Dim1+23)=10),Oct_Dim1+23,""))</f>
        <v>42661</v>
      </c>
      <c r="D11" s="20">
        <f>IF(DAY(Oct_Dim1)=1,IF(AND(YEAR(Oct_Dim1+17)=Année_Calendaire,MONTH(Oct_Dim1+17)=10),Oct_Dim1+17,""),IF(AND(YEAR(Oct_Dim1+24)=Année_Calendaire,MONTH(Oct_Dim1+24)=10),Oct_Dim1+24,""))</f>
        <v>42662</v>
      </c>
      <c r="E11" s="19">
        <f>IF(DAY(Oct_Dim1)=1,IF(AND(YEAR(Oct_Dim1+18)=Année_Calendaire,MONTH(Oct_Dim1+18)=10),Oct_Dim1+18,""),IF(AND(YEAR(Oct_Dim1+25)=Année_Calendaire,MONTH(Oct_Dim1+25)=10),Oct_Dim1+25,""))</f>
        <v>42663</v>
      </c>
      <c r="F11" s="20">
        <f>IF(DAY(Oct_Dim1)=1,IF(AND(YEAR(Oct_Dim1+19)=Année_Calendaire,MONTH(Oct_Dim1+19)=10),Oct_Dim1+19,""),IF(AND(YEAR(Oct_Dim1+26)=Année_Calendaire,MONTH(Oct_Dim1+26)=10),Oct_Dim1+26,""))</f>
        <v>42664</v>
      </c>
      <c r="G11" s="25">
        <f>IF(DAY(Oct_Dim1)=1,IF(AND(YEAR(Oct_Dim1+20)=Année_Calendaire,MONTH(Oct_Dim1+20)=10),Oct_Dim1+20,""),IF(AND(YEAR(Oct_Dim1+27)=Année_Calendaire,MONTH(Oct_Dim1+27)=10),Oct_Dim1+27,""))</f>
        <v>42665</v>
      </c>
      <c r="H11" s="19">
        <f>IF(DAY(Oct_Dim1)=1,IF(AND(YEAR(Oct_Dim1+21)=Année_Calendaire,MONTH(Oct_Dim1+21)=10),Oct_Dim1+21,""),IF(AND(YEAR(Oct_Dim1+28)=Année_Calendaire,MONTH(Oct_Dim1+28)=10),Oct_Dim1+28,""))</f>
        <v>42666</v>
      </c>
      <c r="I11" s="10"/>
    </row>
    <row r="12" spans="1:18" ht="55.5" customHeight="1" x14ac:dyDescent="0.25">
      <c r="A12"/>
      <c r="B12" s="29"/>
      <c r="C12" s="30"/>
      <c r="D12" s="31"/>
      <c r="E12" s="30"/>
      <c r="F12" s="31"/>
      <c r="G12" s="32"/>
      <c r="H12" s="33"/>
      <c r="I12" s="3"/>
    </row>
    <row r="13" spans="1:18" s="11" customFormat="1" ht="15" customHeight="1" x14ac:dyDescent="0.25">
      <c r="A13" s="9"/>
      <c r="B13" s="65">
        <f>IF(DAY(Oct_Dim1)=1,IF(AND(YEAR(Oct_Dim1+22)=Année_Calendaire,MONTH(Oct_Dim1+22)=10),Oct_Dim1+22,""),IF(AND(YEAR(Oct_Dim1+29)=Année_Calendaire,MONTH(Oct_Dim1+29)=10),Oct_Dim1+29,""))</f>
        <v>42667</v>
      </c>
      <c r="C13" s="58">
        <f>IF(DAY(Oct_Dim1)=1,IF(AND(YEAR(Oct_Dim1+23)=Année_Calendaire,MONTH(Oct_Dim1+23)=10),Oct_Dim1+23,""),IF(AND(YEAR(Oct_Dim1+30)=Année_Calendaire,MONTH(Oct_Dim1+30)=10),Oct_Dim1+30,""))</f>
        <v>42668</v>
      </c>
      <c r="D13" s="54">
        <f>IF(DAY(Oct_Dim1)=1,IF(AND(YEAR(Oct_Dim1+24)=Année_Calendaire,MONTH(Oct_Dim1+24)=10),Oct_Dim1+24,""),IF(AND(YEAR(Oct_Dim1+31)=Année_Calendaire,MONTH(Oct_Dim1+31)=10),Oct_Dim1+31,""))</f>
        <v>42669</v>
      </c>
      <c r="E13" s="58">
        <f>IF(DAY(Oct_Dim1)=1,IF(AND(YEAR(Oct_Dim1+25)=Année_Calendaire,MONTH(Oct_Dim1+25)=10),Oct_Dim1+25,""),IF(AND(YEAR(Oct_Dim1+32)=Année_Calendaire,MONTH(Oct_Dim1+32)=10),Oct_Dim1+32,""))</f>
        <v>42670</v>
      </c>
      <c r="F13" s="54">
        <f>IF(DAY(Oct_Dim1)=1,IF(AND(YEAR(Oct_Dim1+26)=Année_Calendaire,MONTH(Oct_Dim1+26)=10),Oct_Dim1+26,""),IF(AND(YEAR(Oct_Dim1+33)=Année_Calendaire,MONTH(Oct_Dim1+33)=10),Oct_Dim1+33,""))</f>
        <v>42671</v>
      </c>
      <c r="G13" s="65">
        <f>IF(DAY(Oct_Dim1)=1,IF(AND(YEAR(Oct_Dim1+27)=Année_Calendaire,MONTH(Oct_Dim1+27)=10),Oct_Dim1+27,""),IF(AND(YEAR(Oct_Dim1+34)=Année_Calendaire,MONTH(Oct_Dim1+34)=10),Oct_Dim1+34,""))</f>
        <v>42672</v>
      </c>
      <c r="H13" s="58">
        <f>IF(DAY(Oct_Dim1)=1,IF(AND(YEAR(Oct_Dim1+28)=Année_Calendaire,MONTH(Oct_Dim1+28)=10),Oct_Dim1+28,""),IF(AND(YEAR(Oct_Dim1+35)=Année_Calendaire,MONTH(Oct_Dim1+35)=10),Oct_Dim1+35,""))</f>
        <v>42673</v>
      </c>
      <c r="I13" s="10"/>
    </row>
    <row r="14" spans="1:18" ht="55.5" customHeight="1" x14ac:dyDescent="0.25">
      <c r="A14"/>
      <c r="B14" s="60"/>
      <c r="C14" s="61"/>
      <c r="D14" s="62"/>
      <c r="E14" s="61"/>
      <c r="F14" s="62"/>
      <c r="G14" s="63"/>
      <c r="H14" s="64"/>
      <c r="I14" s="3"/>
    </row>
    <row r="15" spans="1:18" ht="15" customHeight="1" x14ac:dyDescent="0.25">
      <c r="A15"/>
      <c r="B15" s="19">
        <f>IF(DAY(Oct_Dim1)=1,IF(AND(YEAR(Oct_Dim1+29)=Année_Calendaire,MONTH(Oct_Dim1+29)=10),Oct_Dim1+29,""),IF(AND(YEAR(Oct_Dim1+36)=Année_Calendaire,MONTH(Oct_Dim1+36)=10),Oct_Dim1+36,""))</f>
        <v>42674</v>
      </c>
      <c r="C15" s="19" t="str">
        <f>IF(DAY(Oct_Dim1)=1,IF(AND(YEAR(Oct_Dim1+30)=Année_Calendaire,MONTH(Oct_Dim1+30)=10),Oct_Dim1+30,""),IF(AND(YEAR(Oct_Dim1+37)=Année_Calendaire,MONTH(Oct_Dim1+37)=10),Oct_Dim1+37,""))</f>
        <v/>
      </c>
      <c r="D15" s="45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30"/>
      <c r="C16" s="30"/>
      <c r="D16" s="46"/>
      <c r="E16" s="46"/>
      <c r="F16" s="46"/>
      <c r="G16" s="46"/>
      <c r="H16" s="47"/>
      <c r="I16" s="3"/>
    </row>
    <row r="17" spans="3:5" ht="17.2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6">
    <mergeCell ref="G1:H1"/>
    <mergeCell ref="G3:H3"/>
    <mergeCell ref="D15:H15"/>
    <mergeCell ref="D16:H16"/>
    <mergeCell ref="B3:C3"/>
    <mergeCell ref="D3:E3"/>
  </mergeCells>
  <printOptions horizontalCentered="1" verticalCentered="1"/>
  <pageMargins left="0.2" right="0.2" top="0.25" bottom="0.25" header="0" footer="0"/>
  <pageSetup scale="69" orientation="landscape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8</xdr:col>
                <xdr:colOff>161925</xdr:colOff>
                <xdr:row>3</xdr:row>
                <xdr:rowOff>9525</xdr:rowOff>
              </from>
              <to>
                <xdr:col>9</xdr:col>
                <xdr:colOff>942975</xdr:colOff>
                <xdr:row>4</xdr:row>
                <xdr:rowOff>57150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R20"/>
  <sheetViews>
    <sheetView showGridLines="0" zoomScaleNormal="100" workbookViewId="0">
      <selection activeCell="I8" sqref="I8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x14ac:dyDescent="0.25">
      <c r="A1"/>
      <c r="F1" s="7"/>
      <c r="G1" s="37"/>
      <c r="H1" s="37"/>
      <c r="L1" s="11"/>
    </row>
    <row r="2" spans="1:18" ht="26.25" customHeight="1" x14ac:dyDescent="0.25">
      <c r="A2"/>
      <c r="L2" s="11"/>
    </row>
    <row r="3" spans="1:18" ht="57.75" customHeight="1" x14ac:dyDescent="0.25">
      <c r="A3"/>
      <c r="B3" s="50" t="s">
        <v>19</v>
      </c>
      <c r="C3" s="50"/>
      <c r="D3" s="50"/>
      <c r="E3" s="35">
        <f>Jan!L2</f>
        <v>2016</v>
      </c>
      <c r="F3" s="36" t="s">
        <v>21</v>
      </c>
      <c r="G3" s="52" t="str">
        <f>Jan!G3</f>
        <v>Verdun</v>
      </c>
      <c r="H3" s="52"/>
    </row>
    <row r="4" spans="1:18" s="9" customFormat="1" ht="29.25" customHeight="1" x14ac:dyDescent="0.25">
      <c r="B4" s="22" t="s">
        <v>1</v>
      </c>
      <c r="C4" s="23" t="s">
        <v>2</v>
      </c>
      <c r="D4" s="17" t="s">
        <v>3</v>
      </c>
      <c r="E4" s="23" t="s">
        <v>4</v>
      </c>
      <c r="F4" s="17" t="s">
        <v>5</v>
      </c>
      <c r="G4" s="23" t="s">
        <v>6</v>
      </c>
      <c r="H4" s="24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9" t="str">
        <f>IF(DAY(Nov_Dim1)=1,"",IF(AND(YEAR(Nov_Dim1+1)=Année_Calendaire,MONTH(Nov_Dim1+1)=11),Nov_Dim1+1,""))</f>
        <v/>
      </c>
      <c r="C5" s="53">
        <f>IF(DAY(Nov_Dim1)=1,"",IF(AND(YEAR(Nov_Dim1+2)=Année_Calendaire,MONTH(Nov_Dim1+2)=11),Nov_Dim1+2,""))</f>
        <v>42675</v>
      </c>
      <c r="D5" s="54">
        <f>IF(DAY(Nov_Dim1)=1,"",IF(AND(YEAR(Nov_Dim1+3)=Année_Calendaire,MONTH(Nov_Dim1+3)=11),Nov_Dim1+3,""))</f>
        <v>42676</v>
      </c>
      <c r="E5" s="53">
        <f>IF(DAY(Nov_Dim1)=1,"",IF(AND(YEAR(Nov_Dim1+4)=Année_Calendaire,MONTH(Nov_Dim1+4)=11),Nov_Dim1+4,""))</f>
        <v>42677</v>
      </c>
      <c r="F5" s="54">
        <f>IF(DAY(Nov_Dim1)=1,"",IF(AND(YEAR(Nov_Dim1+5)=Année_Calendaire,MONTH(Nov_Dim1+5)=11),Nov_Dim1+5,""))</f>
        <v>42678</v>
      </c>
      <c r="G5" s="59">
        <f>IF(DAY(Nov_Dim1)=1,"",IF(AND(YEAR(Nov_Dim1+6)=Année_Calendaire,MONTH(Nov_Dim1+6)=11),Nov_Dim1+6,""))</f>
        <v>42679</v>
      </c>
      <c r="H5" s="53">
        <f>IF(DAY(Nov_Dim1)=1,IF(AND(YEAR(Nov_Dim1)=Année_Calendaire,MONTH(Nov_Dim1)=11),Nov_Dim1,""),IF(AND(YEAR(Nov_Dim1+7)=Année_Calendaire,MONTH(Nov_Dim1+7)=11),Nov_Dim1+7,""))</f>
        <v>42680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60"/>
      <c r="C6" s="61"/>
      <c r="D6" s="62"/>
      <c r="E6" s="61"/>
      <c r="F6" s="62"/>
      <c r="G6" s="63"/>
      <c r="H6" s="64"/>
      <c r="I6" s="3"/>
    </row>
    <row r="7" spans="1:18" s="11" customFormat="1" ht="15" customHeight="1" x14ac:dyDescent="0.25">
      <c r="A7" s="9"/>
      <c r="B7" s="25">
        <f>IF(DAY(Nov_Dim1)=1,IF(AND(YEAR(Nov_Dim1+1)=Année_Calendaire,MONTH(Nov_Dim1+1)=11),Nov_Dim1+1,""),IF(AND(YEAR(Nov_Dim1+8)=Année_Calendaire,MONTH(Nov_Dim1+8)=11),Nov_Dim1+8,""))</f>
        <v>42681</v>
      </c>
      <c r="C7" s="19">
        <f>IF(DAY(Nov_Dim1)=1,IF(AND(YEAR(Nov_Dim1+2)=Année_Calendaire,MONTH(Nov_Dim1+2)=11),Nov_Dim1+2,""),IF(AND(YEAR(Nov_Dim1+9)=Année_Calendaire,MONTH(Nov_Dim1+9)=11),Nov_Dim1+9,""))</f>
        <v>42682</v>
      </c>
      <c r="D7" s="20">
        <f>IF(DAY(Nov_Dim1)=1,IF(AND(YEAR(Nov_Dim1+3)=Année_Calendaire,MONTH(Nov_Dim1+3)=11),Nov_Dim1+3,""),IF(AND(YEAR(Nov_Dim1+10)=Année_Calendaire,MONTH(Nov_Dim1+10)=11),Nov_Dim1+10,""))</f>
        <v>42683</v>
      </c>
      <c r="E7" s="19">
        <f>IF(DAY(Nov_Dim1)=1,IF(AND(YEAR(Nov_Dim1+4)=Année_Calendaire,MONTH(Nov_Dim1+4)=11),Nov_Dim1+4,""),IF(AND(YEAR(Nov_Dim1+11)=Année_Calendaire,MONTH(Nov_Dim1+11)=11),Nov_Dim1+11,""))</f>
        <v>42684</v>
      </c>
      <c r="F7" s="20">
        <f>IF(DAY(Nov_Dim1)=1,IF(AND(YEAR(Nov_Dim1+5)=Année_Calendaire,MONTH(Nov_Dim1+5)=11),Nov_Dim1+5,""),IF(AND(YEAR(Nov_Dim1+12)=Année_Calendaire,MONTH(Nov_Dim1+12)=11),Nov_Dim1+12,""))</f>
        <v>42685</v>
      </c>
      <c r="G7" s="25">
        <f>IF(DAY(Nov_Dim1)=1,IF(AND(YEAR(Nov_Dim1+6)=Année_Calendaire,MONTH(Nov_Dim1+6)=11),Nov_Dim1+6,""),IF(AND(YEAR(Nov_Dim1+13)=Année_Calendaire,MONTH(Nov_Dim1+13)=11),Nov_Dim1+13,""))</f>
        <v>42686</v>
      </c>
      <c r="H7" s="19">
        <f>IF(DAY(Nov_Dim1)=1,IF(AND(YEAR(Nov_Dim1+7)=Année_Calendaire,MONTH(Nov_Dim1+7)=11),Nov_Dim1+7,""),IF(AND(YEAR(Nov_Dim1+14)=Année_Calendaire,MONTH(Nov_Dim1+14)=11),Nov_Dim1+14,""))</f>
        <v>42687</v>
      </c>
      <c r="I7" s="10"/>
    </row>
    <row r="8" spans="1:18" ht="55.5" customHeight="1" x14ac:dyDescent="0.25">
      <c r="A8"/>
      <c r="B8" s="29"/>
      <c r="C8" s="30"/>
      <c r="D8" s="31"/>
      <c r="E8" s="30"/>
      <c r="F8" s="31"/>
      <c r="G8" s="32"/>
      <c r="H8" s="33"/>
      <c r="I8" s="3"/>
    </row>
    <row r="9" spans="1:18" s="11" customFormat="1" ht="15" customHeight="1" x14ac:dyDescent="0.25">
      <c r="A9" s="9"/>
      <c r="B9" s="65">
        <f>IF(DAY(Nov_Dim1)=1,IF(AND(YEAR(Nov_Dim1+8)=Année_Calendaire,MONTH(Nov_Dim1+8)=11),Nov_Dim1+8,""),IF(AND(YEAR(Nov_Dim1+15)=Année_Calendaire,MONTH(Nov_Dim1+15)=11),Nov_Dim1+15,""))</f>
        <v>42688</v>
      </c>
      <c r="C9" s="58">
        <f>IF(DAY(Nov_Dim1)=1,IF(AND(YEAR(Nov_Dim1+9)=Année_Calendaire,MONTH(Nov_Dim1+9)=11),Nov_Dim1+9,""),IF(AND(YEAR(Nov_Dim1+16)=Année_Calendaire,MONTH(Nov_Dim1+16)=11),Nov_Dim1+16,""))</f>
        <v>42689</v>
      </c>
      <c r="D9" s="54">
        <f>IF(DAY(Nov_Dim1)=1,IF(AND(YEAR(Nov_Dim1+10)=Année_Calendaire,MONTH(Nov_Dim1+10)=11),Nov_Dim1+10,""),IF(AND(YEAR(Nov_Dim1+17)=Année_Calendaire,MONTH(Nov_Dim1+17)=11),Nov_Dim1+17,""))</f>
        <v>42690</v>
      </c>
      <c r="E9" s="58">
        <f>IF(DAY(Nov_Dim1)=1,IF(AND(YEAR(Nov_Dim1+11)=Année_Calendaire,MONTH(Nov_Dim1+11)=11),Nov_Dim1+11,""),IF(AND(YEAR(Nov_Dim1+18)=Année_Calendaire,MONTH(Nov_Dim1+18)=11),Nov_Dim1+18,""))</f>
        <v>42691</v>
      </c>
      <c r="F9" s="54">
        <f>IF(DAY(Nov_Dim1)=1,IF(AND(YEAR(Nov_Dim1+12)=Année_Calendaire,MONTH(Nov_Dim1+12)=11),Nov_Dim1+12,""),IF(AND(YEAR(Nov_Dim1+19)=Année_Calendaire,MONTH(Nov_Dim1+19)=11),Nov_Dim1+19,""))</f>
        <v>42692</v>
      </c>
      <c r="G9" s="65">
        <f>IF(DAY(Nov_Dim1)=1,IF(AND(YEAR(Nov_Dim1+13)=Année_Calendaire,MONTH(Nov_Dim1+13)=11),Nov_Dim1+13,""),IF(AND(YEAR(Nov_Dim1+20)=Année_Calendaire,MONTH(Nov_Dim1+20)=11),Nov_Dim1+20,""))</f>
        <v>42693</v>
      </c>
      <c r="H9" s="58">
        <f>IF(DAY(Nov_Dim1)=1,IF(AND(YEAR(Nov_Dim1+14)=Année_Calendaire,MONTH(Nov_Dim1+14)=11),Nov_Dim1+14,""),IF(AND(YEAR(Nov_Dim1+21)=Année_Calendaire,MONTH(Nov_Dim1+21)=11),Nov_Dim1+21,""))</f>
        <v>42694</v>
      </c>
      <c r="I9" s="10"/>
    </row>
    <row r="10" spans="1:18" ht="55.5" customHeight="1" x14ac:dyDescent="0.25">
      <c r="A10"/>
      <c r="B10" s="60"/>
      <c r="C10" s="61"/>
      <c r="D10" s="62"/>
      <c r="E10" s="61"/>
      <c r="F10" s="62"/>
      <c r="G10" s="63"/>
      <c r="H10" s="64"/>
      <c r="I10" s="3"/>
    </row>
    <row r="11" spans="1:18" s="11" customFormat="1" ht="15" customHeight="1" x14ac:dyDescent="0.25">
      <c r="A11" s="9"/>
      <c r="B11" s="25">
        <f>IF(DAY(Nov_Dim1)=1,IF(AND(YEAR(Nov_Dim1+15)=Année_Calendaire,MONTH(Nov_Dim1+15)=11),Nov_Dim1+15,""),IF(AND(YEAR(Nov_Dim1+22)=Année_Calendaire,MONTH(Nov_Dim1+22)=11),Nov_Dim1+22,""))</f>
        <v>42695</v>
      </c>
      <c r="C11" s="19">
        <f>IF(DAY(Nov_Dim1)=1,IF(AND(YEAR(Nov_Dim1+16)=Année_Calendaire,MONTH(Nov_Dim1+16)=11),Nov_Dim1+16,""),IF(AND(YEAR(Nov_Dim1+23)=Année_Calendaire,MONTH(Nov_Dim1+23)=11),Nov_Dim1+23,""))</f>
        <v>42696</v>
      </c>
      <c r="D11" s="20">
        <f>IF(DAY(Nov_Dim1)=1,IF(AND(YEAR(Nov_Dim1+17)=Année_Calendaire,MONTH(Nov_Dim1+17)=11),Nov_Dim1+17,""),IF(AND(YEAR(Nov_Dim1+24)=Année_Calendaire,MONTH(Nov_Dim1+24)=11),Nov_Dim1+24,""))</f>
        <v>42697</v>
      </c>
      <c r="E11" s="19">
        <f>IF(DAY(Nov_Dim1)=1,IF(AND(YEAR(Nov_Dim1+18)=Année_Calendaire,MONTH(Nov_Dim1+18)=11),Nov_Dim1+18,""),IF(AND(YEAR(Nov_Dim1+25)=Année_Calendaire,MONTH(Nov_Dim1+25)=11),Nov_Dim1+25,""))</f>
        <v>42698</v>
      </c>
      <c r="F11" s="20">
        <f>IF(DAY(Nov_Dim1)=1,IF(AND(YEAR(Nov_Dim1+19)=Année_Calendaire,MONTH(Nov_Dim1+19)=11),Nov_Dim1+19,""),IF(AND(YEAR(Nov_Dim1+26)=Année_Calendaire,MONTH(Nov_Dim1+26)=11),Nov_Dim1+26,""))</f>
        <v>42699</v>
      </c>
      <c r="G11" s="25">
        <f>IF(DAY(Nov_Dim1)=1,IF(AND(YEAR(Nov_Dim1+20)=Année_Calendaire,MONTH(Nov_Dim1+20)=11),Nov_Dim1+20,""),IF(AND(YEAR(Nov_Dim1+27)=Année_Calendaire,MONTH(Nov_Dim1+27)=11),Nov_Dim1+27,""))</f>
        <v>42700</v>
      </c>
      <c r="H11" s="19">
        <f>IF(DAY(Nov_Dim1)=1,IF(AND(YEAR(Nov_Dim1+21)=Année_Calendaire,MONTH(Nov_Dim1+21)=11),Nov_Dim1+21,""),IF(AND(YEAR(Nov_Dim1+28)=Année_Calendaire,MONTH(Nov_Dim1+28)=11),Nov_Dim1+28,""))</f>
        <v>42701</v>
      </c>
      <c r="I11" s="10"/>
    </row>
    <row r="12" spans="1:18" ht="55.5" customHeight="1" x14ac:dyDescent="0.25">
      <c r="A12"/>
      <c r="B12" s="29"/>
      <c r="C12" s="30"/>
      <c r="D12" s="31"/>
      <c r="E12" s="30"/>
      <c r="F12" s="31"/>
      <c r="G12" s="32"/>
      <c r="H12" s="33"/>
      <c r="I12" s="3"/>
    </row>
    <row r="13" spans="1:18" s="11" customFormat="1" ht="15" customHeight="1" x14ac:dyDescent="0.25">
      <c r="A13" s="9"/>
      <c r="B13" s="65">
        <f>IF(DAY(Nov_Dim1)=1,IF(AND(YEAR(Nov_Dim1+22)=Année_Calendaire,MONTH(Nov_Dim1+22)=11),Nov_Dim1+22,""),IF(AND(YEAR(Nov_Dim1+29)=Année_Calendaire,MONTH(Nov_Dim1+29)=11),Nov_Dim1+29,""))</f>
        <v>42702</v>
      </c>
      <c r="C13" s="58">
        <f>IF(DAY(Nov_Dim1)=1,IF(AND(YEAR(Nov_Dim1+23)=Année_Calendaire,MONTH(Nov_Dim1+23)=11),Nov_Dim1+23,""),IF(AND(YEAR(Nov_Dim1+30)=Année_Calendaire,MONTH(Nov_Dim1+30)=11),Nov_Dim1+30,""))</f>
        <v>42703</v>
      </c>
      <c r="D13" s="54">
        <f>IF(DAY(Nov_Dim1)=1,IF(AND(YEAR(Nov_Dim1+24)=Année_Calendaire,MONTH(Nov_Dim1+24)=11),Nov_Dim1+24,""),IF(AND(YEAR(Nov_Dim1+31)=Année_Calendaire,MONTH(Nov_Dim1+31)=11),Nov_Dim1+31,""))</f>
        <v>42704</v>
      </c>
      <c r="E13" s="58" t="str">
        <f>IF(DAY(Nov_Dim1)=1,IF(AND(YEAR(Nov_Dim1+25)=Année_Calendaire,MONTH(Nov_Dim1+25)=11),Nov_Dim1+25,""),IF(AND(YEAR(Nov_Dim1+32)=Année_Calendaire,MONTH(Nov_Dim1+32)=11),Nov_Dim1+32,""))</f>
        <v/>
      </c>
      <c r="F13" s="54" t="str">
        <f>IF(DAY(Nov_Dim1)=1,IF(AND(YEAR(Nov_Dim1+26)=Année_Calendaire,MONTH(Nov_Dim1+26)=11),Nov_Dim1+26,""),IF(AND(YEAR(Nov_Dim1+33)=Année_Calendaire,MONTH(Nov_Dim1+33)=11),Nov_Dim1+33,""))</f>
        <v/>
      </c>
      <c r="G13" s="65" t="str">
        <f>IF(DAY(Nov_Dim1)=1,IF(AND(YEAR(Nov_Dim1+27)=Année_Calendaire,MONTH(Nov_Dim1+27)=11),Nov_Dim1+27,""),IF(AND(YEAR(Nov_Dim1+34)=Année_Calendaire,MONTH(Nov_Dim1+34)=11),Nov_Dim1+34,""))</f>
        <v/>
      </c>
      <c r="H13" s="58" t="str">
        <f>IF(DAY(Nov_Dim1)=1,IF(AND(YEAR(Nov_Dim1+28)=Année_Calendaire,MONTH(Nov_Dim1+28)=11),Nov_Dim1+28,""),IF(AND(YEAR(Nov_Dim1+35)=Année_Calendaire,MONTH(Nov_Dim1+35)=11),Nov_Dim1+35,""))</f>
        <v/>
      </c>
      <c r="I13" s="10"/>
    </row>
    <row r="14" spans="1:18" ht="55.5" customHeight="1" x14ac:dyDescent="0.25">
      <c r="A14"/>
      <c r="B14" s="60"/>
      <c r="C14" s="61"/>
      <c r="D14" s="62"/>
      <c r="E14" s="61"/>
      <c r="F14" s="62"/>
      <c r="G14" s="63"/>
      <c r="H14" s="64"/>
      <c r="I14" s="3"/>
    </row>
    <row r="15" spans="1:18" ht="15" customHeight="1" x14ac:dyDescent="0.25">
      <c r="A15"/>
      <c r="B15" s="19" t="str">
        <f>IF(DAY(Nov_Dim1)=1,IF(AND(YEAR(Nov_Dim1+29)=Année_Calendaire,MONTH(Nov_Dim1+29)=11),Nov_Dim1+29,""),IF(AND(YEAR(Nov_Dim1+36)=Année_Calendaire,MONTH(Nov_Dim1+36)=11),Nov_Dim1+36,""))</f>
        <v/>
      </c>
      <c r="C15" s="19" t="str">
        <f>IF(DAY(Nov_Dim1)=1,IF(AND(YEAR(Nov_Dim1+30)=Année_Calendaire,MONTH(Nov_Dim1+30)=11),Nov_Dim1+30,""),IF(AND(YEAR(Nov_Dim1+37)=Année_Calendaire,MONTH(Nov_Dim1+37)=11),Nov_Dim1+37,""))</f>
        <v/>
      </c>
      <c r="D15" s="45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30"/>
      <c r="C16" s="30"/>
      <c r="D16" s="46"/>
      <c r="E16" s="46"/>
      <c r="F16" s="46"/>
      <c r="G16" s="46"/>
      <c r="H16" s="47"/>
      <c r="I16" s="3"/>
    </row>
    <row r="17" spans="3:5" ht="17.2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5">
    <mergeCell ref="G1:H1"/>
    <mergeCell ref="G3:H3"/>
    <mergeCell ref="D15:H15"/>
    <mergeCell ref="D16:H16"/>
    <mergeCell ref="B3:D3"/>
  </mergeCells>
  <printOptions horizontalCentered="1" verticalCentered="1"/>
  <pageMargins left="0.2" right="0.2" top="0.25" bottom="0.25" header="0" footer="0"/>
  <pageSetup scale="69" orientation="landscape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8</xdr:col>
                <xdr:colOff>152400</xdr:colOff>
                <xdr:row>3</xdr:row>
                <xdr:rowOff>9525</xdr:rowOff>
              </from>
              <to>
                <xdr:col>9</xdr:col>
                <xdr:colOff>933450</xdr:colOff>
                <xdr:row>4</xdr:row>
                <xdr:rowOff>57150</xdr:rowOff>
              </to>
            </anchor>
          </controlPr>
        </control>
      </mc:Choice>
      <mc:Fallback>
        <control shapeId="11265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R20"/>
  <sheetViews>
    <sheetView showGridLines="0" zoomScaleNormal="100" workbookViewId="0">
      <selection activeCell="G2" sqref="G2"/>
    </sheetView>
  </sheetViews>
  <sheetFormatPr baseColWidth="10" defaultColWidth="6.6640625" defaultRowHeight="14.25" x14ac:dyDescent="0.2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5.75" x14ac:dyDescent="0.25">
      <c r="A1"/>
      <c r="F1" s="7"/>
      <c r="G1" s="37"/>
      <c r="H1" s="37"/>
      <c r="L1" s="11"/>
    </row>
    <row r="2" spans="1:18" ht="26.25" customHeight="1" x14ac:dyDescent="0.25">
      <c r="A2"/>
      <c r="L2" s="11"/>
    </row>
    <row r="3" spans="1:18" ht="57.75" customHeight="1" x14ac:dyDescent="0.25">
      <c r="A3"/>
      <c r="B3" s="50" t="s">
        <v>20</v>
      </c>
      <c r="C3" s="50"/>
      <c r="D3" s="50"/>
      <c r="E3" s="35">
        <f>Jan!L2</f>
        <v>2016</v>
      </c>
      <c r="F3" s="36" t="s">
        <v>21</v>
      </c>
      <c r="G3" s="52" t="str">
        <f>Jan!G3</f>
        <v>Verdun</v>
      </c>
      <c r="H3" s="52"/>
    </row>
    <row r="4" spans="1:18" s="9" customFormat="1" ht="29.25" customHeight="1" x14ac:dyDescent="0.25">
      <c r="B4" s="22" t="s">
        <v>1</v>
      </c>
      <c r="C4" s="23" t="s">
        <v>2</v>
      </c>
      <c r="D4" s="17" t="s">
        <v>3</v>
      </c>
      <c r="E4" s="23" t="s">
        <v>4</v>
      </c>
      <c r="F4" s="17" t="s">
        <v>5</v>
      </c>
      <c r="G4" s="23" t="s">
        <v>6</v>
      </c>
      <c r="H4" s="24" t="s">
        <v>7</v>
      </c>
      <c r="I4" s="11"/>
      <c r="J4" s="11"/>
      <c r="L4" s="11"/>
      <c r="M4" s="12"/>
      <c r="Q4" s="11"/>
      <c r="R4" s="11"/>
    </row>
    <row r="5" spans="1:18" s="9" customFormat="1" ht="15" customHeight="1" x14ac:dyDescent="0.25">
      <c r="B5" s="59" t="str">
        <f>IF(DAY(Déc_Dim1)=1,"",IF(AND(YEAR(Déc_Dim1+1)=Année_Calendaire,MONTH(Déc_Dim1+1)=12),Déc_Dim1+1,""))</f>
        <v/>
      </c>
      <c r="C5" s="53" t="str">
        <f>IF(DAY(Déc_Dim1)=1,"",IF(AND(YEAR(Déc_Dim1+2)=Année_Calendaire,MONTH(Déc_Dim1+2)=12),Déc_Dim1+2,""))</f>
        <v/>
      </c>
      <c r="D5" s="54" t="str">
        <f>IF(DAY(Déc_Dim1)=1,"",IF(AND(YEAR(Déc_Dim1+3)=Année_Calendaire,MONTH(Déc_Dim1+3)=12),Déc_Dim1+3,""))</f>
        <v/>
      </c>
      <c r="E5" s="53">
        <f>IF(DAY(Déc_Dim1)=1,"",IF(AND(YEAR(Déc_Dim1+4)=Année_Calendaire,MONTH(Déc_Dim1+4)=12),Déc_Dim1+4,""))</f>
        <v>42705</v>
      </c>
      <c r="F5" s="54">
        <f>IF(DAY(Déc_Dim1)=1,"",IF(AND(YEAR(Déc_Dim1+5)=Année_Calendaire,MONTH(Déc_Dim1+5)=12),Déc_Dim1+5,""))</f>
        <v>42706</v>
      </c>
      <c r="G5" s="59">
        <f>IF(DAY(Déc_Dim1)=1,"",IF(AND(YEAR(Déc_Dim1+6)=Année_Calendaire,MONTH(Déc_Dim1+6)=12),Déc_Dim1+6,""))</f>
        <v>42707</v>
      </c>
      <c r="H5" s="53">
        <f>IF(DAY(Déc_Dim1)=1,IF(AND(YEAR(Déc_Dim1)=Année_Calendaire,MONTH(Déc_Dim1)=12),Déc_Dim1,""),IF(AND(YEAR(Déc_Dim1+7)=Année_Calendaire,MONTH(Déc_Dim1+7)=12),Déc_Dim1+7,""))</f>
        <v>42708</v>
      </c>
      <c r="I5" s="10"/>
      <c r="K5" s="11"/>
      <c r="L5" s="11"/>
      <c r="M5" s="11"/>
      <c r="Q5" s="2"/>
      <c r="R5" s="11"/>
    </row>
    <row r="6" spans="1:18" s="2" customFormat="1" ht="55.5" customHeight="1" x14ac:dyDescent="0.25">
      <c r="A6"/>
      <c r="B6" s="60"/>
      <c r="C6" s="61"/>
      <c r="D6" s="62"/>
      <c r="E6" s="61"/>
      <c r="F6" s="62"/>
      <c r="G6" s="63"/>
      <c r="H6" s="64"/>
      <c r="I6" s="3"/>
    </row>
    <row r="7" spans="1:18" s="11" customFormat="1" ht="15" customHeight="1" x14ac:dyDescent="0.25">
      <c r="A7" s="9"/>
      <c r="B7" s="25">
        <f>IF(DAY(Déc_Dim1)=1,IF(AND(YEAR(Déc_Dim1+1)=Année_Calendaire,MONTH(Déc_Dim1+1)=12),Déc_Dim1+1,""),IF(AND(YEAR(Déc_Dim1+8)=Année_Calendaire,MONTH(Déc_Dim1+8)=12),Déc_Dim1+8,""))</f>
        <v>42709</v>
      </c>
      <c r="C7" s="19">
        <f>IF(DAY(Déc_Dim1)=1,IF(AND(YEAR(Déc_Dim1+2)=Année_Calendaire,MONTH(Déc_Dim1+2)=12),Déc_Dim1+2,""),IF(AND(YEAR(Déc_Dim1+9)=Année_Calendaire,MONTH(Déc_Dim1+9)=12),Déc_Dim1+9,""))</f>
        <v>42710</v>
      </c>
      <c r="D7" s="20">
        <f>IF(DAY(Déc_Dim1)=1,IF(AND(YEAR(Déc_Dim1+3)=Année_Calendaire,MONTH(Déc_Dim1+3)=12),Déc_Dim1+3,""),IF(AND(YEAR(Déc_Dim1+10)=Année_Calendaire,MONTH(Déc_Dim1+10)=12),Déc_Dim1+10,""))</f>
        <v>42711</v>
      </c>
      <c r="E7" s="19">
        <f>IF(DAY(Déc_Dim1)=1,IF(AND(YEAR(Déc_Dim1+4)=Année_Calendaire,MONTH(Déc_Dim1+4)=12),Déc_Dim1+4,""),IF(AND(YEAR(Déc_Dim1+11)=Année_Calendaire,MONTH(Déc_Dim1+11)=12),Déc_Dim1+11,""))</f>
        <v>42712</v>
      </c>
      <c r="F7" s="20">
        <f>IF(DAY(Déc_Dim1)=1,IF(AND(YEAR(Déc_Dim1+5)=Année_Calendaire,MONTH(Déc_Dim1+5)=12),Déc_Dim1+5,""),IF(AND(YEAR(Déc_Dim1+12)=Année_Calendaire,MONTH(Déc_Dim1+12)=12),Déc_Dim1+12,""))</f>
        <v>42713</v>
      </c>
      <c r="G7" s="25">
        <f>IF(DAY(Déc_Dim1)=1,IF(AND(YEAR(Déc_Dim1+6)=Année_Calendaire,MONTH(Déc_Dim1+6)=12),Déc_Dim1+6,""),IF(AND(YEAR(Déc_Dim1+13)=Année_Calendaire,MONTH(Déc_Dim1+13)=12),Déc_Dim1+13,""))</f>
        <v>42714</v>
      </c>
      <c r="H7" s="19">
        <f>IF(DAY(Déc_Dim1)=1,IF(AND(YEAR(Déc_Dim1+7)=Année_Calendaire,MONTH(Déc_Dim1+7)=12),Déc_Dim1+7,""),IF(AND(YEAR(Déc_Dim1+14)=Année_Calendaire,MONTH(Déc_Dim1+14)=12),Déc_Dim1+14,""))</f>
        <v>42715</v>
      </c>
      <c r="I7" s="10"/>
    </row>
    <row r="8" spans="1:18" ht="55.5" customHeight="1" x14ac:dyDescent="0.25">
      <c r="A8"/>
      <c r="B8" s="29"/>
      <c r="C8" s="30"/>
      <c r="D8" s="31"/>
      <c r="E8" s="30"/>
      <c r="F8" s="31"/>
      <c r="G8" s="32"/>
      <c r="H8" s="33"/>
      <c r="I8" s="3"/>
    </row>
    <row r="9" spans="1:18" s="11" customFormat="1" ht="15" customHeight="1" x14ac:dyDescent="0.25">
      <c r="A9" s="9"/>
      <c r="B9" s="65">
        <f>IF(DAY(Déc_Dim1)=1,IF(AND(YEAR(Déc_Dim1+8)=Année_Calendaire,MONTH(Déc_Dim1+8)=12),Déc_Dim1+8,""),IF(AND(YEAR(Déc_Dim1+15)=Année_Calendaire,MONTH(Déc_Dim1+15)=12),Déc_Dim1+15,""))</f>
        <v>42716</v>
      </c>
      <c r="C9" s="58">
        <f>IF(DAY(Déc_Dim1)=1,IF(AND(YEAR(Déc_Dim1+9)=Année_Calendaire,MONTH(Déc_Dim1+9)=12),Déc_Dim1+9,""),IF(AND(YEAR(Déc_Dim1+16)=Année_Calendaire,MONTH(Déc_Dim1+16)=12),Déc_Dim1+16,""))</f>
        <v>42717</v>
      </c>
      <c r="D9" s="54">
        <f>IF(DAY(Déc_Dim1)=1,IF(AND(YEAR(Déc_Dim1+10)=Année_Calendaire,MONTH(Déc_Dim1+10)=12),Déc_Dim1+10,""),IF(AND(YEAR(Déc_Dim1+17)=Année_Calendaire,MONTH(Déc_Dim1+17)=12),Déc_Dim1+17,""))</f>
        <v>42718</v>
      </c>
      <c r="E9" s="58">
        <f>IF(DAY(Déc_Dim1)=1,IF(AND(YEAR(Déc_Dim1+11)=Année_Calendaire,MONTH(Déc_Dim1+11)=12),Déc_Dim1+11,""),IF(AND(YEAR(Déc_Dim1+18)=Année_Calendaire,MONTH(Déc_Dim1+18)=12),Déc_Dim1+18,""))</f>
        <v>42719</v>
      </c>
      <c r="F9" s="54">
        <f>IF(DAY(Déc_Dim1)=1,IF(AND(YEAR(Déc_Dim1+12)=Année_Calendaire,MONTH(Déc_Dim1+12)=12),Déc_Dim1+12,""),IF(AND(YEAR(Déc_Dim1+19)=Année_Calendaire,MONTH(Déc_Dim1+19)=12),Déc_Dim1+19,""))</f>
        <v>42720</v>
      </c>
      <c r="G9" s="65">
        <f>IF(DAY(Déc_Dim1)=1,IF(AND(YEAR(Déc_Dim1+13)=Année_Calendaire,MONTH(Déc_Dim1+13)=12),Déc_Dim1+13,""),IF(AND(YEAR(Déc_Dim1+20)=Année_Calendaire,MONTH(Déc_Dim1+20)=12),Déc_Dim1+20,""))</f>
        <v>42721</v>
      </c>
      <c r="H9" s="58">
        <f>IF(DAY(Déc_Dim1)=1,IF(AND(YEAR(Déc_Dim1+14)=Année_Calendaire,MONTH(Déc_Dim1+14)=12),Déc_Dim1+14,""),IF(AND(YEAR(Déc_Dim1+21)=Année_Calendaire,MONTH(Déc_Dim1+21)=12),Déc_Dim1+21,""))</f>
        <v>42722</v>
      </c>
      <c r="I9" s="10"/>
    </row>
    <row r="10" spans="1:18" ht="55.5" customHeight="1" x14ac:dyDescent="0.25">
      <c r="A10"/>
      <c r="B10" s="60"/>
      <c r="C10" s="61"/>
      <c r="D10" s="62"/>
      <c r="E10" s="61"/>
      <c r="F10" s="62"/>
      <c r="G10" s="63"/>
      <c r="H10" s="64"/>
      <c r="I10" s="3"/>
    </row>
    <row r="11" spans="1:18" s="11" customFormat="1" ht="15" customHeight="1" x14ac:dyDescent="0.25">
      <c r="A11" s="9"/>
      <c r="B11" s="25">
        <f>IF(DAY(Déc_Dim1)=1,IF(AND(YEAR(Déc_Dim1+15)=Année_Calendaire,MONTH(Déc_Dim1+15)=12),Déc_Dim1+15,""),IF(AND(YEAR(Déc_Dim1+22)=Année_Calendaire,MONTH(Déc_Dim1+22)=12),Déc_Dim1+22,""))</f>
        <v>42723</v>
      </c>
      <c r="C11" s="19">
        <f>IF(DAY(Déc_Dim1)=1,IF(AND(YEAR(Déc_Dim1+16)=Année_Calendaire,MONTH(Déc_Dim1+16)=12),Déc_Dim1+16,""),IF(AND(YEAR(Déc_Dim1+23)=Année_Calendaire,MONTH(Déc_Dim1+23)=12),Déc_Dim1+23,""))</f>
        <v>42724</v>
      </c>
      <c r="D11" s="20">
        <f>IF(DAY(Déc_Dim1)=1,IF(AND(YEAR(Déc_Dim1+17)=Année_Calendaire,MONTH(Déc_Dim1+17)=12),Déc_Dim1+17,""),IF(AND(YEAR(Déc_Dim1+24)=Année_Calendaire,MONTH(Déc_Dim1+24)=12),Déc_Dim1+24,""))</f>
        <v>42725</v>
      </c>
      <c r="E11" s="19">
        <f>IF(DAY(Déc_Dim1)=1,IF(AND(YEAR(Déc_Dim1+18)=Année_Calendaire,MONTH(Déc_Dim1+18)=12),Déc_Dim1+18,""),IF(AND(YEAR(Déc_Dim1+25)=Année_Calendaire,MONTH(Déc_Dim1+25)=12),Déc_Dim1+25,""))</f>
        <v>42726</v>
      </c>
      <c r="F11" s="20">
        <f>IF(DAY(Déc_Dim1)=1,IF(AND(YEAR(Déc_Dim1+19)=Année_Calendaire,MONTH(Déc_Dim1+19)=12),Déc_Dim1+19,""),IF(AND(YEAR(Déc_Dim1+26)=Année_Calendaire,MONTH(Déc_Dim1+26)=12),Déc_Dim1+26,""))</f>
        <v>42727</v>
      </c>
      <c r="G11" s="25">
        <f>IF(DAY(Déc_Dim1)=1,IF(AND(YEAR(Déc_Dim1+20)=Année_Calendaire,MONTH(Déc_Dim1+20)=12),Déc_Dim1+20,""),IF(AND(YEAR(Déc_Dim1+27)=Année_Calendaire,MONTH(Déc_Dim1+27)=12),Déc_Dim1+27,""))</f>
        <v>42728</v>
      </c>
      <c r="H11" s="19">
        <f>IF(DAY(Déc_Dim1)=1,IF(AND(YEAR(Déc_Dim1+21)=Année_Calendaire,MONTH(Déc_Dim1+21)=12),Déc_Dim1+21,""),IF(AND(YEAR(Déc_Dim1+28)=Année_Calendaire,MONTH(Déc_Dim1+28)=12),Déc_Dim1+28,""))</f>
        <v>42729</v>
      </c>
      <c r="I11" s="10"/>
    </row>
    <row r="12" spans="1:18" ht="55.5" customHeight="1" x14ac:dyDescent="0.25">
      <c r="A12"/>
      <c r="B12" s="29"/>
      <c r="C12" s="30"/>
      <c r="D12" s="31"/>
      <c r="E12" s="30"/>
      <c r="F12" s="31"/>
      <c r="G12" s="32"/>
      <c r="H12" s="33"/>
      <c r="I12" s="3"/>
    </row>
    <row r="13" spans="1:18" s="11" customFormat="1" ht="15" customHeight="1" x14ac:dyDescent="0.25">
      <c r="A13" s="9"/>
      <c r="B13" s="65">
        <f>IF(DAY(Déc_Dim1)=1,IF(AND(YEAR(Déc_Dim1+22)=Année_Calendaire,MONTH(Déc_Dim1+22)=12),Déc_Dim1+22,""),IF(AND(YEAR(Déc_Dim1+29)=Année_Calendaire,MONTH(Déc_Dim1+29)=12),Déc_Dim1+29,""))</f>
        <v>42730</v>
      </c>
      <c r="C13" s="58">
        <f>IF(DAY(Déc_Dim1)=1,IF(AND(YEAR(Déc_Dim1+23)=Année_Calendaire,MONTH(Déc_Dim1+23)=12),Déc_Dim1+23,""),IF(AND(YEAR(Déc_Dim1+30)=Année_Calendaire,MONTH(Déc_Dim1+30)=12),Déc_Dim1+30,""))</f>
        <v>42731</v>
      </c>
      <c r="D13" s="54">
        <f>IF(DAY(Déc_Dim1)=1,IF(AND(YEAR(Déc_Dim1+24)=Année_Calendaire,MONTH(Déc_Dim1+24)=12),Déc_Dim1+24,""),IF(AND(YEAR(Déc_Dim1+31)=Année_Calendaire,MONTH(Déc_Dim1+31)=12),Déc_Dim1+31,""))</f>
        <v>42732</v>
      </c>
      <c r="E13" s="58">
        <f>IF(DAY(Déc_Dim1)=1,IF(AND(YEAR(Déc_Dim1+25)=Année_Calendaire,MONTH(Déc_Dim1+25)=12),Déc_Dim1+25,""),IF(AND(YEAR(Déc_Dim1+32)=Année_Calendaire,MONTH(Déc_Dim1+32)=12),Déc_Dim1+32,""))</f>
        <v>42733</v>
      </c>
      <c r="F13" s="54">
        <f>IF(DAY(Déc_Dim1)=1,IF(AND(YEAR(Déc_Dim1+26)=Année_Calendaire,MONTH(Déc_Dim1+26)=12),Déc_Dim1+26,""),IF(AND(YEAR(Déc_Dim1+33)=Année_Calendaire,MONTH(Déc_Dim1+33)=12),Déc_Dim1+33,""))</f>
        <v>42734</v>
      </c>
      <c r="G13" s="65">
        <f>IF(DAY(Déc_Dim1)=1,IF(AND(YEAR(Déc_Dim1+27)=Année_Calendaire,MONTH(Déc_Dim1+27)=12),Déc_Dim1+27,""),IF(AND(YEAR(Déc_Dim1+34)=Année_Calendaire,MONTH(Déc_Dim1+34)=12),Déc_Dim1+34,""))</f>
        <v>42735</v>
      </c>
      <c r="H13" s="58" t="str">
        <f>IF(DAY(Déc_Dim1)=1,IF(AND(YEAR(Déc_Dim1+28)=Année_Calendaire,MONTH(Déc_Dim1+28)=12),Déc_Dim1+28,""),IF(AND(YEAR(Déc_Dim1+35)=Année_Calendaire,MONTH(Déc_Dim1+35)=12),Déc_Dim1+35,""))</f>
        <v/>
      </c>
      <c r="I13" s="10"/>
    </row>
    <row r="14" spans="1:18" ht="55.5" customHeight="1" x14ac:dyDescent="0.25">
      <c r="A14"/>
      <c r="B14" s="60"/>
      <c r="C14" s="61"/>
      <c r="D14" s="62"/>
      <c r="E14" s="61"/>
      <c r="F14" s="62"/>
      <c r="G14" s="63"/>
      <c r="H14" s="64"/>
      <c r="I14" s="3"/>
    </row>
    <row r="15" spans="1:18" ht="15" customHeight="1" x14ac:dyDescent="0.25">
      <c r="A15"/>
      <c r="B15" s="19" t="str">
        <f>IF(DAY(Déc_Dim1)=1,IF(AND(YEAR(Déc_Dim1+29)=Année_Calendaire,MONTH(Déc_Dim1+29)=12),Déc_Dim1+29,""),IF(AND(YEAR(Déc_Dim1+36)=Année_Calendaire,MONTH(Déc_Dim1+36)=12),Déc_Dim1+36,""))</f>
        <v/>
      </c>
      <c r="C15" s="19" t="str">
        <f>IF(DAY(Déc_Dim1)=1,IF(AND(YEAR(Déc_Dim1+30)=Année_Calendaire,MONTH(Déc_Dim1+30)=12),Déc_Dim1+30,""),IF(AND(YEAR(Déc_Dim1+37)=Année_Calendaire,MONTH(Déc_Dim1+37)=12),Déc_Dim1+37,""))</f>
        <v/>
      </c>
      <c r="D15" s="45" t="s">
        <v>8</v>
      </c>
      <c r="E15" s="43"/>
      <c r="F15" s="43"/>
      <c r="G15" s="43"/>
      <c r="H15" s="44"/>
      <c r="I15" s="3"/>
    </row>
    <row r="16" spans="1:18" ht="55.5" customHeight="1" x14ac:dyDescent="0.25">
      <c r="A16"/>
      <c r="B16" s="30"/>
      <c r="C16" s="30"/>
      <c r="D16" s="46"/>
      <c r="E16" s="46"/>
      <c r="F16" s="46"/>
      <c r="G16" s="46"/>
      <c r="H16" s="47"/>
      <c r="I16" s="3"/>
    </row>
    <row r="17" spans="3:5" ht="22.5" customHeight="1" x14ac:dyDescent="0.2"/>
    <row r="19" spans="3:5" ht="21" customHeight="1" x14ac:dyDescent="0.25">
      <c r="C19" s="6"/>
      <c r="D19" s="5"/>
      <c r="E19" s="4"/>
    </row>
    <row r="20" spans="3:5" ht="19.5" customHeight="1" x14ac:dyDescent="0.2"/>
  </sheetData>
  <mergeCells count="5">
    <mergeCell ref="G1:H1"/>
    <mergeCell ref="G3:H3"/>
    <mergeCell ref="D15:H15"/>
    <mergeCell ref="D16:H16"/>
    <mergeCell ref="B3:D3"/>
  </mergeCells>
  <printOptions horizontalCentered="1" verticalCentered="1"/>
  <pageMargins left="0.2" right="0.2" top="0.25" bottom="0.25" header="0" footer="0"/>
  <pageSetup scale="70" orientation="landscape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autoLine="0" r:id="rId5">
            <anchor moveWithCells="1">
              <from>
                <xdr:col>8</xdr:col>
                <xdr:colOff>152400</xdr:colOff>
                <xdr:row>3</xdr:row>
                <xdr:rowOff>0</xdr:rowOff>
              </from>
              <to>
                <xdr:col>9</xdr:col>
                <xdr:colOff>933450</xdr:colOff>
                <xdr:row>4</xdr:row>
                <xdr:rowOff>47625</xdr:rowOff>
              </to>
            </anchor>
          </controlPr>
        </control>
      </mc:Choice>
      <mc:Fallback>
        <control shapeId="12289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13</vt:i4>
      </vt:variant>
    </vt:vector>
  </HeadingPairs>
  <TitlesOfParts>
    <vt:vector size="25" baseType="lpstr">
      <vt:lpstr>Jan</vt:lpstr>
      <vt:lpstr>Fév</vt:lpstr>
      <vt:lpstr>Mar</vt:lpstr>
      <vt:lpstr>Avr</vt:lpstr>
      <vt:lpstr>Mai</vt:lpstr>
      <vt:lpstr>Jun</vt:lpstr>
      <vt:lpstr>Aoû</vt:lpstr>
      <vt:lpstr>Jul</vt:lpstr>
      <vt:lpstr>Sep</vt:lpstr>
      <vt:lpstr>Oct</vt:lpstr>
      <vt:lpstr>Nov</vt:lpstr>
      <vt:lpstr>Déc</vt:lpstr>
      <vt:lpstr>Année_Calendaire</vt:lpstr>
      <vt:lpstr>Aoû!Zone_d_impression</vt:lpstr>
      <vt:lpstr>Avr!Zone_d_impression</vt:lpstr>
      <vt:lpstr>Déc!Zone_d_impression</vt:lpstr>
      <vt:lpstr>Fév!Zone_d_impression</vt:lpstr>
      <vt:lpstr>Jan!Zone_d_impression</vt:lpstr>
      <vt:lpstr>Jul!Zone_d_impression</vt:lpstr>
      <vt:lpstr>Jun!Zone_d_impression</vt:lpstr>
      <vt:lpstr>Mai!Zone_d_impression</vt:lpstr>
      <vt:lpstr>Mar!Zone_d_impression</vt:lpstr>
      <vt:lpstr>Nov!Zone_d_impression</vt:lpstr>
      <vt:lpstr>Oct!Zone_d_impression</vt:lpstr>
      <vt:lpstr>Sep!Zone_d_impression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2016-03-30T22:50:42Z</dcterms:created>
  <dcterms:modified xsi:type="dcterms:W3CDTF">2016-03-31T21:26:44Z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  <property fmtid="{D5CDD505-2E9C-101B-9397-08002B2CF9AE}" pid="3" name="WorkbookGuid">
    <vt:lpwstr>09a57291-e3c6-447d-af5d-051430778190</vt:lpwstr>
  </property>
</Properties>
</file>