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040" windowHeight="9588" tabRatio="851" firstSheet="4" activeTab="4"/>
  </bookViews>
  <sheets>
    <sheet name="Sommaire" sheetId="12" r:id="rId1"/>
    <sheet name="Récap" sheetId="1" r:id="rId2"/>
    <sheet name="Total" sheetId="13" r:id="rId3"/>
    <sheet name="Ecriture" sheetId="2" r:id="rId4"/>
    <sheet name="TCD" sheetId="4" r:id="rId5"/>
    <sheet name="Données" sheetId="9" r:id="rId6"/>
    <sheet name="Graphes écritures par rubrique" sheetId="10" r:id="rId7"/>
    <sheet name="Graphes écritures par regroupem" sheetId="11" r:id="rId8"/>
  </sheets>
  <definedNames>
    <definedName name="Année_Ecr">Ecriture!$D$5:$D$32</definedName>
    <definedName name="concatener">Ecriture!$E$5:$E$32</definedName>
    <definedName name="Date">Ecriture!$F$5:$F$32</definedName>
    <definedName name="Dépenses">Ecriture!$M$5:$M$32</definedName>
    <definedName name="Famille">Ecriture!$H$5:$H$32</definedName>
    <definedName name="Libellé">Ecriture!$G$5:$G$32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odes_paiement">Données!$D$2:$D$7</definedName>
    <definedName name="Mois">Ecriture!$C$5:$C$32</definedName>
    <definedName name="mon_tcd">'Graphes écritures par rubrique'!$A$14:$C$23</definedName>
    <definedName name="Recettes">Ecriture!$L$5:$L$32</definedName>
    <definedName name="RechecheV">Données!$A:$B</definedName>
    <definedName name="Sens">Données!$A$2:$A$3</definedName>
  </definedNames>
  <calcPr calcId="145621"/>
  <pivotCaches>
    <pivotCache cacheId="0" r:id="rId9"/>
  </pivotCaches>
</workbook>
</file>

<file path=xl/calcChain.xml><?xml version="1.0" encoding="utf-8"?>
<calcChain xmlns="http://schemas.openxmlformats.org/spreadsheetml/2006/main">
  <c r="B6" i="4" l="1"/>
  <c r="I1" i="2"/>
  <c r="B4" i="10" l="1"/>
  <c r="D6" i="1" l="1"/>
  <c r="C6" i="1"/>
  <c r="E6" i="1" l="1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H10" i="2" l="1"/>
  <c r="H11" i="2"/>
  <c r="H16" i="2"/>
  <c r="H18" i="2"/>
  <c r="H19" i="2"/>
  <c r="H24" i="2"/>
  <c r="H26" i="2"/>
  <c r="H27" i="2"/>
  <c r="B2" i="10" l="1"/>
  <c r="H7" i="10" s="1"/>
  <c r="I8" i="10" l="1"/>
  <c r="H8" i="10"/>
  <c r="H9" i="10" s="1"/>
  <c r="I7" i="10"/>
  <c r="J7" i="10" s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5" i="2"/>
  <c r="J8" i="10" l="1"/>
  <c r="I9" i="10"/>
  <c r="J1" i="2"/>
  <c r="C5" i="2"/>
  <c r="E5" i="2" s="1"/>
  <c r="C6" i="2"/>
  <c r="E6" i="2" s="1"/>
  <c r="C7" i="2"/>
  <c r="E7" i="2" s="1"/>
  <c r="C8" i="2"/>
  <c r="E8" i="2" s="1"/>
  <c r="C9" i="2"/>
  <c r="E9" i="2" s="1"/>
  <c r="C10" i="2"/>
  <c r="E10" i="2" s="1"/>
  <c r="C11" i="2"/>
  <c r="E11" i="2" s="1"/>
  <c r="C12" i="2"/>
  <c r="E12" i="2" s="1"/>
  <c r="C14" i="2"/>
  <c r="E14" i="2" s="1"/>
  <c r="C16" i="2"/>
  <c r="E16" i="2" s="1"/>
  <c r="C18" i="2"/>
  <c r="E18" i="2" s="1"/>
  <c r="C20" i="2"/>
  <c r="E20" i="2" s="1"/>
  <c r="C22" i="2"/>
  <c r="E22" i="2" s="1"/>
  <c r="C23" i="2"/>
  <c r="E23" i="2" s="1"/>
  <c r="C24" i="2"/>
  <c r="E24" i="2" s="1"/>
  <c r="C25" i="2"/>
  <c r="E25" i="2" s="1"/>
  <c r="C26" i="2"/>
  <c r="E26" i="2" s="1"/>
  <c r="C27" i="2"/>
  <c r="E27" i="2" s="1"/>
  <c r="C28" i="2"/>
  <c r="E28" i="2" s="1"/>
  <c r="C13" i="2"/>
  <c r="E13" i="2" s="1"/>
  <c r="C15" i="2"/>
  <c r="E15" i="2" s="1"/>
  <c r="C17" i="2"/>
  <c r="E17" i="2" s="1"/>
  <c r="C19" i="2"/>
  <c r="E19" i="2" s="1"/>
  <c r="C21" i="2"/>
  <c r="E21" i="2" s="1"/>
  <c r="J9" i="10" l="1"/>
  <c r="J10" i="10" s="1"/>
  <c r="C2" i="4"/>
  <c r="D2" i="4"/>
  <c r="B2" i="4"/>
</calcChain>
</file>

<file path=xl/sharedStrings.xml><?xml version="1.0" encoding="utf-8"?>
<sst xmlns="http://schemas.openxmlformats.org/spreadsheetml/2006/main" count="248" uniqueCount="111">
  <si>
    <t>Compte</t>
  </si>
  <si>
    <t>Solde initial</t>
  </si>
  <si>
    <t>Recettes</t>
  </si>
  <si>
    <t>Dépenses</t>
  </si>
  <si>
    <t>Solde</t>
  </si>
  <si>
    <t>Observations</t>
  </si>
  <si>
    <t>Compte chèques</t>
  </si>
  <si>
    <t>Comptes</t>
  </si>
  <si>
    <t>Compte chèque</t>
  </si>
  <si>
    <t>Date</t>
  </si>
  <si>
    <t>Libellé</t>
  </si>
  <si>
    <t>Mode</t>
  </si>
  <si>
    <t>Référence</t>
  </si>
  <si>
    <t>Recettes encaissées</t>
  </si>
  <si>
    <t>Virement</t>
  </si>
  <si>
    <t>Debours</t>
  </si>
  <si>
    <t>Prélèvement</t>
  </si>
  <si>
    <t>Honoraires rétrocédés</t>
  </si>
  <si>
    <t>Carte</t>
  </si>
  <si>
    <t>Montant net des recettes</t>
  </si>
  <si>
    <t>Achat</t>
  </si>
  <si>
    <t>Chèque</t>
  </si>
  <si>
    <t>Salaires nets</t>
  </si>
  <si>
    <t>Charges sociales</t>
  </si>
  <si>
    <t>Charges de personnel</t>
  </si>
  <si>
    <t>CSG déductible</t>
  </si>
  <si>
    <t>Autres impôts</t>
  </si>
  <si>
    <t>Impôts et taxes</t>
  </si>
  <si>
    <t>Loyers et charges locatives</t>
  </si>
  <si>
    <t>Locations</t>
  </si>
  <si>
    <t>Honoraires</t>
  </si>
  <si>
    <t>Prime d'assurance</t>
  </si>
  <si>
    <t>Autre TFSE</t>
  </si>
  <si>
    <t>Frais de déplacement</t>
  </si>
  <si>
    <t>Charges sociales personnelles</t>
  </si>
  <si>
    <t>Frais de réception</t>
  </si>
  <si>
    <t>Fournitures de bureau</t>
  </si>
  <si>
    <t>Autres frais divers de gestion</t>
  </si>
  <si>
    <t>Autre</t>
  </si>
  <si>
    <t>Charges externes</t>
  </si>
  <si>
    <t>Produits financiers</t>
  </si>
  <si>
    <t>Frais financiers</t>
  </si>
  <si>
    <t>Résultat financier</t>
  </si>
  <si>
    <t>Gains divers</t>
  </si>
  <si>
    <t>Pertes diverses</t>
  </si>
  <si>
    <t>Dotation aux amortissements</t>
  </si>
  <si>
    <t>Bénéfices</t>
  </si>
  <si>
    <t>Regroupements</t>
  </si>
  <si>
    <t>Total recettes</t>
  </si>
  <si>
    <t>Total dépenses</t>
  </si>
  <si>
    <t>Solde général</t>
  </si>
  <si>
    <t>Espèces</t>
  </si>
  <si>
    <t>Modes_paiement</t>
  </si>
  <si>
    <t>Famille</t>
  </si>
  <si>
    <t>N° FACTURE</t>
  </si>
  <si>
    <t>Nbre d'écritures</t>
  </si>
  <si>
    <t>Solde précédent</t>
  </si>
  <si>
    <t>Mois</t>
  </si>
  <si>
    <t>Année-Ecr</t>
  </si>
  <si>
    <t>concatener</t>
  </si>
  <si>
    <t>recettes</t>
  </si>
  <si>
    <t>total mois</t>
  </si>
  <si>
    <t>solde</t>
  </si>
  <si>
    <t>dépenses</t>
  </si>
  <si>
    <t>Pointage recette</t>
  </si>
  <si>
    <t>Pointage dépense</t>
  </si>
  <si>
    <t>Prev / réel</t>
  </si>
  <si>
    <t>Étiquettes de lignes</t>
  </si>
  <si>
    <t>Total général</t>
  </si>
  <si>
    <t>Somme de Dépenses</t>
  </si>
  <si>
    <t>Somme de Recettes</t>
  </si>
  <si>
    <t>Numéro dernière ligne TCD</t>
  </si>
  <si>
    <t xml:space="preserve">2 colmasqué si j'a x j'affiche le contenu </t>
  </si>
  <si>
    <t>Total</t>
  </si>
  <si>
    <t>Prévisionnel</t>
  </si>
  <si>
    <t>Réel</t>
  </si>
  <si>
    <t>Pointé</t>
  </si>
  <si>
    <t>Produit</t>
  </si>
  <si>
    <t>Charge</t>
  </si>
  <si>
    <t>x</t>
  </si>
  <si>
    <t>Pojnage recette masqué</t>
  </si>
  <si>
    <t xml:space="preserve">Date valeur banque </t>
  </si>
  <si>
    <t>Récapitulatif</t>
  </si>
  <si>
    <t>solde actuel</t>
  </si>
  <si>
    <t>total antérieur</t>
  </si>
  <si>
    <t>Date dernier jour du mois</t>
  </si>
  <si>
    <t xml:space="preserve">Autorisation de découvert </t>
  </si>
  <si>
    <t>Cliquez sur une forme pour accéder à la feuille indiquée</t>
  </si>
  <si>
    <t xml:space="preserve">ARCHITECTE D'INTERIEUR - Floriane Aussel </t>
  </si>
  <si>
    <t>Recettes après saisie</t>
  </si>
  <si>
    <t>Dépenses après saisie</t>
  </si>
  <si>
    <t>Solde final</t>
  </si>
  <si>
    <t>Valeurs</t>
  </si>
  <si>
    <t>Achats</t>
  </si>
  <si>
    <t>Location véhicule</t>
  </si>
  <si>
    <t>EDF</t>
  </si>
  <si>
    <t>Eau</t>
  </si>
  <si>
    <t>Pub journal</t>
  </si>
  <si>
    <t>Assurance</t>
  </si>
  <si>
    <t>Pub radio</t>
  </si>
  <si>
    <t>Achats perso</t>
  </si>
  <si>
    <t>Logiciel d'architecture</t>
  </si>
  <si>
    <t>achat ordinateur</t>
  </si>
  <si>
    <t>Impôts</t>
  </si>
  <si>
    <t>A</t>
  </si>
  <si>
    <t>A sélectionner</t>
  </si>
  <si>
    <t>A saisir</t>
  </si>
  <si>
    <t>Auto</t>
  </si>
  <si>
    <t>Userform</t>
  </si>
  <si>
    <t>ticket de train</t>
  </si>
  <si>
    <t>vente marchandise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</si>
</sst>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&quot;€&quot;_-;[Red]\-* #,##0.00\ &quot;€&quot;_-;_-* &quot;-&quot;??\ &quot;€&quot;_-;_-@_-"/>
    <numFmt numFmtId="166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rgb="FF000000"/>
      <name val="Calibri"/>
      <family val="2"/>
    </font>
    <font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72">
    <xf numFmtId="0" fontId="0" fillId="0" borderId="0" xfId="0"/>
    <xf numFmtId="0" fontId="2" fillId="3" borderId="3" xfId="0" applyFont="1" applyFill="1" applyBorder="1" applyAlignment="1">
      <alignment vertical="top"/>
    </xf>
    <xf numFmtId="0" fontId="2" fillId="3" borderId="4" xfId="0" applyFont="1" applyFill="1" applyBorder="1" applyAlignment="1">
      <alignment vertical="top"/>
    </xf>
    <xf numFmtId="0" fontId="7" fillId="3" borderId="4" xfId="0" applyFont="1" applyFill="1" applyBorder="1" applyAlignment="1">
      <alignment vertical="top"/>
    </xf>
    <xf numFmtId="0" fontId="7" fillId="3" borderId="5" xfId="0" applyFont="1" applyFill="1" applyBorder="1" applyAlignment="1">
      <alignment vertical="top"/>
    </xf>
    <xf numFmtId="0" fontId="0" fillId="0" borderId="0" xfId="0"/>
    <xf numFmtId="0" fontId="0" fillId="0" borderId="0" xfId="0" applyFont="1" applyProtection="1">
      <protection locked="0"/>
    </xf>
    <xf numFmtId="165" fontId="0" fillId="2" borderId="0" xfId="1" applyNumberFormat="1" applyFont="1" applyFill="1" applyAlignment="1">
      <alignment horizontal="center"/>
    </xf>
    <xf numFmtId="165" fontId="2" fillId="3" borderId="2" xfId="1" applyNumberFormat="1" applyFont="1" applyFill="1" applyBorder="1" applyAlignment="1">
      <alignment horizontal="center" vertical="top" wrapText="1"/>
    </xf>
    <xf numFmtId="165" fontId="2" fillId="3" borderId="2" xfId="1" applyNumberFormat="1" applyFont="1" applyFill="1" applyBorder="1" applyAlignment="1">
      <alignment horizontal="center" vertical="top"/>
    </xf>
    <xf numFmtId="0" fontId="0" fillId="0" borderId="0" xfId="0"/>
    <xf numFmtId="165" fontId="6" fillId="3" borderId="0" xfId="1" applyNumberFormat="1" applyFont="1" applyFill="1" applyAlignment="1" applyProtection="1">
      <alignment horizontal="left" vertical="center"/>
    </xf>
    <xf numFmtId="0" fontId="2" fillId="3" borderId="0" xfId="0" applyFont="1" applyFill="1" applyAlignment="1" applyProtection="1">
      <alignment vertical="center"/>
    </xf>
    <xf numFmtId="0" fontId="0" fillId="4" borderId="1" xfId="0" applyFill="1" applyBorder="1"/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165" fontId="0" fillId="2" borderId="0" xfId="1" applyNumberFormat="1" applyFont="1" applyFill="1" applyAlignment="1">
      <alignment horizontal="center"/>
    </xf>
    <xf numFmtId="0" fontId="0" fillId="0" borderId="1" xfId="0" applyFill="1" applyBorder="1" applyProtection="1">
      <protection locked="0"/>
    </xf>
    <xf numFmtId="0" fontId="0" fillId="0" borderId="0" xfId="0" applyBorder="1"/>
    <xf numFmtId="0" fontId="0" fillId="0" borderId="0" xfId="0" applyFill="1" applyBorder="1"/>
    <xf numFmtId="0" fontId="9" fillId="4" borderId="1" xfId="0" applyFont="1" applyFill="1" applyBorder="1"/>
    <xf numFmtId="0" fontId="0" fillId="0" borderId="0" xfId="0" applyAlignment="1">
      <alignment horizontal="center" vertic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2" fillId="3" borderId="6" xfId="0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left" vertical="top"/>
    </xf>
    <xf numFmtId="165" fontId="0" fillId="9" borderId="8" xfId="1" applyNumberFormat="1" applyFont="1" applyFill="1" applyBorder="1" applyAlignment="1">
      <alignment horizontal="left"/>
    </xf>
    <xf numFmtId="0" fontId="0" fillId="0" borderId="7" xfId="0" applyFont="1" applyBorder="1" applyAlignment="1">
      <alignment horizontal="left" vertical="top"/>
    </xf>
    <xf numFmtId="165" fontId="0" fillId="0" borderId="7" xfId="1" applyNumberFormat="1" applyFont="1" applyBorder="1" applyAlignment="1">
      <alignment horizontal="left"/>
    </xf>
    <xf numFmtId="0" fontId="0" fillId="9" borderId="7" xfId="0" applyFont="1" applyFill="1" applyBorder="1" applyAlignment="1">
      <alignment horizontal="left" vertical="top"/>
    </xf>
    <xf numFmtId="165" fontId="0" fillId="9" borderId="7" xfId="1" applyNumberFormat="1" applyFont="1" applyFill="1" applyBorder="1" applyAlignment="1">
      <alignment horizontal="left"/>
    </xf>
    <xf numFmtId="165" fontId="0" fillId="0" borderId="7" xfId="1" applyNumberFormat="1" applyFont="1" applyBorder="1" applyAlignment="1">
      <alignment horizontal="left" vertical="top"/>
    </xf>
    <xf numFmtId="165" fontId="0" fillId="9" borderId="7" xfId="1" applyNumberFormat="1" applyFont="1" applyFill="1" applyBorder="1" applyAlignment="1">
      <alignment horizontal="left" vertical="top"/>
    </xf>
    <xf numFmtId="14" fontId="0" fillId="0" borderId="0" xfId="0" applyNumberFormat="1"/>
    <xf numFmtId="166" fontId="0" fillId="0" borderId="1" xfId="0" applyNumberFormat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10" borderId="1" xfId="0" applyFill="1" applyBorder="1"/>
    <xf numFmtId="0" fontId="11" fillId="0" borderId="0" xfId="0" applyFont="1"/>
    <xf numFmtId="0" fontId="10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/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horizontal="center" vertical="center"/>
    </xf>
    <xf numFmtId="0" fontId="0" fillId="0" borderId="1" xfId="0" pivotButton="1" applyBorder="1"/>
    <xf numFmtId="14" fontId="0" fillId="0" borderId="1" xfId="0" applyNumberFormat="1" applyBorder="1" applyAlignment="1">
      <alignment horizontal="left"/>
    </xf>
    <xf numFmtId="166" fontId="0" fillId="0" borderId="1" xfId="0" applyNumberFormat="1" applyBorder="1"/>
    <xf numFmtId="0" fontId="0" fillId="0" borderId="1" xfId="0" applyBorder="1" applyAlignment="1">
      <alignment horizontal="left"/>
    </xf>
    <xf numFmtId="0" fontId="10" fillId="8" borderId="1" xfId="0" applyFont="1" applyFill="1" applyBorder="1" applyAlignment="1">
      <alignment horizontal="center" vertical="center"/>
    </xf>
    <xf numFmtId="0" fontId="0" fillId="0" borderId="0" xfId="0" applyFill="1"/>
    <xf numFmtId="0" fontId="0" fillId="11" borderId="9" xfId="0" applyFill="1" applyBorder="1"/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14" fontId="2" fillId="3" borderId="11" xfId="1" applyNumberFormat="1" applyFont="1" applyFill="1" applyBorder="1" applyAlignment="1" applyProtection="1">
      <alignment horizontal="center" vertical="center"/>
    </xf>
    <xf numFmtId="14" fontId="2" fillId="3" borderId="12" xfId="1" applyNumberFormat="1" applyFont="1" applyFill="1" applyBorder="1" applyAlignment="1" applyProtection="1">
      <alignment horizontal="center" vertical="center"/>
    </xf>
    <xf numFmtId="165" fontId="2" fillId="3" borderId="11" xfId="1" applyNumberFormat="1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/>
    </xf>
    <xf numFmtId="165" fontId="2" fillId="3" borderId="5" xfId="1" applyNumberFormat="1" applyFont="1" applyFill="1" applyBorder="1" applyAlignment="1" applyProtection="1">
      <alignment horizontal="center" vertical="center" wrapText="1"/>
    </xf>
    <xf numFmtId="0" fontId="17" fillId="10" borderId="1" xfId="0" applyFont="1" applyFill="1" applyBorder="1"/>
    <xf numFmtId="0" fontId="17" fillId="10" borderId="1" xfId="0" applyFont="1" applyFill="1" applyBorder="1" applyAlignment="1">
      <alignment horizontal="center" vertical="center"/>
    </xf>
    <xf numFmtId="165" fontId="0" fillId="3" borderId="0" xfId="1" applyNumberFormat="1" applyFont="1" applyFill="1" applyAlignment="1" applyProtection="1">
      <alignment horizontal="left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27">
    <dxf>
      <font>
        <b/>
        <i val="0"/>
        <strike val="0"/>
        <color rgb="FFC0000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numFmt numFmtId="19" formatCode="dd/mm/yyyy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numFmt numFmtId="19" formatCode="dd/mm/yyyy"/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  <dxf>
      <numFmt numFmtId="166" formatCode="#,##0.00\ &quot;€&quot;"/>
      <alignment horizontal="center" vertical="center" textRotation="0" wrapText="0" indent="0" justifyLastLine="0" shrinkToFit="0" readingOrder="0"/>
    </dxf>
    <dxf>
      <numFmt numFmtId="166" formatCode="#,##0.00\ &quot;€&quot;"/>
      <alignment horizontal="center" vertical="center" textRotation="0" wrapText="0" indent="0" justifyLastLine="0" shrinkToFit="0" readingOrder="0"/>
    </dxf>
    <dxf>
      <numFmt numFmtId="166" formatCode="#,##0.00\ &quot;€&quot;"/>
      <alignment horizontal="center" vertical="center" textRotation="0" wrapText="0" indent="0" justifyLastLine="0" shrinkToFit="0" readingOrder="0"/>
    </dxf>
    <dxf>
      <numFmt numFmtId="166" formatCode="#,##0.00\ &quot;€&quot;"/>
      <alignment horizontal="center" vertical="center" textRotation="0" wrapText="0" indent="0" justifyLastLine="0" shrinkToFit="0" readingOrder="0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26"/>
      <tableStyleElement type="headerRow" dxfId="25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Compte-chèque</a:t>
            </a: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Récap!$B$5:$E$5</c:f>
              <c:strCache>
                <c:ptCount val="4"/>
                <c:pt idx="0">
                  <c:v>Solde initial</c:v>
                </c:pt>
                <c:pt idx="1">
                  <c:v>Recettes après saisie</c:v>
                </c:pt>
                <c:pt idx="2">
                  <c:v>Dépenses après saisie</c:v>
                </c:pt>
                <c:pt idx="3">
                  <c:v>Solde final</c:v>
                </c:pt>
              </c:strCache>
            </c:strRef>
          </c:cat>
          <c:val>
            <c:numRef>
              <c:f>Récap!$B$6:$E$6</c:f>
              <c:numCache>
                <c:formatCode>#,##0.00\ "€"</c:formatCode>
                <c:ptCount val="4"/>
                <c:pt idx="0">
                  <c:v>1000</c:v>
                </c:pt>
                <c:pt idx="1">
                  <c:v>230</c:v>
                </c:pt>
                <c:pt idx="2">
                  <c:v>240</c:v>
                </c:pt>
                <c:pt idx="3">
                  <c:v>990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overlap val="100"/>
        <c:axId val="175782912"/>
        <c:axId val="175809664"/>
      </c:barChart>
      <c:catAx>
        <c:axId val="175782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Ecritures</a:t>
                </a:r>
              </a:p>
            </c:rich>
          </c:tx>
          <c:layout/>
          <c:overlay val="0"/>
        </c:title>
        <c:majorTickMark val="none"/>
        <c:minorTickMark val="none"/>
        <c:tickLblPos val="nextTo"/>
        <c:crossAx val="175809664"/>
        <c:crosses val="autoZero"/>
        <c:auto val="1"/>
        <c:lblAlgn val="ctr"/>
        <c:lblOffset val="100"/>
        <c:noMultiLvlLbl val="0"/>
      </c:catAx>
      <c:valAx>
        <c:axId val="1758096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Budget</a:t>
                </a:r>
              </a:p>
              <a:p>
                <a:pPr>
                  <a:defRPr/>
                </a:pPr>
                <a:endParaRPr lang="fr-FR"/>
              </a:p>
            </c:rich>
          </c:tx>
          <c:layout/>
          <c:overlay val="0"/>
        </c:title>
        <c:numFmt formatCode="#,##0.00\ &quot;€&quot;" sourceLinked="1"/>
        <c:majorTickMark val="out"/>
        <c:minorTickMark val="none"/>
        <c:tickLblPos val="nextTo"/>
        <c:crossAx val="1757829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 07-03-2016-1 revu.xlsm]Graphes écritures par rubrique!Mon_TCD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rubrique'!$B$14:$B$15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rubrique'!$A$16:$A$23</c:f>
              <c:strCache>
                <c:ptCount val="7"/>
                <c:pt idx="0">
                  <c:v>01/01/2015</c:v>
                </c:pt>
                <c:pt idx="1">
                  <c:v>25/01/2015</c:v>
                </c:pt>
                <c:pt idx="2">
                  <c:v>31/01/2015</c:v>
                </c:pt>
                <c:pt idx="3">
                  <c:v>18/01/2016</c:v>
                </c:pt>
                <c:pt idx="4">
                  <c:v>22/01/2016</c:v>
                </c:pt>
                <c:pt idx="5">
                  <c:v>23/01/2016</c:v>
                </c:pt>
                <c:pt idx="6">
                  <c:v>25/01/2016</c:v>
                </c:pt>
              </c:strCache>
            </c:strRef>
          </c:cat>
          <c:val>
            <c:numRef>
              <c:f>'Graphes écritures par rubrique'!$B$16:$B$23</c:f>
              <c:numCache>
                <c:formatCode>#,##0.00\ "€"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20</c:v>
                </c:pt>
                <c:pt idx="4">
                  <c:v>20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rubrique'!$C$14:$C$15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rubrique'!$A$16:$A$23</c:f>
              <c:strCache>
                <c:ptCount val="7"/>
                <c:pt idx="0">
                  <c:v>01/01/2015</c:v>
                </c:pt>
                <c:pt idx="1">
                  <c:v>25/01/2015</c:v>
                </c:pt>
                <c:pt idx="2">
                  <c:v>31/01/2015</c:v>
                </c:pt>
                <c:pt idx="3">
                  <c:v>18/01/2016</c:v>
                </c:pt>
                <c:pt idx="4">
                  <c:v>22/01/2016</c:v>
                </c:pt>
                <c:pt idx="5">
                  <c:v>23/01/2016</c:v>
                </c:pt>
                <c:pt idx="6">
                  <c:v>25/01/2016</c:v>
                </c:pt>
              </c:strCache>
            </c:strRef>
          </c:cat>
          <c:val>
            <c:numRef>
              <c:f>'Graphes écritures par rubrique'!$C$16:$C$23</c:f>
              <c:numCache>
                <c:formatCode>#,##0.00\ "€"</c:formatCode>
                <c:ptCount val="7"/>
                <c:pt idx="0">
                  <c:v>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6692992"/>
        <c:axId val="195056384"/>
      </c:lineChart>
      <c:catAx>
        <c:axId val="196692992"/>
        <c:scaling>
          <c:orientation val="minMax"/>
        </c:scaling>
        <c:delete val="0"/>
        <c:axPos val="b"/>
        <c:majorTickMark val="out"/>
        <c:minorTickMark val="none"/>
        <c:tickLblPos val="nextTo"/>
        <c:crossAx val="195056384"/>
        <c:crosses val="autoZero"/>
        <c:auto val="1"/>
        <c:lblAlgn val="ctr"/>
        <c:lblOffset val="100"/>
        <c:noMultiLvlLbl val="0"/>
      </c:catAx>
      <c:valAx>
        <c:axId val="19505638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966929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 07-03-2016-1 revu.xlsm]Graphes écritures par rubrique!Tableau croisé dynamique2</c:name>
    <c:fmtId val="5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rubrique'!$H$14:$H$15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rubrique'!$G$16:$G$20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'Graphes écritures par rubrique'!$H$16:$H$20</c:f>
              <c:numCache>
                <c:formatCode>#,##0.00\ "€"</c:formatCode>
                <c:ptCount val="4"/>
                <c:pt idx="0">
                  <c:v>90</c:v>
                </c:pt>
                <c:pt idx="1">
                  <c:v>80</c:v>
                </c:pt>
                <c:pt idx="2">
                  <c:v>90</c:v>
                </c:pt>
                <c:pt idx="3">
                  <c:v>20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rubrique'!$I$14:$I$15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rubrique'!$G$16:$G$20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'Graphes écritures par rubrique'!$I$16:$I$20</c:f>
              <c:numCache>
                <c:formatCode>#,##0.00\ "€"</c:formatCode>
                <c:ptCount val="4"/>
                <c:pt idx="0">
                  <c:v>20</c:v>
                </c:pt>
                <c:pt idx="1">
                  <c:v>160</c:v>
                </c:pt>
                <c:pt idx="2">
                  <c:v>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097728"/>
        <c:axId val="195099264"/>
      </c:lineChart>
      <c:catAx>
        <c:axId val="195097728"/>
        <c:scaling>
          <c:orientation val="minMax"/>
        </c:scaling>
        <c:delete val="0"/>
        <c:axPos val="b"/>
        <c:majorTickMark val="out"/>
        <c:minorTickMark val="none"/>
        <c:tickLblPos val="nextTo"/>
        <c:crossAx val="195099264"/>
        <c:crosses val="autoZero"/>
        <c:auto val="1"/>
        <c:lblAlgn val="ctr"/>
        <c:lblOffset val="100"/>
        <c:noMultiLvlLbl val="0"/>
      </c:catAx>
      <c:valAx>
        <c:axId val="19509926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950977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otal!A1"/><Relationship Id="rId7" Type="http://schemas.openxmlformats.org/officeDocument/2006/relationships/hyperlink" Target="#Donn&#233;es!A1"/><Relationship Id="rId2" Type="http://schemas.openxmlformats.org/officeDocument/2006/relationships/hyperlink" Target="#R&#233;cap!A1"/><Relationship Id="rId1" Type="http://schemas.openxmlformats.org/officeDocument/2006/relationships/hyperlink" Target="#'Graphes &#233;critures par rubrique'!A1"/><Relationship Id="rId6" Type="http://schemas.openxmlformats.org/officeDocument/2006/relationships/hyperlink" Target="#TCD!A1"/><Relationship Id="rId5" Type="http://schemas.openxmlformats.org/officeDocument/2006/relationships/hyperlink" Target="#'Graphes &#233;critures par regroupem'!A1"/><Relationship Id="rId4" Type="http://schemas.openxmlformats.org/officeDocument/2006/relationships/hyperlink" Target="#Ecritu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132631</xdr:rowOff>
    </xdr:from>
    <xdr:to>
      <xdr:col>6</xdr:col>
      <xdr:colOff>102686</xdr:colOff>
      <xdr:row>15</xdr:row>
      <xdr:rowOff>156803</xdr:rowOff>
    </xdr:to>
    <xdr:sp macro="" textlink="">
      <xdr:nvSpPr>
        <xdr:cNvPr id="9" name="Ellipse 8">
          <a:hlinkClick xmlns:r="http://schemas.openxmlformats.org/officeDocument/2006/relationships" r:id="rId1"/>
        </xdr:cNvPr>
        <xdr:cNvSpPr/>
      </xdr:nvSpPr>
      <xdr:spPr>
        <a:xfrm>
          <a:off x="5133975" y="3856906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Graphes écritures - rubrique</a:t>
          </a:r>
        </a:p>
      </xdr:txBody>
    </xdr:sp>
    <xdr:clientData/>
  </xdr:twoCellAnchor>
  <xdr:twoCellAnchor>
    <xdr:from>
      <xdr:col>4</xdr:col>
      <xdr:colOff>0</xdr:colOff>
      <xdr:row>1</xdr:row>
      <xdr:rowOff>104058</xdr:rowOff>
    </xdr:from>
    <xdr:to>
      <xdr:col>6</xdr:col>
      <xdr:colOff>102686</xdr:colOff>
      <xdr:row>3</xdr:row>
      <xdr:rowOff>128229</xdr:rowOff>
    </xdr:to>
    <xdr:sp macro="" textlink="">
      <xdr:nvSpPr>
        <xdr:cNvPr id="2" name="Ellipse 1">
          <a:hlinkClick xmlns:r="http://schemas.openxmlformats.org/officeDocument/2006/relationships" r:id="rId2"/>
        </xdr:cNvPr>
        <xdr:cNvSpPr/>
      </xdr:nvSpPr>
      <xdr:spPr>
        <a:xfrm>
          <a:off x="5133975" y="285033"/>
          <a:ext cx="1683836" cy="61472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Récapitulatif</a:t>
          </a:r>
        </a:p>
      </xdr:txBody>
    </xdr:sp>
    <xdr:clientData/>
  </xdr:twoCellAnchor>
  <xdr:twoCellAnchor>
    <xdr:from>
      <xdr:col>4</xdr:col>
      <xdr:colOff>0</xdr:colOff>
      <xdr:row>3</xdr:row>
      <xdr:rowOff>200025</xdr:rowOff>
    </xdr:from>
    <xdr:to>
      <xdr:col>6</xdr:col>
      <xdr:colOff>102686</xdr:colOff>
      <xdr:row>5</xdr:row>
      <xdr:rowOff>224196</xdr:rowOff>
    </xdr:to>
    <xdr:sp macro="" textlink="">
      <xdr:nvSpPr>
        <xdr:cNvPr id="3" name="Ellipse 2">
          <a:hlinkClick xmlns:r="http://schemas.openxmlformats.org/officeDocument/2006/relationships" r:id="rId3"/>
        </xdr:cNvPr>
        <xdr:cNvSpPr/>
      </xdr:nvSpPr>
      <xdr:spPr>
        <a:xfrm>
          <a:off x="5133975" y="971550"/>
          <a:ext cx="1683836" cy="61472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</a:t>
          </a:r>
        </a:p>
      </xdr:txBody>
    </xdr:sp>
    <xdr:clientData/>
  </xdr:twoCellAnchor>
  <xdr:twoCellAnchor>
    <xdr:from>
      <xdr:col>4</xdr:col>
      <xdr:colOff>0</xdr:colOff>
      <xdr:row>6</xdr:row>
      <xdr:rowOff>23453</xdr:rowOff>
    </xdr:from>
    <xdr:to>
      <xdr:col>6</xdr:col>
      <xdr:colOff>102686</xdr:colOff>
      <xdr:row>8</xdr:row>
      <xdr:rowOff>47625</xdr:rowOff>
    </xdr:to>
    <xdr:sp macro="" textlink="">
      <xdr:nvSpPr>
        <xdr:cNvPr id="4" name="Ellipse 3">
          <a:hlinkClick xmlns:r="http://schemas.openxmlformats.org/officeDocument/2006/relationships" r:id="rId4"/>
        </xdr:cNvPr>
        <xdr:cNvSpPr/>
      </xdr:nvSpPr>
      <xdr:spPr>
        <a:xfrm>
          <a:off x="5133975" y="1680803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Ecriture</a:t>
          </a:r>
        </a:p>
      </xdr:txBody>
    </xdr:sp>
    <xdr:clientData/>
  </xdr:twoCellAnchor>
  <xdr:twoCellAnchor>
    <xdr:from>
      <xdr:col>4</xdr:col>
      <xdr:colOff>0</xdr:colOff>
      <xdr:row>15</xdr:row>
      <xdr:rowOff>280628</xdr:rowOff>
    </xdr:from>
    <xdr:to>
      <xdr:col>6</xdr:col>
      <xdr:colOff>102686</xdr:colOff>
      <xdr:row>18</xdr:row>
      <xdr:rowOff>0</xdr:rowOff>
    </xdr:to>
    <xdr:sp macro="" textlink="">
      <xdr:nvSpPr>
        <xdr:cNvPr id="5" name="Ellipse 4">
          <a:hlinkClick xmlns:r="http://schemas.openxmlformats.org/officeDocument/2006/relationships" r:id="rId5"/>
        </xdr:cNvPr>
        <xdr:cNvSpPr/>
      </xdr:nvSpPr>
      <xdr:spPr>
        <a:xfrm>
          <a:off x="5133975" y="4595453"/>
          <a:ext cx="1683836" cy="60519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Graphes écritures - regroupement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8</xdr:row>
      <xdr:rowOff>171450</xdr:rowOff>
    </xdr:from>
    <xdr:to>
      <xdr:col>6</xdr:col>
      <xdr:colOff>102686</xdr:colOff>
      <xdr:row>10</xdr:row>
      <xdr:rowOff>195622</xdr:rowOff>
    </xdr:to>
    <xdr:sp macro="" textlink="">
      <xdr:nvSpPr>
        <xdr:cNvPr id="6" name="Ellipse 5">
          <a:hlinkClick xmlns:r="http://schemas.openxmlformats.org/officeDocument/2006/relationships" r:id="rId6"/>
        </xdr:cNvPr>
        <xdr:cNvSpPr/>
      </xdr:nvSpPr>
      <xdr:spPr>
        <a:xfrm>
          <a:off x="5133975" y="2419350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TCD</a:t>
          </a:r>
        </a:p>
      </xdr:txBody>
    </xdr:sp>
    <xdr:clientData/>
  </xdr:twoCellAnchor>
  <xdr:twoCellAnchor>
    <xdr:from>
      <xdr:col>4</xdr:col>
      <xdr:colOff>0</xdr:colOff>
      <xdr:row>11</xdr:row>
      <xdr:rowOff>0</xdr:rowOff>
    </xdr:from>
    <xdr:to>
      <xdr:col>6</xdr:col>
      <xdr:colOff>102686</xdr:colOff>
      <xdr:row>13</xdr:row>
      <xdr:rowOff>24172</xdr:rowOff>
    </xdr:to>
    <xdr:sp macro="" textlink="">
      <xdr:nvSpPr>
        <xdr:cNvPr id="7" name="Ellipse 6">
          <a:hlinkClick xmlns:r="http://schemas.openxmlformats.org/officeDocument/2006/relationships" r:id="rId7"/>
        </xdr:cNvPr>
        <xdr:cNvSpPr/>
      </xdr:nvSpPr>
      <xdr:spPr>
        <a:xfrm>
          <a:off x="5133975" y="3133725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Données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845820</xdr:colOff>
      <xdr:row>8</xdr:row>
      <xdr:rowOff>49530</xdr:rowOff>
    </xdr:from>
    <xdr:to>
      <xdr:col>3</xdr:col>
      <xdr:colOff>617220</xdr:colOff>
      <xdr:row>23</xdr:row>
      <xdr:rowOff>49530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670560</xdr:colOff>
          <xdr:row>3</xdr:row>
          <xdr:rowOff>655320</xdr:rowOff>
        </xdr:from>
        <xdr:to>
          <xdr:col>22</xdr:col>
          <xdr:colOff>274320</xdr:colOff>
          <xdr:row>7</xdr:row>
          <xdr:rowOff>53340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670560</xdr:colOff>
          <xdr:row>8</xdr:row>
          <xdr:rowOff>91440</xdr:rowOff>
        </xdr:from>
        <xdr:to>
          <xdr:col>22</xdr:col>
          <xdr:colOff>274320</xdr:colOff>
          <xdr:row>13</xdr:row>
          <xdr:rowOff>38100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Insère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670560</xdr:colOff>
          <xdr:row>14</xdr:row>
          <xdr:rowOff>152400</xdr:rowOff>
        </xdr:from>
        <xdr:to>
          <xdr:col>22</xdr:col>
          <xdr:colOff>274320</xdr:colOff>
          <xdr:row>19</xdr:row>
          <xdr:rowOff>99060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Supprime la ligne sélectionnée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670560</xdr:colOff>
          <xdr:row>21</xdr:row>
          <xdr:rowOff>0</xdr:rowOff>
        </xdr:from>
        <xdr:to>
          <xdr:col>22</xdr:col>
          <xdr:colOff>274320</xdr:colOff>
          <xdr:row>25</xdr:row>
          <xdr:rowOff>129540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Quitter le classeur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138792</xdr:colOff>
      <xdr:row>24</xdr:row>
      <xdr:rowOff>18369</xdr:rowOff>
    </xdr:from>
    <xdr:to>
      <xdr:col>6</xdr:col>
      <xdr:colOff>405492</xdr:colOff>
      <xdr:row>33</xdr:row>
      <xdr:rowOff>73477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1360712</xdr:colOff>
      <xdr:row>23</xdr:row>
      <xdr:rowOff>206828</xdr:rowOff>
    </xdr:from>
    <xdr:to>
      <xdr:col>10</xdr:col>
      <xdr:colOff>642257</xdr:colOff>
      <xdr:row>33</xdr:row>
      <xdr:rowOff>70757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L" refreshedDate="42443.519880324071" createdVersion="4" refreshedVersion="3" minRefreshableVersion="3" recordCount="28">
  <cacheSource type="worksheet">
    <worksheetSource ref="A4:S28" sheet="Ecriture"/>
  </cacheSource>
  <cacheFields count="19">
    <cacheField name="Solde précédent" numFmtId="0">
      <sharedItems containsNonDate="0" containsString="0" containsBlank="1"/>
    </cacheField>
    <cacheField name="Compte" numFmtId="0">
      <sharedItems/>
    </cacheField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Année-Ecr" numFmtId="0">
      <sharedItems containsSemiMixedTypes="0" containsString="0" containsNumber="1" containsInteger="1" minValue="2015" maxValue="2016"/>
    </cacheField>
    <cacheField name="concatener" numFmtId="0">
      <sharedItems/>
    </cacheField>
    <cacheField name="Date" numFmtId="14">
      <sharedItems containsSemiMixedTypes="0" containsNonDate="0" containsDate="1" containsString="0" minDate="2015-01-01T00:00:00" maxDate="2016-03-21T00:00:00" count="23">
        <d v="2015-01-01T00:00:00"/>
        <d v="2015-02-03T00:00:00"/>
        <d v="2015-02-10T00:00:00"/>
        <d v="2015-03-01T00:00:00"/>
        <d v="2015-03-03T00:00:00"/>
        <d v="2015-03-05T00:00:00"/>
        <d v="2015-03-12T00:00:00"/>
        <d v="2015-04-01T00:00:00"/>
        <d v="2015-04-02T00:00:00"/>
        <d v="2015-02-17T00:00:00"/>
        <d v="2016-02-17T00:00:00"/>
        <d v="2016-01-18T00:00:00"/>
        <d v="2016-03-19T00:00:00"/>
        <d v="2016-02-20T00:00:00"/>
        <d v="2016-03-20T00:00:00"/>
        <d v="2016-01-22T00:00:00"/>
        <d v="2016-01-23T00:00:00"/>
        <d v="2015-02-24T00:00:00"/>
        <d v="2016-01-25T00:00:00"/>
        <d v="2015-01-25T00:00:00"/>
        <d v="2015-02-25T00:00:00"/>
        <d v="2015-03-26T00:00:00"/>
        <d v="2015-01-31T00:00:00"/>
      </sharedItems>
    </cacheField>
    <cacheField name="Libellé" numFmtId="0">
      <sharedItems/>
    </cacheField>
    <cacheField name="Famille" numFmtId="0">
      <sharedItems/>
    </cacheField>
    <cacheField name="Prev / réel" numFmtId="0">
      <sharedItems containsNonDate="0" containsString="0" containsBlank="1"/>
    </cacheField>
    <cacheField name="Mode" numFmtId="0">
      <sharedItems/>
    </cacheField>
    <cacheField name="Référence" numFmtId="0">
      <sharedItems containsBlank="1"/>
    </cacheField>
    <cacheField name="Recettes" numFmtId="0">
      <sharedItems containsString="0" containsBlank="1" containsNumber="1" containsInteger="1" minValue="20" maxValue="100"/>
    </cacheField>
    <cacheField name="Dépenses" numFmtId="0">
      <sharedItems containsSemiMixedTypes="0" containsString="0" containsNumber="1" containsInteger="1" minValue="10" maxValue="10"/>
    </cacheField>
    <cacheField name="Pointage recette" numFmtId="0">
      <sharedItems containsBlank="1"/>
    </cacheField>
    <cacheField name="Pointage dépense" numFmtId="0">
      <sharedItems containsBlank="1"/>
    </cacheField>
    <cacheField name="Pojnage recette masqué" numFmtId="0">
      <sharedItems containsSemiMixedTypes="0" containsString="0" containsNumber="1" containsInteger="1" minValue="0" maxValue="40"/>
    </cacheField>
    <cacheField name="2 colmasqué si j'a x j'affiche le contenu " numFmtId="0">
      <sharedItems containsSemiMixedTypes="0" containsString="0" containsNumber="1" containsInteger="1" minValue="0" maxValue="10"/>
    </cacheField>
    <cacheField name="Date valeur banque " numFmtId="0">
      <sharedItems containsString="0" containsBlank="1" containsNumber="1" containsInteger="1" minValue="42008" maxValue="42083"/>
    </cacheField>
    <cacheField name="Observation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m/>
    <s v="Compte chèques"/>
    <x v="0"/>
    <n v="2015"/>
    <s v="20151"/>
    <x v="0"/>
    <s v="Recettes encaissées"/>
    <s v="Produit"/>
    <m/>
    <s v="Virement"/>
    <s v="N° FACTURE"/>
    <n v="20"/>
    <n v="10"/>
    <s v="x"/>
    <s v="x"/>
    <n v="20"/>
    <n v="10"/>
    <n v="42024"/>
    <m/>
  </r>
  <r>
    <m/>
    <s v="Compte chèques"/>
    <x v="1"/>
    <n v="2015"/>
    <s v="20152"/>
    <x v="1"/>
    <s v="Honoraires rétrocédés"/>
    <s v="Charge"/>
    <m/>
    <s v="Virement"/>
    <m/>
    <m/>
    <n v="10"/>
    <m/>
    <m/>
    <n v="0"/>
    <n v="0"/>
    <n v="42038"/>
    <m/>
  </r>
  <r>
    <m/>
    <s v="Compte chèques"/>
    <x v="1"/>
    <n v="2015"/>
    <s v="20152"/>
    <x v="2"/>
    <s v="Montant net des recettes"/>
    <s v="Produit"/>
    <m/>
    <s v="Virement"/>
    <m/>
    <m/>
    <n v="10"/>
    <s v="x"/>
    <m/>
    <n v="0"/>
    <n v="0"/>
    <n v="42045"/>
    <m/>
  </r>
  <r>
    <m/>
    <s v="Compte chèques"/>
    <x v="2"/>
    <n v="2015"/>
    <s v="20153"/>
    <x v="3"/>
    <s v="Achat"/>
    <s v="Charge"/>
    <m/>
    <s v="Espèces"/>
    <m/>
    <m/>
    <n v="10"/>
    <m/>
    <m/>
    <n v="0"/>
    <n v="0"/>
    <n v="42083"/>
    <m/>
  </r>
  <r>
    <m/>
    <s v="Compte chèques"/>
    <x v="2"/>
    <n v="2015"/>
    <s v="20153"/>
    <x v="4"/>
    <s v="Salaires nets"/>
    <s v="Produit"/>
    <m/>
    <s v="Virement"/>
    <m/>
    <m/>
    <n v="10"/>
    <m/>
    <m/>
    <n v="0"/>
    <n v="0"/>
    <n v="42066"/>
    <m/>
  </r>
  <r>
    <m/>
    <s v="Compte chèques"/>
    <x v="2"/>
    <n v="2015"/>
    <s v="20153"/>
    <x v="5"/>
    <s v="Charges sociales"/>
    <s v="Charge"/>
    <m/>
    <s v="Virement"/>
    <m/>
    <n v="50"/>
    <n v="10"/>
    <m/>
    <s v="x"/>
    <n v="0"/>
    <n v="10"/>
    <n v="42068"/>
    <m/>
  </r>
  <r>
    <m/>
    <s v="Compte chèques"/>
    <x v="2"/>
    <n v="2015"/>
    <s v="20153"/>
    <x v="6"/>
    <s v="Charges de personnel"/>
    <s v="Charge"/>
    <m/>
    <s v="Virement"/>
    <m/>
    <m/>
    <n v="10"/>
    <m/>
    <m/>
    <n v="0"/>
    <n v="0"/>
    <n v="42075"/>
    <m/>
  </r>
  <r>
    <m/>
    <s v="Compte chèques"/>
    <x v="3"/>
    <n v="2015"/>
    <s v="20154"/>
    <x v="7"/>
    <s v="CSG déductible"/>
    <s v="Produit"/>
    <m/>
    <s v="Virement"/>
    <m/>
    <m/>
    <n v="10"/>
    <m/>
    <m/>
    <n v="0"/>
    <n v="0"/>
    <n v="42008"/>
    <m/>
  </r>
  <r>
    <m/>
    <s v="Compte chèques"/>
    <x v="3"/>
    <n v="2015"/>
    <s v="20154"/>
    <x v="8"/>
    <s v="Résultat financier"/>
    <s v="Produit"/>
    <m/>
    <s v="Virement"/>
    <m/>
    <m/>
    <n v="10"/>
    <m/>
    <m/>
    <n v="0"/>
    <n v="0"/>
    <n v="42083"/>
    <m/>
  </r>
  <r>
    <m/>
    <s v="Compte chèques"/>
    <x v="1"/>
    <n v="2015"/>
    <s v="20152"/>
    <x v="9"/>
    <s v="Autres impôts"/>
    <s v="Charge"/>
    <m/>
    <s v="Virement"/>
    <m/>
    <m/>
    <n v="10"/>
    <m/>
    <m/>
    <n v="0"/>
    <n v="0"/>
    <n v="42052"/>
    <m/>
  </r>
  <r>
    <m/>
    <s v="Compte chèques"/>
    <x v="1"/>
    <n v="2016"/>
    <s v="20162"/>
    <x v="10"/>
    <s v="Gains divers"/>
    <s v="Produit"/>
    <m/>
    <s v="Virement"/>
    <m/>
    <n v="100"/>
    <n v="10"/>
    <m/>
    <m/>
    <n v="0"/>
    <n v="0"/>
    <n v="42066"/>
    <m/>
  </r>
  <r>
    <m/>
    <s v="Compte chèques"/>
    <x v="0"/>
    <n v="2016"/>
    <s v="20161"/>
    <x v="11"/>
    <s v="Impôts et taxes"/>
    <s v="Charge"/>
    <m/>
    <s v="Virement"/>
    <m/>
    <m/>
    <n v="10"/>
    <s v="x"/>
    <m/>
    <n v="0"/>
    <n v="0"/>
    <n v="42022"/>
    <m/>
  </r>
  <r>
    <m/>
    <s v="Compte chèques"/>
    <x v="0"/>
    <n v="2016"/>
    <s v="20161"/>
    <x v="11"/>
    <s v="Pertes diverses"/>
    <s v="Charge"/>
    <m/>
    <s v="Virement"/>
    <m/>
    <m/>
    <n v="10"/>
    <m/>
    <m/>
    <n v="0"/>
    <n v="0"/>
    <n v="42068"/>
    <m/>
  </r>
  <r>
    <m/>
    <s v="Compte chèques"/>
    <x v="2"/>
    <n v="2016"/>
    <s v="20163"/>
    <x v="12"/>
    <s v="Loyers et charges locatives"/>
    <s v="Charge"/>
    <m/>
    <s v="Virement"/>
    <m/>
    <m/>
    <n v="10"/>
    <m/>
    <m/>
    <n v="0"/>
    <n v="0"/>
    <m/>
    <m/>
  </r>
  <r>
    <m/>
    <s v="Compte chèques"/>
    <x v="2"/>
    <n v="2016"/>
    <s v="20163"/>
    <x v="12"/>
    <s v="Dotation aux amortissements"/>
    <s v="Produit"/>
    <m/>
    <s v="Virement"/>
    <m/>
    <m/>
    <n v="10"/>
    <m/>
    <m/>
    <n v="0"/>
    <n v="0"/>
    <n v="42075"/>
    <m/>
  </r>
  <r>
    <m/>
    <s v="Compte chèques"/>
    <x v="1"/>
    <n v="2016"/>
    <s v="20162"/>
    <x v="13"/>
    <s v="Locations"/>
    <s v="Charge"/>
    <m/>
    <s v="Virement"/>
    <m/>
    <m/>
    <n v="10"/>
    <m/>
    <m/>
    <n v="0"/>
    <n v="0"/>
    <n v="42055"/>
    <m/>
  </r>
  <r>
    <m/>
    <s v="Compte chèques"/>
    <x v="1"/>
    <n v="2016"/>
    <s v="20162"/>
    <x v="13"/>
    <s v="Bénéfices"/>
    <s v="Produit"/>
    <m/>
    <s v="Virement"/>
    <m/>
    <n v="40"/>
    <n v="10"/>
    <s v="x"/>
    <m/>
    <n v="40"/>
    <n v="0"/>
    <n v="42008"/>
    <m/>
  </r>
  <r>
    <m/>
    <s v="Compte chèques"/>
    <x v="2"/>
    <n v="2016"/>
    <s v="20163"/>
    <x v="14"/>
    <s v="Honoraires"/>
    <s v="Charge"/>
    <m/>
    <s v="Virement"/>
    <m/>
    <m/>
    <n v="10"/>
    <m/>
    <m/>
    <n v="0"/>
    <n v="0"/>
    <n v="42083"/>
    <m/>
  </r>
  <r>
    <m/>
    <s v="Compte chèques"/>
    <x v="0"/>
    <n v="2016"/>
    <s v="20161"/>
    <x v="15"/>
    <s v="Prime d'assurance"/>
    <s v="Charge"/>
    <m/>
    <s v="Virement"/>
    <m/>
    <m/>
    <n v="10"/>
    <m/>
    <m/>
    <n v="0"/>
    <n v="0"/>
    <n v="42026"/>
    <m/>
  </r>
  <r>
    <m/>
    <s v="Compte chèques"/>
    <x v="0"/>
    <n v="2016"/>
    <s v="20161"/>
    <x v="15"/>
    <s v="Autre TFSE"/>
    <s v="Charge"/>
    <m/>
    <s v="Virement"/>
    <m/>
    <m/>
    <n v="10"/>
    <m/>
    <m/>
    <n v="0"/>
    <n v="0"/>
    <n v="42026"/>
    <m/>
  </r>
  <r>
    <m/>
    <s v="Compte chèques"/>
    <x v="0"/>
    <n v="2016"/>
    <s v="20161"/>
    <x v="16"/>
    <s v="Frais de déplacement"/>
    <s v="Charge"/>
    <m/>
    <s v="Virement"/>
    <m/>
    <m/>
    <n v="10"/>
    <m/>
    <m/>
    <n v="0"/>
    <n v="0"/>
    <n v="42027"/>
    <m/>
  </r>
  <r>
    <m/>
    <s v="Compte chèques"/>
    <x v="1"/>
    <n v="2015"/>
    <s v="20152"/>
    <x v="17"/>
    <s v="Charges sociales personnelles"/>
    <s v="Charge"/>
    <m/>
    <s v="Virement"/>
    <m/>
    <n v="20"/>
    <n v="10"/>
    <m/>
    <m/>
    <n v="0"/>
    <n v="0"/>
    <n v="42059"/>
    <m/>
  </r>
  <r>
    <m/>
    <s v="Compte chèques"/>
    <x v="0"/>
    <n v="2016"/>
    <s v="20161"/>
    <x v="18"/>
    <s v="Frais de réception"/>
    <s v="Charge"/>
    <m/>
    <s v="Virement"/>
    <m/>
    <m/>
    <n v="10"/>
    <m/>
    <m/>
    <n v="0"/>
    <n v="0"/>
    <n v="42029"/>
    <m/>
  </r>
  <r>
    <m/>
    <s v="Compte chèques"/>
    <x v="0"/>
    <n v="2015"/>
    <s v="20151"/>
    <x v="19"/>
    <s v="Fournitures de bureau"/>
    <s v="Charge"/>
    <m/>
    <s v="Virement"/>
    <m/>
    <m/>
    <n v="10"/>
    <m/>
    <m/>
    <n v="0"/>
    <n v="0"/>
    <n v="42029"/>
    <m/>
  </r>
  <r>
    <m/>
    <s v="Compte chèques"/>
    <x v="1"/>
    <n v="2015"/>
    <s v="20152"/>
    <x v="20"/>
    <s v="Autres frais divers de gestion"/>
    <s v="Charge"/>
    <m/>
    <s v="Virement"/>
    <m/>
    <m/>
    <n v="10"/>
    <m/>
    <m/>
    <n v="0"/>
    <n v="0"/>
    <n v="42060"/>
    <m/>
  </r>
  <r>
    <m/>
    <s v="Compte chèques"/>
    <x v="2"/>
    <n v="2015"/>
    <s v="20153"/>
    <x v="21"/>
    <s v="Charges externes"/>
    <s v="Charge"/>
    <m/>
    <s v="Virement"/>
    <m/>
    <m/>
    <n v="10"/>
    <m/>
    <m/>
    <n v="0"/>
    <n v="0"/>
    <m/>
    <m/>
  </r>
  <r>
    <m/>
    <s v="Compte chèques"/>
    <x v="2"/>
    <n v="2015"/>
    <s v="20153"/>
    <x v="21"/>
    <s v="Produits financiers"/>
    <s v="Produit"/>
    <m/>
    <s v="Virement"/>
    <m/>
    <m/>
    <n v="10"/>
    <m/>
    <m/>
    <n v="0"/>
    <n v="0"/>
    <m/>
    <m/>
  </r>
  <r>
    <m/>
    <s v="Compte chèques"/>
    <x v="0"/>
    <n v="2015"/>
    <s v="20151"/>
    <x v="22"/>
    <s v="Frais financiers"/>
    <s v="Charge"/>
    <m/>
    <s v="Virement"/>
    <m/>
    <m/>
    <n v="10"/>
    <m/>
    <m/>
    <n v="0"/>
    <n v="0"/>
    <n v="4203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6">
  <location ref="G14:I20" firstHeaderRow="1" firstDataRow="2" firstDataCol="1"/>
  <pivotFields count="19"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>
      <items count="24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 defaultSubtotal="0"/>
    <pivotField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épenses" fld="12" baseField="0" baseItem="0"/>
    <dataField name="Somme de Recettes" fld="11" baseField="0" baseItem="1"/>
  </dataFields>
  <formats count="2">
    <format dxfId="2">
      <pivotArea outline="0" collapsedLevelsAreSubtotals="1" fieldPosition="0"/>
    </format>
    <format dxfId="1">
      <pivotArea type="all" dataOnly="0" outline="0" fieldPosition="0"/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Mon_TCD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14:C23" firstHeaderRow="1" firstDataRow="2" firstDataCol="1" rowPageCount="1" colPageCount="1"/>
  <pivotFields count="19">
    <pivotField showAll="0"/>
    <pivotField showAll="0"/>
    <pivotField axis="axisPage" showAll="0">
      <items count="5">
        <item x="0"/>
        <item x="1"/>
        <item x="2"/>
        <item x="3"/>
        <item t="default"/>
      </items>
    </pivotField>
    <pivotField showAll="0"/>
    <pivotField showAll="0"/>
    <pivotField axis="axisRow" showAll="0">
      <items count="24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 defaultSubtotal="0"/>
    <pivotField showAll="0"/>
  </pivotFields>
  <rowFields count="1">
    <field x="5"/>
  </rowFields>
  <rowItems count="8">
    <i>
      <x/>
    </i>
    <i>
      <x v="1"/>
    </i>
    <i>
      <x v="2"/>
    </i>
    <i>
      <x v="15"/>
    </i>
    <i>
      <x v="16"/>
    </i>
    <i>
      <x v="17"/>
    </i>
    <i>
      <x v="18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0" hier="-1"/>
  </pageFields>
  <dataFields count="2">
    <dataField name="Somme de Dépenses" fld="12" baseField="0" baseItem="0"/>
    <dataField name="Somme de Recettes" fld="11" baseField="0" baseItem="1"/>
  </dataFields>
  <formats count="2">
    <format dxfId="4">
      <pivotArea outline="0" collapsedLevelsAreSubtotals="1" fieldPosition="0"/>
    </format>
    <format dxfId="3">
      <pivotArea type="all" dataOnly="0" outline="0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5:E6" totalsRowShown="0">
  <autoFilter ref="A5:E6"/>
  <tableColumns count="5">
    <tableColumn id="1" name="Comptes"/>
    <tableColumn id="2" name="Solde initial" dataDxfId="24"/>
    <tableColumn id="3" name="Recettes après saisie" dataDxfId="23">
      <calculatedColumnFormula>SUM(Recettes)</calculatedColumnFormula>
    </tableColumn>
    <tableColumn id="4" name="Dépenses après saisie" dataDxfId="22">
      <calculatedColumnFormula>SUM(Dépenses)</calculatedColumnFormula>
    </tableColumn>
    <tableColumn id="5" name="Solde final" dataDxfId="21">
      <calculatedColumnFormula>Tableau1[Solde initial]+Tableau1[Recettes après saisie]-Tableau1[Dépenses après saisie]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blEcritures" displayName="tblEcritures" ref="B4:S32" totalsRowShown="0" headerRowDxfId="20" headerRowBorderDxfId="19" tableBorderDxfId="18" totalsRowBorderDxfId="17" headerRowCellStyle="Monétaire 2" dataCellStyle="Normal">
  <autoFilter ref="B4:S32"/>
  <sortState ref="B5:P33">
    <sortCondition ref="F5"/>
  </sortState>
  <tableColumns count="18">
    <tableColumn id="1" name="Compte" dataCellStyle="Normal"/>
    <tableColumn id="13" name="Mois" dataCellStyle="Normal">
      <calculatedColumnFormula>MONTH(tblEcritures[[#This Row],[Date]])</calculatedColumnFormula>
    </tableColumn>
    <tableColumn id="14" name="Année-Ecr" dataCellStyle="Normal">
      <calculatedColumnFormula>YEAR(tblEcritures[[#This Row],[Date]])</calculatedColumnFormula>
    </tableColumn>
    <tableColumn id="15" name="concatener" dataCellStyle="Normal">
      <calculatedColumnFormula>CONCATENATE(tblEcritures[[#This Row],[Année-Ecr]],tblEcritures[[#This Row],[Mois]])</calculatedColumnFormula>
    </tableColumn>
    <tableColumn id="2" name="Date" dataDxfId="16" dataCellStyle="Normal"/>
    <tableColumn id="3" name="Libellé" dataCellStyle="Normal"/>
    <tableColumn id="5" name="Famille" dataCellStyle="Normal"/>
    <tableColumn id="17" name="Prev / réel" dataCellStyle="Normal"/>
    <tableColumn id="7" name="Mode" dataCellStyle="Normal"/>
    <tableColumn id="8" name="Référence" dataCellStyle="Normal"/>
    <tableColumn id="18" name="Recettes" dataCellStyle="Normal"/>
    <tableColumn id="9" name="Dépenses" dataCellStyle="Normal"/>
    <tableColumn id="6" name="Pointage recette" dataDxfId="15" dataCellStyle="Normal"/>
    <tableColumn id="16" name="Pointage dépense" dataDxfId="14" dataCellStyle="Normal">
      <calculatedColumnFormula>IF(tblEcritures[[#This Row],[Dépenses]]="x",tblEcritures[[#This Row],[Dépenses]],0)</calculatedColumnFormula>
    </tableColumn>
    <tableColumn id="10" name="Pojnage recette masqué" dataCellStyle="Normal">
      <calculatedColumnFormula>IF(tblEcritures[[#This Row],[Pointage recette]]="x",tblEcritures[[#This Row],[Recettes]],0)</calculatedColumnFormula>
    </tableColumn>
    <tableColumn id="4" name="2 colmasqué si j'a x j'affiche le contenu " dataCellStyle="Normal">
      <calculatedColumnFormula>IF(tblEcritures[[#This Row],[Pointage dépense]]="x",tblEcritures[[#This Row],[Dépenses]],0)</calculatedColumnFormula>
    </tableColumn>
    <tableColumn id="11" name="Date valeur banque " dataDxfId="13" dataCellStyle="Normal"/>
    <tableColumn id="12" name="Observations" dataCellStyle="Normal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4:E7" totalsRowShown="0" headerRowBorderDxfId="12" tableBorderDxfId="11" totalsRowBorderDxfId="10">
  <autoFilter ref="A4:E7"/>
  <tableColumns count="5">
    <tableColumn id="1" name="Regroupements" dataDxfId="9"/>
    <tableColumn id="2" name="Recettes" dataDxfId="8" dataCellStyle="Monétaire 2"/>
    <tableColumn id="3" name="Dépenses" dataDxfId="7" dataCellStyle="Monétaire 2"/>
    <tableColumn id="4" name="Solde" dataDxfId="6" dataCellStyle="Monétaire 2"/>
    <tableColumn id="5" name="Observations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2:F27"/>
  <sheetViews>
    <sheetView zoomScale="70" zoomScaleNormal="70" workbookViewId="0">
      <selection activeCell="C7" sqref="C7"/>
    </sheetView>
  </sheetViews>
  <sheetFormatPr baseColWidth="10" defaultRowHeight="14.4" x14ac:dyDescent="0.3"/>
  <cols>
    <col min="1" max="1" width="30.21875" customWidth="1"/>
    <col min="2" max="2" width="10.44140625" customWidth="1"/>
    <col min="3" max="3" width="22.6640625" customWidth="1"/>
  </cols>
  <sheetData>
    <row r="2" spans="1:6" ht="23.4" x14ac:dyDescent="0.45">
      <c r="A2" s="22"/>
      <c r="B2" s="44"/>
      <c r="C2" s="44"/>
      <c r="D2" s="44"/>
      <c r="E2" s="45"/>
      <c r="F2" s="45"/>
    </row>
    <row r="3" spans="1:6" ht="23.4" x14ac:dyDescent="0.45">
      <c r="A3" s="22"/>
      <c r="B3" s="46"/>
      <c r="C3" s="44"/>
      <c r="D3" s="44"/>
      <c r="E3" s="45"/>
      <c r="F3" s="45"/>
    </row>
    <row r="4" spans="1:6" ht="23.4" x14ac:dyDescent="0.45">
      <c r="A4" s="70" t="s">
        <v>87</v>
      </c>
      <c r="B4" s="70"/>
      <c r="C4" s="70"/>
      <c r="D4" s="44"/>
      <c r="E4" s="45"/>
      <c r="F4" s="45"/>
    </row>
    <row r="5" spans="1:6" ht="23.4" x14ac:dyDescent="0.45">
      <c r="A5" s="22"/>
      <c r="B5" s="44"/>
      <c r="C5" s="44"/>
      <c r="D5" s="44"/>
      <c r="E5" s="45"/>
      <c r="F5" s="45"/>
    </row>
    <row r="6" spans="1:6" ht="23.4" x14ac:dyDescent="0.45">
      <c r="A6" s="22"/>
      <c r="B6" s="44"/>
      <c r="C6" s="44"/>
      <c r="D6" s="44"/>
      <c r="E6" s="45"/>
      <c r="F6" s="45"/>
    </row>
    <row r="7" spans="1:6" ht="23.4" x14ac:dyDescent="0.45">
      <c r="A7" s="22"/>
      <c r="B7" s="44"/>
      <c r="C7" s="44"/>
      <c r="D7" s="44"/>
      <c r="E7" s="45"/>
      <c r="F7" s="45"/>
    </row>
    <row r="8" spans="1:6" ht="23.4" x14ac:dyDescent="0.45">
      <c r="A8" s="22"/>
      <c r="B8" s="44"/>
      <c r="C8" s="44"/>
      <c r="D8" s="44"/>
      <c r="E8" s="45"/>
      <c r="F8" s="45"/>
    </row>
    <row r="9" spans="1:6" ht="23.4" x14ac:dyDescent="0.45">
      <c r="A9" s="22"/>
      <c r="B9" s="44"/>
      <c r="C9" s="44"/>
      <c r="D9" s="44"/>
      <c r="E9" s="45"/>
      <c r="F9" s="45"/>
    </row>
    <row r="10" spans="1:6" ht="23.4" x14ac:dyDescent="0.45">
      <c r="A10" s="22"/>
      <c r="B10" s="44"/>
      <c r="C10" s="44"/>
      <c r="D10" s="44"/>
      <c r="E10" s="45"/>
      <c r="F10" s="45"/>
    </row>
    <row r="11" spans="1:6" ht="23.4" x14ac:dyDescent="0.45">
      <c r="A11" s="22"/>
      <c r="B11" s="44"/>
      <c r="C11" s="44"/>
      <c r="D11" s="44"/>
      <c r="E11" s="45"/>
      <c r="F11" s="45"/>
    </row>
    <row r="12" spans="1:6" ht="23.4" x14ac:dyDescent="0.45">
      <c r="A12" s="22"/>
      <c r="B12" s="44"/>
      <c r="C12" s="44"/>
      <c r="D12" s="44"/>
      <c r="E12" s="45"/>
      <c r="F12" s="45"/>
    </row>
    <row r="13" spans="1:6" ht="23.4" x14ac:dyDescent="0.45">
      <c r="A13" s="22"/>
      <c r="B13" s="44"/>
      <c r="C13" s="44"/>
      <c r="D13" s="44"/>
      <c r="E13" s="45"/>
      <c r="F13" s="45"/>
    </row>
    <row r="14" spans="1:6" ht="23.4" x14ac:dyDescent="0.45">
      <c r="A14" s="22"/>
      <c r="B14" s="44"/>
      <c r="C14" s="44"/>
      <c r="D14" s="44"/>
      <c r="E14" s="45"/>
      <c r="F14" s="45"/>
    </row>
    <row r="15" spans="1:6" ht="23.4" x14ac:dyDescent="0.45">
      <c r="A15" s="22"/>
      <c r="B15" s="44"/>
      <c r="C15" s="44"/>
      <c r="D15" s="44"/>
      <c r="E15" s="45"/>
      <c r="F15" s="45"/>
    </row>
    <row r="16" spans="1:6" ht="23.4" x14ac:dyDescent="0.45">
      <c r="A16" s="22"/>
      <c r="B16" s="44"/>
      <c r="C16" s="44"/>
      <c r="D16" s="44"/>
      <c r="E16" s="45"/>
      <c r="F16" s="45"/>
    </row>
    <row r="17" spans="1:6" ht="23.4" x14ac:dyDescent="0.45">
      <c r="A17" s="22"/>
      <c r="B17" s="44"/>
      <c r="C17" s="44"/>
      <c r="D17" s="44"/>
      <c r="E17" s="45"/>
      <c r="F17" s="45"/>
    </row>
    <row r="18" spans="1:6" ht="23.4" x14ac:dyDescent="0.45">
      <c r="A18" s="22"/>
      <c r="B18" s="44"/>
      <c r="C18" s="44"/>
      <c r="D18" s="44"/>
      <c r="E18" s="45"/>
      <c r="F18" s="45"/>
    </row>
    <row r="19" spans="1:6" ht="23.4" x14ac:dyDescent="0.45">
      <c r="A19" s="22"/>
      <c r="B19" s="44"/>
      <c r="C19" s="44"/>
      <c r="D19" s="44"/>
      <c r="E19" s="45"/>
      <c r="F19" s="45"/>
    </row>
    <row r="20" spans="1:6" ht="23.4" x14ac:dyDescent="0.45">
      <c r="A20" s="22"/>
      <c r="B20" s="44"/>
      <c r="C20" s="44"/>
      <c r="D20" s="44"/>
      <c r="E20" s="45"/>
      <c r="F20" s="45"/>
    </row>
    <row r="21" spans="1:6" ht="23.4" x14ac:dyDescent="0.45">
      <c r="A21" s="22"/>
      <c r="B21" s="44"/>
      <c r="C21" s="44"/>
      <c r="D21" s="44"/>
      <c r="E21" s="45"/>
      <c r="F21" s="45"/>
    </row>
    <row r="22" spans="1:6" x14ac:dyDescent="0.3">
      <c r="A22" s="22"/>
      <c r="B22" s="22"/>
      <c r="C22" s="22"/>
      <c r="D22" s="22"/>
    </row>
    <row r="23" spans="1:6" x14ac:dyDescent="0.3">
      <c r="A23" s="22"/>
      <c r="B23" s="22"/>
      <c r="C23" s="22"/>
      <c r="D23" s="22"/>
    </row>
    <row r="24" spans="1:6" x14ac:dyDescent="0.3">
      <c r="A24" s="22"/>
      <c r="B24" s="22"/>
      <c r="C24" s="22"/>
      <c r="D24" s="22"/>
    </row>
    <row r="25" spans="1:6" x14ac:dyDescent="0.3">
      <c r="A25" s="22"/>
      <c r="B25" s="22"/>
      <c r="C25" s="22"/>
      <c r="D25" s="22"/>
    </row>
    <row r="26" spans="1:6" x14ac:dyDescent="0.3">
      <c r="A26" s="22"/>
      <c r="B26" s="22"/>
      <c r="C26" s="22"/>
      <c r="D26" s="22"/>
    </row>
    <row r="27" spans="1:6" x14ac:dyDescent="0.3">
      <c r="A27" s="22"/>
      <c r="B27" s="22"/>
      <c r="C27" s="22"/>
      <c r="D27" s="22"/>
    </row>
  </sheetData>
  <mergeCells count="1">
    <mergeCell ref="A4:C4"/>
  </mergeCells>
  <pageMargins left="0.7" right="0.7" top="0.75" bottom="0.75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workbookViewId="0">
      <selection activeCell="E13" sqref="E13"/>
    </sheetView>
  </sheetViews>
  <sheetFormatPr baseColWidth="10" defaultRowHeight="14.4" x14ac:dyDescent="0.3"/>
  <cols>
    <col min="1" max="6" width="23.33203125" customWidth="1"/>
  </cols>
  <sheetData>
    <row r="1" spans="1:5" ht="15.6" customHeight="1" x14ac:dyDescent="0.3">
      <c r="A1" s="71" t="s">
        <v>88</v>
      </c>
      <c r="B1" s="71"/>
    </row>
    <row r="2" spans="1:5" ht="14.4" customHeight="1" x14ac:dyDescent="0.3">
      <c r="A2" s="71"/>
      <c r="B2" s="71"/>
    </row>
    <row r="3" spans="1:5" ht="14.4" customHeight="1" x14ac:dyDescent="0.3">
      <c r="A3" s="71"/>
      <c r="B3" s="71"/>
    </row>
    <row r="5" spans="1:5" x14ac:dyDescent="0.3">
      <c r="A5" s="22" t="s">
        <v>7</v>
      </c>
      <c r="B5" s="22" t="s">
        <v>1</v>
      </c>
      <c r="C5" s="58" t="s">
        <v>89</v>
      </c>
      <c r="D5" s="58" t="s">
        <v>90</v>
      </c>
      <c r="E5" s="22" t="s">
        <v>91</v>
      </c>
    </row>
    <row r="6" spans="1:5" x14ac:dyDescent="0.3">
      <c r="A6" t="s">
        <v>8</v>
      </c>
      <c r="B6" s="59">
        <v>1000</v>
      </c>
      <c r="C6" s="59">
        <f>SUM(Recettes)</f>
        <v>230</v>
      </c>
      <c r="D6" s="59">
        <f>SUM(Dépenses)</f>
        <v>240</v>
      </c>
      <c r="E6" s="59">
        <f>Tableau1[Solde initial]+Tableau1[Recettes après saisie]-Tableau1[Dépenses après saisie]</f>
        <v>990</v>
      </c>
    </row>
  </sheetData>
  <mergeCells count="1">
    <mergeCell ref="A1:B3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3:C7"/>
  <sheetViews>
    <sheetView workbookViewId="0">
      <selection activeCell="B4" sqref="B4"/>
    </sheetView>
  </sheetViews>
  <sheetFormatPr baseColWidth="10" defaultRowHeight="14.4" x14ac:dyDescent="0.3"/>
  <cols>
    <col min="1" max="3" width="24.44140625" customWidth="1"/>
  </cols>
  <sheetData>
    <row r="3" spans="1:3" x14ac:dyDescent="0.3">
      <c r="A3" s="16"/>
      <c r="B3" s="16" t="s">
        <v>2</v>
      </c>
      <c r="C3" s="16" t="s">
        <v>3</v>
      </c>
    </row>
    <row r="4" spans="1:3" x14ac:dyDescent="0.3">
      <c r="A4" s="23" t="s">
        <v>74</v>
      </c>
      <c r="B4" s="14"/>
      <c r="C4" s="14"/>
    </row>
    <row r="5" spans="1:3" x14ac:dyDescent="0.3">
      <c r="A5" s="24" t="s">
        <v>75</v>
      </c>
      <c r="B5" s="14"/>
      <c r="C5" s="14"/>
    </row>
    <row r="6" spans="1:3" x14ac:dyDescent="0.3">
      <c r="A6" s="25" t="s">
        <v>73</v>
      </c>
      <c r="B6" s="14"/>
      <c r="C6" s="14"/>
    </row>
    <row r="7" spans="1:3" x14ac:dyDescent="0.3">
      <c r="A7" s="26" t="s">
        <v>76</v>
      </c>
      <c r="B7" s="14"/>
      <c r="C7" s="1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rmEcriture"/>
  <dimension ref="A1:S71"/>
  <sheetViews>
    <sheetView zoomScale="60" zoomScaleNormal="60" workbookViewId="0">
      <selection activeCell="E51" sqref="E51"/>
    </sheetView>
  </sheetViews>
  <sheetFormatPr baseColWidth="10" defaultRowHeight="14.4" x14ac:dyDescent="0.3"/>
  <cols>
    <col min="1" max="1" width="17.109375" style="10" customWidth="1"/>
    <col min="2" max="3" width="14.33203125" customWidth="1"/>
    <col min="4" max="4" width="19.77734375" customWidth="1"/>
    <col min="5" max="5" width="14.33203125" customWidth="1"/>
    <col min="6" max="6" width="22.6640625" customWidth="1"/>
    <col min="7" max="7" width="46.109375" style="10" customWidth="1"/>
    <col min="8" max="8" width="21.33203125" customWidth="1"/>
    <col min="9" max="9" width="16" customWidth="1"/>
    <col min="10" max="10" width="17.5546875" customWidth="1"/>
    <col min="11" max="11" width="17.5546875" style="10" customWidth="1"/>
    <col min="12" max="12" width="14.33203125" customWidth="1"/>
    <col min="13" max="13" width="10.44140625" customWidth="1"/>
    <col min="14" max="14" width="10.44140625" style="60" customWidth="1"/>
    <col min="15" max="15" width="11.5546875" style="60"/>
    <col min="18" max="18" width="17" customWidth="1"/>
    <col min="19" max="19" width="15.5546875" customWidth="1"/>
  </cols>
  <sheetData>
    <row r="1" spans="1:19" ht="15.6" x14ac:dyDescent="0.3">
      <c r="H1" s="12" t="s">
        <v>55</v>
      </c>
      <c r="I1" s="69" t="str">
        <f>SUBTOTAL(3,B4:B32)&amp;" écritures"</f>
        <v>25 écritures</v>
      </c>
      <c r="J1" s="11">
        <f>SUBTOTAL(9,tblEcritures[Dépenses])</f>
        <v>240</v>
      </c>
      <c r="K1" s="11"/>
    </row>
    <row r="3" spans="1:19" x14ac:dyDescent="0.3">
      <c r="A3" s="67"/>
      <c r="B3" s="67" t="s">
        <v>106</v>
      </c>
      <c r="C3" s="67" t="s">
        <v>107</v>
      </c>
      <c r="D3" s="67" t="s">
        <v>107</v>
      </c>
      <c r="E3" s="67" t="s">
        <v>107</v>
      </c>
      <c r="F3" s="67" t="s">
        <v>108</v>
      </c>
      <c r="G3" s="67" t="s">
        <v>106</v>
      </c>
      <c r="H3" s="67" t="s">
        <v>105</v>
      </c>
      <c r="I3" s="67" t="s">
        <v>106</v>
      </c>
      <c r="J3" s="67" t="s">
        <v>105</v>
      </c>
      <c r="K3" s="67" t="s">
        <v>106</v>
      </c>
      <c r="L3" s="67" t="s">
        <v>106</v>
      </c>
      <c r="M3" s="67" t="s">
        <v>106</v>
      </c>
      <c r="N3" s="68" t="s">
        <v>106</v>
      </c>
      <c r="O3" s="68" t="s">
        <v>106</v>
      </c>
      <c r="P3" s="67"/>
      <c r="Q3" s="67"/>
      <c r="R3" s="67" t="s">
        <v>106</v>
      </c>
      <c r="S3" s="67" t="s">
        <v>106</v>
      </c>
    </row>
    <row r="4" spans="1:19" ht="72" x14ac:dyDescent="0.3">
      <c r="A4" s="61" t="s">
        <v>56</v>
      </c>
      <c r="B4" s="62" t="s">
        <v>0</v>
      </c>
      <c r="C4" s="62" t="s">
        <v>57</v>
      </c>
      <c r="D4" s="63" t="s">
        <v>58</v>
      </c>
      <c r="E4" s="62" t="s">
        <v>59</v>
      </c>
      <c r="F4" s="64" t="s">
        <v>9</v>
      </c>
      <c r="G4" s="65" t="s">
        <v>10</v>
      </c>
      <c r="H4" s="65" t="s">
        <v>53</v>
      </c>
      <c r="I4" s="65" t="s">
        <v>66</v>
      </c>
      <c r="J4" s="64" t="s">
        <v>11</v>
      </c>
      <c r="K4" s="64" t="s">
        <v>12</v>
      </c>
      <c r="L4" s="64" t="s">
        <v>2</v>
      </c>
      <c r="M4" s="64" t="s">
        <v>3</v>
      </c>
      <c r="N4" s="64" t="s">
        <v>64</v>
      </c>
      <c r="O4" s="64" t="s">
        <v>65</v>
      </c>
      <c r="P4" s="64" t="s">
        <v>80</v>
      </c>
      <c r="Q4" s="64" t="s">
        <v>72</v>
      </c>
      <c r="R4" s="66" t="s">
        <v>81</v>
      </c>
      <c r="S4" s="66" t="s">
        <v>5</v>
      </c>
    </row>
    <row r="5" spans="1:19" x14ac:dyDescent="0.3">
      <c r="B5" s="10" t="s">
        <v>6</v>
      </c>
      <c r="C5" s="10">
        <f>MONTH(tblEcritures[[#This Row],[Date]])</f>
        <v>8</v>
      </c>
      <c r="D5" s="10">
        <f>YEAR(tblEcritures[[#This Row],[Date]])</f>
        <v>2016</v>
      </c>
      <c r="E5" s="10" t="str">
        <f>CONCATENATE(tblEcritures[[#This Row],[Année-Ecr]],tblEcritures[[#This Row],[Mois]])</f>
        <v>20168</v>
      </c>
      <c r="F5" s="36">
        <v>42583</v>
      </c>
      <c r="G5" s="10" t="s">
        <v>13</v>
      </c>
      <c r="H5" s="10" t="s">
        <v>77</v>
      </c>
      <c r="I5" s="10"/>
      <c r="J5" s="10" t="s">
        <v>14</v>
      </c>
      <c r="K5" s="10" t="s">
        <v>54</v>
      </c>
      <c r="L5" s="10">
        <v>20</v>
      </c>
      <c r="M5" s="10">
        <v>10</v>
      </c>
      <c r="N5" s="60" t="s">
        <v>79</v>
      </c>
      <c r="O5" s="60" t="s">
        <v>79</v>
      </c>
      <c r="P5" s="10">
        <f>IF(tblEcritures[[#This Row],[Pointage recette]]="x",tblEcritures[[#This Row],[Recettes]],0)</f>
        <v>20</v>
      </c>
      <c r="Q5" s="10">
        <f>IF(tblEcritures[[#This Row],[Pointage dépense]]="x",tblEcritures[[#This Row],[Dépenses]],0)</f>
        <v>10</v>
      </c>
      <c r="R5" s="36">
        <v>42024</v>
      </c>
      <c r="S5" s="10"/>
    </row>
    <row r="6" spans="1:19" x14ac:dyDescent="0.3">
      <c r="B6" s="10" t="s">
        <v>6</v>
      </c>
      <c r="C6" s="10">
        <f>MONTH(tblEcritures[[#This Row],[Date]])</f>
        <v>2</v>
      </c>
      <c r="D6" s="10">
        <f>YEAR(tblEcritures[[#This Row],[Date]])</f>
        <v>2015</v>
      </c>
      <c r="E6" s="10" t="str">
        <f>CONCATENATE(tblEcritures[[#This Row],[Année-Ecr]],tblEcritures[[#This Row],[Mois]])</f>
        <v>20152</v>
      </c>
      <c r="F6" s="36">
        <v>42038</v>
      </c>
      <c r="G6" s="10" t="s">
        <v>93</v>
      </c>
      <c r="H6" s="10" t="s">
        <v>78</v>
      </c>
      <c r="I6" s="10"/>
      <c r="J6" s="10" t="s">
        <v>14</v>
      </c>
      <c r="L6" s="10"/>
      <c r="M6" s="10">
        <v>10</v>
      </c>
      <c r="P6" s="10">
        <f>IF(tblEcritures[[#This Row],[Pointage recette]]="x",tblEcritures[[#This Row],[Recettes]],0)</f>
        <v>0</v>
      </c>
      <c r="Q6" s="10">
        <f>IF(tblEcritures[[#This Row],[Pointage dépense]]="x",tblEcritures[[#This Row],[Dépenses]],0)</f>
        <v>0</v>
      </c>
      <c r="R6" s="36">
        <v>42038</v>
      </c>
      <c r="S6" s="10"/>
    </row>
    <row r="7" spans="1:19" x14ac:dyDescent="0.3">
      <c r="B7" s="10" t="s">
        <v>6</v>
      </c>
      <c r="C7" s="10">
        <f>MONTH(tblEcritures[[#This Row],[Date]])</f>
        <v>2</v>
      </c>
      <c r="D7" s="10">
        <f>YEAR(tblEcritures[[#This Row],[Date]])</f>
        <v>2015</v>
      </c>
      <c r="E7" s="10" t="str">
        <f>CONCATENATE(tblEcritures[[#This Row],[Année-Ecr]],tblEcritures[[#This Row],[Mois]])</f>
        <v>20152</v>
      </c>
      <c r="F7" s="36">
        <v>42045</v>
      </c>
      <c r="G7" s="10" t="s">
        <v>22</v>
      </c>
      <c r="H7" s="10" t="s">
        <v>77</v>
      </c>
      <c r="I7" s="10"/>
      <c r="J7" s="10" t="s">
        <v>14</v>
      </c>
      <c r="L7" s="10"/>
      <c r="M7" s="10">
        <v>10</v>
      </c>
      <c r="N7" s="60" t="s">
        <v>79</v>
      </c>
      <c r="P7" s="10">
        <f>IF(tblEcritures[[#This Row],[Pointage recette]]="x",tblEcritures[[#This Row],[Recettes]],0)</f>
        <v>0</v>
      </c>
      <c r="Q7" s="10">
        <f>IF(tblEcritures[[#This Row],[Pointage dépense]]="x",tblEcritures[[#This Row],[Dépenses]],0)</f>
        <v>0</v>
      </c>
      <c r="R7" s="36">
        <v>42045</v>
      </c>
      <c r="S7" s="10"/>
    </row>
    <row r="8" spans="1:19" x14ac:dyDescent="0.3">
      <c r="B8" s="10" t="s">
        <v>6</v>
      </c>
      <c r="C8" s="10">
        <f>MONTH(tblEcritures[[#This Row],[Date]])</f>
        <v>3</v>
      </c>
      <c r="D8" s="10">
        <f>YEAR(tblEcritures[[#This Row],[Date]])</f>
        <v>2015</v>
      </c>
      <c r="E8" s="10" t="str">
        <f>CONCATENATE(tblEcritures[[#This Row],[Année-Ecr]],tblEcritures[[#This Row],[Mois]])</f>
        <v>20153</v>
      </c>
      <c r="F8" s="36">
        <v>42064</v>
      </c>
      <c r="G8" s="10" t="s">
        <v>94</v>
      </c>
      <c r="H8" s="10" t="s">
        <v>78</v>
      </c>
      <c r="I8" s="10"/>
      <c r="J8" s="10" t="s">
        <v>51</v>
      </c>
      <c r="L8" s="10"/>
      <c r="M8" s="10">
        <v>10</v>
      </c>
      <c r="P8" s="10">
        <f>IF(tblEcritures[[#This Row],[Pointage recette]]="x",tblEcritures[[#This Row],[Recettes]],0)</f>
        <v>0</v>
      </c>
      <c r="Q8" s="10">
        <f>IF(tblEcritures[[#This Row],[Pointage dépense]]="x",tblEcritures[[#This Row],[Dépenses]],0)</f>
        <v>0</v>
      </c>
      <c r="R8" s="36">
        <v>42083</v>
      </c>
      <c r="S8" s="10"/>
    </row>
    <row r="9" spans="1:19" x14ac:dyDescent="0.3">
      <c r="B9" s="10" t="s">
        <v>6</v>
      </c>
      <c r="C9" s="10">
        <f>MONTH(tblEcritures[[#This Row],[Date]])</f>
        <v>3</v>
      </c>
      <c r="D9" s="10">
        <f>YEAR(tblEcritures[[#This Row],[Date]])</f>
        <v>2015</v>
      </c>
      <c r="E9" s="10" t="str">
        <f>CONCATENATE(tblEcritures[[#This Row],[Année-Ecr]],tblEcritures[[#This Row],[Mois]])</f>
        <v>20153</v>
      </c>
      <c r="F9" s="36">
        <v>42066</v>
      </c>
      <c r="G9" s="10" t="s">
        <v>109</v>
      </c>
      <c r="H9" s="10" t="s">
        <v>78</v>
      </c>
      <c r="I9" s="10"/>
      <c r="J9" s="10" t="s">
        <v>14</v>
      </c>
      <c r="L9" s="10"/>
      <c r="M9" s="10">
        <v>10</v>
      </c>
      <c r="P9" s="10">
        <f>IF(tblEcritures[[#This Row],[Pointage recette]]="x",tblEcritures[[#This Row],[Recettes]],0)</f>
        <v>0</v>
      </c>
      <c r="Q9" s="10">
        <f>IF(tblEcritures[[#This Row],[Pointage dépense]]="x",tblEcritures[[#This Row],[Dépenses]],0)</f>
        <v>0</v>
      </c>
      <c r="R9" s="36">
        <v>42066</v>
      </c>
      <c r="S9" s="10"/>
    </row>
    <row r="10" spans="1:19" x14ac:dyDescent="0.3">
      <c r="B10" s="10" t="s">
        <v>6</v>
      </c>
      <c r="C10" s="10">
        <f>MONTH(tblEcritures[[#This Row],[Date]])</f>
        <v>3</v>
      </c>
      <c r="D10" s="10">
        <f>YEAR(tblEcritures[[#This Row],[Date]])</f>
        <v>2015</v>
      </c>
      <c r="E10" s="10" t="str">
        <f>CONCATENATE(tblEcritures[[#This Row],[Année-Ecr]],tblEcritures[[#This Row],[Mois]])</f>
        <v>20153</v>
      </c>
      <c r="F10" s="36">
        <v>42068</v>
      </c>
      <c r="G10" s="10" t="s">
        <v>23</v>
      </c>
      <c r="H10" s="10" t="str">
        <f>VLOOKUP(tblEcritures[[#This Row],[Libellé]],RechecheV,2,FALSE)</f>
        <v>Charge</v>
      </c>
      <c r="I10" s="10"/>
      <c r="J10" s="10" t="s">
        <v>14</v>
      </c>
      <c r="L10" s="10">
        <v>50</v>
      </c>
      <c r="M10" s="10">
        <v>10</v>
      </c>
      <c r="O10" s="60" t="s">
        <v>79</v>
      </c>
      <c r="P10" s="10">
        <f>IF(tblEcritures[[#This Row],[Pointage recette]]="x",tblEcritures[[#This Row],[Recettes]],0)</f>
        <v>0</v>
      </c>
      <c r="Q10" s="10">
        <f>IF(tblEcritures[[#This Row],[Pointage dépense]]="x",tblEcritures[[#This Row],[Dépenses]],0)</f>
        <v>10</v>
      </c>
      <c r="R10" s="36">
        <v>42068</v>
      </c>
      <c r="S10" s="10"/>
    </row>
    <row r="11" spans="1:19" x14ac:dyDescent="0.3">
      <c r="B11" s="10" t="s">
        <v>6</v>
      </c>
      <c r="C11" s="10">
        <f>MONTH(tblEcritures[[#This Row],[Date]])</f>
        <v>3</v>
      </c>
      <c r="D11" s="10">
        <f>YEAR(tblEcritures[[#This Row],[Date]])</f>
        <v>2015</v>
      </c>
      <c r="E11" s="10" t="str">
        <f>CONCATENATE(tblEcritures[[#This Row],[Année-Ecr]],tblEcritures[[#This Row],[Mois]])</f>
        <v>20153</v>
      </c>
      <c r="F11" s="36">
        <v>42075</v>
      </c>
      <c r="G11" s="10" t="s">
        <v>24</v>
      </c>
      <c r="H11" s="10" t="str">
        <f>VLOOKUP(tblEcritures[[#This Row],[Libellé]],RechecheV,2,FALSE)</f>
        <v>Charge</v>
      </c>
      <c r="I11" s="10"/>
      <c r="J11" s="10" t="s">
        <v>14</v>
      </c>
      <c r="L11" s="10"/>
      <c r="M11" s="10">
        <v>10</v>
      </c>
      <c r="P11" s="10">
        <f>IF(tblEcritures[[#This Row],[Pointage recette]]="x",tblEcritures[[#This Row],[Recettes]],0)</f>
        <v>0</v>
      </c>
      <c r="Q11" s="10">
        <f>IF(tblEcritures[[#This Row],[Pointage dépense]]="x",tblEcritures[[#This Row],[Dépenses]],0)</f>
        <v>0</v>
      </c>
      <c r="R11" s="36">
        <v>42075</v>
      </c>
      <c r="S11" s="10"/>
    </row>
    <row r="12" spans="1:19" x14ac:dyDescent="0.3">
      <c r="B12" s="10" t="s">
        <v>6</v>
      </c>
      <c r="C12" s="10">
        <f>MONTH(tblEcritures[[#This Row],[Date]])</f>
        <v>4</v>
      </c>
      <c r="D12" s="10">
        <f>YEAR(tblEcritures[[#This Row],[Date]])</f>
        <v>2015</v>
      </c>
      <c r="E12" s="10" t="str">
        <f>CONCATENATE(tblEcritures[[#This Row],[Année-Ecr]],tblEcritures[[#This Row],[Mois]])</f>
        <v>20154</v>
      </c>
      <c r="F12" s="36">
        <v>42095</v>
      </c>
      <c r="G12" s="10" t="s">
        <v>110</v>
      </c>
      <c r="H12" s="10" t="s">
        <v>77</v>
      </c>
      <c r="I12" s="10"/>
      <c r="J12" s="10" t="s">
        <v>14</v>
      </c>
      <c r="L12" s="10"/>
      <c r="M12" s="10">
        <v>10</v>
      </c>
      <c r="P12" s="10">
        <f>IF(tblEcritures[[#This Row],[Pointage recette]]="x",tblEcritures[[#This Row],[Recettes]],0)</f>
        <v>0</v>
      </c>
      <c r="Q12" s="10">
        <f>IF(tblEcritures[[#This Row],[Pointage dépense]]="x",tblEcritures[[#This Row],[Dépenses]],0)</f>
        <v>0</v>
      </c>
      <c r="R12" s="36">
        <v>42008</v>
      </c>
      <c r="S12" s="10"/>
    </row>
    <row r="13" spans="1:19" x14ac:dyDescent="0.3">
      <c r="B13" s="10" t="s">
        <v>6</v>
      </c>
      <c r="C13" s="10">
        <f>MONTH(tblEcritures[[#This Row],[Date]])</f>
        <v>4</v>
      </c>
      <c r="D13" s="10">
        <f>YEAR(tblEcritures[[#This Row],[Date]])</f>
        <v>2015</v>
      </c>
      <c r="E13" s="10" t="str">
        <f>CONCATENATE(tblEcritures[[#This Row],[Année-Ecr]],tblEcritures[[#This Row],[Mois]])</f>
        <v>20154</v>
      </c>
      <c r="F13" s="36">
        <v>42096</v>
      </c>
      <c r="G13" s="10" t="s">
        <v>102</v>
      </c>
      <c r="H13" s="10" t="s">
        <v>77</v>
      </c>
      <c r="I13" s="10"/>
      <c r="J13" s="10" t="s">
        <v>14</v>
      </c>
      <c r="L13" s="10"/>
      <c r="M13" s="10">
        <v>10</v>
      </c>
      <c r="P13" s="10">
        <f>IF(tblEcritures[[#This Row],[Pointage recette]]="x",tblEcritures[[#This Row],[Recettes]],0)</f>
        <v>0</v>
      </c>
      <c r="Q13" s="10">
        <f>IF(tblEcritures[[#This Row],[Pointage dépense]]="x",tblEcritures[[#This Row],[Dépenses]],0)</f>
        <v>0</v>
      </c>
      <c r="R13" s="36">
        <v>42083</v>
      </c>
      <c r="S13" s="10"/>
    </row>
    <row r="14" spans="1:19" x14ac:dyDescent="0.3">
      <c r="B14" s="10" t="s">
        <v>6</v>
      </c>
      <c r="C14" s="10">
        <f>MONTH(tblEcritures[[#This Row],[Date]])</f>
        <v>2</v>
      </c>
      <c r="D14" s="10">
        <f>YEAR(tblEcritures[[#This Row],[Date]])</f>
        <v>2015</v>
      </c>
      <c r="E14" s="10" t="str">
        <f>CONCATENATE(tblEcritures[[#This Row],[Année-Ecr]],tblEcritures[[#This Row],[Mois]])</f>
        <v>20152</v>
      </c>
      <c r="F14" s="36">
        <v>42052</v>
      </c>
      <c r="G14" s="10" t="s">
        <v>103</v>
      </c>
      <c r="H14" s="10" t="s">
        <v>78</v>
      </c>
      <c r="I14" s="10"/>
      <c r="J14" s="10" t="s">
        <v>14</v>
      </c>
      <c r="L14" s="10"/>
      <c r="M14" s="10">
        <v>10</v>
      </c>
      <c r="P14" s="10">
        <f>IF(tblEcritures[[#This Row],[Pointage recette]]="x",tblEcritures[[#This Row],[Recettes]],0)</f>
        <v>0</v>
      </c>
      <c r="Q14" s="10">
        <f>IF(tblEcritures[[#This Row],[Pointage dépense]]="x",tblEcritures[[#This Row],[Dépenses]],0)</f>
        <v>0</v>
      </c>
      <c r="R14" s="36">
        <v>42052</v>
      </c>
      <c r="S14" s="10"/>
    </row>
    <row r="15" spans="1:19" x14ac:dyDescent="0.3">
      <c r="B15" s="10" t="s">
        <v>6</v>
      </c>
      <c r="C15" s="10">
        <f>MONTH(tblEcritures[[#This Row],[Date]])</f>
        <v>2</v>
      </c>
      <c r="D15" s="10">
        <f>YEAR(tblEcritures[[#This Row],[Date]])</f>
        <v>2016</v>
      </c>
      <c r="E15" s="10" t="str">
        <f>CONCATENATE(tblEcritures[[#This Row],[Année-Ecr]],tblEcritures[[#This Row],[Mois]])</f>
        <v>20162</v>
      </c>
      <c r="F15" s="36">
        <v>42417</v>
      </c>
      <c r="G15" s="10" t="s">
        <v>95</v>
      </c>
      <c r="H15" s="10" t="s">
        <v>78</v>
      </c>
      <c r="I15" s="10"/>
      <c r="J15" s="10" t="s">
        <v>14</v>
      </c>
      <c r="L15" s="10">
        <v>100</v>
      </c>
      <c r="M15" s="10">
        <v>10</v>
      </c>
      <c r="P15" s="10">
        <f>IF(tblEcritures[[#This Row],[Pointage recette]]="x",tblEcritures[[#This Row],[Recettes]],0)</f>
        <v>0</v>
      </c>
      <c r="Q15" s="10">
        <f>IF(tblEcritures[[#This Row],[Pointage dépense]]="x",tblEcritures[[#This Row],[Dépenses]],0)</f>
        <v>0</v>
      </c>
      <c r="R15" s="36">
        <v>42066</v>
      </c>
      <c r="S15" s="10"/>
    </row>
    <row r="16" spans="1:19" x14ac:dyDescent="0.3">
      <c r="B16" s="10" t="s">
        <v>6</v>
      </c>
      <c r="C16" s="10">
        <f>MONTH(tblEcritures[[#This Row],[Date]])</f>
        <v>1</v>
      </c>
      <c r="D16" s="10">
        <f>YEAR(tblEcritures[[#This Row],[Date]])</f>
        <v>2016</v>
      </c>
      <c r="E16" s="10" t="str">
        <f>CONCATENATE(tblEcritures[[#This Row],[Année-Ecr]],tblEcritures[[#This Row],[Mois]])</f>
        <v>20161</v>
      </c>
      <c r="F16" s="36">
        <v>42387</v>
      </c>
      <c r="G16" s="10" t="s">
        <v>27</v>
      </c>
      <c r="H16" s="10" t="str">
        <f>VLOOKUP(tblEcritures[[#This Row],[Libellé]],RechecheV,2,FALSE)</f>
        <v>Charge</v>
      </c>
      <c r="I16" s="10"/>
      <c r="J16" s="10" t="s">
        <v>14</v>
      </c>
      <c r="L16" s="10"/>
      <c r="M16" s="10">
        <v>10</v>
      </c>
      <c r="N16" s="60" t="s">
        <v>79</v>
      </c>
      <c r="P16" s="10">
        <f>IF(tblEcritures[[#This Row],[Pointage recette]]="x",tblEcritures[[#This Row],[Recettes]],0)</f>
        <v>0</v>
      </c>
      <c r="Q16" s="10">
        <f>IF(tblEcritures[[#This Row],[Pointage dépense]]="x",tblEcritures[[#This Row],[Dépenses]],0)</f>
        <v>0</v>
      </c>
      <c r="R16" s="36">
        <v>42022</v>
      </c>
      <c r="S16" s="10"/>
    </row>
    <row r="17" spans="2:19" x14ac:dyDescent="0.3">
      <c r="B17" s="10" t="s">
        <v>6</v>
      </c>
      <c r="C17" s="10">
        <f>MONTH(tblEcritures[[#This Row],[Date]])</f>
        <v>1</v>
      </c>
      <c r="D17" s="10">
        <f>YEAR(tblEcritures[[#This Row],[Date]])</f>
        <v>2016</v>
      </c>
      <c r="E17" s="10" t="str">
        <f>CONCATENATE(tblEcritures[[#This Row],[Année-Ecr]],tblEcritures[[#This Row],[Mois]])</f>
        <v>20161</v>
      </c>
      <c r="F17" s="36">
        <v>42387</v>
      </c>
      <c r="G17" s="10" t="s">
        <v>96</v>
      </c>
      <c r="H17" s="10" t="s">
        <v>78</v>
      </c>
      <c r="I17" s="10"/>
      <c r="J17" s="10" t="s">
        <v>14</v>
      </c>
      <c r="L17" s="10"/>
      <c r="M17" s="10">
        <v>10</v>
      </c>
      <c r="P17" s="10">
        <f>IF(tblEcritures[[#This Row],[Pointage recette]]="x",tblEcritures[[#This Row],[Recettes]],0)</f>
        <v>0</v>
      </c>
      <c r="Q17" s="10">
        <f>IF(tblEcritures[[#This Row],[Pointage dépense]]="x",tblEcritures[[#This Row],[Dépenses]],0)</f>
        <v>0</v>
      </c>
      <c r="R17" s="36">
        <v>42068</v>
      </c>
      <c r="S17" s="10"/>
    </row>
    <row r="18" spans="2:19" x14ac:dyDescent="0.3">
      <c r="B18" s="10" t="s">
        <v>6</v>
      </c>
      <c r="C18" s="10">
        <f>MONTH(tblEcritures[[#This Row],[Date]])</f>
        <v>3</v>
      </c>
      <c r="D18" s="10">
        <f>YEAR(tblEcritures[[#This Row],[Date]])</f>
        <v>2016</v>
      </c>
      <c r="E18" s="10" t="str">
        <f>CONCATENATE(tblEcritures[[#This Row],[Année-Ecr]],tblEcritures[[#This Row],[Mois]])</f>
        <v>20163</v>
      </c>
      <c r="F18" s="36">
        <v>42448</v>
      </c>
      <c r="G18" s="10" t="s">
        <v>28</v>
      </c>
      <c r="H18" s="10" t="str">
        <f>VLOOKUP(tblEcritures[[#This Row],[Libellé]],RechecheV,2,FALSE)</f>
        <v>Charge</v>
      </c>
      <c r="I18" s="10"/>
      <c r="J18" s="10" t="s">
        <v>14</v>
      </c>
      <c r="L18" s="10"/>
      <c r="M18" s="10">
        <v>10</v>
      </c>
      <c r="P18" s="10">
        <f>IF(tblEcritures[[#This Row],[Pointage recette]]="x",tblEcritures[[#This Row],[Recettes]],0)</f>
        <v>0</v>
      </c>
      <c r="Q18" s="10">
        <f>IF(tblEcritures[[#This Row],[Pointage dépense]]="x",tblEcritures[[#This Row],[Dépenses]],0)</f>
        <v>0</v>
      </c>
      <c r="R18" s="36">
        <v>42278</v>
      </c>
      <c r="S18" s="10"/>
    </row>
    <row r="19" spans="2:19" x14ac:dyDescent="0.3">
      <c r="B19" s="10" t="s">
        <v>6</v>
      </c>
      <c r="C19" s="10">
        <f>MONTH(tblEcritures[[#This Row],[Date]])</f>
        <v>3</v>
      </c>
      <c r="D19" s="10">
        <f>YEAR(tblEcritures[[#This Row],[Date]])</f>
        <v>2016</v>
      </c>
      <c r="E19" s="10" t="str">
        <f>CONCATENATE(tblEcritures[[#This Row],[Année-Ecr]],tblEcritures[[#This Row],[Mois]])</f>
        <v>20163</v>
      </c>
      <c r="F19" s="36">
        <v>42448</v>
      </c>
      <c r="G19" s="10" t="s">
        <v>45</v>
      </c>
      <c r="H19" s="10" t="str">
        <f>VLOOKUP(tblEcritures[[#This Row],[Libellé]],RechecheV,2,FALSE)</f>
        <v>Produit</v>
      </c>
      <c r="I19" s="10"/>
      <c r="J19" s="10" t="s">
        <v>14</v>
      </c>
      <c r="L19" s="10"/>
      <c r="M19" s="10">
        <v>10</v>
      </c>
      <c r="P19" s="10">
        <f>IF(tblEcritures[[#This Row],[Pointage recette]]="x",tblEcritures[[#This Row],[Recettes]],0)</f>
        <v>0</v>
      </c>
      <c r="Q19" s="10">
        <f>IF(tblEcritures[[#This Row],[Pointage dépense]]="x",tblEcritures[[#This Row],[Dépenses]],0)</f>
        <v>0</v>
      </c>
      <c r="R19" s="36">
        <v>42075</v>
      </c>
      <c r="S19" s="10"/>
    </row>
    <row r="20" spans="2:19" x14ac:dyDescent="0.3">
      <c r="B20" s="10" t="s">
        <v>6</v>
      </c>
      <c r="C20" s="10">
        <f>MONTH(tblEcritures[[#This Row],[Date]])</f>
        <v>2</v>
      </c>
      <c r="D20" s="10">
        <f>YEAR(tblEcritures[[#This Row],[Date]])</f>
        <v>2016</v>
      </c>
      <c r="E20" s="10" t="str">
        <f>CONCATENATE(tblEcritures[[#This Row],[Année-Ecr]],tblEcritures[[#This Row],[Mois]])</f>
        <v>20162</v>
      </c>
      <c r="F20" s="36">
        <v>42420</v>
      </c>
      <c r="G20" s="10" t="s">
        <v>29</v>
      </c>
      <c r="H20" s="10" t="s">
        <v>77</v>
      </c>
      <c r="I20" s="10"/>
      <c r="J20" s="10" t="s">
        <v>14</v>
      </c>
      <c r="L20" s="10"/>
      <c r="M20" s="10">
        <v>10</v>
      </c>
      <c r="P20" s="10">
        <f>IF(tblEcritures[[#This Row],[Pointage recette]]="x",tblEcritures[[#This Row],[Recettes]],0)</f>
        <v>0</v>
      </c>
      <c r="Q20" s="10">
        <f>IF(tblEcritures[[#This Row],[Pointage dépense]]="x",tblEcritures[[#This Row],[Dépenses]],0)</f>
        <v>0</v>
      </c>
      <c r="R20" s="36">
        <v>42055</v>
      </c>
      <c r="S20" s="10"/>
    </row>
    <row r="21" spans="2:19" x14ac:dyDescent="0.3">
      <c r="B21" s="10" t="s">
        <v>6</v>
      </c>
      <c r="C21" s="10">
        <f>MONTH(tblEcritures[[#This Row],[Date]])</f>
        <v>2</v>
      </c>
      <c r="D21" s="10">
        <f>YEAR(tblEcritures[[#This Row],[Date]])</f>
        <v>2016</v>
      </c>
      <c r="E21" s="10" t="str">
        <f>CONCATENATE(tblEcritures[[#This Row],[Année-Ecr]],tblEcritures[[#This Row],[Mois]])</f>
        <v>20162</v>
      </c>
      <c r="F21" s="36">
        <v>42420</v>
      </c>
      <c r="G21" s="10" t="s">
        <v>97</v>
      </c>
      <c r="H21" s="10" t="s">
        <v>78</v>
      </c>
      <c r="I21" s="10"/>
      <c r="J21" s="10" t="s">
        <v>14</v>
      </c>
      <c r="L21" s="10">
        <v>40</v>
      </c>
      <c r="M21" s="10">
        <v>10</v>
      </c>
      <c r="N21" s="60" t="s">
        <v>79</v>
      </c>
      <c r="P21" s="10">
        <f>IF(tblEcritures[[#This Row],[Pointage recette]]="x",tblEcritures[[#This Row],[Recettes]],0)</f>
        <v>40</v>
      </c>
      <c r="Q21" s="10">
        <f>IF(tblEcritures[[#This Row],[Pointage dépense]]="x",tblEcritures[[#This Row],[Dépenses]],0)</f>
        <v>0</v>
      </c>
      <c r="R21" s="36">
        <v>42008</v>
      </c>
      <c r="S21" s="10"/>
    </row>
    <row r="22" spans="2:19" x14ac:dyDescent="0.3">
      <c r="B22" s="10" t="s">
        <v>6</v>
      </c>
      <c r="C22" s="10">
        <f>MONTH(tblEcritures[[#This Row],[Date]])</f>
        <v>1</v>
      </c>
      <c r="D22" s="10">
        <f>YEAR(tblEcritures[[#This Row],[Date]])</f>
        <v>2016</v>
      </c>
      <c r="E22" s="10" t="str">
        <f>CONCATENATE(tblEcritures[[#This Row],[Année-Ecr]],tblEcritures[[#This Row],[Mois]])</f>
        <v>20161</v>
      </c>
      <c r="F22" s="36">
        <v>42391</v>
      </c>
      <c r="G22" s="10" t="s">
        <v>98</v>
      </c>
      <c r="H22" s="10" t="s">
        <v>78</v>
      </c>
      <c r="I22" s="10"/>
      <c r="J22" s="10" t="s">
        <v>14</v>
      </c>
      <c r="L22" s="10"/>
      <c r="M22" s="10">
        <v>10</v>
      </c>
      <c r="P22" s="10">
        <f>IF(tblEcritures[[#This Row],[Pointage recette]]="x",tblEcritures[[#This Row],[Recettes]],0)</f>
        <v>0</v>
      </c>
      <c r="Q22" s="10">
        <f>IF(tblEcritures[[#This Row],[Pointage dépense]]="x",tblEcritures[[#This Row],[Dépenses]],0)</f>
        <v>0</v>
      </c>
      <c r="R22" s="36">
        <v>42026</v>
      </c>
      <c r="S22" s="10"/>
    </row>
    <row r="23" spans="2:19" x14ac:dyDescent="0.3">
      <c r="B23" s="10" t="s">
        <v>6</v>
      </c>
      <c r="C23" s="10">
        <f>MONTH(tblEcritures[[#This Row],[Date]])</f>
        <v>1</v>
      </c>
      <c r="D23" s="10">
        <f>YEAR(tblEcritures[[#This Row],[Date]])</f>
        <v>2016</v>
      </c>
      <c r="E23" s="10" t="str">
        <f>CONCATENATE(tblEcritures[[#This Row],[Année-Ecr]],tblEcritures[[#This Row],[Mois]])</f>
        <v>20161</v>
      </c>
      <c r="F23" s="36">
        <v>42391</v>
      </c>
      <c r="G23" s="10" t="s">
        <v>99</v>
      </c>
      <c r="H23" s="10" t="s">
        <v>78</v>
      </c>
      <c r="I23" s="10"/>
      <c r="J23" s="10" t="s">
        <v>14</v>
      </c>
      <c r="L23" s="10"/>
      <c r="M23" s="10">
        <v>10</v>
      </c>
      <c r="P23" s="10">
        <f>IF(tblEcritures[[#This Row],[Pointage recette]]="x",tblEcritures[[#This Row],[Recettes]],0)</f>
        <v>0</v>
      </c>
      <c r="Q23" s="10">
        <f>IF(tblEcritures[[#This Row],[Pointage dépense]]="x",tblEcritures[[#This Row],[Dépenses]],0)</f>
        <v>0</v>
      </c>
      <c r="R23" s="36">
        <v>42026</v>
      </c>
      <c r="S23" s="10"/>
    </row>
    <row r="24" spans="2:19" x14ac:dyDescent="0.3">
      <c r="B24" s="10" t="s">
        <v>6</v>
      </c>
      <c r="C24" s="10">
        <f>MONTH(tblEcritures[[#This Row],[Date]])</f>
        <v>1</v>
      </c>
      <c r="D24" s="10">
        <f>YEAR(tblEcritures[[#This Row],[Date]])</f>
        <v>2016</v>
      </c>
      <c r="E24" s="10" t="str">
        <f>CONCATENATE(tblEcritures[[#This Row],[Année-Ecr]],tblEcritures[[#This Row],[Mois]])</f>
        <v>20161</v>
      </c>
      <c r="F24" s="36">
        <v>42392</v>
      </c>
      <c r="G24" s="10" t="s">
        <v>33</v>
      </c>
      <c r="H24" s="10" t="str">
        <f>VLOOKUP(tblEcritures[[#This Row],[Libellé]],RechecheV,2,FALSE)</f>
        <v>Charge</v>
      </c>
      <c r="I24" s="10"/>
      <c r="J24" s="10" t="s">
        <v>14</v>
      </c>
      <c r="L24" s="10"/>
      <c r="M24" s="10">
        <v>10</v>
      </c>
      <c r="P24" s="10">
        <f>IF(tblEcritures[[#This Row],[Pointage recette]]="x",tblEcritures[[#This Row],[Recettes]],0)</f>
        <v>0</v>
      </c>
      <c r="Q24" s="10">
        <f>IF(tblEcritures[[#This Row],[Pointage dépense]]="x",tblEcritures[[#This Row],[Dépenses]],0)</f>
        <v>0</v>
      </c>
      <c r="R24" s="36">
        <v>42027</v>
      </c>
      <c r="S24" s="10"/>
    </row>
    <row r="25" spans="2:19" x14ac:dyDescent="0.3">
      <c r="B25" s="10" t="s">
        <v>6</v>
      </c>
      <c r="C25" s="10">
        <f>MONTH(tblEcritures[[#This Row],[Date]])</f>
        <v>2</v>
      </c>
      <c r="D25" s="10">
        <f>YEAR(tblEcritures[[#This Row],[Date]])</f>
        <v>2015</v>
      </c>
      <c r="E25" s="10" t="str">
        <f>CONCATENATE(tblEcritures[[#This Row],[Année-Ecr]],tblEcritures[[#This Row],[Mois]])</f>
        <v>20152</v>
      </c>
      <c r="F25" s="36">
        <v>42059</v>
      </c>
      <c r="G25" s="10" t="s">
        <v>100</v>
      </c>
      <c r="H25" s="10" t="s">
        <v>78</v>
      </c>
      <c r="I25" s="10"/>
      <c r="J25" s="10" t="s">
        <v>14</v>
      </c>
      <c r="L25" s="10">
        <v>20</v>
      </c>
      <c r="M25" s="10">
        <v>10</v>
      </c>
      <c r="P25" s="10">
        <f>IF(tblEcritures[[#This Row],[Pointage recette]]="x",tblEcritures[[#This Row],[Recettes]],0)</f>
        <v>0</v>
      </c>
      <c r="Q25" s="10">
        <f>IF(tblEcritures[[#This Row],[Pointage dépense]]="x",tblEcritures[[#This Row],[Dépenses]],0)</f>
        <v>0</v>
      </c>
      <c r="R25" s="36">
        <v>42059</v>
      </c>
      <c r="S25" s="10"/>
    </row>
    <row r="26" spans="2:19" x14ac:dyDescent="0.3">
      <c r="B26" s="10" t="s">
        <v>6</v>
      </c>
      <c r="C26" s="10">
        <f>MONTH(tblEcritures[[#This Row],[Date]])</f>
        <v>1</v>
      </c>
      <c r="D26" s="10">
        <f>YEAR(tblEcritures[[#This Row],[Date]])</f>
        <v>2016</v>
      </c>
      <c r="E26" s="10" t="str">
        <f>CONCATENATE(tblEcritures[[#This Row],[Année-Ecr]],tblEcritures[[#This Row],[Mois]])</f>
        <v>20161</v>
      </c>
      <c r="F26" s="36">
        <v>42394</v>
      </c>
      <c r="G26" s="10" t="s">
        <v>35</v>
      </c>
      <c r="H26" s="10" t="str">
        <f>VLOOKUP(tblEcritures[[#This Row],[Libellé]],RechecheV,2,FALSE)</f>
        <v>Charge</v>
      </c>
      <c r="I26" s="10"/>
      <c r="J26" s="10" t="s">
        <v>14</v>
      </c>
      <c r="L26" s="10"/>
      <c r="M26" s="10">
        <v>10</v>
      </c>
      <c r="P26" s="10">
        <f>IF(tblEcritures[[#This Row],[Pointage recette]]="x",tblEcritures[[#This Row],[Recettes]],0)</f>
        <v>0</v>
      </c>
      <c r="Q26" s="10">
        <f>IF(tblEcritures[[#This Row],[Pointage dépense]]="x",tblEcritures[[#This Row],[Dépenses]],0)</f>
        <v>0</v>
      </c>
      <c r="R26" s="36">
        <v>42029</v>
      </c>
      <c r="S26" s="10"/>
    </row>
    <row r="27" spans="2:19" x14ac:dyDescent="0.3">
      <c r="B27" s="10" t="s">
        <v>6</v>
      </c>
      <c r="C27" s="10">
        <f>MONTH(tblEcritures[[#This Row],[Date]])</f>
        <v>1</v>
      </c>
      <c r="D27" s="10">
        <f>YEAR(tblEcritures[[#This Row],[Date]])</f>
        <v>2015</v>
      </c>
      <c r="E27" s="10" t="str">
        <f>CONCATENATE(tblEcritures[[#This Row],[Année-Ecr]],tblEcritures[[#This Row],[Mois]])</f>
        <v>20151</v>
      </c>
      <c r="F27" s="36">
        <v>42029</v>
      </c>
      <c r="G27" s="10" t="s">
        <v>36</v>
      </c>
      <c r="H27" s="10" t="str">
        <f>VLOOKUP(tblEcritures[[#This Row],[Libellé]],RechecheV,2,FALSE)</f>
        <v>Charge</v>
      </c>
      <c r="I27" s="10"/>
      <c r="J27" s="10" t="s">
        <v>14</v>
      </c>
      <c r="L27" s="10"/>
      <c r="M27" s="10">
        <v>10</v>
      </c>
      <c r="P27" s="10">
        <f>IF(tblEcritures[[#This Row],[Pointage recette]]="x",tblEcritures[[#This Row],[Recettes]],0)</f>
        <v>0</v>
      </c>
      <c r="Q27" s="10">
        <f>IF(tblEcritures[[#This Row],[Pointage dépense]]="x",tblEcritures[[#This Row],[Dépenses]],0)</f>
        <v>0</v>
      </c>
      <c r="R27" s="36">
        <v>42029</v>
      </c>
      <c r="S27" s="10"/>
    </row>
    <row r="28" spans="2:19" x14ac:dyDescent="0.3">
      <c r="B28" s="10" t="s">
        <v>6</v>
      </c>
      <c r="C28" s="10">
        <f>MONTH(tblEcritures[[#This Row],[Date]])</f>
        <v>2</v>
      </c>
      <c r="D28" s="10">
        <f>YEAR(tblEcritures[[#This Row],[Date]])</f>
        <v>2015</v>
      </c>
      <c r="E28" s="10" t="str">
        <f>CONCATENATE(tblEcritures[[#This Row],[Année-Ecr]],tblEcritures[[#This Row],[Mois]])</f>
        <v>20152</v>
      </c>
      <c r="F28" s="36">
        <v>42060</v>
      </c>
      <c r="G28" s="10" t="s">
        <v>101</v>
      </c>
      <c r="H28" s="10" t="s">
        <v>78</v>
      </c>
      <c r="I28" s="10"/>
      <c r="J28" s="10" t="s">
        <v>14</v>
      </c>
      <c r="L28" s="10"/>
      <c r="M28" s="10">
        <v>10</v>
      </c>
      <c r="P28" s="10">
        <f>IF(tblEcritures[[#This Row],[Pointage recette]]="x",tblEcritures[[#This Row],[Recettes]],0)</f>
        <v>0</v>
      </c>
      <c r="Q28" s="10">
        <f>IF(tblEcritures[[#This Row],[Pointage dépense]]="x",tblEcritures[[#This Row],[Dépenses]],0)</f>
        <v>0</v>
      </c>
      <c r="R28" s="36">
        <v>42060</v>
      </c>
      <c r="S28" s="10"/>
    </row>
    <row r="29" spans="2:19" customFormat="1" x14ac:dyDescent="0.3"/>
    <row r="30" spans="2:19" x14ac:dyDescent="0.3">
      <c r="G30"/>
      <c r="K30"/>
      <c r="N30"/>
      <c r="O30"/>
    </row>
    <row r="31" spans="2:19" x14ac:dyDescent="0.3">
      <c r="G31"/>
      <c r="K31"/>
      <c r="N31"/>
      <c r="O31"/>
    </row>
    <row r="32" spans="2:19" x14ac:dyDescent="0.3">
      <c r="G32"/>
      <c r="K32"/>
      <c r="N32"/>
      <c r="O32"/>
    </row>
    <row r="33" spans="7:15" x14ac:dyDescent="0.3">
      <c r="G33"/>
      <c r="K33"/>
      <c r="N33"/>
      <c r="O33"/>
    </row>
    <row r="34" spans="7:15" x14ac:dyDescent="0.3">
      <c r="G34"/>
      <c r="K34"/>
      <c r="N34"/>
      <c r="O34"/>
    </row>
    <row r="35" spans="7:15" x14ac:dyDescent="0.3">
      <c r="G35"/>
      <c r="K35"/>
      <c r="N35"/>
      <c r="O35"/>
    </row>
    <row r="36" spans="7:15" x14ac:dyDescent="0.3">
      <c r="G36"/>
      <c r="K36"/>
      <c r="N36"/>
      <c r="O36"/>
    </row>
    <row r="37" spans="7:15" x14ac:dyDescent="0.3">
      <c r="G37"/>
      <c r="K37"/>
      <c r="N37"/>
      <c r="O37"/>
    </row>
    <row r="38" spans="7:15" x14ac:dyDescent="0.3">
      <c r="G38"/>
      <c r="K38"/>
      <c r="N38"/>
      <c r="O38"/>
    </row>
    <row r="39" spans="7:15" x14ac:dyDescent="0.3">
      <c r="G39"/>
      <c r="K39"/>
      <c r="N39"/>
      <c r="O39"/>
    </row>
    <row r="40" spans="7:15" x14ac:dyDescent="0.3">
      <c r="G40"/>
      <c r="K40"/>
      <c r="N40"/>
      <c r="O40"/>
    </row>
    <row r="41" spans="7:15" x14ac:dyDescent="0.3">
      <c r="G41"/>
      <c r="K41"/>
      <c r="N41"/>
      <c r="O41"/>
    </row>
    <row r="42" spans="7:15" x14ac:dyDescent="0.3">
      <c r="G42"/>
      <c r="K42"/>
      <c r="N42"/>
      <c r="O42"/>
    </row>
    <row r="43" spans="7:15" x14ac:dyDescent="0.3">
      <c r="G43"/>
      <c r="K43"/>
      <c r="N43"/>
      <c r="O43"/>
    </row>
    <row r="44" spans="7:15" x14ac:dyDescent="0.3">
      <c r="G44"/>
      <c r="K44"/>
      <c r="N44"/>
      <c r="O44"/>
    </row>
    <row r="45" spans="7:15" x14ac:dyDescent="0.3">
      <c r="G45"/>
      <c r="K45"/>
      <c r="N45"/>
      <c r="O45"/>
    </row>
    <row r="46" spans="7:15" x14ac:dyDescent="0.3">
      <c r="G46"/>
      <c r="K46"/>
      <c r="N46"/>
      <c r="O46"/>
    </row>
    <row r="47" spans="7:15" x14ac:dyDescent="0.3">
      <c r="G47"/>
      <c r="K47"/>
      <c r="N47"/>
      <c r="O47"/>
    </row>
    <row r="48" spans="7:15" x14ac:dyDescent="0.3">
      <c r="G48"/>
      <c r="K48"/>
      <c r="N48"/>
      <c r="O48"/>
    </row>
    <row r="49" spans="7:15" x14ac:dyDescent="0.3">
      <c r="G49"/>
      <c r="K49"/>
      <c r="N49"/>
      <c r="O49"/>
    </row>
    <row r="50" spans="7:15" x14ac:dyDescent="0.3">
      <c r="G50"/>
      <c r="K50"/>
      <c r="N50"/>
      <c r="O50"/>
    </row>
    <row r="51" spans="7:15" x14ac:dyDescent="0.3">
      <c r="G51"/>
      <c r="K51"/>
      <c r="N51"/>
      <c r="O51"/>
    </row>
    <row r="52" spans="7:15" x14ac:dyDescent="0.3">
      <c r="G52"/>
      <c r="K52"/>
      <c r="N52"/>
      <c r="O52"/>
    </row>
    <row r="53" spans="7:15" x14ac:dyDescent="0.3">
      <c r="G53"/>
      <c r="K53"/>
      <c r="N53"/>
      <c r="O53"/>
    </row>
    <row r="54" spans="7:15" x14ac:dyDescent="0.3">
      <c r="G54"/>
      <c r="K54"/>
      <c r="N54"/>
      <c r="O54"/>
    </row>
    <row r="55" spans="7:15" x14ac:dyDescent="0.3">
      <c r="G55"/>
      <c r="K55"/>
      <c r="N55"/>
      <c r="O55"/>
    </row>
    <row r="56" spans="7:15" x14ac:dyDescent="0.3">
      <c r="G56"/>
      <c r="K56"/>
      <c r="N56"/>
      <c r="O56"/>
    </row>
    <row r="57" spans="7:15" x14ac:dyDescent="0.3">
      <c r="G57"/>
      <c r="K57"/>
      <c r="N57"/>
      <c r="O57"/>
    </row>
    <row r="58" spans="7:15" x14ac:dyDescent="0.3">
      <c r="G58"/>
      <c r="K58"/>
      <c r="N58"/>
      <c r="O58"/>
    </row>
    <row r="59" spans="7:15" x14ac:dyDescent="0.3">
      <c r="G59"/>
      <c r="K59"/>
      <c r="N59"/>
      <c r="O59"/>
    </row>
    <row r="60" spans="7:15" x14ac:dyDescent="0.3">
      <c r="G60"/>
      <c r="K60"/>
      <c r="N60"/>
      <c r="O60"/>
    </row>
    <row r="61" spans="7:15" x14ac:dyDescent="0.3">
      <c r="G61"/>
      <c r="K61"/>
      <c r="N61"/>
      <c r="O61"/>
    </row>
    <row r="62" spans="7:15" x14ac:dyDescent="0.3">
      <c r="G62"/>
      <c r="K62"/>
      <c r="N62"/>
      <c r="O62"/>
    </row>
    <row r="63" spans="7:15" x14ac:dyDescent="0.3">
      <c r="G63"/>
      <c r="K63"/>
      <c r="N63"/>
      <c r="O63"/>
    </row>
    <row r="64" spans="7:15" x14ac:dyDescent="0.3">
      <c r="G64"/>
      <c r="K64"/>
      <c r="N64"/>
      <c r="O64"/>
    </row>
    <row r="65" spans="7:15" x14ac:dyDescent="0.3">
      <c r="G65"/>
      <c r="K65"/>
      <c r="N65"/>
      <c r="O65"/>
    </row>
    <row r="66" spans="7:15" x14ac:dyDescent="0.3">
      <c r="G66"/>
      <c r="K66"/>
      <c r="N66"/>
      <c r="O66"/>
    </row>
    <row r="67" spans="7:15" x14ac:dyDescent="0.3">
      <c r="G67"/>
      <c r="K67"/>
      <c r="N67"/>
      <c r="O67"/>
    </row>
    <row r="68" spans="7:15" x14ac:dyDescent="0.3">
      <c r="G68"/>
      <c r="K68"/>
      <c r="N68"/>
      <c r="O68"/>
    </row>
    <row r="69" spans="7:15" x14ac:dyDescent="0.3">
      <c r="G69"/>
      <c r="K69"/>
      <c r="N69"/>
      <c r="O69"/>
    </row>
    <row r="70" spans="7:15" x14ac:dyDescent="0.3">
      <c r="G70"/>
      <c r="K70"/>
      <c r="N70"/>
      <c r="O70"/>
    </row>
    <row r="71" spans="7:15" x14ac:dyDescent="0.3">
      <c r="G71"/>
      <c r="K71"/>
      <c r="N71"/>
      <c r="O71"/>
    </row>
  </sheetData>
  <dataValidations count="1">
    <dataValidation type="list" allowBlank="1" showInputMessage="1" showErrorMessage="1" sqref="J5:J28">
      <formula1>Modes_paiement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ppelerUserForm">
                <anchor>
                  <from>
                    <xdr:col>19</xdr:col>
                    <xdr:colOff>670560</xdr:colOff>
                    <xdr:row>3</xdr:row>
                    <xdr:rowOff>655320</xdr:rowOff>
                  </from>
                  <to>
                    <xdr:col>22</xdr:col>
                    <xdr:colOff>274320</xdr:colOff>
                    <xdr:row>7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Insert_der_lig">
                <anchor>
                  <from>
                    <xdr:col>19</xdr:col>
                    <xdr:colOff>670560</xdr:colOff>
                    <xdr:row>8</xdr:row>
                    <xdr:rowOff>91440</xdr:rowOff>
                  </from>
                  <to>
                    <xdr:col>22</xdr:col>
                    <xdr:colOff>274320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Suppr_lig">
                <anchor>
                  <from>
                    <xdr:col>19</xdr:col>
                    <xdr:colOff>670560</xdr:colOff>
                    <xdr:row>14</xdr:row>
                    <xdr:rowOff>152400</xdr:rowOff>
                  </from>
                  <to>
                    <xdr:col>22</xdr:col>
                    <xdr:colOff>274320</xdr:colOff>
                    <xdr:row>19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quitter">
                <anchor>
                  <from>
                    <xdr:col>19</xdr:col>
                    <xdr:colOff>670560</xdr:colOff>
                    <xdr:row>21</xdr:row>
                    <xdr:rowOff>0</xdr:rowOff>
                  </from>
                  <to>
                    <xdr:col>22</xdr:col>
                    <xdr:colOff>274320</xdr:colOff>
                    <xdr:row>25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Données!$F$2:$F$3</xm:f>
          </x14:formula1>
          <xm:sqref>H5:H28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0"/>
  <sheetViews>
    <sheetView tabSelected="1" workbookViewId="0">
      <selection activeCell="B5" sqref="B5"/>
    </sheetView>
  </sheetViews>
  <sheetFormatPr baseColWidth="10" defaultRowHeight="14.4" x14ac:dyDescent="0.3"/>
  <cols>
    <col min="1" max="1" width="22.88671875" customWidth="1"/>
    <col min="2" max="2" width="11.77734375" customWidth="1"/>
    <col min="3" max="3" width="15.33203125" customWidth="1"/>
    <col min="4" max="4" width="11.77734375" customWidth="1"/>
  </cols>
  <sheetData>
    <row r="1" spans="1:5" x14ac:dyDescent="0.3">
      <c r="B1" s="13" t="s">
        <v>48</v>
      </c>
      <c r="C1" s="13" t="s">
        <v>49</v>
      </c>
      <c r="D1" s="13" t="s">
        <v>50</v>
      </c>
    </row>
    <row r="2" spans="1:5" x14ac:dyDescent="0.3">
      <c r="B2" s="14">
        <f>SUBTOTAL(9,Tableau5[Recettes])</f>
        <v>0</v>
      </c>
      <c r="C2" s="15">
        <f>SUBTOTAL(9,Tableau5[Dépenses])</f>
        <v>0</v>
      </c>
      <c r="D2" s="16">
        <f>SUBTOTAL(9,Tableau5[Solde])</f>
        <v>0</v>
      </c>
    </row>
    <row r="4" spans="1:5" x14ac:dyDescent="0.3">
      <c r="A4" s="1" t="s">
        <v>47</v>
      </c>
      <c r="B4" s="9" t="s">
        <v>2</v>
      </c>
      <c r="C4" s="8" t="s">
        <v>3</v>
      </c>
      <c r="D4" s="8" t="s">
        <v>4</v>
      </c>
      <c r="E4" s="2" t="s">
        <v>5</v>
      </c>
    </row>
    <row r="5" spans="1:5" x14ac:dyDescent="0.3">
      <c r="A5" s="5" t="s">
        <v>77</v>
      </c>
      <c r="B5" s="7"/>
      <c r="C5" s="17">
        <v>0</v>
      </c>
      <c r="D5" s="17">
        <v>0</v>
      </c>
      <c r="E5" s="4"/>
    </row>
    <row r="6" spans="1:5" x14ac:dyDescent="0.3">
      <c r="A6" s="5" t="s">
        <v>78</v>
      </c>
      <c r="B6" s="17">
        <f>SUMIF(Recettes,tblEcritures[[#This Row],[Famille]]=Tableau5[[#This Row],[Regroupements]],Recettes)</f>
        <v>0</v>
      </c>
      <c r="C6" s="7">
        <v>0</v>
      </c>
      <c r="D6" s="7">
        <v>0</v>
      </c>
      <c r="E6" s="3"/>
    </row>
    <row r="7" spans="1:5" x14ac:dyDescent="0.3">
      <c r="A7" s="5"/>
      <c r="B7" s="7">
        <v>0</v>
      </c>
      <c r="C7" s="7">
        <v>0</v>
      </c>
      <c r="D7" s="7">
        <v>0</v>
      </c>
      <c r="E7" s="4"/>
    </row>
    <row r="8" spans="1:5" x14ac:dyDescent="0.3">
      <c r="E8" s="6"/>
    </row>
    <row r="9" spans="1:5" x14ac:dyDescent="0.3">
      <c r="E9" s="6"/>
    </row>
    <row r="10" spans="1:5" x14ac:dyDescent="0.3">
      <c r="E10" s="6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0"/>
  <sheetViews>
    <sheetView workbookViewId="0">
      <selection activeCell="F2" sqref="F2"/>
    </sheetView>
  </sheetViews>
  <sheetFormatPr baseColWidth="10" defaultRowHeight="14.4" x14ac:dyDescent="0.3"/>
  <cols>
    <col min="1" max="2" width="33" customWidth="1"/>
    <col min="4" max="4" width="18.33203125" customWidth="1"/>
  </cols>
  <sheetData>
    <row r="1" spans="1:6" x14ac:dyDescent="0.3">
      <c r="A1" s="27" t="s">
        <v>10</v>
      </c>
      <c r="B1" s="27" t="s">
        <v>53</v>
      </c>
      <c r="D1" s="21" t="s">
        <v>52</v>
      </c>
      <c r="F1" s="21" t="s">
        <v>53</v>
      </c>
    </row>
    <row r="2" spans="1:6" x14ac:dyDescent="0.3">
      <c r="A2" s="28" t="s">
        <v>13</v>
      </c>
      <c r="B2" s="29" t="s">
        <v>77</v>
      </c>
      <c r="D2" s="18" t="s">
        <v>38</v>
      </c>
      <c r="F2" s="18" t="s">
        <v>77</v>
      </c>
    </row>
    <row r="3" spans="1:6" x14ac:dyDescent="0.3">
      <c r="A3" s="30" t="s">
        <v>17</v>
      </c>
      <c r="B3" s="31" t="s">
        <v>78</v>
      </c>
      <c r="D3" s="18" t="s">
        <v>18</v>
      </c>
      <c r="F3" s="18" t="s">
        <v>78</v>
      </c>
    </row>
    <row r="4" spans="1:6" x14ac:dyDescent="0.3">
      <c r="A4" s="32" t="s">
        <v>19</v>
      </c>
      <c r="B4" s="33" t="s">
        <v>77</v>
      </c>
      <c r="C4" s="19"/>
      <c r="D4" s="18" t="s">
        <v>21</v>
      </c>
    </row>
    <row r="5" spans="1:6" x14ac:dyDescent="0.3">
      <c r="A5" s="34" t="s">
        <v>20</v>
      </c>
      <c r="B5" s="31" t="s">
        <v>78</v>
      </c>
      <c r="D5" s="18" t="s">
        <v>51</v>
      </c>
    </row>
    <row r="6" spans="1:6" x14ac:dyDescent="0.3">
      <c r="A6" s="35" t="s">
        <v>22</v>
      </c>
      <c r="B6" s="33" t="s">
        <v>77</v>
      </c>
      <c r="D6" s="18" t="s">
        <v>16</v>
      </c>
    </row>
    <row r="7" spans="1:6" x14ac:dyDescent="0.3">
      <c r="A7" s="34" t="s">
        <v>23</v>
      </c>
      <c r="B7" s="31" t="s">
        <v>78</v>
      </c>
      <c r="D7" s="18" t="s">
        <v>14</v>
      </c>
    </row>
    <row r="8" spans="1:6" x14ac:dyDescent="0.3">
      <c r="A8" s="35" t="s">
        <v>24</v>
      </c>
      <c r="B8" s="33" t="s">
        <v>78</v>
      </c>
      <c r="D8" s="20"/>
    </row>
    <row r="9" spans="1:6" x14ac:dyDescent="0.3">
      <c r="A9" s="34" t="s">
        <v>25</v>
      </c>
      <c r="B9" s="31" t="s">
        <v>77</v>
      </c>
    </row>
    <row r="10" spans="1:6" x14ac:dyDescent="0.3">
      <c r="A10" s="35" t="s">
        <v>42</v>
      </c>
      <c r="B10" s="33" t="s">
        <v>77</v>
      </c>
    </row>
    <row r="11" spans="1:6" x14ac:dyDescent="0.3">
      <c r="A11" s="34" t="s">
        <v>26</v>
      </c>
      <c r="B11" s="31" t="s">
        <v>78</v>
      </c>
    </row>
    <row r="12" spans="1:6" x14ac:dyDescent="0.3">
      <c r="A12" s="35" t="s">
        <v>43</v>
      </c>
      <c r="B12" s="33" t="s">
        <v>77</v>
      </c>
    </row>
    <row r="13" spans="1:6" x14ac:dyDescent="0.3">
      <c r="A13" s="34" t="s">
        <v>27</v>
      </c>
      <c r="B13" s="31" t="s">
        <v>78</v>
      </c>
    </row>
    <row r="14" spans="1:6" x14ac:dyDescent="0.3">
      <c r="A14" s="35" t="s">
        <v>44</v>
      </c>
      <c r="B14" s="33" t="s">
        <v>78</v>
      </c>
    </row>
    <row r="15" spans="1:6" x14ac:dyDescent="0.3">
      <c r="A15" s="34" t="s">
        <v>28</v>
      </c>
      <c r="B15" s="31" t="s">
        <v>78</v>
      </c>
    </row>
    <row r="16" spans="1:6" x14ac:dyDescent="0.3">
      <c r="A16" s="35" t="s">
        <v>45</v>
      </c>
      <c r="B16" s="33" t="s">
        <v>77</v>
      </c>
    </row>
    <row r="17" spans="1:2" x14ac:dyDescent="0.3">
      <c r="A17" s="34" t="s">
        <v>29</v>
      </c>
      <c r="B17" s="31" t="s">
        <v>78</v>
      </c>
    </row>
    <row r="18" spans="1:2" x14ac:dyDescent="0.3">
      <c r="A18" s="35" t="s">
        <v>46</v>
      </c>
      <c r="B18" s="33" t="s">
        <v>77</v>
      </c>
    </row>
    <row r="19" spans="1:2" x14ac:dyDescent="0.3">
      <c r="A19" s="34" t="s">
        <v>30</v>
      </c>
      <c r="B19" s="31" t="s">
        <v>78</v>
      </c>
    </row>
    <row r="20" spans="1:2" x14ac:dyDescent="0.3">
      <c r="A20" s="35" t="s">
        <v>31</v>
      </c>
      <c r="B20" s="33" t="s">
        <v>78</v>
      </c>
    </row>
    <row r="21" spans="1:2" x14ac:dyDescent="0.3">
      <c r="A21" s="34" t="s">
        <v>32</v>
      </c>
      <c r="B21" s="31" t="s">
        <v>78</v>
      </c>
    </row>
    <row r="22" spans="1:2" x14ac:dyDescent="0.3">
      <c r="A22" s="35" t="s">
        <v>33</v>
      </c>
      <c r="B22" s="33" t="s">
        <v>78</v>
      </c>
    </row>
    <row r="23" spans="1:2" x14ac:dyDescent="0.3">
      <c r="A23" s="34" t="s">
        <v>34</v>
      </c>
      <c r="B23" s="31" t="s">
        <v>78</v>
      </c>
    </row>
    <row r="24" spans="1:2" x14ac:dyDescent="0.3">
      <c r="A24" s="35" t="s">
        <v>35</v>
      </c>
      <c r="B24" s="33" t="s">
        <v>78</v>
      </c>
    </row>
    <row r="25" spans="1:2" x14ac:dyDescent="0.3">
      <c r="A25" s="34" t="s">
        <v>36</v>
      </c>
      <c r="B25" s="31" t="s">
        <v>78</v>
      </c>
    </row>
    <row r="26" spans="1:2" x14ac:dyDescent="0.3">
      <c r="A26" s="35" t="s">
        <v>37</v>
      </c>
      <c r="B26" s="33" t="s">
        <v>78</v>
      </c>
    </row>
    <row r="27" spans="1:2" x14ac:dyDescent="0.3">
      <c r="A27" s="34" t="s">
        <v>39</v>
      </c>
      <c r="B27" s="31" t="s">
        <v>78</v>
      </c>
    </row>
    <row r="28" spans="1:2" x14ac:dyDescent="0.3">
      <c r="A28" s="35" t="s">
        <v>40</v>
      </c>
      <c r="B28" s="33" t="s">
        <v>77</v>
      </c>
    </row>
    <row r="29" spans="1:2" x14ac:dyDescent="0.3">
      <c r="A29" s="34" t="s">
        <v>41</v>
      </c>
      <c r="B29" s="31" t="s">
        <v>78</v>
      </c>
    </row>
    <row r="30" spans="1:2" x14ac:dyDescent="0.3">
      <c r="A30" s="32" t="s">
        <v>15</v>
      </c>
      <c r="B30" s="33" t="s">
        <v>77</v>
      </c>
    </row>
  </sheetData>
  <dataValidations count="2">
    <dataValidation type="list" allowBlank="1" showInputMessage="1" showErrorMessage="1" sqref="D2:D7">
      <formula1>Modes_paiement</formula1>
    </dataValidation>
    <dataValidation type="list" allowBlank="1" showInputMessage="1" showErrorMessage="1" sqref="F1:F3">
      <formula1>$F$2:$F$3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K42"/>
  <sheetViews>
    <sheetView topLeftCell="A7" zoomScale="70" zoomScaleNormal="70" workbookViewId="0">
      <selection activeCell="C10" sqref="C10"/>
    </sheetView>
  </sheetViews>
  <sheetFormatPr baseColWidth="10" defaultRowHeight="14.4" x14ac:dyDescent="0.3"/>
  <cols>
    <col min="1" max="1" width="24.109375" customWidth="1"/>
    <col min="2" max="2" width="21.88671875" customWidth="1"/>
    <col min="3" max="3" width="20.77734375" customWidth="1"/>
    <col min="4" max="4" width="3" customWidth="1"/>
    <col min="5" max="5" width="4" customWidth="1"/>
    <col min="6" max="6" width="5.88671875" customWidth="1"/>
    <col min="7" max="7" width="24.109375" customWidth="1"/>
    <col min="8" max="8" width="21.88671875" customWidth="1"/>
    <col min="9" max="9" width="20.77734375" customWidth="1"/>
    <col min="10" max="11" width="26" customWidth="1"/>
  </cols>
  <sheetData>
    <row r="2" spans="1:11" ht="31.2" x14ac:dyDescent="0.3">
      <c r="A2" s="41" t="s">
        <v>71</v>
      </c>
      <c r="B2" s="54">
        <f>MATCH("Total général",A:A,0)</f>
        <v>23</v>
      </c>
    </row>
    <row r="3" spans="1:11" ht="15.6" x14ac:dyDescent="0.3">
      <c r="A3" s="40"/>
      <c r="B3" s="40"/>
    </row>
    <row r="4" spans="1:11" ht="15.6" x14ac:dyDescent="0.3">
      <c r="A4" s="42" t="s">
        <v>85</v>
      </c>
      <c r="B4" s="55">
        <f>EOMONTH(A16,0)</f>
        <v>42035</v>
      </c>
    </row>
    <row r="5" spans="1:11" ht="15.6" x14ac:dyDescent="0.3">
      <c r="B5" t="s">
        <v>104</v>
      </c>
      <c r="G5" s="51" t="s">
        <v>82</v>
      </c>
    </row>
    <row r="6" spans="1:11" ht="15.6" x14ac:dyDescent="0.3">
      <c r="A6" s="42" t="s">
        <v>86</v>
      </c>
      <c r="B6" s="56">
        <v>-1000</v>
      </c>
      <c r="G6" s="53"/>
      <c r="H6" s="51" t="s">
        <v>63</v>
      </c>
      <c r="I6" s="51" t="s">
        <v>60</v>
      </c>
      <c r="J6" s="51" t="s">
        <v>62</v>
      </c>
    </row>
    <row r="7" spans="1:11" ht="15.6" x14ac:dyDescent="0.3">
      <c r="G7" s="51" t="s">
        <v>61</v>
      </c>
      <c r="H7" s="38">
        <f>INDEX(mon_tcd,B2-13,2)</f>
        <v>90</v>
      </c>
      <c r="I7" s="38">
        <f>INDEX(mon_tcd,B2-13,3)</f>
        <v>20</v>
      </c>
      <c r="J7" s="38">
        <f>I7-H7</f>
        <v>-70</v>
      </c>
    </row>
    <row r="8" spans="1:11" ht="15.6" x14ac:dyDescent="0.3">
      <c r="G8" s="51" t="s">
        <v>84</v>
      </c>
      <c r="H8" s="37">
        <f>SUMIFS(Ecriture!M:M,Ecriture!F:F,"&lt;="&amp;B4)</f>
        <v>10</v>
      </c>
      <c r="I8" s="37">
        <f>SUMIFS(Ecriture!L:L,Ecriture!F:F,"&lt;="&amp;B4)</f>
        <v>0</v>
      </c>
      <c r="J8" s="37">
        <f>I8-H8</f>
        <v>-10</v>
      </c>
    </row>
    <row r="9" spans="1:11" ht="15.6" x14ac:dyDescent="0.3">
      <c r="G9" s="51" t="s">
        <v>83</v>
      </c>
      <c r="H9" s="37">
        <f>H7+H8</f>
        <v>100</v>
      </c>
      <c r="I9" s="37">
        <f>I7+I8</f>
        <v>20</v>
      </c>
      <c r="J9" s="37">
        <f>J7+J8</f>
        <v>-80</v>
      </c>
    </row>
    <row r="10" spans="1:11" x14ac:dyDescent="0.3">
      <c r="G10" s="52"/>
      <c r="I10" s="39" t="s">
        <v>86</v>
      </c>
      <c r="J10" s="57" t="str">
        <f>IF(J9&lt;B6,"Attention solde débiteur","RAS")</f>
        <v>RAS</v>
      </c>
    </row>
    <row r="12" spans="1:11" x14ac:dyDescent="0.3">
      <c r="A12" s="47" t="s">
        <v>57</v>
      </c>
      <c r="B12" s="50">
        <v>1</v>
      </c>
      <c r="I12" s="10"/>
    </row>
    <row r="13" spans="1:11" x14ac:dyDescent="0.3">
      <c r="A13" s="10"/>
      <c r="B13" s="10"/>
      <c r="G13" s="10"/>
      <c r="H13" s="10"/>
      <c r="I13" s="10"/>
    </row>
    <row r="14" spans="1:11" ht="25.2" customHeight="1" x14ac:dyDescent="0.3">
      <c r="A14" s="14"/>
      <c r="B14" s="47" t="s">
        <v>92</v>
      </c>
      <c r="C14" s="14"/>
      <c r="G14" s="14"/>
      <c r="H14" s="47" t="s">
        <v>92</v>
      </c>
      <c r="I14" s="14"/>
    </row>
    <row r="15" spans="1:11" ht="25.2" customHeight="1" x14ac:dyDescent="0.3">
      <c r="A15" s="47" t="s">
        <v>67</v>
      </c>
      <c r="B15" s="14" t="s">
        <v>69</v>
      </c>
      <c r="C15" s="14" t="s">
        <v>70</v>
      </c>
      <c r="G15" s="47" t="s">
        <v>67</v>
      </c>
      <c r="H15" s="14" t="s">
        <v>69</v>
      </c>
      <c r="I15" s="14" t="s">
        <v>70</v>
      </c>
    </row>
    <row r="16" spans="1:11" ht="25.2" customHeight="1" x14ac:dyDescent="0.35">
      <c r="A16" s="48">
        <v>42005</v>
      </c>
      <c r="B16" s="49">
        <v>10</v>
      </c>
      <c r="C16" s="49">
        <v>20</v>
      </c>
      <c r="G16" s="50">
        <v>1</v>
      </c>
      <c r="H16" s="49">
        <v>90</v>
      </c>
      <c r="I16" s="49">
        <v>20</v>
      </c>
      <c r="K16" s="43"/>
    </row>
    <row r="17" spans="1:9" ht="25.2" customHeight="1" x14ac:dyDescent="0.3">
      <c r="A17" s="48">
        <v>42029</v>
      </c>
      <c r="B17" s="49">
        <v>10</v>
      </c>
      <c r="C17" s="49"/>
      <c r="G17" s="50">
        <v>2</v>
      </c>
      <c r="H17" s="49">
        <v>80</v>
      </c>
      <c r="I17" s="49">
        <v>160</v>
      </c>
    </row>
    <row r="18" spans="1:9" ht="25.2" customHeight="1" x14ac:dyDescent="0.3">
      <c r="A18" s="48">
        <v>42035</v>
      </c>
      <c r="B18" s="49">
        <v>10</v>
      </c>
      <c r="C18" s="49"/>
      <c r="G18" s="50">
        <v>3</v>
      </c>
      <c r="H18" s="49">
        <v>90</v>
      </c>
      <c r="I18" s="49">
        <v>50</v>
      </c>
    </row>
    <row r="19" spans="1:9" ht="25.2" customHeight="1" x14ac:dyDescent="0.3">
      <c r="A19" s="48">
        <v>42387</v>
      </c>
      <c r="B19" s="49">
        <v>20</v>
      </c>
      <c r="C19" s="49"/>
      <c r="G19" s="50">
        <v>4</v>
      </c>
      <c r="H19" s="49">
        <v>20</v>
      </c>
      <c r="I19" s="49"/>
    </row>
    <row r="20" spans="1:9" ht="25.2" customHeight="1" x14ac:dyDescent="0.3">
      <c r="A20" s="48">
        <v>42391</v>
      </c>
      <c r="B20" s="49">
        <v>20</v>
      </c>
      <c r="C20" s="49"/>
      <c r="G20" s="50" t="s">
        <v>68</v>
      </c>
      <c r="H20" s="49">
        <v>280</v>
      </c>
      <c r="I20" s="49">
        <v>230</v>
      </c>
    </row>
    <row r="21" spans="1:9" ht="25.2" customHeight="1" x14ac:dyDescent="0.3">
      <c r="A21" s="48">
        <v>42392</v>
      </c>
      <c r="B21" s="49">
        <v>10</v>
      </c>
      <c r="C21" s="49"/>
    </row>
    <row r="22" spans="1:9" ht="25.2" customHeight="1" x14ac:dyDescent="0.3">
      <c r="A22" s="48">
        <v>42394</v>
      </c>
      <c r="B22" s="49">
        <v>10</v>
      </c>
      <c r="C22" s="49"/>
    </row>
    <row r="23" spans="1:9" ht="25.2" customHeight="1" x14ac:dyDescent="0.3">
      <c r="A23" s="50" t="s">
        <v>68</v>
      </c>
      <c r="B23" s="49">
        <v>90</v>
      </c>
      <c r="C23" s="49">
        <v>20</v>
      </c>
    </row>
    <row r="24" spans="1:9" ht="25.2" customHeight="1" x14ac:dyDescent="0.3"/>
    <row r="25" spans="1:9" ht="25.2" customHeight="1" x14ac:dyDescent="0.3"/>
    <row r="26" spans="1:9" ht="25.2" customHeight="1" x14ac:dyDescent="0.3"/>
    <row r="27" spans="1:9" ht="25.2" customHeight="1" x14ac:dyDescent="0.3"/>
    <row r="28" spans="1:9" ht="25.2" customHeight="1" x14ac:dyDescent="0.3"/>
    <row r="29" spans="1:9" ht="25.2" customHeight="1" x14ac:dyDescent="0.3"/>
    <row r="30" spans="1:9" ht="25.2" customHeight="1" x14ac:dyDescent="0.3"/>
    <row r="31" spans="1:9" ht="25.2" customHeight="1" x14ac:dyDescent="0.3"/>
    <row r="32" spans="1:9" ht="25.2" customHeight="1" x14ac:dyDescent="0.3"/>
    <row r="33" ht="25.2" customHeight="1" x14ac:dyDescent="0.3"/>
    <row r="34" ht="25.2" customHeight="1" x14ac:dyDescent="0.3"/>
    <row r="35" ht="25.2" customHeight="1" x14ac:dyDescent="0.3"/>
    <row r="36" ht="25.2" customHeight="1" x14ac:dyDescent="0.3"/>
    <row r="37" ht="25.2" customHeight="1" x14ac:dyDescent="0.3"/>
    <row r="38" ht="25.2" customHeight="1" x14ac:dyDescent="0.3"/>
    <row r="39" ht="25.2" customHeight="1" x14ac:dyDescent="0.3"/>
    <row r="40" ht="25.2" customHeight="1" x14ac:dyDescent="0.3"/>
    <row r="41" ht="25.2" customHeight="1" x14ac:dyDescent="0.3"/>
    <row r="42" ht="25.2" customHeight="1" x14ac:dyDescent="0.3"/>
  </sheetData>
  <dataConsolidate/>
  <dataValidations count="2">
    <dataValidation errorStyle="warning" allowBlank="1" showInputMessage="1" showErrorMessage="1" errorTitle="Solde débiteur" error="Le solde est à découvert " sqref="F3"/>
    <dataValidation type="custom" allowBlank="1" showInputMessage="1" showErrorMessage="1" errorTitle="Compte à découvert" error="Attention autorisation de découvert dépassée !" sqref="E7">
      <formula1>IF(J9&lt;B6,"Attention solde débiteur","RAS")</formula1>
    </dataValidation>
  </dataValidations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DC2046B-6367-4DEB-8E26-0B99C49DE2A1}">
            <xm:f>NOT(ISERROR(SEARCH($J$10,J10)))</xm:f>
            <xm:f>$J$10</xm:f>
            <x14:dxf>
              <font>
                <b/>
                <i val="0"/>
                <strike val="0"/>
                <color rgb="FFC00000"/>
              </font>
            </x14:dxf>
          </x14:cfRule>
          <xm:sqref>J10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12</vt:i4>
      </vt:variant>
    </vt:vector>
  </HeadingPairs>
  <TitlesOfParts>
    <vt:vector size="20" baseType="lpstr">
      <vt:lpstr>Sommaire</vt:lpstr>
      <vt:lpstr>Récap</vt:lpstr>
      <vt:lpstr>Total</vt:lpstr>
      <vt:lpstr>Ecriture</vt:lpstr>
      <vt:lpstr>TCD</vt:lpstr>
      <vt:lpstr>Données</vt:lpstr>
      <vt:lpstr>Graphes écritures par rubrique</vt:lpstr>
      <vt:lpstr>Graphes écritures par regroupem</vt:lpstr>
      <vt:lpstr>Année_Ecr</vt:lpstr>
      <vt:lpstr>concatener</vt:lpstr>
      <vt:lpstr>Date</vt:lpstr>
      <vt:lpstr>Dépenses</vt:lpstr>
      <vt:lpstr>Famille</vt:lpstr>
      <vt:lpstr>Libellé</vt:lpstr>
      <vt:lpstr>Modes_paiement</vt:lpstr>
      <vt:lpstr>Mois</vt:lpstr>
      <vt:lpstr>mon_tcd</vt:lpstr>
      <vt:lpstr>Recettes</vt:lpstr>
      <vt:lpstr>RechecheV</vt:lpstr>
      <vt:lpstr>Sens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Valentin Mercadier</cp:lastModifiedBy>
  <dcterms:created xsi:type="dcterms:W3CDTF">2016-03-07T07:31:40Z</dcterms:created>
  <dcterms:modified xsi:type="dcterms:W3CDTF">2016-03-15T14:01:43Z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c46b9f9a-6de0-49ba-96c2-32ea8ba8f009</vt:lpwstr>
  </property>
</Properties>
</file>