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slicers/slicer1.xml" ContentType="application/vnd.ms-excel.slicer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068" yWindow="0" windowWidth="19428" windowHeight="8340" tabRatio="851" firstSheet="2" activeTab="4"/>
  </bookViews>
  <sheets>
    <sheet name="Sommaire" sheetId="12" r:id="rId1"/>
    <sheet name="Récap" sheetId="1" r:id="rId2"/>
    <sheet name="Total" sheetId="13" r:id="rId3"/>
    <sheet name="Ecriture" sheetId="2" r:id="rId4"/>
    <sheet name="Graphes écritures par rubrique" sheetId="10" r:id="rId5"/>
    <sheet name="Graphes écritures par regroupem" sheetId="4" r:id="rId6"/>
    <sheet name="Données" sheetId="9" r:id="rId7"/>
  </sheets>
  <definedNames>
    <definedName name="Année_Ecr">Ecriture!$C$5:$C$19</definedName>
    <definedName name="concatener">Ecriture!$D$5:$D$19</definedName>
    <definedName name="Date">Ecriture!$E$5:$E$19</definedName>
    <definedName name="Dépenses">Ecriture!$M$5:$M$19</definedName>
    <definedName name="Famille">Ecriture!$G$5:$G$19</definedName>
    <definedName name="Libellé">Ecriture!$F$5:$F$19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Ecriture!$B$5:$B$19</definedName>
    <definedName name="mon_tcd">'Graphes écritures par rubrique'!$A$14:$C$23</definedName>
    <definedName name="Prévisionnel" localSheetId="3">tblEcritures[Prévisionnel]</definedName>
    <definedName name="Prévisionnel">tblEcritures[Prévisionnel]</definedName>
    <definedName name="Recettes">Ecriture!$L$5:$L$19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Mois">#N/A</definedName>
    <definedName name="Sens">Données!$A$2:$A$3</definedName>
  </definedNames>
  <calcPr calcId="145621"/>
  <pivotCaches>
    <pivotCache cacheId="0" r:id="rId8"/>
    <pivotCache cacheId="1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6" i="13" l="1"/>
  <c r="B6" i="13"/>
  <c r="C4" i="13"/>
  <c r="B4" i="13"/>
  <c r="J1" i="2" l="1"/>
  <c r="P6" i="2" l="1"/>
  <c r="Q6" i="2"/>
  <c r="P7" i="2"/>
  <c r="Q7" i="2"/>
  <c r="P8" i="2"/>
  <c r="Q8" i="2"/>
  <c r="P9" i="2"/>
  <c r="Q9" i="2"/>
  <c r="P10" i="2"/>
  <c r="Q10" i="2"/>
  <c r="P11" i="2"/>
  <c r="Q11" i="2"/>
  <c r="P12" i="2"/>
  <c r="Q12" i="2"/>
  <c r="P13" i="2"/>
  <c r="Q13" i="2"/>
  <c r="P14" i="2"/>
  <c r="Q14" i="2"/>
  <c r="P15" i="2"/>
  <c r="Q15" i="2"/>
  <c r="P16" i="2"/>
  <c r="Q16" i="2"/>
  <c r="P17" i="2"/>
  <c r="Q17" i="2"/>
  <c r="P18" i="2"/>
  <c r="Q18" i="2"/>
  <c r="P19" i="2"/>
  <c r="Q19" i="2"/>
  <c r="Q5" i="2"/>
  <c r="P5" i="2" l="1"/>
  <c r="K1" i="2" l="1"/>
  <c r="L1" i="2"/>
  <c r="C2" i="4"/>
  <c r="B2" i="4"/>
  <c r="D2" i="4" l="1"/>
  <c r="B4" i="10"/>
  <c r="D6" i="1" l="1"/>
  <c r="C6" i="1"/>
  <c r="E6" i="1" l="1"/>
  <c r="G9" i="2" l="1"/>
  <c r="G10" i="2"/>
  <c r="G15" i="2"/>
  <c r="G17" i="2"/>
  <c r="G18" i="2"/>
  <c r="B2" i="10" l="1"/>
  <c r="H7" i="10" s="1"/>
  <c r="I8" i="10" l="1"/>
  <c r="H8" i="10"/>
  <c r="H9" i="10" s="1"/>
  <c r="I7" i="10"/>
  <c r="J7" i="10" s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5" i="2"/>
  <c r="J8" i="10" l="1"/>
  <c r="I9" i="10"/>
  <c r="B5" i="2"/>
  <c r="D5" i="2" s="1"/>
  <c r="B6" i="2"/>
  <c r="D6" i="2" s="1"/>
  <c r="B7" i="2"/>
  <c r="D7" i="2" s="1"/>
  <c r="B8" i="2"/>
  <c r="D8" i="2" s="1"/>
  <c r="B9" i="2"/>
  <c r="D9" i="2" s="1"/>
  <c r="B10" i="2"/>
  <c r="D10" i="2" s="1"/>
  <c r="B11" i="2"/>
  <c r="D11" i="2" s="1"/>
  <c r="B13" i="2"/>
  <c r="D13" i="2" s="1"/>
  <c r="B15" i="2"/>
  <c r="D15" i="2" s="1"/>
  <c r="B17" i="2"/>
  <c r="D17" i="2" s="1"/>
  <c r="B19" i="2"/>
  <c r="D19" i="2" s="1"/>
  <c r="B12" i="2"/>
  <c r="D12" i="2" s="1"/>
  <c r="B14" i="2"/>
  <c r="D14" i="2" s="1"/>
  <c r="B16" i="2"/>
  <c r="D16" i="2" s="1"/>
  <c r="B18" i="2"/>
  <c r="D18" i="2" s="1"/>
  <c r="J9" i="10" l="1"/>
  <c r="J10" i="10" s="1"/>
</calcChain>
</file>

<file path=xl/sharedStrings.xml><?xml version="1.0" encoding="utf-8"?>
<sst xmlns="http://schemas.openxmlformats.org/spreadsheetml/2006/main" count="212" uniqueCount="98">
  <si>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</si>
  <si>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</si>
  <si>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</si>
  <si>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</si>
  <si>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</si>
  <si>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</si>
  <si>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</si>
  <si>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</si>
  <si>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</si>
  <si>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</si>
  <si>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</si>
  <si>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</si>
  <si>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</si>
  <si>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</si>
  <si>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</si>
  <si>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</si>
  <si>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</si>
  <si>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</si>
  <si>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</si>
  <si>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</si>
  <si>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</si>
  <si>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</si>
  <si>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</si>
  <si>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</si>
  <si>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</si>
  <si>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</si>
  <si>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</si>
  <si>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</si>
  <si>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</si>
  <si>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</si>
  <si>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</si>
  <si>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</si>
  <si>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</si>
  <si>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</si>
  <si>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</si>
  <si>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</si>
  <si>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</si>
  <si>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</si>
  <si>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</si>
  <si>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</si>
  <si>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</si>
  <si>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</si>
  <si>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</si>
  <si>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</si>
  <si>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</si>
  <si>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</si>
  <si>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</si>
  <si>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</si>
  <si>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</si>
  <si>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</si>
  <si>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</si>
  <si>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N° FACTURE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</si>
  <si>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</si>
  <si>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</si>
  <si>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</si>
  <si>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</si>
  <si>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</si>
  <si>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</si>
  <si>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</si>
  <si>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</si>
  <si>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</si>
  <si>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</si>
  <si>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</si>
  <si>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</si>
  <si>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</si>
  <si>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</si>
  <si>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</si>
  <si>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</si>
  <si>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</si>
  <si>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</si>
  <si>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</si>
  <si>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</si>
  <si>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</si>
  <si>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</si>
  <si>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</si>
  <si>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</si>
  <si>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</si>
  <si>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</si>
  <si>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</si>
  <si>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</si>
  <si>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</si>
  <si>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</si>
  <si>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</si>
  <si>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</si>
  <si>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</si>
  <si>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</si>
  <si>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Location véhicule</t>
  </si>
  <si>
    <t>EDF</t>
  </si>
  <si>
    <t>Eau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</si>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</sst>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3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67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165" fontId="6" fillId="2" borderId="0" xfId="1" applyNumberFormat="1" applyFont="1" applyFill="1" applyAlignment="1" applyProtection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7" fillId="3" borderId="1" xfId="0" applyFont="1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9" fillId="0" borderId="0" xfId="0" applyFont="1"/>
    <xf numFmtId="0" fontId="8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/>
    <xf numFmtId="0" fontId="10" fillId="0" borderId="0" xfId="0" applyFont="1"/>
    <xf numFmtId="0" fontId="11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8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4" fillId="9" borderId="1" xfId="0" applyFont="1" applyFill="1" applyBorder="1"/>
    <xf numFmtId="0" fontId="14" fillId="9" borderId="1" xfId="0" applyFont="1" applyFill="1" applyBorder="1" applyAlignment="1">
      <alignment horizontal="center" vertical="center"/>
    </xf>
    <xf numFmtId="165" fontId="0" fillId="2" borderId="0" xfId="1" applyNumberFormat="1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2" fillId="0" borderId="0" xfId="0" applyFont="1" applyAlignment="1">
      <alignment horizontal="center" vertical="center"/>
    </xf>
    <xf numFmtId="0" fontId="0" fillId="11" borderId="0" xfId="0" applyFill="1"/>
    <xf numFmtId="166" fontId="0" fillId="11" borderId="0" xfId="0" applyNumberFormat="1" applyFill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16" fillId="11" borderId="1" xfId="0" applyFont="1" applyFill="1" applyBorder="1" applyAlignment="1">
      <alignment horizontal="center" vertical="center" wrapText="1"/>
    </xf>
    <xf numFmtId="0" fontId="16" fillId="11" borderId="9" xfId="0" applyFont="1" applyFill="1" applyBorder="1" applyAlignment="1">
      <alignment horizontal="center" vertical="center" wrapText="1"/>
    </xf>
    <xf numFmtId="0" fontId="16" fillId="11" borderId="11" xfId="0" applyFont="1" applyFill="1" applyBorder="1" applyAlignment="1">
      <alignment horizontal="center" vertical="center" wrapText="1"/>
    </xf>
    <xf numFmtId="0" fontId="16" fillId="11" borderId="1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22"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ont>
        <b/>
        <i val="0"/>
        <strike val="0"/>
        <color rgb="FFC00000"/>
      </font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21"/>
      <tableStyleElement type="headerRow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270</c:v>
                </c:pt>
                <c:pt idx="3">
                  <c:v>870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94513920"/>
        <c:axId val="194884736"/>
      </c:barChart>
      <c:catAx>
        <c:axId val="1945139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194884736"/>
        <c:crosses val="autoZero"/>
        <c:auto val="1"/>
        <c:lblAlgn val="ctr"/>
        <c:lblOffset val="100"/>
        <c:noMultiLvlLbl val="0"/>
      </c:catAx>
      <c:valAx>
        <c:axId val="1948847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overlay val="0"/>
        </c:title>
        <c:numFmt formatCode="#,##0.00\ &quot;€&quot;" sourceLinked="1"/>
        <c:majorTickMark val="none"/>
        <c:minorTickMark val="none"/>
        <c:tickLblPos val="nextTo"/>
        <c:crossAx val="194513920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rubrique'!$B$16:$B$21</c:f>
              <c:numCache>
                <c:formatCode>#,##0.00\ "€"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rubrique'!$C$16:$C$21</c:f>
              <c:numCache>
                <c:formatCode>#,##0.00\ "€"</c:formatCode>
                <c:ptCount val="5"/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27392"/>
        <c:axId val="204028928"/>
      </c:lineChart>
      <c:catAx>
        <c:axId val="204027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4028928"/>
        <c:crosses val="autoZero"/>
        <c:auto val="1"/>
        <c:lblAlgn val="ctr"/>
        <c:lblOffset val="100"/>
        <c:noMultiLvlLbl val="0"/>
      </c:catAx>
      <c:valAx>
        <c:axId val="20402892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4027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rubrique'!$H$16:$H$20</c:f>
              <c:numCache>
                <c:formatCode>#,##0.00\ "€"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90</c:v>
                </c:pt>
                <c:pt idx="3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rubrique'!$I$16:$I$20</c:f>
              <c:numCache>
                <c:formatCode>#,##0.00\ "€"</c:formatCode>
                <c:ptCount val="4"/>
                <c:pt idx="0">
                  <c:v>20</c:v>
                </c:pt>
                <c:pt idx="1">
                  <c:v>160</c:v>
                </c:pt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066176"/>
        <c:axId val="204067968"/>
      </c:lineChart>
      <c:catAx>
        <c:axId val="204066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4067968"/>
        <c:crosses val="autoZero"/>
        <c:auto val="1"/>
        <c:lblAlgn val="ctr"/>
        <c:lblOffset val="100"/>
        <c:noMultiLvlLbl val="0"/>
      </c:catAx>
      <c:valAx>
        <c:axId val="20406796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4066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regroupem'!$B$7:$B$9</c:f>
              <c:numCache>
                <c:formatCode>#,##0.00\ "€"</c:formatCode>
                <c:ptCount val="2"/>
                <c:pt idx="0">
                  <c:v>290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regroupem'!$C$7:$C$9</c:f>
              <c:numCache>
                <c:formatCode>#,##0.00\ "€"</c:formatCode>
                <c:ptCount val="2"/>
                <c:pt idx="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488896"/>
        <c:axId val="205490432"/>
      </c:barChart>
      <c:catAx>
        <c:axId val="205488896"/>
        <c:scaling>
          <c:orientation val="minMax"/>
        </c:scaling>
        <c:delete val="0"/>
        <c:axPos val="b"/>
        <c:majorTickMark val="out"/>
        <c:minorTickMark val="none"/>
        <c:tickLblPos val="nextTo"/>
        <c:crossAx val="205490432"/>
        <c:crosses val="autoZero"/>
        <c:auto val="1"/>
        <c:lblAlgn val="ctr"/>
        <c:lblOffset val="100"/>
        <c:noMultiLvlLbl val="0"/>
      </c:catAx>
      <c:valAx>
        <c:axId val="20549043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5488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460890</xdr:colOff>
      <xdr:row>13</xdr:row>
      <xdr:rowOff>217908</xdr:rowOff>
    </xdr:from>
    <xdr:to>
      <xdr:col>3</xdr:col>
      <xdr:colOff>563576</xdr:colOff>
      <xdr:row>15</xdr:row>
      <xdr:rowOff>242080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2535223" y="3960175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rubrique</a:t>
          </a:r>
        </a:p>
      </xdr:txBody>
    </xdr:sp>
    <xdr:clientData/>
  </xdr:twoCellAnchor>
  <xdr:twoCellAnchor>
    <xdr:from>
      <xdr:col>1</xdr:col>
      <xdr:colOff>460890</xdr:colOff>
      <xdr:row>3</xdr:row>
      <xdr:rowOff>144868</xdr:rowOff>
    </xdr:from>
    <xdr:to>
      <xdr:col>3</xdr:col>
      <xdr:colOff>563576</xdr:colOff>
      <xdr:row>5</xdr:row>
      <xdr:rowOff>169040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2535223" y="923801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Récapitulatif</a:t>
          </a:r>
        </a:p>
      </xdr:txBody>
    </xdr:sp>
    <xdr:clientData/>
  </xdr:twoCellAnchor>
  <xdr:twoCellAnchor>
    <xdr:from>
      <xdr:col>1</xdr:col>
      <xdr:colOff>460890</xdr:colOff>
      <xdr:row>5</xdr:row>
      <xdr:rowOff>283428</xdr:rowOff>
    </xdr:from>
    <xdr:to>
      <xdr:col>3</xdr:col>
      <xdr:colOff>563576</xdr:colOff>
      <xdr:row>8</xdr:row>
      <xdr:rowOff>10419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2535223" y="1655028"/>
          <a:ext cx="1694420" cy="61599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</a:t>
          </a:r>
        </a:p>
      </xdr:txBody>
    </xdr:sp>
    <xdr:clientData/>
  </xdr:twoCellAnchor>
  <xdr:twoCellAnchor>
    <xdr:from>
      <xdr:col>1</xdr:col>
      <xdr:colOff>460890</xdr:colOff>
      <xdr:row>8</xdr:row>
      <xdr:rowOff>124807</xdr:rowOff>
    </xdr:from>
    <xdr:to>
      <xdr:col>3</xdr:col>
      <xdr:colOff>563576</xdr:colOff>
      <xdr:row>10</xdr:row>
      <xdr:rowOff>148978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2535223" y="2385407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1</xdr:col>
      <xdr:colOff>460890</xdr:colOff>
      <xdr:row>16</xdr:row>
      <xdr:rowOff>101617</xdr:rowOff>
    </xdr:from>
    <xdr:to>
      <xdr:col>3</xdr:col>
      <xdr:colOff>563576</xdr:colOff>
      <xdr:row>18</xdr:row>
      <xdr:rowOff>114904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2535223" y="4732884"/>
          <a:ext cx="1694420" cy="60595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regroupement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460890</xdr:colOff>
      <xdr:row>11</xdr:row>
      <xdr:rowOff>11614</xdr:rowOff>
    </xdr:from>
    <xdr:to>
      <xdr:col>3</xdr:col>
      <xdr:colOff>563576</xdr:colOff>
      <xdr:row>13</xdr:row>
      <xdr:rowOff>35786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2535223" y="3161214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0</xdr:col>
      <xdr:colOff>1574800</xdr:colOff>
      <xdr:row>0</xdr:row>
      <xdr:rowOff>114300</xdr:rowOff>
    </xdr:from>
    <xdr:to>
      <xdr:col>5</xdr:col>
      <xdr:colOff>0</xdr:colOff>
      <xdr:row>3</xdr:row>
      <xdr:rowOff>30480</xdr:rowOff>
    </xdr:to>
    <xdr:sp macro="" textlink="">
      <xdr:nvSpPr>
        <xdr:cNvPr id="8" name="Rectangle 7"/>
        <xdr:cNvSpPr/>
      </xdr:nvSpPr>
      <xdr:spPr>
        <a:xfrm>
          <a:off x="1574800" y="114300"/>
          <a:ext cx="3683000" cy="6951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0" i="1" baseline="0"/>
            <a:t>Cliquez sur la forme que vous souhaitez. </a:t>
          </a:r>
          <a:endParaRPr lang="fr-FR" sz="1200" b="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845820</xdr:colOff>
      <xdr:row>8</xdr:row>
      <xdr:rowOff>49530</xdr:rowOff>
    </xdr:from>
    <xdr:to>
      <xdr:col>3</xdr:col>
      <xdr:colOff>617220</xdr:colOff>
      <xdr:row>23</xdr:row>
      <xdr:rowOff>49530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350520</xdr:colOff>
          <xdr:row>5</xdr:row>
          <xdr:rowOff>114300</xdr:rowOff>
        </xdr:from>
        <xdr:to>
          <xdr:col>6</xdr:col>
          <xdr:colOff>304800</xdr:colOff>
          <xdr:row>8</xdr:row>
          <xdr:rowOff>137160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</xdr:row>
          <xdr:rowOff>137160</xdr:rowOff>
        </xdr:from>
        <xdr:to>
          <xdr:col>22</xdr:col>
          <xdr:colOff>30480</xdr:colOff>
          <xdr:row>4</xdr:row>
          <xdr:rowOff>160020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7</xdr:row>
          <xdr:rowOff>38100</xdr:rowOff>
        </xdr:from>
        <xdr:to>
          <xdr:col>22</xdr:col>
          <xdr:colOff>30480</xdr:colOff>
          <xdr:row>11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13</xdr:row>
          <xdr:rowOff>114300</xdr:rowOff>
        </xdr:from>
        <xdr:to>
          <xdr:col>22</xdr:col>
          <xdr:colOff>30480</xdr:colOff>
          <xdr:row>17</xdr:row>
          <xdr:rowOff>129540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19</xdr:row>
          <xdr:rowOff>175260</xdr:rowOff>
        </xdr:from>
        <xdr:to>
          <xdr:col>22</xdr:col>
          <xdr:colOff>30480</xdr:colOff>
          <xdr:row>24</xdr:row>
          <xdr:rowOff>15240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26</xdr:row>
          <xdr:rowOff>99060</xdr:rowOff>
        </xdr:from>
        <xdr:to>
          <xdr:col>22</xdr:col>
          <xdr:colOff>30480</xdr:colOff>
          <xdr:row>30</xdr:row>
          <xdr:rowOff>182880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</xdr:colOff>
          <xdr:row>14</xdr:row>
          <xdr:rowOff>45720</xdr:rowOff>
        </xdr:from>
        <xdr:to>
          <xdr:col>11</xdr:col>
          <xdr:colOff>45720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380012</xdr:colOff>
      <xdr:row>21</xdr:row>
      <xdr:rowOff>204849</xdr:rowOff>
    </xdr:from>
    <xdr:to>
      <xdr:col>2</xdr:col>
      <xdr:colOff>287152</xdr:colOff>
      <xdr:row>26</xdr:row>
      <xdr:rowOff>315685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08825" y="5261037"/>
              <a:ext cx="1653390" cy="16983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292678</xdr:colOff>
      <xdr:row>20</xdr:row>
      <xdr:rowOff>290946</xdr:rowOff>
    </xdr:from>
    <xdr:to>
      <xdr:col>0</xdr:col>
      <xdr:colOff>1755897</xdr:colOff>
      <xdr:row>27</xdr:row>
      <xdr:rowOff>41564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2678" y="5029634"/>
              <a:ext cx="1463219" cy="19731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9</xdr:row>
      <xdr:rowOff>179070</xdr:rowOff>
    </xdr:from>
    <xdr:to>
      <xdr:col>3</xdr:col>
      <xdr:colOff>929640</xdr:colOff>
      <xdr:row>24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A4:S19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4.646240856484" createdVersion="4" refreshedVersion="4" minRefreshableVersion="3" recordCount="28">
  <cacheSource type="worksheet">
    <worksheetSource name="tblEcritures"/>
  </cacheSource>
  <cacheFields count="18">
    <cacheField name="Compte" numFmtId="0">
      <sharedItems containsBlank="1"/>
    </cacheField>
    <cacheField name="Mois" numFmtId="0">
      <sharedItems containsString="0" containsBlank="1" containsNumber="1" containsInteger="1" minValue="1" maxValue="8"/>
    </cacheField>
    <cacheField name="Année-Ecr" numFmtId="0">
      <sharedItems containsString="0" containsBlank="1" containsNumber="1" containsInteger="1" minValue="2015" maxValue="2016"/>
    </cacheField>
    <cacheField name="concatener" numFmtId="0">
      <sharedItems containsBlank="1"/>
    </cacheField>
    <cacheField name="Date" numFmtId="0">
      <sharedItems containsNonDate="0" containsDate="1" containsString="0" containsBlank="1" minDate="2015-01-25T00:00:00" maxDate="2016-08-02T00:00:00"/>
    </cacheField>
    <cacheField name="Libellé" numFmtId="0">
      <sharedItems containsBlank="1"/>
    </cacheField>
    <cacheField name="Famille" numFmtId="0">
      <sharedItems containsBlank="1" count="3">
        <s v="Produit"/>
        <s v="Charge"/>
        <m/>
      </sharedItems>
    </cacheField>
    <cacheField name="Prev / réel" numFmtId="0">
      <sharedItems containsNonDate="0" containsString="0" containsBlank="1" count="1">
        <m/>
      </sharedItems>
    </cacheField>
    <cacheField name="Mode" numFmtId="0">
      <sharedItems containsBlank="1" count="4">
        <s v="Virement"/>
        <s v="Espèces"/>
        <s v="Carte"/>
        <m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25"/>
    </cacheField>
    <cacheField name="Dépenses" numFmtId="0">
      <sharedItems containsString="0" containsBlank="1" containsNumber="1" containsInteger="1" minValue="10" maxValue="1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tring="0" containsBlank="1" containsNumber="1" containsInteger="1" minValue="0" maxValue="20"/>
    </cacheField>
    <cacheField name="2 colmasqué si j'a x j'affiche le contenu " numFmtId="0">
      <sharedItems containsString="0" containsBlank="1" containsNumber="1" containsInteger="1" minValue="0" maxValue="50"/>
    </cacheField>
    <cacheField name="Date valeur banque " numFmtId="0">
      <sharedItems containsNonDate="0" containsDate="1" containsString="0" containsBlank="1" minDate="2015-01-04T00:00:00" maxDate="2015-10-02T00:00:0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s v="Compte chèques"/>
    <n v="8"/>
    <n v="2016"/>
    <s v="20168"/>
    <d v="2016-08-01T00:00:00"/>
    <s v="Recettes encaissées"/>
    <x v="0"/>
    <x v="0"/>
    <x v="0"/>
    <s v="N° FACTURE"/>
    <n v="20"/>
    <m/>
    <s v="x"/>
    <s v="x"/>
    <n v="20"/>
    <n v="0"/>
    <d v="2015-01-20T00:00:00"/>
    <m/>
  </r>
  <r>
    <s v="Compte chèques"/>
    <n v="2"/>
    <n v="2015"/>
    <s v="20152"/>
    <d v="2015-02-03T00:00:00"/>
    <s v="Achats"/>
    <x v="1"/>
    <x v="0"/>
    <x v="0"/>
    <m/>
    <m/>
    <n v="10"/>
    <m/>
    <m/>
    <n v="0"/>
    <n v="0"/>
    <d v="2015-02-03T00:00:00"/>
    <m/>
  </r>
  <r>
    <s v="Compte chèques"/>
    <n v="2"/>
    <n v="2015"/>
    <s v="20152"/>
    <d v="2015-02-10T00:00:00"/>
    <s v="Salaires nets"/>
    <x v="0"/>
    <x v="0"/>
    <x v="0"/>
    <m/>
    <m/>
    <m/>
    <s v="x"/>
    <m/>
    <n v="0"/>
    <n v="0"/>
    <d v="2015-02-10T00:00:00"/>
    <m/>
  </r>
  <r>
    <s v="Compte chèques"/>
    <n v="3"/>
    <n v="2015"/>
    <s v="20153"/>
    <d v="2015-03-01T00:00:00"/>
    <s v="Location véhicule"/>
    <x v="1"/>
    <x v="0"/>
    <x v="1"/>
    <m/>
    <m/>
    <n v="10"/>
    <m/>
    <m/>
    <n v="0"/>
    <n v="0"/>
    <d v="2015-03-20T00:00:00"/>
    <m/>
  </r>
  <r>
    <s v="Compte chèques"/>
    <n v="3"/>
    <n v="2015"/>
    <s v="20153"/>
    <d v="2015-03-03T00:00:00"/>
    <s v="ticket de train"/>
    <x v="1"/>
    <x v="0"/>
    <x v="0"/>
    <m/>
    <m/>
    <n v="10"/>
    <m/>
    <m/>
    <n v="0"/>
    <n v="0"/>
    <d v="2015-03-03T00:00:00"/>
    <m/>
  </r>
  <r>
    <s v="Compte chèques"/>
    <n v="3"/>
    <n v="2015"/>
    <s v="20153"/>
    <d v="2015-03-05T00:00:00"/>
    <s v="Charges sociales"/>
    <x v="1"/>
    <x v="0"/>
    <x v="0"/>
    <m/>
    <m/>
    <n v="50"/>
    <m/>
    <s v="x"/>
    <n v="0"/>
    <n v="50"/>
    <d v="2015-03-05T00:00:00"/>
    <m/>
  </r>
  <r>
    <s v="Compte chèques"/>
    <n v="3"/>
    <n v="2015"/>
    <s v="20153"/>
    <d v="2015-03-12T00:00:00"/>
    <s v="Charges de personnel"/>
    <x v="1"/>
    <x v="0"/>
    <x v="2"/>
    <m/>
    <m/>
    <n v="10"/>
    <m/>
    <m/>
    <n v="0"/>
    <n v="0"/>
    <d v="2015-03-12T00:00:00"/>
    <m/>
  </r>
  <r>
    <s v="Compte chèques"/>
    <n v="4"/>
    <n v="2015"/>
    <s v="20154"/>
    <d v="2015-04-01T00:00:00"/>
    <s v="vente marchandise"/>
    <x v="0"/>
    <x v="0"/>
    <x v="0"/>
    <m/>
    <n v="10"/>
    <m/>
    <m/>
    <m/>
    <n v="0"/>
    <n v="0"/>
    <d v="2015-01-04T00:00:00"/>
    <m/>
  </r>
  <r>
    <s v="Compte chèques"/>
    <n v="4"/>
    <n v="2015"/>
    <s v="20154"/>
    <d v="2015-04-02T00:00:00"/>
    <s v="achat ordinateur"/>
    <x v="0"/>
    <x v="0"/>
    <x v="0"/>
    <m/>
    <n v="10"/>
    <m/>
    <m/>
    <m/>
    <n v="0"/>
    <n v="0"/>
    <d v="2015-03-20T00:00:00"/>
    <m/>
  </r>
  <r>
    <s v="Compte chèques"/>
    <n v="2"/>
    <n v="2015"/>
    <s v="20152"/>
    <d v="2015-02-17T00:00:00"/>
    <s v="Impôts"/>
    <x v="1"/>
    <x v="0"/>
    <x v="0"/>
    <m/>
    <m/>
    <n v="10"/>
    <m/>
    <m/>
    <n v="0"/>
    <n v="0"/>
    <d v="2015-02-17T00:00:00"/>
    <m/>
  </r>
  <r>
    <s v="Compte chèques"/>
    <n v="2"/>
    <n v="2016"/>
    <s v="20162"/>
    <d v="2016-02-17T00:00:00"/>
    <s v="EDF"/>
    <x v="1"/>
    <x v="0"/>
    <x v="0"/>
    <m/>
    <m/>
    <n v="100"/>
    <m/>
    <m/>
    <n v="0"/>
    <n v="0"/>
    <d v="2015-03-03T00:00:00"/>
    <m/>
  </r>
  <r>
    <s v="Compte chèques"/>
    <n v="1"/>
    <n v="2016"/>
    <s v="20161"/>
    <d v="2016-01-18T00:00:00"/>
    <s v="Impôts et taxes"/>
    <x v="1"/>
    <x v="0"/>
    <x v="0"/>
    <m/>
    <m/>
    <n v="10"/>
    <s v="x"/>
    <m/>
    <n v="0"/>
    <n v="0"/>
    <d v="2015-01-18T00:00:00"/>
    <m/>
  </r>
  <r>
    <s v="Compte chèques"/>
    <n v="1"/>
    <n v="2016"/>
    <s v="20161"/>
    <d v="2016-01-18T00:00:00"/>
    <s v="Eau"/>
    <x v="1"/>
    <x v="0"/>
    <x v="0"/>
    <m/>
    <m/>
    <n v="10"/>
    <m/>
    <m/>
    <n v="0"/>
    <n v="0"/>
    <d v="2015-03-05T00:00:00"/>
    <m/>
  </r>
  <r>
    <s v="Compte chèques"/>
    <n v="3"/>
    <n v="2016"/>
    <s v="20163"/>
    <d v="2016-03-19T00:00:00"/>
    <s v="Loyers et charges locatives"/>
    <x v="1"/>
    <x v="0"/>
    <x v="0"/>
    <m/>
    <m/>
    <n v="10"/>
    <m/>
    <m/>
    <n v="0"/>
    <n v="0"/>
    <d v="2015-10-01T00:00:00"/>
    <m/>
  </r>
  <r>
    <s v="Compte chèques"/>
    <n v="3"/>
    <n v="2016"/>
    <s v="20163"/>
    <d v="2016-03-19T00:00:00"/>
    <s v="Dotation aux amortissements"/>
    <x v="0"/>
    <x v="0"/>
    <x v="0"/>
    <m/>
    <n v="25"/>
    <m/>
    <m/>
    <m/>
    <n v="0"/>
    <n v="0"/>
    <d v="2015-03-12T00:00:00"/>
    <m/>
  </r>
  <r>
    <s v="Compte chèques"/>
    <n v="2"/>
    <n v="2016"/>
    <s v="20162"/>
    <d v="2016-02-20T00:00:00"/>
    <s v="Locations"/>
    <x v="0"/>
    <x v="0"/>
    <x v="0"/>
    <m/>
    <n v="25"/>
    <m/>
    <m/>
    <m/>
    <n v="0"/>
    <n v="0"/>
    <d v="2015-02-20T00:00:00"/>
    <m/>
  </r>
  <r>
    <s v="Compte chèques"/>
    <n v="2"/>
    <n v="2016"/>
    <s v="20162"/>
    <d v="2016-02-20T00:00:00"/>
    <s v="Pub journal"/>
    <x v="1"/>
    <x v="0"/>
    <x v="0"/>
    <m/>
    <m/>
    <n v="10"/>
    <s v="x"/>
    <m/>
    <n v="0"/>
    <n v="0"/>
    <d v="2015-01-04T00:00:00"/>
    <m/>
  </r>
  <r>
    <s v="Compte chèques"/>
    <n v="1"/>
    <n v="2016"/>
    <s v="20161"/>
    <d v="2016-01-22T00:00:00"/>
    <s v="Assurance"/>
    <x v="1"/>
    <x v="0"/>
    <x v="0"/>
    <m/>
    <m/>
    <n v="10"/>
    <m/>
    <m/>
    <n v="0"/>
    <n v="0"/>
    <d v="2015-01-22T00:00:00"/>
    <m/>
  </r>
  <r>
    <s v="Compte chèques"/>
    <n v="1"/>
    <n v="2016"/>
    <s v="20161"/>
    <d v="2016-01-22T00:00:00"/>
    <s v="Pub radio"/>
    <x v="1"/>
    <x v="0"/>
    <x v="0"/>
    <m/>
    <m/>
    <n v="10"/>
    <m/>
    <m/>
    <n v="0"/>
    <n v="0"/>
    <d v="2015-01-22T00:00:00"/>
    <m/>
  </r>
  <r>
    <s v="Compte chèques"/>
    <n v="1"/>
    <n v="2016"/>
    <s v="20161"/>
    <d v="2016-01-23T00:00:00"/>
    <s v="Frais de déplacement"/>
    <x v="1"/>
    <x v="0"/>
    <x v="0"/>
    <m/>
    <m/>
    <n v="10"/>
    <m/>
    <m/>
    <n v="0"/>
    <n v="0"/>
    <d v="2015-01-23T00:00:00"/>
    <m/>
  </r>
  <r>
    <s v="Compte chèques"/>
    <n v="2"/>
    <n v="2015"/>
    <s v="20152"/>
    <d v="2015-02-24T00:00:00"/>
    <s v="Achats perso"/>
    <x v="1"/>
    <x v="0"/>
    <x v="0"/>
    <m/>
    <m/>
    <n v="10"/>
    <m/>
    <m/>
    <n v="0"/>
    <n v="0"/>
    <d v="2015-02-24T00:00:00"/>
    <m/>
  </r>
  <r>
    <s v="Compte chèques"/>
    <n v="1"/>
    <n v="2016"/>
    <s v="20161"/>
    <d v="2016-01-25T00:00:00"/>
    <s v="Frais de réception"/>
    <x v="1"/>
    <x v="0"/>
    <x v="0"/>
    <m/>
    <m/>
    <n v="10"/>
    <m/>
    <m/>
    <n v="0"/>
    <n v="0"/>
    <d v="2015-01-25T00:00:00"/>
    <m/>
  </r>
  <r>
    <s v="Compte chèques"/>
    <n v="1"/>
    <n v="2015"/>
    <s v="20151"/>
    <d v="2015-01-25T00:00:00"/>
    <s v="Fournitures de bureau"/>
    <x v="1"/>
    <x v="0"/>
    <x v="0"/>
    <m/>
    <m/>
    <n v="10"/>
    <m/>
    <m/>
    <n v="0"/>
    <n v="0"/>
    <d v="2015-01-25T00:00:00"/>
    <m/>
  </r>
  <r>
    <s v="Compte chèques"/>
    <n v="2"/>
    <n v="2015"/>
    <s v="20152"/>
    <d v="2015-02-25T00:00:00"/>
    <s v="Logiciel d'architecture"/>
    <x v="1"/>
    <x v="0"/>
    <x v="0"/>
    <m/>
    <m/>
    <n v="10"/>
    <m/>
    <m/>
    <n v="0"/>
    <n v="0"/>
    <d v="2015-02-25T00:00:00"/>
    <m/>
  </r>
  <r>
    <m/>
    <m/>
    <m/>
    <m/>
    <m/>
    <m/>
    <x v="2"/>
    <x v="0"/>
    <x v="3"/>
    <m/>
    <m/>
    <m/>
    <m/>
    <m/>
    <m/>
    <m/>
    <m/>
    <m/>
  </r>
  <r>
    <m/>
    <m/>
    <m/>
    <m/>
    <m/>
    <m/>
    <x v="2"/>
    <x v="0"/>
    <x v="3"/>
    <m/>
    <m/>
    <m/>
    <m/>
    <m/>
    <m/>
    <m/>
    <m/>
    <m/>
  </r>
  <r>
    <m/>
    <m/>
    <m/>
    <m/>
    <m/>
    <m/>
    <x v="2"/>
    <x v="0"/>
    <x v="3"/>
    <m/>
    <m/>
    <m/>
    <m/>
    <m/>
    <m/>
    <m/>
    <m/>
    <m/>
  </r>
  <r>
    <m/>
    <m/>
    <m/>
    <m/>
    <m/>
    <m/>
    <x v="2"/>
    <x v="0"/>
    <x v="3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20" firstHeaderRow="1" firstDataRow="2" firstDataCol="1"/>
  <pivotFields count="19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2">
      <pivotArea outline="0" collapsedLevelsAreSubtotals="1" fieldPosition="0"/>
    </format>
    <format dxfId="1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Mon_TCD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1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6"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2" hier="-1"/>
  </pageFields>
  <dataFields count="2">
    <dataField name="Somme de Dépenses" fld="12" baseField="0" baseItem="0"/>
    <dataField name="Somme de Recettes" fld="11" baseField="0" baseItem="1"/>
  </dataFields>
  <formats count="2">
    <format dxfId="4">
      <pivotArea outline="0" collapsedLevelsAreSubtotals="1" fieldPosition="0"/>
    </format>
    <format dxfId="3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9" firstHeaderRow="0" firstDataRow="1" firstDataCol="1" rowPageCount="1" colPageCount="1"/>
  <pivotFields count="18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showAll="0"/>
    <pivotField axis="axisPage" showAll="0">
      <items count="5">
        <item x="1"/>
        <item x="0"/>
        <item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8" item="1" hier="-1"/>
  </pageFields>
  <dataFields count="2">
    <dataField name="Somme de Dépenses" fld="11" baseField="6" baseItem="0"/>
    <dataField name="Somme de Recettes" fld="10" baseField="6" baseItem="0"/>
  </dataFields>
  <formats count="1">
    <format dxfId="0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dataDxfId="19">
  <autoFilter ref="A5:E6"/>
  <tableColumns count="5">
    <tableColumn id="1" name="Comptes" dataDxfId="18"/>
    <tableColumn id="2" name="Solde initial" dataDxfId="17"/>
    <tableColumn id="3" name="Recettes après saisie" dataDxfId="16">
      <calculatedColumnFormula>SUM(Recettes)</calculatedColumnFormula>
    </tableColumn>
    <tableColumn id="4" name="Dépenses après saisie" dataDxfId="15">
      <calculatedColumnFormula>SUM(Dépenses)</calculatedColumnFormula>
    </tableColumn>
    <tableColumn id="5" name="Solde final" dataDxfId="14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4:S19" totalsRowShown="0" headerRowDxfId="13" headerRowBorderDxfId="12" tableBorderDxfId="11" totalsRowBorderDxfId="10" headerRowCellStyle="Monétaire 2" dataCellStyle="Normal">
  <autoFilter ref="A4:S19"/>
  <sortState ref="A5:O33">
    <sortCondition ref="E5"/>
  </sortState>
  <tableColumns count="19"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9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8" dataCellStyle="Normal"/>
    <tableColumn id="16" name="Pointage dépense" dataDxfId="7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Row],[Dépenses]],"")</calculatedColumnFormula>
    </tableColumn>
    <tableColumn id="11" name="Date valeur banque " dataDxfId="6" dataCellStyle="Normal"/>
    <tableColumn id="12" name="Observations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90" zoomScaleNormal="90" workbookViewId="0">
      <selection activeCell="A23" sqref="A23"/>
    </sheetView>
  </sheetViews>
  <sheetFormatPr baseColWidth="10" defaultRowHeight="14.4" x14ac:dyDescent="0.3"/>
  <cols>
    <col min="1" max="1" width="30.33203125" customWidth="1"/>
  </cols>
  <sheetData>
    <row r="2" spans="1:3" ht="23.25" x14ac:dyDescent="0.35">
      <c r="A2" s="12"/>
      <c r="B2" s="30"/>
      <c r="C2" s="30"/>
    </row>
    <row r="3" spans="1:3" ht="23.25" x14ac:dyDescent="0.35">
      <c r="A3" s="12"/>
      <c r="B3" s="30"/>
      <c r="C3" s="30"/>
    </row>
    <row r="4" spans="1:3" ht="23.25" x14ac:dyDescent="0.35">
      <c r="A4" s="55"/>
      <c r="B4" s="30"/>
      <c r="C4" s="30"/>
    </row>
    <row r="5" spans="1:3" ht="23.25" x14ac:dyDescent="0.35">
      <c r="A5" s="12"/>
      <c r="B5" s="30"/>
      <c r="C5" s="30"/>
    </row>
    <row r="6" spans="1:3" ht="23.25" x14ac:dyDescent="0.35">
      <c r="A6" s="12"/>
      <c r="B6" s="30"/>
      <c r="C6" s="30"/>
    </row>
    <row r="7" spans="1:3" ht="23.25" x14ac:dyDescent="0.35">
      <c r="A7" s="12"/>
      <c r="B7" s="30"/>
      <c r="C7" s="30"/>
    </row>
    <row r="8" spans="1:3" ht="23.25" x14ac:dyDescent="0.35">
      <c r="A8" s="12"/>
      <c r="B8" s="30"/>
      <c r="C8" s="30"/>
    </row>
    <row r="9" spans="1:3" ht="23.25" x14ac:dyDescent="0.35">
      <c r="A9" s="12"/>
      <c r="B9" s="30"/>
      <c r="C9" s="30"/>
    </row>
    <row r="10" spans="1:3" ht="23.25" x14ac:dyDescent="0.35">
      <c r="A10" s="12"/>
      <c r="B10" s="30"/>
      <c r="C10" s="30"/>
    </row>
    <row r="11" spans="1:3" ht="23.25" x14ac:dyDescent="0.35">
      <c r="A11" s="12"/>
      <c r="B11" s="30"/>
      <c r="C11" s="30"/>
    </row>
    <row r="12" spans="1:3" ht="23.25" x14ac:dyDescent="0.35">
      <c r="A12" s="12"/>
      <c r="B12" s="30"/>
      <c r="C12" s="30"/>
    </row>
    <row r="13" spans="1:3" ht="23.25" x14ac:dyDescent="0.35">
      <c r="A13" s="12"/>
      <c r="B13" s="30"/>
      <c r="C13" s="30"/>
    </row>
    <row r="14" spans="1:3" ht="23.25" x14ac:dyDescent="0.35">
      <c r="A14" s="12"/>
      <c r="B14" s="30"/>
      <c r="C14" s="30"/>
    </row>
    <row r="15" spans="1:3" ht="23.25" x14ac:dyDescent="0.35">
      <c r="A15" s="12"/>
      <c r="B15" s="30"/>
      <c r="C15" s="30"/>
    </row>
    <row r="16" spans="1:3" ht="23.25" x14ac:dyDescent="0.35">
      <c r="A16" s="12"/>
      <c r="B16" s="30"/>
      <c r="C16" s="30"/>
    </row>
    <row r="17" spans="1:3" ht="23.25" x14ac:dyDescent="0.35">
      <c r="A17" s="12"/>
      <c r="B17" s="30"/>
      <c r="C17" s="30"/>
    </row>
    <row r="18" spans="1:3" ht="23.25" x14ac:dyDescent="0.35">
      <c r="A18" s="12"/>
      <c r="B18" s="30"/>
      <c r="C18" s="30"/>
    </row>
    <row r="19" spans="1:3" ht="23.25" x14ac:dyDescent="0.35">
      <c r="A19" s="12"/>
      <c r="B19" s="30"/>
      <c r="C19" s="30"/>
    </row>
    <row r="20" spans="1:3" ht="23.4" x14ac:dyDescent="0.45">
      <c r="A20" s="12"/>
      <c r="B20" s="30"/>
      <c r="C20" s="30"/>
    </row>
    <row r="21" spans="1:3" ht="23.4" x14ac:dyDescent="0.45">
      <c r="A21" s="12"/>
      <c r="B21" s="30"/>
      <c r="C21" s="30"/>
    </row>
    <row r="22" spans="1:3" x14ac:dyDescent="0.3">
      <c r="A22" s="12"/>
    </row>
    <row r="23" spans="1:3" x14ac:dyDescent="0.3">
      <c r="A23" s="12"/>
    </row>
    <row r="24" spans="1:3" x14ac:dyDescent="0.3">
      <c r="A24" s="12"/>
    </row>
    <row r="25" spans="1:3" x14ac:dyDescent="0.3">
      <c r="A25" s="12"/>
    </row>
    <row r="26" spans="1:3" x14ac:dyDescent="0.3">
      <c r="A26" s="12"/>
    </row>
    <row r="27" spans="1:3" x14ac:dyDescent="0.3">
      <c r="A27" s="12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D9" sqref="D9"/>
    </sheetView>
  </sheetViews>
  <sheetFormatPr baseColWidth="10" defaultRowHeight="14.4" x14ac:dyDescent="0.3"/>
  <cols>
    <col min="1" max="6" width="23.33203125" customWidth="1"/>
  </cols>
  <sheetData>
    <row r="1" spans="1:5" ht="15.6" customHeight="1" x14ac:dyDescent="0.3">
      <c r="A1" s="63" t="s">
        <v>81</v>
      </c>
      <c r="B1" s="64"/>
      <c r="C1" s="9"/>
    </row>
    <row r="2" spans="1:5" ht="14.4" customHeight="1" x14ac:dyDescent="0.3">
      <c r="A2" s="63"/>
      <c r="B2" s="64"/>
    </row>
    <row r="3" spans="1:5" ht="14.4" customHeight="1" thickBot="1" x14ac:dyDescent="0.35">
      <c r="A3" s="65"/>
      <c r="B3" s="66"/>
    </row>
    <row r="4" spans="1:5" ht="15.75" thickTop="1" x14ac:dyDescent="0.25">
      <c r="B4" s="9"/>
    </row>
    <row r="5" spans="1:5" x14ac:dyDescent="0.3">
      <c r="A5" s="12" t="s">
        <v>6</v>
      </c>
      <c r="B5" s="12" t="s">
        <v>1</v>
      </c>
      <c r="C5" s="42" t="s">
        <v>82</v>
      </c>
      <c r="D5" s="42" t="s">
        <v>83</v>
      </c>
      <c r="E5" s="12" t="s">
        <v>84</v>
      </c>
    </row>
    <row r="6" spans="1:5" x14ac:dyDescent="0.3">
      <c r="A6" s="56" t="s">
        <v>97</v>
      </c>
      <c r="B6" s="57">
        <v>1000</v>
      </c>
      <c r="C6" s="57">
        <f>SUM(Recettes)</f>
        <v>140</v>
      </c>
      <c r="D6" s="57">
        <f>SUM(Dépenses)</f>
        <v>270</v>
      </c>
      <c r="E6" s="57">
        <f>Tableau1[Solde initial]+Tableau1[Recettes après saisie]-Tableau1[Dépenses après saisie]</f>
        <v>870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C7"/>
  <sheetViews>
    <sheetView workbookViewId="0">
      <selection activeCell="B5" sqref="B5"/>
    </sheetView>
  </sheetViews>
  <sheetFormatPr baseColWidth="10" defaultRowHeight="14.4" x14ac:dyDescent="0.3"/>
  <cols>
    <col min="1" max="3" width="24.44140625" customWidth="1"/>
  </cols>
  <sheetData>
    <row r="3" spans="1:3" x14ac:dyDescent="0.3">
      <c r="A3" s="58"/>
      <c r="B3" s="58" t="s">
        <v>2</v>
      </c>
      <c r="C3" s="58" t="s">
        <v>3</v>
      </c>
    </row>
    <row r="4" spans="1:3" x14ac:dyDescent="0.3">
      <c r="A4" s="59" t="s">
        <v>68</v>
      </c>
      <c r="B4" s="5">
        <f>SUM(Prévisionnel)</f>
        <v>150</v>
      </c>
      <c r="C4" s="5">
        <f>SUM(Dépenses)</f>
        <v>270</v>
      </c>
    </row>
    <row r="5" spans="1:3" x14ac:dyDescent="0.3">
      <c r="A5" s="60" t="s">
        <v>69</v>
      </c>
      <c r="B5" s="5"/>
      <c r="C5" s="5"/>
    </row>
    <row r="6" spans="1:3" ht="15" x14ac:dyDescent="0.25">
      <c r="A6" s="61" t="s">
        <v>67</v>
      </c>
      <c r="B6" s="5">
        <f>B4+B5</f>
        <v>150</v>
      </c>
      <c r="C6" s="5">
        <f>C4+C5</f>
        <v>270</v>
      </c>
    </row>
    <row r="7" spans="1:3" x14ac:dyDescent="0.3">
      <c r="A7" s="62" t="s">
        <v>70</v>
      </c>
      <c r="B7" s="5"/>
      <c r="C7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350520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S54"/>
  <sheetViews>
    <sheetView zoomScale="50" zoomScaleNormal="50" workbookViewId="0">
      <selection activeCell="C62" sqref="C62"/>
    </sheetView>
  </sheetViews>
  <sheetFormatPr baseColWidth="10" defaultRowHeight="14.4" x14ac:dyDescent="0.3"/>
  <cols>
    <col min="1" max="1" width="17.6640625" customWidth="1"/>
    <col min="2" max="2" width="14.33203125" customWidth="1"/>
    <col min="3" max="3" width="19.6640625" customWidth="1"/>
    <col min="4" max="4" width="14.33203125" customWidth="1"/>
    <col min="5" max="5" width="22.6640625" customWidth="1"/>
    <col min="6" max="6" width="44.6640625" style="2" customWidth="1"/>
    <col min="7" max="7" width="23.6640625" customWidth="1"/>
    <col min="8" max="8" width="16" customWidth="1"/>
    <col min="9" max="9" width="17.5546875" customWidth="1"/>
    <col min="10" max="10" width="17.5546875" style="2" customWidth="1"/>
    <col min="11" max="11" width="14.33203125" customWidth="1"/>
    <col min="12" max="12" width="17.88671875" customWidth="1"/>
    <col min="13" max="13" width="10.44140625" style="43" customWidth="1"/>
    <col min="14" max="14" width="11.5546875" style="43"/>
    <col min="17" max="17" width="17" customWidth="1"/>
    <col min="18" max="18" width="16.6640625" customWidth="1"/>
  </cols>
  <sheetData>
    <row r="1" spans="1:19" ht="15.75" x14ac:dyDescent="0.25">
      <c r="J1" s="51" t="str">
        <f>SUBTOTAL(3,A4:A19)&amp;" écritures"</f>
        <v>16 écritures</v>
      </c>
      <c r="K1" s="3">
        <f>SUBTOTAL(9,tblEcritures[Recettes])</f>
        <v>140</v>
      </c>
      <c r="L1" s="3">
        <f>SUBTOTAL(9,tblEcritures[Dépenses])</f>
        <v>270</v>
      </c>
    </row>
    <row r="3" spans="1:19" x14ac:dyDescent="0.3">
      <c r="A3" s="49" t="s">
        <v>92</v>
      </c>
      <c r="B3" s="49" t="s">
        <v>93</v>
      </c>
      <c r="C3" s="49" t="s">
        <v>93</v>
      </c>
      <c r="D3" s="49" t="s">
        <v>93</v>
      </c>
      <c r="E3" s="49" t="s">
        <v>94</v>
      </c>
      <c r="F3" s="49" t="s">
        <v>92</v>
      </c>
      <c r="G3" s="49" t="s">
        <v>91</v>
      </c>
      <c r="H3" s="49" t="s">
        <v>92</v>
      </c>
      <c r="I3" s="49" t="s">
        <v>92</v>
      </c>
      <c r="J3" s="49" t="s">
        <v>92</v>
      </c>
      <c r="K3" s="49" t="s">
        <v>92</v>
      </c>
      <c r="L3" s="49" t="s">
        <v>92</v>
      </c>
      <c r="M3" s="50" t="s">
        <v>92</v>
      </c>
      <c r="N3" s="50" t="s">
        <v>92</v>
      </c>
      <c r="O3" s="49"/>
      <c r="P3" s="49"/>
      <c r="Q3" s="49" t="s">
        <v>93</v>
      </c>
      <c r="R3" s="49" t="s">
        <v>92</v>
      </c>
    </row>
    <row r="4" spans="1:19" ht="43.2" x14ac:dyDescent="0.3">
      <c r="A4" s="44" t="s">
        <v>0</v>
      </c>
      <c r="B4" s="44" t="s">
        <v>52</v>
      </c>
      <c r="C4" s="45" t="s">
        <v>53</v>
      </c>
      <c r="D4" s="44" t="s">
        <v>54</v>
      </c>
      <c r="E4" s="46" t="s">
        <v>7</v>
      </c>
      <c r="F4" s="47" t="s">
        <v>8</v>
      </c>
      <c r="G4" s="47" t="s">
        <v>50</v>
      </c>
      <c r="H4" s="47" t="s">
        <v>68</v>
      </c>
      <c r="I4" s="47" t="s">
        <v>69</v>
      </c>
      <c r="J4" s="46" t="s">
        <v>9</v>
      </c>
      <c r="K4" s="46" t="s">
        <v>10</v>
      </c>
      <c r="L4" s="46" t="s">
        <v>2</v>
      </c>
      <c r="M4" s="46" t="s">
        <v>3</v>
      </c>
      <c r="N4" s="46" t="s">
        <v>59</v>
      </c>
      <c r="O4" s="46" t="s">
        <v>60</v>
      </c>
      <c r="P4" s="46" t="s">
        <v>74</v>
      </c>
      <c r="Q4" s="46" t="s">
        <v>66</v>
      </c>
      <c r="R4" s="48" t="s">
        <v>75</v>
      </c>
      <c r="S4" s="48" t="s">
        <v>4</v>
      </c>
    </row>
    <row r="5" spans="1:19" x14ac:dyDescent="0.3">
      <c r="A5" s="2" t="s">
        <v>5</v>
      </c>
      <c r="B5" s="2">
        <f>MONTH(tblEcritures[[#This Row],[Date]])</f>
        <v>8</v>
      </c>
      <c r="C5" s="2">
        <f>YEAR(tblEcritures[[#This Row],[Date]])</f>
        <v>2016</v>
      </c>
      <c r="D5" s="2" t="str">
        <f>CONCATENATE(tblEcritures[[#This Row],[Année-Ecr]],tblEcritures[[#This Row],[Mois]])</f>
        <v>20168</v>
      </c>
      <c r="E5" s="22">
        <v>42583</v>
      </c>
      <c r="F5" s="2" t="s">
        <v>11</v>
      </c>
      <c r="G5" s="2" t="s">
        <v>71</v>
      </c>
      <c r="J5" s="2" t="s">
        <v>12</v>
      </c>
      <c r="K5" s="2" t="s">
        <v>51</v>
      </c>
      <c r="L5" s="2">
        <v>20</v>
      </c>
      <c r="M5" s="2">
        <v>50</v>
      </c>
      <c r="N5" s="43" t="s">
        <v>73</v>
      </c>
      <c r="O5" s="43" t="s">
        <v>73</v>
      </c>
      <c r="P5" s="2">
        <f>IF(tblEcritures[[#This Row],[Pointage recette]]="x",tblEcritures[[#This Row],[Recettes]],"")</f>
        <v>20</v>
      </c>
      <c r="Q5" s="2">
        <f>IF(tblEcritures[[#This Row],[Pointage dépense]]="x",tblEcritures[[#This Row],[Dépenses]],"")</f>
        <v>50</v>
      </c>
      <c r="R5" s="22">
        <v>42024</v>
      </c>
      <c r="S5" s="2"/>
    </row>
    <row r="6" spans="1:19" x14ac:dyDescent="0.3">
      <c r="A6" s="2" t="s">
        <v>5</v>
      </c>
      <c r="B6" s="2">
        <f>MONTH(tblEcritures[[#This Row],[Date]])</f>
        <v>2</v>
      </c>
      <c r="C6" s="2">
        <f>YEAR(tblEcritures[[#This Row],[Date]])</f>
        <v>2015</v>
      </c>
      <c r="D6" s="2" t="str">
        <f>CONCATENATE(tblEcritures[[#This Row],[Année-Ecr]],tblEcritures[[#This Row],[Mois]])</f>
        <v>20152</v>
      </c>
      <c r="E6" s="22">
        <v>42045</v>
      </c>
      <c r="F6" s="2" t="s">
        <v>20</v>
      </c>
      <c r="G6" s="2" t="s">
        <v>71</v>
      </c>
      <c r="J6" s="2" t="s">
        <v>12</v>
      </c>
      <c r="K6" s="2"/>
      <c r="L6" s="2">
        <v>50</v>
      </c>
      <c r="M6" s="2"/>
      <c r="O6" s="43"/>
      <c r="P6" s="2" t="str">
        <f>IF(tblEcritures[[#This Row],[Pointage recette]]="x",tblEcritures[[#This Row],[Recettes]],"")</f>
        <v/>
      </c>
      <c r="Q6" s="2" t="str">
        <f>IF(tblEcritures[[#This Row],[Pointage dépense]]="x",tblEcritures[[#This Row],[Dépenses]],"")</f>
        <v/>
      </c>
      <c r="R6" s="22">
        <v>42045</v>
      </c>
      <c r="S6" s="2"/>
    </row>
    <row r="7" spans="1:19" x14ac:dyDescent="0.3">
      <c r="A7" s="2" t="s">
        <v>5</v>
      </c>
      <c r="B7" s="2">
        <f>MONTH(tblEcritures[[#This Row],[Date]])</f>
        <v>3</v>
      </c>
      <c r="C7" s="2">
        <f>YEAR(tblEcritures[[#This Row],[Date]])</f>
        <v>2015</v>
      </c>
      <c r="D7" s="2" t="str">
        <f>CONCATENATE(tblEcritures[[#This Row],[Année-Ecr]],tblEcritures[[#This Row],[Mois]])</f>
        <v>20153</v>
      </c>
      <c r="E7" s="22">
        <v>42064</v>
      </c>
      <c r="F7" s="2" t="s">
        <v>86</v>
      </c>
      <c r="G7" s="2" t="s">
        <v>72</v>
      </c>
      <c r="J7" s="2" t="s">
        <v>48</v>
      </c>
      <c r="K7" s="2"/>
      <c r="L7" s="2"/>
      <c r="M7" s="2">
        <v>10</v>
      </c>
      <c r="O7" s="43"/>
      <c r="P7" s="2" t="str">
        <f>IF(tblEcritures[[#This Row],[Pointage recette]]="x",tblEcritures[[#This Row],[Recettes]],"")</f>
        <v/>
      </c>
      <c r="Q7" s="2" t="str">
        <f>IF(tblEcritures[[#This Row],[Pointage dépense]]="x",tblEcritures[[#This Row],[Dépenses]],"")</f>
        <v/>
      </c>
      <c r="R7" s="22">
        <v>42083</v>
      </c>
      <c r="S7" s="2"/>
    </row>
    <row r="8" spans="1:19" x14ac:dyDescent="0.3">
      <c r="A8" s="2" t="s">
        <v>5</v>
      </c>
      <c r="B8" s="2">
        <f>MONTH(tblEcritures[[#This Row],[Date]])</f>
        <v>3</v>
      </c>
      <c r="C8" s="2">
        <f>YEAR(tblEcritures[[#This Row],[Date]])</f>
        <v>2015</v>
      </c>
      <c r="D8" s="2" t="str">
        <f>CONCATENATE(tblEcritures[[#This Row],[Année-Ecr]],tblEcritures[[#This Row],[Mois]])</f>
        <v>20153</v>
      </c>
      <c r="E8" s="22">
        <v>42066</v>
      </c>
      <c r="F8" s="2" t="s">
        <v>95</v>
      </c>
      <c r="G8" s="2" t="s">
        <v>72</v>
      </c>
      <c r="H8">
        <v>150</v>
      </c>
      <c r="I8">
        <v>100</v>
      </c>
      <c r="J8" s="2" t="s">
        <v>12</v>
      </c>
      <c r="K8" s="2"/>
      <c r="L8" s="2"/>
      <c r="M8" s="2">
        <v>10</v>
      </c>
      <c r="O8" s="43"/>
      <c r="P8" s="2" t="str">
        <f>IF(tblEcritures[[#This Row],[Pointage recette]]="x",tblEcritures[[#This Row],[Recettes]],"")</f>
        <v/>
      </c>
      <c r="Q8" s="2" t="str">
        <f>IF(tblEcritures[[#This Row],[Pointage dépense]]="x",tblEcritures[[#This Row],[Dépenses]],"")</f>
        <v/>
      </c>
      <c r="R8" s="22">
        <v>42066</v>
      </c>
      <c r="S8" s="2"/>
    </row>
    <row r="9" spans="1:19" x14ac:dyDescent="0.3">
      <c r="A9" s="2" t="s">
        <v>5</v>
      </c>
      <c r="B9" s="2">
        <f>MONTH(tblEcritures[[#This Row],[Date]])</f>
        <v>3</v>
      </c>
      <c r="C9" s="2">
        <f>YEAR(tblEcritures[[#This Row],[Date]])</f>
        <v>2015</v>
      </c>
      <c r="D9" s="2" t="str">
        <f>CONCATENATE(tblEcritures[[#This Row],[Année-Ecr]],tblEcritures[[#This Row],[Mois]])</f>
        <v>20153</v>
      </c>
      <c r="E9" s="22">
        <v>42068</v>
      </c>
      <c r="F9" s="2" t="s">
        <v>21</v>
      </c>
      <c r="G9" s="2" t="str">
        <f>VLOOKUP(tblEcritures[[#This Row],[Libellé]],RechecheV,2,FALSE)</f>
        <v>Charge</v>
      </c>
      <c r="J9" s="2" t="s">
        <v>12</v>
      </c>
      <c r="K9" s="2"/>
      <c r="L9" s="2"/>
      <c r="M9" s="2">
        <v>50</v>
      </c>
      <c r="O9" s="43" t="s">
        <v>73</v>
      </c>
      <c r="P9" s="2" t="str">
        <f>IF(tblEcritures[[#This Row],[Pointage recette]]="x",tblEcritures[[#This Row],[Recettes]],"")</f>
        <v/>
      </c>
      <c r="Q9" s="2">
        <f>IF(tblEcritures[[#This Row],[Pointage dépense]]="x",tblEcritures[[#This Row],[Dépenses]],"")</f>
        <v>50</v>
      </c>
      <c r="R9" s="22">
        <v>42068</v>
      </c>
      <c r="S9" s="2"/>
    </row>
    <row r="10" spans="1:19" x14ac:dyDescent="0.3">
      <c r="A10" s="2" t="s">
        <v>5</v>
      </c>
      <c r="B10" s="2">
        <f>MONTH(tblEcritures[[#This Row],[Date]])</f>
        <v>3</v>
      </c>
      <c r="C10" s="2">
        <f>YEAR(tblEcritures[[#This Row],[Date]])</f>
        <v>2015</v>
      </c>
      <c r="D10" s="2" t="str">
        <f>CONCATENATE(tblEcritures[[#This Row],[Année-Ecr]],tblEcritures[[#This Row],[Mois]])</f>
        <v>20153</v>
      </c>
      <c r="E10" s="22">
        <v>42075</v>
      </c>
      <c r="F10" s="2" t="s">
        <v>22</v>
      </c>
      <c r="G10" s="2" t="str">
        <f>VLOOKUP(tblEcritures[[#This Row],[Libellé]],RechecheV,2,FALSE)</f>
        <v>Charge</v>
      </c>
      <c r="J10" s="2" t="s">
        <v>16</v>
      </c>
      <c r="K10" s="2"/>
      <c r="L10" s="2"/>
      <c r="M10" s="2">
        <v>10</v>
      </c>
      <c r="O10" s="43"/>
      <c r="P10" s="2" t="str">
        <f>IF(tblEcritures[[#This Row],[Pointage recette]]="x",tblEcritures[[#This Row],[Recettes]],"")</f>
        <v/>
      </c>
      <c r="Q10" s="2" t="str">
        <f>IF(tblEcritures[[#This Row],[Pointage dépense]]="x",tblEcritures[[#This Row],[Dépenses]],"")</f>
        <v/>
      </c>
      <c r="R10" s="22">
        <v>42075</v>
      </c>
      <c r="S10" s="2"/>
    </row>
    <row r="11" spans="1:19" x14ac:dyDescent="0.3">
      <c r="A11" s="2" t="s">
        <v>5</v>
      </c>
      <c r="B11" s="2">
        <f>MONTH(tblEcritures[[#This Row],[Date]])</f>
        <v>4</v>
      </c>
      <c r="C11" s="2">
        <f>YEAR(tblEcritures[[#This Row],[Date]])</f>
        <v>2015</v>
      </c>
      <c r="D11" s="2" t="str">
        <f>CONCATENATE(tblEcritures[[#This Row],[Année-Ecr]],tblEcritures[[#This Row],[Mois]])</f>
        <v>20154</v>
      </c>
      <c r="E11" s="22">
        <v>42095</v>
      </c>
      <c r="F11" s="2" t="s">
        <v>96</v>
      </c>
      <c r="G11" s="2" t="s">
        <v>71</v>
      </c>
      <c r="J11" s="2" t="s">
        <v>12</v>
      </c>
      <c r="K11" s="2"/>
      <c r="L11" s="2">
        <v>10</v>
      </c>
      <c r="M11" s="2"/>
      <c r="O11" s="43"/>
      <c r="P11" s="2" t="str">
        <f>IF(tblEcritures[[#This Row],[Pointage recette]]="x",tblEcritures[[#This Row],[Recettes]],"")</f>
        <v/>
      </c>
      <c r="Q11" s="2" t="str">
        <f>IF(tblEcritures[[#This Row],[Pointage dépense]]="x",tblEcritures[[#This Row],[Dépenses]],"")</f>
        <v/>
      </c>
      <c r="R11" s="22">
        <v>42008</v>
      </c>
      <c r="S11" s="2"/>
    </row>
    <row r="12" spans="1:19" x14ac:dyDescent="0.3">
      <c r="A12" s="2" t="s">
        <v>5</v>
      </c>
      <c r="B12" s="2">
        <f>MONTH(tblEcritures[[#This Row],[Date]])</f>
        <v>4</v>
      </c>
      <c r="C12" s="2">
        <f>YEAR(tblEcritures[[#This Row],[Date]])</f>
        <v>2015</v>
      </c>
      <c r="D12" s="2" t="str">
        <f>CONCATENATE(tblEcritures[[#This Row],[Année-Ecr]],tblEcritures[[#This Row],[Mois]])</f>
        <v>20154</v>
      </c>
      <c r="E12" s="22">
        <v>42096</v>
      </c>
      <c r="F12" s="2" t="s">
        <v>89</v>
      </c>
      <c r="G12" s="2" t="s">
        <v>71</v>
      </c>
      <c r="J12" s="2" t="s">
        <v>12</v>
      </c>
      <c r="K12" s="2"/>
      <c r="L12" s="2">
        <v>10</v>
      </c>
      <c r="M12" s="2"/>
      <c r="O12" s="43"/>
      <c r="P12" s="2" t="str">
        <f>IF(tblEcritures[[#This Row],[Pointage recette]]="x",tblEcritures[[#This Row],[Recettes]],"")</f>
        <v/>
      </c>
      <c r="Q12" s="2" t="str">
        <f>IF(tblEcritures[[#This Row],[Pointage dépense]]="x",tblEcritures[[#This Row],[Dépenses]],"")</f>
        <v/>
      </c>
      <c r="R12" s="22">
        <v>42083</v>
      </c>
      <c r="S12" s="2"/>
    </row>
    <row r="13" spans="1:19" x14ac:dyDescent="0.3">
      <c r="A13" s="2" t="s">
        <v>5</v>
      </c>
      <c r="B13" s="2">
        <f>MONTH(tblEcritures[[#This Row],[Date]])</f>
        <v>2</v>
      </c>
      <c r="C13" s="2">
        <f>YEAR(tblEcritures[[#This Row],[Date]])</f>
        <v>2015</v>
      </c>
      <c r="D13" s="2" t="str">
        <f>CONCATENATE(tblEcritures[[#This Row],[Année-Ecr]],tblEcritures[[#This Row],[Mois]])</f>
        <v>20152</v>
      </c>
      <c r="E13" s="22">
        <v>42052</v>
      </c>
      <c r="F13" s="2" t="s">
        <v>90</v>
      </c>
      <c r="G13" s="2" t="s">
        <v>72</v>
      </c>
      <c r="J13" s="2" t="s">
        <v>12</v>
      </c>
      <c r="K13" s="2"/>
      <c r="L13" s="2"/>
      <c r="M13" s="2">
        <v>10</v>
      </c>
      <c r="O13" s="43"/>
      <c r="P13" s="2" t="str">
        <f>IF(tblEcritures[[#This Row],[Pointage recette]]="x",tblEcritures[[#This Row],[Recettes]],"")</f>
        <v/>
      </c>
      <c r="Q13" s="2" t="str">
        <f>IF(tblEcritures[[#This Row],[Pointage dépense]]="x",tblEcritures[[#This Row],[Dépenses]],"")</f>
        <v/>
      </c>
      <c r="R13" s="22">
        <v>42052</v>
      </c>
      <c r="S13" s="2"/>
    </row>
    <row r="14" spans="1:19" x14ac:dyDescent="0.3">
      <c r="A14" s="2" t="s">
        <v>5</v>
      </c>
      <c r="B14" s="2">
        <f>MONTH(tblEcritures[[#This Row],[Date]])</f>
        <v>2</v>
      </c>
      <c r="C14" s="2">
        <f>YEAR(tblEcritures[[#This Row],[Date]])</f>
        <v>2016</v>
      </c>
      <c r="D14" s="2" t="str">
        <f>CONCATENATE(tblEcritures[[#This Row],[Année-Ecr]],tblEcritures[[#This Row],[Mois]])</f>
        <v>20162</v>
      </c>
      <c r="E14" s="22">
        <v>42417</v>
      </c>
      <c r="F14" s="2" t="s">
        <v>87</v>
      </c>
      <c r="G14" s="2" t="s">
        <v>72</v>
      </c>
      <c r="J14" s="2" t="s">
        <v>12</v>
      </c>
      <c r="K14" s="2"/>
      <c r="L14" s="2"/>
      <c r="M14" s="2">
        <v>100</v>
      </c>
      <c r="O14" s="43"/>
      <c r="P14" s="2" t="str">
        <f>IF(tblEcritures[[#This Row],[Pointage recette]]="x",tblEcritures[[#This Row],[Recettes]],"")</f>
        <v/>
      </c>
      <c r="Q14" s="2" t="str">
        <f>IF(tblEcritures[[#This Row],[Pointage dépense]]="x",tblEcritures[[#This Row],[Dépenses]],"")</f>
        <v/>
      </c>
      <c r="R14" s="22">
        <v>42066</v>
      </c>
      <c r="S14" s="2"/>
    </row>
    <row r="15" spans="1:19" x14ac:dyDescent="0.3">
      <c r="A15" s="2" t="s">
        <v>5</v>
      </c>
      <c r="B15" s="2">
        <f>MONTH(tblEcritures[[#This Row],[Date]])</f>
        <v>1</v>
      </c>
      <c r="C15" s="2">
        <f>YEAR(tblEcritures[[#This Row],[Date]])</f>
        <v>2016</v>
      </c>
      <c r="D15" s="2" t="str">
        <f>CONCATENATE(tblEcritures[[#This Row],[Année-Ecr]],tblEcritures[[#This Row],[Mois]])</f>
        <v>20161</v>
      </c>
      <c r="E15" s="22">
        <v>42387</v>
      </c>
      <c r="F15" s="2" t="s">
        <v>25</v>
      </c>
      <c r="G15" s="2" t="str">
        <f>VLOOKUP(tblEcritures[[#This Row],[Libellé]],RechecheV,2,FALSE)</f>
        <v>Charge</v>
      </c>
      <c r="J15" s="2" t="s">
        <v>12</v>
      </c>
      <c r="K15" s="2"/>
      <c r="L15" s="2"/>
      <c r="M15" s="2">
        <v>10</v>
      </c>
      <c r="N15" s="43" t="s">
        <v>73</v>
      </c>
      <c r="O15" s="43"/>
      <c r="P15" s="2">
        <f>IF(tblEcritures[[#This Row],[Pointage recette]]="x",tblEcritures[[#This Row],[Recettes]],"")</f>
        <v>0</v>
      </c>
      <c r="Q15" s="2" t="str">
        <f>IF(tblEcritures[[#This Row],[Pointage dépense]]="x",tblEcritures[[#This Row],[Dépenses]],"")</f>
        <v/>
      </c>
      <c r="R15" s="22">
        <v>42022</v>
      </c>
      <c r="S15" s="2"/>
    </row>
    <row r="16" spans="1:19" x14ac:dyDescent="0.3">
      <c r="A16" s="2" t="s">
        <v>5</v>
      </c>
      <c r="B16" s="2">
        <f>MONTH(tblEcritures[[#This Row],[Date]])</f>
        <v>1</v>
      </c>
      <c r="C16" s="2">
        <f>YEAR(tblEcritures[[#This Row],[Date]])</f>
        <v>2016</v>
      </c>
      <c r="D16" s="2" t="str">
        <f>CONCATENATE(tblEcritures[[#This Row],[Année-Ecr]],tblEcritures[[#This Row],[Mois]])</f>
        <v>20161</v>
      </c>
      <c r="E16" s="22">
        <v>42387</v>
      </c>
      <c r="F16" s="2" t="s">
        <v>88</v>
      </c>
      <c r="G16" s="2" t="s">
        <v>72</v>
      </c>
      <c r="J16" s="2" t="s">
        <v>12</v>
      </c>
      <c r="K16" s="2"/>
      <c r="L16" s="2"/>
      <c r="M16" s="2">
        <v>10</v>
      </c>
      <c r="O16" s="43"/>
      <c r="P16" s="2" t="str">
        <f>IF(tblEcritures[[#This Row],[Pointage recette]]="x",tblEcritures[[#This Row],[Recettes]],"")</f>
        <v/>
      </c>
      <c r="Q16" s="2" t="str">
        <f>IF(tblEcritures[[#This Row],[Pointage dépense]]="x",tblEcritures[[#This Row],[Dépenses]],"")</f>
        <v/>
      </c>
      <c r="R16" s="22">
        <v>42068</v>
      </c>
      <c r="S16" s="2"/>
    </row>
    <row r="17" spans="1:19" x14ac:dyDescent="0.3">
      <c r="A17" s="2" t="s">
        <v>5</v>
      </c>
      <c r="B17" s="2">
        <f>MONTH(tblEcritures[[#This Row],[Date]])</f>
        <v>3</v>
      </c>
      <c r="C17" s="2">
        <f>YEAR(tblEcritures[[#This Row],[Date]])</f>
        <v>2016</v>
      </c>
      <c r="D17" s="2" t="str">
        <f>CONCATENATE(tblEcritures[[#This Row],[Année-Ecr]],tblEcritures[[#This Row],[Mois]])</f>
        <v>20163</v>
      </c>
      <c r="E17" s="22">
        <v>42448</v>
      </c>
      <c r="F17" s="2" t="s">
        <v>26</v>
      </c>
      <c r="G17" s="2" t="str">
        <f>VLOOKUP(tblEcritures[[#This Row],[Libellé]],RechecheV,2,FALSE)</f>
        <v>Charge</v>
      </c>
      <c r="J17" s="2" t="s">
        <v>12</v>
      </c>
      <c r="K17" s="2"/>
      <c r="L17" s="2"/>
      <c r="M17" s="2">
        <v>10</v>
      </c>
      <c r="O17" s="43"/>
      <c r="P17" s="2" t="str">
        <f>IF(tblEcritures[[#This Row],[Pointage recette]]="x",tblEcritures[[#This Row],[Recettes]],"")</f>
        <v/>
      </c>
      <c r="Q17" s="2" t="str">
        <f>IF(tblEcritures[[#This Row],[Pointage dépense]]="x",tblEcritures[[#This Row],[Dépenses]],"")</f>
        <v/>
      </c>
      <c r="R17" s="22">
        <v>42278</v>
      </c>
      <c r="S17" s="2"/>
    </row>
    <row r="18" spans="1:19" x14ac:dyDescent="0.3">
      <c r="A18" s="2" t="s">
        <v>5</v>
      </c>
      <c r="B18" s="2">
        <f>MONTH(tblEcritures[[#This Row],[Date]])</f>
        <v>3</v>
      </c>
      <c r="C18" s="2">
        <f>YEAR(tblEcritures[[#This Row],[Date]])</f>
        <v>2016</v>
      </c>
      <c r="D18" s="2" t="str">
        <f>CONCATENATE(tblEcritures[[#This Row],[Année-Ecr]],tblEcritures[[#This Row],[Mois]])</f>
        <v>20163</v>
      </c>
      <c r="E18" s="22">
        <v>42448</v>
      </c>
      <c r="F18" s="2" t="s">
        <v>43</v>
      </c>
      <c r="G18" s="2" t="str">
        <f>VLOOKUP(tblEcritures[[#This Row],[Libellé]],RechecheV,2,FALSE)</f>
        <v>Produit</v>
      </c>
      <c r="J18" s="2" t="s">
        <v>12</v>
      </c>
      <c r="K18" s="2"/>
      <c r="L18" s="2">
        <v>25</v>
      </c>
      <c r="M18" s="2"/>
      <c r="N18" s="43" t="s">
        <v>73</v>
      </c>
      <c r="O18" s="43"/>
      <c r="P18" s="2">
        <f>IF(tblEcritures[[#This Row],[Pointage recette]]="x",tblEcritures[[#This Row],[Recettes]],"")</f>
        <v>25</v>
      </c>
      <c r="Q18" s="2" t="str">
        <f>IF(tblEcritures[[#This Row],[Pointage dépense]]="x",tblEcritures[[#This Row],[Dépenses]],"")</f>
        <v/>
      </c>
      <c r="R18" s="22">
        <v>42075</v>
      </c>
      <c r="S18" s="2"/>
    </row>
    <row r="19" spans="1:19" x14ac:dyDescent="0.3">
      <c r="A19" s="2" t="s">
        <v>5</v>
      </c>
      <c r="B19" s="2">
        <f>MONTH(tblEcritures[[#This Row],[Date]])</f>
        <v>2</v>
      </c>
      <c r="C19" s="2">
        <f>YEAR(tblEcritures[[#This Row],[Date]])</f>
        <v>2016</v>
      </c>
      <c r="D19" s="2" t="str">
        <f>CONCATENATE(tblEcritures[[#This Row],[Année-Ecr]],tblEcritures[[#This Row],[Mois]])</f>
        <v>20162</v>
      </c>
      <c r="E19" s="22">
        <v>42420</v>
      </c>
      <c r="F19" s="2" t="s">
        <v>27</v>
      </c>
      <c r="G19" s="2" t="s">
        <v>71</v>
      </c>
      <c r="J19" s="2" t="s">
        <v>12</v>
      </c>
      <c r="K19" s="2"/>
      <c r="L19" s="2">
        <v>25</v>
      </c>
      <c r="M19" s="2"/>
      <c r="O19" s="43"/>
      <c r="P19" s="2" t="str">
        <f>IF(tblEcritures[[#This Row],[Pointage recette]]="x",tblEcritures[[#This Row],[Recettes]],"")</f>
        <v/>
      </c>
      <c r="Q19" s="2" t="str">
        <f>IF(tblEcritures[[#This Row],[Pointage dépense]]="x",tblEcritures[[#This Row],[Dépenses]],"")</f>
        <v/>
      </c>
      <c r="R19" s="22">
        <v>42055</v>
      </c>
      <c r="S19" s="2"/>
    </row>
    <row r="20" spans="1:19" x14ac:dyDescent="0.3">
      <c r="F20"/>
      <c r="J20"/>
      <c r="M20"/>
      <c r="N20"/>
    </row>
    <row r="21" spans="1:19" x14ac:dyDescent="0.3">
      <c r="F21"/>
      <c r="J21"/>
      <c r="M21"/>
      <c r="N21"/>
    </row>
    <row r="22" spans="1:19" x14ac:dyDescent="0.3">
      <c r="F22"/>
      <c r="J22"/>
      <c r="M22"/>
      <c r="N22"/>
    </row>
    <row r="23" spans="1:19" x14ac:dyDescent="0.3">
      <c r="F23"/>
      <c r="J23"/>
      <c r="M23"/>
      <c r="N23"/>
    </row>
    <row r="24" spans="1:19" x14ac:dyDescent="0.3">
      <c r="F24"/>
      <c r="J24"/>
      <c r="M24"/>
      <c r="N24"/>
    </row>
    <row r="25" spans="1:19" x14ac:dyDescent="0.3">
      <c r="F25"/>
      <c r="J25"/>
      <c r="M25"/>
      <c r="N25"/>
    </row>
    <row r="26" spans="1:19" x14ac:dyDescent="0.3">
      <c r="F26"/>
      <c r="J26"/>
      <c r="M26"/>
      <c r="N26"/>
    </row>
    <row r="27" spans="1:19" x14ac:dyDescent="0.3">
      <c r="F27"/>
      <c r="J27"/>
      <c r="M27"/>
      <c r="N27"/>
    </row>
    <row r="28" spans="1:19" x14ac:dyDescent="0.3">
      <c r="F28"/>
      <c r="J28"/>
      <c r="M28"/>
      <c r="N28"/>
    </row>
    <row r="29" spans="1:19" x14ac:dyDescent="0.3">
      <c r="F29"/>
      <c r="J29"/>
      <c r="M29"/>
      <c r="N29"/>
    </row>
    <row r="30" spans="1:19" x14ac:dyDescent="0.3">
      <c r="F30"/>
      <c r="J30"/>
      <c r="M30"/>
      <c r="N30"/>
    </row>
    <row r="31" spans="1:19" x14ac:dyDescent="0.3">
      <c r="F31"/>
      <c r="J31"/>
      <c r="M31"/>
      <c r="N31"/>
    </row>
    <row r="32" spans="1:19" x14ac:dyDescent="0.3">
      <c r="F32"/>
      <c r="J32"/>
      <c r="M32"/>
      <c r="N32"/>
    </row>
    <row r="33" spans="6:14" x14ac:dyDescent="0.3">
      <c r="F33"/>
      <c r="J33"/>
      <c r="M33"/>
      <c r="N33"/>
    </row>
    <row r="34" spans="6:14" x14ac:dyDescent="0.3">
      <c r="F34"/>
      <c r="J34"/>
      <c r="M34"/>
      <c r="N34"/>
    </row>
    <row r="35" spans="6:14" x14ac:dyDescent="0.3">
      <c r="F35"/>
      <c r="J35"/>
      <c r="M35"/>
      <c r="N35"/>
    </row>
    <row r="36" spans="6:14" x14ac:dyDescent="0.3">
      <c r="F36"/>
      <c r="J36"/>
      <c r="M36"/>
      <c r="N36"/>
    </row>
    <row r="37" spans="6:14" x14ac:dyDescent="0.3">
      <c r="F37"/>
      <c r="J37"/>
      <c r="M37"/>
      <c r="N37"/>
    </row>
    <row r="38" spans="6:14" x14ac:dyDescent="0.3">
      <c r="F38"/>
      <c r="J38"/>
      <c r="M38"/>
      <c r="N38"/>
    </row>
    <row r="39" spans="6:14" x14ac:dyDescent="0.3">
      <c r="F39"/>
      <c r="J39"/>
      <c r="M39"/>
      <c r="N39"/>
    </row>
    <row r="40" spans="6:14" x14ac:dyDescent="0.3">
      <c r="F40"/>
      <c r="J40"/>
      <c r="M40"/>
      <c r="N40"/>
    </row>
    <row r="41" spans="6:14" x14ac:dyDescent="0.3">
      <c r="F41"/>
      <c r="J41"/>
      <c r="M41"/>
      <c r="N41"/>
    </row>
    <row r="42" spans="6:14" x14ac:dyDescent="0.3">
      <c r="F42"/>
      <c r="J42"/>
      <c r="M42"/>
      <c r="N42"/>
    </row>
    <row r="43" spans="6:14" x14ac:dyDescent="0.3">
      <c r="F43"/>
      <c r="J43"/>
      <c r="M43"/>
      <c r="N43"/>
    </row>
    <row r="44" spans="6:14" x14ac:dyDescent="0.3">
      <c r="F44"/>
      <c r="J44"/>
      <c r="M44"/>
      <c r="N44"/>
    </row>
    <row r="45" spans="6:14" x14ac:dyDescent="0.3">
      <c r="F45"/>
      <c r="J45"/>
      <c r="M45"/>
      <c r="N45"/>
    </row>
    <row r="46" spans="6:14" x14ac:dyDescent="0.3">
      <c r="F46"/>
      <c r="J46"/>
      <c r="M46"/>
      <c r="N46"/>
    </row>
    <row r="47" spans="6:14" x14ac:dyDescent="0.3">
      <c r="F47"/>
      <c r="J47"/>
      <c r="M47"/>
      <c r="N47"/>
    </row>
    <row r="48" spans="6:14" x14ac:dyDescent="0.3">
      <c r="F48"/>
      <c r="J48"/>
      <c r="M48"/>
      <c r="N48"/>
    </row>
    <row r="49" spans="6:14" x14ac:dyDescent="0.3">
      <c r="F49"/>
      <c r="J49"/>
      <c r="M49"/>
      <c r="N49"/>
    </row>
    <row r="50" spans="6:14" x14ac:dyDescent="0.3">
      <c r="F50"/>
      <c r="J50"/>
      <c r="M50"/>
      <c r="N50"/>
    </row>
    <row r="51" spans="6:14" x14ac:dyDescent="0.3">
      <c r="F51"/>
      <c r="J51"/>
      <c r="M51"/>
      <c r="N51"/>
    </row>
    <row r="52" spans="6:14" x14ac:dyDescent="0.3">
      <c r="F52"/>
      <c r="J52"/>
      <c r="M52"/>
      <c r="N52"/>
    </row>
    <row r="53" spans="6:14" x14ac:dyDescent="0.3">
      <c r="F53"/>
      <c r="J53"/>
      <c r="M53"/>
      <c r="N53"/>
    </row>
    <row r="54" spans="6:14" x14ac:dyDescent="0.3">
      <c r="F54"/>
      <c r="J54"/>
      <c r="M54"/>
      <c r="N54"/>
    </row>
  </sheetData>
  <dataValidations count="1">
    <dataValidation type="list" allowBlank="1" showInputMessage="1" showErrorMessage="1" sqref="J5:J19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19</xdr:col>
                    <xdr:colOff>571500</xdr:colOff>
                    <xdr:row>2</xdr:row>
                    <xdr:rowOff>137160</xdr:rowOff>
                  </from>
                  <to>
                    <xdr:col>22</xdr:col>
                    <xdr:colOff>30480</xdr:colOff>
                    <xdr:row>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19</xdr:col>
                    <xdr:colOff>571500</xdr:colOff>
                    <xdr:row>7</xdr:row>
                    <xdr:rowOff>38100</xdr:rowOff>
                  </from>
                  <to>
                    <xdr:col>22</xdr:col>
                    <xdr:colOff>30480</xdr:colOff>
                    <xdr:row>11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19</xdr:col>
                    <xdr:colOff>571500</xdr:colOff>
                    <xdr:row>13</xdr:row>
                    <xdr:rowOff>114300</xdr:rowOff>
                  </from>
                  <to>
                    <xdr:col>22</xdr:col>
                    <xdr:colOff>30480</xdr:colOff>
                    <xdr:row>17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19</xdr:col>
                    <xdr:colOff>571500</xdr:colOff>
                    <xdr:row>19</xdr:row>
                    <xdr:rowOff>175260</xdr:rowOff>
                  </from>
                  <to>
                    <xdr:col>22</xdr:col>
                    <xdr:colOff>30480</xdr:colOff>
                    <xdr:row>24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19</xdr:col>
                    <xdr:colOff>571500</xdr:colOff>
                    <xdr:row>26</xdr:row>
                    <xdr:rowOff>99060</xdr:rowOff>
                  </from>
                  <to>
                    <xdr:col>22</xdr:col>
                    <xdr:colOff>30480</xdr:colOff>
                    <xdr:row>30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G5:G19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abSelected="1" topLeftCell="A16" zoomScale="96" zoomScaleNormal="96" workbookViewId="0">
      <selection activeCell="J13" sqref="J13"/>
    </sheetView>
  </sheetViews>
  <sheetFormatPr baseColWidth="10" defaultRowHeight="14.4" x14ac:dyDescent="0.3"/>
  <cols>
    <col min="1" max="1" width="28.109375" customWidth="1"/>
    <col min="2" max="2" width="25.44140625" customWidth="1"/>
    <col min="3" max="3" width="24.21875" customWidth="1"/>
    <col min="4" max="4" width="3" customWidth="1"/>
    <col min="5" max="5" width="4" customWidth="1"/>
    <col min="6" max="6" width="5.88671875" customWidth="1"/>
    <col min="7" max="7" width="24.109375" customWidth="1"/>
    <col min="8" max="8" width="21.88671875" customWidth="1"/>
    <col min="9" max="9" width="25.109375" customWidth="1"/>
    <col min="10" max="11" width="26" customWidth="1"/>
  </cols>
  <sheetData>
    <row r="2" spans="1:11" ht="15.6" x14ac:dyDescent="0.3">
      <c r="A2" s="27" t="s">
        <v>65</v>
      </c>
      <c r="B2" s="38">
        <f>MATCH("Total général",A:A,0)</f>
        <v>21</v>
      </c>
    </row>
    <row r="3" spans="1:11" ht="15.75" x14ac:dyDescent="0.25">
      <c r="A3" s="26"/>
      <c r="B3" s="26"/>
    </row>
    <row r="4" spans="1:11" ht="15.75" x14ac:dyDescent="0.25">
      <c r="A4" s="28" t="s">
        <v>79</v>
      </c>
      <c r="B4" s="39">
        <f>EOMONTH(A16,0)</f>
        <v>42094</v>
      </c>
    </row>
    <row r="5" spans="1:11" ht="15.6" x14ac:dyDescent="0.3">
      <c r="G5" s="35" t="s">
        <v>76</v>
      </c>
    </row>
    <row r="6" spans="1:11" ht="15.6" x14ac:dyDescent="0.3">
      <c r="A6" s="28" t="s">
        <v>80</v>
      </c>
      <c r="B6" s="40">
        <v>-1000</v>
      </c>
      <c r="G6" s="37"/>
      <c r="H6" s="35" t="s">
        <v>58</v>
      </c>
      <c r="I6" s="35" t="s">
        <v>55</v>
      </c>
      <c r="J6" s="35" t="s">
        <v>57</v>
      </c>
    </row>
    <row r="7" spans="1:11" ht="15.75" x14ac:dyDescent="0.25">
      <c r="G7" s="35" t="s">
        <v>56</v>
      </c>
      <c r="H7" s="24">
        <f>INDEX(mon_tcd,B2-13,2)</f>
        <v>60</v>
      </c>
      <c r="I7" s="24">
        <f>INDEX(mon_tcd,B2-13,3)</f>
        <v>50</v>
      </c>
      <c r="J7" s="24">
        <f>I7-H7</f>
        <v>-10</v>
      </c>
    </row>
    <row r="8" spans="1:11" ht="15.6" x14ac:dyDescent="0.3">
      <c r="G8" s="35" t="s">
        <v>78</v>
      </c>
      <c r="H8" s="23">
        <f>SUMIFS(Ecriture!L:L,Ecriture!E:E,"&lt;="&amp;B4)</f>
        <v>50</v>
      </c>
      <c r="I8" s="23">
        <f>SUMIFS(Ecriture!K:K,Ecriture!E:E,"&lt;="&amp;B4)</f>
        <v>0</v>
      </c>
      <c r="J8" s="23">
        <f>I8-H8</f>
        <v>-50</v>
      </c>
    </row>
    <row r="9" spans="1:11" ht="15.75" x14ac:dyDescent="0.25">
      <c r="G9" s="35" t="s">
        <v>77</v>
      </c>
      <c r="H9" s="23">
        <f>H7+H8</f>
        <v>110</v>
      </c>
      <c r="I9" s="23">
        <f>I7+I8</f>
        <v>50</v>
      </c>
      <c r="J9" s="23">
        <f>J7+J8</f>
        <v>-60</v>
      </c>
    </row>
    <row r="10" spans="1:11" x14ac:dyDescent="0.3">
      <c r="G10" s="36"/>
      <c r="I10" s="25" t="s">
        <v>80</v>
      </c>
      <c r="J10" s="41" t="str">
        <f>IF(J9&lt;B6,"Attention solde débiteur","RAS")</f>
        <v>RAS</v>
      </c>
    </row>
    <row r="12" spans="1:11" ht="15" x14ac:dyDescent="0.25">
      <c r="A12" s="31" t="s">
        <v>52</v>
      </c>
      <c r="B12" s="34">
        <v>3</v>
      </c>
      <c r="I12" s="2"/>
    </row>
    <row r="13" spans="1:11" ht="15" x14ac:dyDescent="0.25">
      <c r="A13" s="2"/>
      <c r="B13" s="2"/>
      <c r="G13" s="2"/>
      <c r="H13" s="2"/>
      <c r="I13" s="2"/>
    </row>
    <row r="14" spans="1:11" ht="25.2" customHeight="1" x14ac:dyDescent="0.25">
      <c r="A14" s="5"/>
      <c r="B14" s="31" t="s">
        <v>85</v>
      </c>
      <c r="C14" s="5"/>
      <c r="G14" s="5"/>
      <c r="H14" s="31" t="s">
        <v>85</v>
      </c>
      <c r="I14" s="5"/>
    </row>
    <row r="15" spans="1:11" ht="25.2" customHeight="1" x14ac:dyDescent="0.3">
      <c r="A15" s="31" t="s">
        <v>61</v>
      </c>
      <c r="B15" s="5" t="s">
        <v>63</v>
      </c>
      <c r="C15" s="5" t="s">
        <v>64</v>
      </c>
      <c r="G15" s="31" t="s">
        <v>61</v>
      </c>
      <c r="H15" s="5" t="s">
        <v>63</v>
      </c>
      <c r="I15" s="5" t="s">
        <v>64</v>
      </c>
    </row>
    <row r="16" spans="1:11" ht="25.2" customHeight="1" x14ac:dyDescent="0.3">
      <c r="A16" s="32">
        <v>42064</v>
      </c>
      <c r="B16" s="33">
        <v>10</v>
      </c>
      <c r="C16" s="33"/>
      <c r="G16" s="34">
        <v>1</v>
      </c>
      <c r="H16" s="33">
        <v>90</v>
      </c>
      <c r="I16" s="33">
        <v>20</v>
      </c>
      <c r="K16" s="29"/>
    </row>
    <row r="17" spans="1:9" ht="25.2" customHeight="1" x14ac:dyDescent="0.25">
      <c r="A17" s="32">
        <v>42066</v>
      </c>
      <c r="B17" s="33">
        <v>10</v>
      </c>
      <c r="C17" s="33"/>
      <c r="G17" s="34">
        <v>2</v>
      </c>
      <c r="H17" s="33">
        <v>80</v>
      </c>
      <c r="I17" s="33">
        <v>160</v>
      </c>
    </row>
    <row r="18" spans="1:9" ht="25.2" customHeight="1" x14ac:dyDescent="0.3">
      <c r="A18" s="32">
        <v>42068</v>
      </c>
      <c r="B18" s="33">
        <v>10</v>
      </c>
      <c r="C18" s="33">
        <v>50</v>
      </c>
      <c r="G18" s="34">
        <v>3</v>
      </c>
      <c r="H18" s="33">
        <v>90</v>
      </c>
      <c r="I18" s="33">
        <v>50</v>
      </c>
    </row>
    <row r="19" spans="1:9" ht="25.2" customHeight="1" x14ac:dyDescent="0.25">
      <c r="A19" s="32">
        <v>42075</v>
      </c>
      <c r="B19" s="33">
        <v>10</v>
      </c>
      <c r="C19" s="33"/>
      <c r="G19" s="34">
        <v>4</v>
      </c>
      <c r="H19" s="33">
        <v>20</v>
      </c>
      <c r="I19" s="33"/>
    </row>
    <row r="20" spans="1:9" ht="25.2" customHeight="1" x14ac:dyDescent="0.3">
      <c r="A20" s="32">
        <v>42089</v>
      </c>
      <c r="B20" s="33">
        <v>20</v>
      </c>
      <c r="C20" s="33"/>
      <c r="G20" s="34" t="s">
        <v>62</v>
      </c>
      <c r="H20" s="33">
        <v>280</v>
      </c>
      <c r="I20" s="33">
        <v>230</v>
      </c>
    </row>
    <row r="21" spans="1:9" ht="25.2" customHeight="1" x14ac:dyDescent="0.3">
      <c r="A21" s="34" t="s">
        <v>62</v>
      </c>
      <c r="B21" s="33">
        <v>60</v>
      </c>
      <c r="C21" s="33">
        <v>50</v>
      </c>
    </row>
    <row r="22" spans="1:9" ht="25.2" customHeight="1" x14ac:dyDescent="0.25"/>
    <row r="23" spans="1:9" ht="25.2" customHeight="1" x14ac:dyDescent="0.25"/>
    <row r="24" spans="1:9" ht="25.2" customHeight="1" x14ac:dyDescent="0.25"/>
    <row r="25" spans="1:9" ht="25.2" customHeight="1" x14ac:dyDescent="0.25"/>
    <row r="26" spans="1:9" ht="25.2" customHeight="1" x14ac:dyDescent="0.25"/>
    <row r="27" spans="1:9" ht="25.2" customHeight="1" x14ac:dyDescent="0.25"/>
    <row r="28" spans="1:9" ht="25.2" customHeight="1" x14ac:dyDescent="0.25"/>
    <row r="29" spans="1:9" ht="25.2" customHeight="1" x14ac:dyDescent="0.25"/>
    <row r="30" spans="1:9" ht="25.2" customHeight="1" x14ac:dyDescent="0.25"/>
    <row r="31" spans="1:9" ht="25.2" customHeight="1" x14ac:dyDescent="0.25"/>
    <row r="32" spans="1:9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30480</xdr:colOff>
                    <xdr:row>14</xdr:row>
                    <xdr:rowOff>45720</xdr:rowOff>
                  </from>
                  <to>
                    <xdr:col>11</xdr:col>
                    <xdr:colOff>45720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>
      <selection activeCell="E11" sqref="E11"/>
    </sheetView>
  </sheetViews>
  <sheetFormatPr baseColWidth="10" defaultRowHeight="14.4" x14ac:dyDescent="0.3"/>
  <cols>
    <col min="1" max="1" width="19.5546875" customWidth="1"/>
    <col min="2" max="2" width="18.5546875" customWidth="1"/>
    <col min="3" max="3" width="17.664062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5" x14ac:dyDescent="0.3">
      <c r="B1" s="4" t="s">
        <v>45</v>
      </c>
      <c r="C1" s="4" t="s">
        <v>46</v>
      </c>
      <c r="D1" s="4" t="s">
        <v>47</v>
      </c>
    </row>
    <row r="2" spans="1:5" ht="15" x14ac:dyDescent="0.25">
      <c r="B2" s="5">
        <f>GETPIVOTDATA("Somme de Recettes",$A$6)</f>
        <v>90</v>
      </c>
      <c r="C2" s="6">
        <f>GETPIVOTDATA("Somme de Dépenses",$A$6)</f>
        <v>290</v>
      </c>
      <c r="D2" s="7">
        <f>B2-C2</f>
        <v>-200</v>
      </c>
    </row>
    <row r="4" spans="1:5" ht="15" x14ac:dyDescent="0.25">
      <c r="A4" s="52" t="s">
        <v>9</v>
      </c>
      <c r="B4" s="2" t="s">
        <v>12</v>
      </c>
    </row>
    <row r="6" spans="1:5" x14ac:dyDescent="0.3">
      <c r="A6" s="52" t="s">
        <v>61</v>
      </c>
      <c r="B6" s="2" t="s">
        <v>63</v>
      </c>
      <c r="C6" s="2" t="s">
        <v>64</v>
      </c>
    </row>
    <row r="7" spans="1:5" ht="15" x14ac:dyDescent="0.25">
      <c r="A7" s="53" t="s">
        <v>72</v>
      </c>
      <c r="B7" s="54">
        <v>290</v>
      </c>
      <c r="C7" s="54"/>
      <c r="E7" s="1"/>
    </row>
    <row r="8" spans="1:5" ht="15" x14ac:dyDescent="0.25">
      <c r="A8" s="53" t="s">
        <v>71</v>
      </c>
      <c r="B8" s="54"/>
      <c r="C8" s="54">
        <v>90</v>
      </c>
      <c r="E8" s="1"/>
    </row>
    <row r="9" spans="1:5" x14ac:dyDescent="0.3">
      <c r="A9" s="53" t="s">
        <v>62</v>
      </c>
      <c r="B9" s="54">
        <v>290</v>
      </c>
      <c r="C9" s="54">
        <v>90</v>
      </c>
      <c r="E9" s="1"/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topLeftCell="A13" workbookViewId="0"/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13" t="s">
        <v>8</v>
      </c>
      <c r="B1" s="13" t="s">
        <v>50</v>
      </c>
      <c r="D1" s="11" t="s">
        <v>49</v>
      </c>
      <c r="F1" s="11" t="s">
        <v>50</v>
      </c>
    </row>
    <row r="2" spans="1:6" x14ac:dyDescent="0.3">
      <c r="A2" s="14" t="s">
        <v>11</v>
      </c>
      <c r="B2" s="15" t="s">
        <v>71</v>
      </c>
      <c r="D2" s="8" t="s">
        <v>36</v>
      </c>
      <c r="F2" s="8" t="s">
        <v>71</v>
      </c>
    </row>
    <row r="3" spans="1:6" x14ac:dyDescent="0.3">
      <c r="A3" s="16" t="s">
        <v>15</v>
      </c>
      <c r="B3" s="17" t="s">
        <v>72</v>
      </c>
      <c r="D3" s="8" t="s">
        <v>16</v>
      </c>
      <c r="F3" s="8" t="s">
        <v>72</v>
      </c>
    </row>
    <row r="4" spans="1:6" x14ac:dyDescent="0.3">
      <c r="A4" s="18" t="s">
        <v>17</v>
      </c>
      <c r="B4" s="19" t="s">
        <v>71</v>
      </c>
      <c r="C4" s="9"/>
      <c r="D4" s="8" t="s">
        <v>19</v>
      </c>
    </row>
    <row r="5" spans="1:6" x14ac:dyDescent="0.3">
      <c r="A5" s="20" t="s">
        <v>18</v>
      </c>
      <c r="B5" s="17" t="s">
        <v>72</v>
      </c>
      <c r="D5" s="8" t="s">
        <v>48</v>
      </c>
    </row>
    <row r="6" spans="1:6" x14ac:dyDescent="0.3">
      <c r="A6" s="21" t="s">
        <v>20</v>
      </c>
      <c r="B6" s="19" t="s">
        <v>71</v>
      </c>
      <c r="D6" s="8" t="s">
        <v>14</v>
      </c>
    </row>
    <row r="7" spans="1:6" ht="15" x14ac:dyDescent="0.25">
      <c r="A7" s="20" t="s">
        <v>21</v>
      </c>
      <c r="B7" s="17" t="s">
        <v>72</v>
      </c>
      <c r="D7" s="8" t="s">
        <v>12</v>
      </c>
    </row>
    <row r="8" spans="1:6" ht="15" x14ac:dyDescent="0.25">
      <c r="A8" s="21" t="s">
        <v>22</v>
      </c>
      <c r="B8" s="19" t="s">
        <v>72</v>
      </c>
      <c r="D8" s="10"/>
    </row>
    <row r="9" spans="1:6" x14ac:dyDescent="0.3">
      <c r="A9" s="20" t="s">
        <v>23</v>
      </c>
      <c r="B9" s="17" t="s">
        <v>71</v>
      </c>
    </row>
    <row r="10" spans="1:6" x14ac:dyDescent="0.3">
      <c r="A10" s="21" t="s">
        <v>40</v>
      </c>
      <c r="B10" s="19" t="s">
        <v>71</v>
      </c>
    </row>
    <row r="11" spans="1:6" x14ac:dyDescent="0.3">
      <c r="A11" s="20" t="s">
        <v>24</v>
      </c>
      <c r="B11" s="17" t="s">
        <v>72</v>
      </c>
    </row>
    <row r="12" spans="1:6" ht="15" x14ac:dyDescent="0.25">
      <c r="A12" s="21" t="s">
        <v>41</v>
      </c>
      <c r="B12" s="19" t="s">
        <v>71</v>
      </c>
    </row>
    <row r="13" spans="1:6" x14ac:dyDescent="0.3">
      <c r="A13" s="20" t="s">
        <v>25</v>
      </c>
      <c r="B13" s="17" t="s">
        <v>72</v>
      </c>
    </row>
    <row r="14" spans="1:6" ht="15" x14ac:dyDescent="0.25">
      <c r="A14" s="21" t="s">
        <v>42</v>
      </c>
      <c r="B14" s="19" t="s">
        <v>72</v>
      </c>
    </row>
    <row r="15" spans="1:6" ht="15" x14ac:dyDescent="0.25">
      <c r="A15" s="20" t="s">
        <v>26</v>
      </c>
      <c r="B15" s="17" t="s">
        <v>72</v>
      </c>
    </row>
    <row r="16" spans="1:6" ht="15" x14ac:dyDescent="0.25">
      <c r="A16" s="21" t="s">
        <v>43</v>
      </c>
      <c r="B16" s="19" t="s">
        <v>71</v>
      </c>
    </row>
    <row r="17" spans="1:2" ht="15" x14ac:dyDescent="0.25">
      <c r="A17" s="20" t="s">
        <v>27</v>
      </c>
      <c r="B17" s="17" t="s">
        <v>72</v>
      </c>
    </row>
    <row r="18" spans="1:2" x14ac:dyDescent="0.3">
      <c r="A18" s="21" t="s">
        <v>44</v>
      </c>
      <c r="B18" s="19" t="s">
        <v>71</v>
      </c>
    </row>
    <row r="19" spans="1:2" ht="15" x14ac:dyDescent="0.25">
      <c r="A19" s="20" t="s">
        <v>28</v>
      </c>
      <c r="B19" s="17" t="s">
        <v>72</v>
      </c>
    </row>
    <row r="20" spans="1:2" ht="15" x14ac:dyDescent="0.25">
      <c r="A20" s="21" t="s">
        <v>29</v>
      </c>
      <c r="B20" s="19" t="s">
        <v>72</v>
      </c>
    </row>
    <row r="21" spans="1:2" ht="15" x14ac:dyDescent="0.25">
      <c r="A21" s="20" t="s">
        <v>30</v>
      </c>
      <c r="B21" s="17" t="s">
        <v>72</v>
      </c>
    </row>
    <row r="22" spans="1:2" x14ac:dyDescent="0.3">
      <c r="A22" s="21" t="s">
        <v>31</v>
      </c>
      <c r="B22" s="19" t="s">
        <v>72</v>
      </c>
    </row>
    <row r="23" spans="1:2" ht="15" x14ac:dyDescent="0.25">
      <c r="A23" s="20" t="s">
        <v>32</v>
      </c>
      <c r="B23" s="17" t="s">
        <v>72</v>
      </c>
    </row>
    <row r="24" spans="1:2" x14ac:dyDescent="0.3">
      <c r="A24" s="21" t="s">
        <v>33</v>
      </c>
      <c r="B24" s="19" t="s">
        <v>72</v>
      </c>
    </row>
    <row r="25" spans="1:2" ht="15" x14ac:dyDescent="0.25">
      <c r="A25" s="20" t="s">
        <v>34</v>
      </c>
      <c r="B25" s="17" t="s">
        <v>72</v>
      </c>
    </row>
    <row r="26" spans="1:2" ht="15" x14ac:dyDescent="0.25">
      <c r="A26" s="21" t="s">
        <v>35</v>
      </c>
      <c r="B26" s="19" t="s">
        <v>72</v>
      </c>
    </row>
    <row r="27" spans="1:2" ht="15" x14ac:dyDescent="0.25">
      <c r="A27" s="20" t="s">
        <v>37</v>
      </c>
      <c r="B27" s="17" t="s">
        <v>72</v>
      </c>
    </row>
    <row r="28" spans="1:2" ht="15" x14ac:dyDescent="0.25">
      <c r="A28" s="21" t="s">
        <v>38</v>
      </c>
      <c r="B28" s="19" t="s">
        <v>71</v>
      </c>
    </row>
    <row r="29" spans="1:2" ht="15" x14ac:dyDescent="0.25">
      <c r="A29" s="20" t="s">
        <v>39</v>
      </c>
      <c r="B29" s="17" t="s">
        <v>72</v>
      </c>
    </row>
    <row r="30" spans="1:2" ht="15" x14ac:dyDescent="0.25">
      <c r="A30" s="18" t="s">
        <v>13</v>
      </c>
      <c r="B30" s="19" t="s">
        <v>71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Sommaire</vt:lpstr>
      <vt:lpstr>Récap</vt:lpstr>
      <vt:lpstr>Total</vt:lpstr>
      <vt:lpstr>Ecriture</vt:lpstr>
      <vt:lpstr>Graphes écritures par rubrique</vt:lpstr>
      <vt:lpstr>Graphes écritures par regroupem</vt:lpstr>
      <vt:lpstr>Données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2016-03-16T10:20:20Z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