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8.xml" ContentType="application/vnd.ms-excel.controlproperties+xml"/>
  <Override PartName="/xl/slicers/slicer1.xml" ContentType="application/vnd.ms-excel.slicer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9.xml" ContentType="application/vnd.ms-excel.controlproperties+xml"/>
  <Override PartName="/xl/slicers/slicer2.xml" ContentType="application/vnd.ms-excel.slicer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372" yWindow="-108" windowWidth="19416" windowHeight="8340" tabRatio="851" activeTab="4"/>
  </bookViews>
  <sheets>
    <sheet name="Sommaire" sheetId="12" r:id="rId1"/>
    <sheet name="Récap" sheetId="1" r:id="rId2"/>
    <sheet name="Total" sheetId="13" r:id="rId3"/>
    <sheet name="Ecriture" sheetId="2" r:id="rId4"/>
    <sheet name="TCD par regroupement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Ecriture!$C$5:$C$23</definedName>
    <definedName name="concatener">Ecriture!$D$5:$D$23</definedName>
    <definedName name="Date">Ecriture!$E$5:$E$23</definedName>
    <definedName name="Dépenses">Ecriture!$M$5:$M$23</definedName>
    <definedName name="Famille">Ecriture!$G$5:$G$23</definedName>
    <definedName name="Libellé">Ecriture!$F$5:$F$23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Ecriture!$B$5:$B$23</definedName>
    <definedName name="mon_tcd">'Graphes écritures par rubrique'!$A$14:$C$23</definedName>
    <definedName name="Prévisionnel" localSheetId="3">tblEcritures[Prévisionnel]</definedName>
    <definedName name="Prévisionnel">tblEcritures[Prévisionnel]</definedName>
    <definedName name="Recettes">Ecriture!$L$5:$L$23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45621"/>
  <pivotCaches>
    <pivotCache cacheId="0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1" i="2" l="1"/>
  <c r="B23" i="2"/>
  <c r="C23" i="2"/>
  <c r="D23" i="2" s="1"/>
  <c r="Q23" i="2"/>
  <c r="P23" i="2"/>
  <c r="B22" i="2" l="1"/>
  <c r="C22" i="2"/>
  <c r="Q22" i="2"/>
  <c r="P22" i="2"/>
  <c r="B21" i="2"/>
  <c r="C21" i="2"/>
  <c r="Q21" i="2"/>
  <c r="P21" i="2"/>
  <c r="B20" i="2"/>
  <c r="C20" i="2"/>
  <c r="Q20" i="2"/>
  <c r="P20" i="2"/>
  <c r="D22" i="2" l="1"/>
  <c r="D20" i="2"/>
  <c r="D21" i="2"/>
  <c r="C4" i="13"/>
  <c r="C6" i="13" s="1"/>
  <c r="B4" i="13"/>
  <c r="B6" i="13" s="1"/>
  <c r="P6" i="2" l="1"/>
  <c r="Q6" i="2"/>
  <c r="P7" i="2"/>
  <c r="Q7" i="2"/>
  <c r="P8" i="2"/>
  <c r="Q8" i="2"/>
  <c r="P9" i="2"/>
  <c r="Q9" i="2"/>
  <c r="P10" i="2"/>
  <c r="Q10" i="2"/>
  <c r="P11" i="2"/>
  <c r="Q11" i="2"/>
  <c r="P12" i="2"/>
  <c r="Q12" i="2"/>
  <c r="P13" i="2"/>
  <c r="Q13" i="2"/>
  <c r="P14" i="2"/>
  <c r="Q14" i="2"/>
  <c r="P15" i="2"/>
  <c r="Q15" i="2"/>
  <c r="P16" i="2"/>
  <c r="Q16" i="2"/>
  <c r="P17" i="2"/>
  <c r="Q17" i="2"/>
  <c r="P18" i="2"/>
  <c r="Q18" i="2"/>
  <c r="P19" i="2"/>
  <c r="Q19" i="2"/>
  <c r="Q5" i="2"/>
  <c r="P5" i="2" l="1"/>
  <c r="K1" i="2" l="1"/>
  <c r="L1" i="2"/>
  <c r="C2" i="4"/>
  <c r="B2" i="4"/>
  <c r="D2" i="4" l="1"/>
  <c r="B4" i="10"/>
  <c r="D6" i="1" l="1"/>
  <c r="C6" i="1"/>
  <c r="E6" i="1" l="1"/>
  <c r="G9" i="2" l="1"/>
  <c r="G10" i="2"/>
  <c r="G15" i="2"/>
  <c r="G17" i="2"/>
  <c r="G18" i="2"/>
  <c r="B2" i="10" l="1"/>
  <c r="H7" i="10" s="1"/>
  <c r="I8" i="10" l="1"/>
  <c r="H8" i="10"/>
  <c r="H9" i="10" s="1"/>
  <c r="I7" i="10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5" i="2"/>
  <c r="J7" i="10" l="1"/>
  <c r="I9" i="10"/>
  <c r="J8" i="10"/>
  <c r="B5" i="2"/>
  <c r="D5" i="2" s="1"/>
  <c r="B6" i="2"/>
  <c r="D6" i="2" s="1"/>
  <c r="B7" i="2"/>
  <c r="D7" i="2" s="1"/>
  <c r="B8" i="2"/>
  <c r="D8" i="2" s="1"/>
  <c r="B9" i="2"/>
  <c r="D9" i="2" s="1"/>
  <c r="B10" i="2"/>
  <c r="D10" i="2" s="1"/>
  <c r="B11" i="2"/>
  <c r="D11" i="2" s="1"/>
  <c r="B13" i="2"/>
  <c r="D13" i="2" s="1"/>
  <c r="B15" i="2"/>
  <c r="D15" i="2" s="1"/>
  <c r="B17" i="2"/>
  <c r="D17" i="2" s="1"/>
  <c r="B19" i="2"/>
  <c r="D19" i="2" s="1"/>
  <c r="B12" i="2"/>
  <c r="D12" i="2" s="1"/>
  <c r="B14" i="2"/>
  <c r="D14" i="2" s="1"/>
  <c r="B16" i="2"/>
  <c r="D16" i="2" s="1"/>
  <c r="B18" i="2"/>
  <c r="D18" i="2" s="1"/>
  <c r="J9" i="10" l="1"/>
  <c r="J10" i="10" s="1"/>
</calcChain>
</file>

<file path=xl/sharedStrings.xml><?xml version="1.0" encoding="utf-8"?>
<sst xmlns="http://schemas.openxmlformats.org/spreadsheetml/2006/main" count="271" uniqueCount="115">
  <si>
    <t>Compte</t>
  </si>
  <si>
    <t>Solde initial</t>
  </si>
  <si>
    <t>Recettes</t>
  </si>
  <si>
    <t>Dépenses</t>
  </si>
  <si>
    <t>Observations</t>
  </si>
  <si>
    <t>Compte chèques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</si>
  <si>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</si>
  <si>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</si>
  <si>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</si>
  <si>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</si>
  <si>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</si>
  <si>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</si>
  <si>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</si>
  <si>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</si>
  <si>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</si>
  <si>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</si>
  <si>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</si>
  <si>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</si>
  <si>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</si>
  <si>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</si>
  <si>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</si>
  <si>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</si>
  <si>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</si>
  <si>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</si>
  <si>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</si>
  <si>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</si>
  <si>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</si>
  <si>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</si>
  <si>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</si>
  <si>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</si>
  <si>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</si>
  <si>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</si>
  <si>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</si>
  <si>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</si>
  <si>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</si>
  <si>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</si>
  <si>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</si>
  <si>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</si>
  <si>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</si>
  <si>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</si>
  <si>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</si>
  <si>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</si>
  <si>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</si>
  <si>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</si>
  <si>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</si>
  <si>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</si>
  <si>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</si>
  <si>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</si>
  <si>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</si>
  <si>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</si>
  <si>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</si>
  <si>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</si>
  <si>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</si>
  <si>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</si>
  <si>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</si>
  <si>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</si>
  <si>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</si>
  <si>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</si>
  <si>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</si>
  <si>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</si>
  <si>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</si>
  <si>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</si>
  <si>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</si>
  <si>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</si>
  <si>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</si>
  <si>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</si>
  <si>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</si>
  <si>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</si>
  <si>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</si>
  <si>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</si>
  <si>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</si>
  <si>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</si>
  <si>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x</t>
  </si>
  <si>
    <t>Pojnage recette masqué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</si>
  <si>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</si>
  <si>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</si>
  <si>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</si>
  <si>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</si>
  <si>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</si>
  <si>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</si>
  <si>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</si>
  <si>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</si>
  <si>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</si>
  <si>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</si>
  <si>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</si>
  <si>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Location véhicule</t>
  </si>
  <si>
    <t>EDF</t>
  </si>
  <si>
    <t>Eau</t>
  </si>
  <si>
    <t>achat ordinateur</t>
  </si>
  <si>
    <t>Impôts</t>
  </si>
  <si>
    <t>A sélectionner</t>
  </si>
  <si>
    <t>A saisir</t>
  </si>
  <si>
    <t>Auto</t>
  </si>
  <si>
    <t>Userform</t>
  </si>
  <si>
    <t>ticket de train</t>
  </si>
  <si>
    <t>vente marchandise</t>
  </si>
  <si>
    <t>Compte chèque - Floriane</t>
  </si>
  <si>
    <t>Étiquettes de colonnes</t>
  </si>
  <si>
    <t>17/03/2016</t>
  </si>
  <si>
    <t>Vélib</t>
  </si>
  <si>
    <t>Total Somme de Dépenses</t>
  </si>
  <si>
    <t>S. Prévisionnel</t>
  </si>
  <si>
    <t>Total S. Prévisionnel</t>
  </si>
  <si>
    <t>S. Réel</t>
  </si>
  <si>
    <t>Total S. Réel</t>
  </si>
  <si>
    <t>billet avion</t>
  </si>
  <si>
    <t>16/03/2016</t>
  </si>
  <si>
    <t>ticket métro</t>
  </si>
  <si>
    <t>N° FACT</t>
  </si>
  <si>
    <t>N° IMPO</t>
  </si>
  <si>
    <t>Total Somme de Recettes</t>
  </si>
  <si>
    <t>compte-chèques</t>
  </si>
  <si>
    <t>ticket bus 2</t>
  </si>
  <si>
    <t>Total 2</t>
  </si>
  <si>
    <t>Userform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</si>
</sst>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6">
    <xf numFmtId="0" fontId="0" fillId="0" borderId="0" xfId="0"/>
    <xf numFmtId="0" fontId="0" fillId="0" borderId="0" xfId="0" applyFont="1" applyProtection="1">
      <protection locked="0"/>
    </xf>
    <xf numFmtId="0" fontId="0" fillId="0" borderId="0" xfId="0"/>
    <xf numFmtId="165" fontId="6" fillId="2" borderId="0" xfId="1" applyNumberFormat="1" applyFont="1" applyFill="1" applyAlignment="1" applyProtection="1">
      <alignment horizontal="left" vertical="center"/>
    </xf>
    <xf numFmtId="0" fontId="0" fillId="3" borderId="1" xfId="0" applyFill="1" applyBorder="1"/>
    <xf numFmtId="0" fontId="0" fillId="0" borderId="1" xfId="0" applyBorder="1"/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7" fillId="3" borderId="1" xfId="0" applyFont="1" applyFill="1" applyBorder="1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left" vertical="top"/>
    </xf>
    <xf numFmtId="165" fontId="0" fillId="8" borderId="5" xfId="1" applyNumberFormat="1" applyFont="1" applyFill="1" applyBorder="1" applyAlignment="1">
      <alignment horizontal="left"/>
    </xf>
    <xf numFmtId="0" fontId="0" fillId="0" borderId="4" xfId="0" applyFont="1" applyBorder="1" applyAlignment="1">
      <alignment horizontal="left" vertical="top"/>
    </xf>
    <xf numFmtId="165" fontId="0" fillId="0" borderId="4" xfId="1" applyNumberFormat="1" applyFont="1" applyBorder="1" applyAlignment="1">
      <alignment horizontal="left"/>
    </xf>
    <xf numFmtId="0" fontId="0" fillId="8" borderId="4" xfId="0" applyFont="1" applyFill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/>
    </xf>
    <xf numFmtId="165" fontId="0" fillId="0" borderId="4" xfId="1" applyNumberFormat="1" applyFont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9" borderId="1" xfId="0" applyFill="1" applyBorder="1"/>
    <xf numFmtId="0" fontId="9" fillId="0" borderId="0" xfId="0" applyFont="1"/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/>
    <xf numFmtId="0" fontId="10" fillId="0" borderId="0" xfId="0" applyFont="1"/>
    <xf numFmtId="0" fontId="11" fillId="0" borderId="0" xfId="0" applyFont="1"/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8" fillId="7" borderId="1" xfId="0" applyFont="1" applyFill="1" applyBorder="1" applyAlignment="1">
      <alignment horizontal="center" vertical="center"/>
    </xf>
    <xf numFmtId="0" fontId="0" fillId="0" borderId="0" xfId="0" applyFill="1"/>
    <xf numFmtId="0" fontId="0" fillId="10" borderId="6" xfId="0" applyFill="1" applyBorder="1"/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2" fillId="2" borderId="7" xfId="1" applyNumberFormat="1" applyFont="1" applyFill="1" applyBorder="1" applyAlignment="1" applyProtection="1">
      <alignment horizontal="center" vertical="center"/>
    </xf>
    <xf numFmtId="14" fontId="2" fillId="2" borderId="8" xfId="1" applyNumberFormat="1" applyFont="1" applyFill="1" applyBorder="1" applyAlignment="1" applyProtection="1">
      <alignment horizontal="center" vertical="center"/>
    </xf>
    <xf numFmtId="165" fontId="2" fillId="2" borderId="7" xfId="1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165" fontId="2" fillId="2" borderId="2" xfId="1" applyNumberFormat="1" applyFont="1" applyFill="1" applyBorder="1" applyAlignment="1" applyProtection="1">
      <alignment horizontal="center" vertical="center" wrapText="1"/>
    </xf>
    <xf numFmtId="0" fontId="14" fillId="9" borderId="1" xfId="0" applyFont="1" applyFill="1" applyBorder="1"/>
    <xf numFmtId="0" fontId="14" fillId="9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12" fillId="0" borderId="0" xfId="0" applyFont="1" applyAlignment="1">
      <alignment horizontal="center" vertical="center"/>
    </xf>
    <xf numFmtId="0" fontId="0" fillId="11" borderId="0" xfId="0" applyFill="1"/>
    <xf numFmtId="166" fontId="0" fillId="11" borderId="0" xfId="0" applyNumberFormat="1" applyFill="1" applyAlignment="1">
      <alignment horizontal="center" vertical="center"/>
    </xf>
    <xf numFmtId="0" fontId="4" fillId="0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4" fillId="7" borderId="1" xfId="0" applyFont="1" applyFill="1" applyBorder="1"/>
    <xf numFmtId="0" fontId="0" fillId="0" borderId="0" xfId="0" applyNumberFormat="1"/>
    <xf numFmtId="14" fontId="0" fillId="0" borderId="0" xfId="0" applyNumberFormat="1" applyFill="1"/>
    <xf numFmtId="0" fontId="4" fillId="0" borderId="0" xfId="0" applyFont="1" applyFill="1" applyAlignment="1">
      <alignment horizontal="center" vertical="center"/>
    </xf>
    <xf numFmtId="166" fontId="3" fillId="0" borderId="1" xfId="0" applyNumberFormat="1" applyFont="1" applyBorder="1"/>
    <xf numFmtId="166" fontId="4" fillId="0" borderId="1" xfId="0" applyNumberFormat="1" applyFont="1" applyBorder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0" fillId="0" borderId="0" xfId="0" applyAlignment="1">
      <alignment horizontal="left" wrapText="1" indent="1"/>
    </xf>
    <xf numFmtId="14" fontId="0" fillId="0" borderId="0" xfId="0" applyNumberFormat="1" applyAlignment="1">
      <alignment horizontal="right"/>
    </xf>
    <xf numFmtId="14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165" fontId="2" fillId="2" borderId="0" xfId="1" applyNumberFormat="1" applyFont="1" applyFill="1" applyAlignment="1" applyProtection="1">
      <alignment horizontal="left" vertical="center"/>
    </xf>
    <xf numFmtId="0" fontId="16" fillId="12" borderId="1" xfId="0" applyFont="1" applyFill="1" applyBorder="1" applyAlignment="1">
      <alignment horizontal="center" vertical="center" wrapText="1"/>
    </xf>
    <xf numFmtId="0" fontId="16" fillId="12" borderId="9" xfId="0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0" fontId="16" fillId="12" borderId="10" xfId="0" applyFont="1" applyFill="1" applyBorder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34"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numFmt numFmtId="19" formatCode="dd/mm/yyyy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alignment wrapText="1" readingOrder="0"/>
    </dxf>
    <dxf>
      <alignment wrapText="1" readingOrder="0"/>
    </dxf>
    <dxf>
      <alignment wrapText="1" readingOrder="0"/>
    </dxf>
    <dxf>
      <font>
        <color auto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-0.24994659260841701"/>
      </font>
    </dxf>
    <dxf>
      <font>
        <color theme="1"/>
      </font>
      <fill>
        <patternFill>
          <bgColor theme="1" tint="0.499984740745262"/>
        </patternFill>
      </fill>
    </dxf>
    <dxf>
      <font>
        <b/>
        <i val="0"/>
        <color theme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auto="1"/>
      </font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3"/>
      <tableStyleElement type="headerRow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140</c:v>
                </c:pt>
                <c:pt idx="2">
                  <c:v>820</c:v>
                </c:pt>
                <c:pt idx="3">
                  <c:v>320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95125248"/>
        <c:axId val="195127168"/>
      </c:barChart>
      <c:catAx>
        <c:axId val="195125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crossAx val="195127168"/>
        <c:crosses val="autoZero"/>
        <c:auto val="1"/>
        <c:lblAlgn val="ctr"/>
        <c:lblOffset val="100"/>
        <c:noMultiLvlLbl val="0"/>
      </c:catAx>
      <c:valAx>
        <c:axId val="1951271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Somme d'argent</a:t>
                </a:r>
              </a:p>
              <a:p>
                <a:pPr>
                  <a:defRPr/>
                </a:pPr>
                <a:endParaRPr lang="fr-FR"/>
              </a:p>
            </c:rich>
          </c:tx>
          <c:layout/>
          <c:overlay val="0"/>
        </c:title>
        <c:numFmt formatCode="#,##0.00\ &quot;€&quot;" sourceLinked="1"/>
        <c:majorTickMark val="none"/>
        <c:minorTickMark val="none"/>
        <c:tickLblPos val="nextTo"/>
        <c:crossAx val="195125248"/>
        <c:crosses val="autoZero"/>
        <c:crossBetween val="between"/>
      </c:valAx>
    </c:plotArea>
    <c:plotVisOnly val="1"/>
    <c:dispBlanksAs val="gap"/>
    <c:showDLblsOverMax val="0"/>
  </c:chart>
  <c:spPr>
    <a:solidFill>
      <a:schemeClr val="bg2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pour oral du 16-03-2016.xlsm]Total!Tableau croisé dynamique1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Total!$B$11:$B$13</c:f>
              <c:strCache>
                <c:ptCount val="1"/>
                <c:pt idx="0">
                  <c:v>2 - EDF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Total!$B$14:$B$18</c:f>
              <c:numCache>
                <c:formatCode>General</c:formatCode>
                <c:ptCount val="2"/>
                <c:pt idx="0">
                  <c:v>300</c:v>
                </c:pt>
                <c:pt idx="1">
                  <c:v>300</c:v>
                </c:pt>
              </c:numCache>
            </c:numRef>
          </c:val>
        </c:ser>
        <c:ser>
          <c:idx val="1"/>
          <c:order val="1"/>
          <c:tx>
            <c:strRef>
              <c:f>Total!$C$11:$C$13</c:f>
              <c:strCache>
                <c:ptCount val="1"/>
                <c:pt idx="0">
                  <c:v>2 - Impôts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Total!$C$14:$C$18</c:f>
              <c:numCache>
                <c:formatCode>General</c:formatCode>
                <c:ptCount val="2"/>
              </c:numCache>
            </c:numRef>
          </c:val>
        </c:ser>
        <c:ser>
          <c:idx val="2"/>
          <c:order val="2"/>
          <c:tx>
            <c:strRef>
              <c:f>Total!$D$11:$D$13</c:f>
              <c:strCache>
                <c:ptCount val="1"/>
                <c:pt idx="0">
                  <c:v>2 - Locations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Total!$D$14:$D$18</c:f>
              <c:numCache>
                <c:formatCode>General</c:formatCode>
                <c:ptCount val="2"/>
                <c:pt idx="0">
                  <c:v>425</c:v>
                </c:pt>
                <c:pt idx="1">
                  <c:v>400</c:v>
                </c:pt>
              </c:numCache>
            </c:numRef>
          </c:val>
        </c:ser>
        <c:ser>
          <c:idx val="3"/>
          <c:order val="3"/>
          <c:tx>
            <c:strRef>
              <c:f>Total!$E$11:$E$13</c:f>
              <c:strCache>
                <c:ptCount val="1"/>
                <c:pt idx="0">
                  <c:v>2 - Salaires nets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Total!$E$14:$E$18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901888"/>
        <c:axId val="194903424"/>
      </c:barChart>
      <c:catAx>
        <c:axId val="194901888"/>
        <c:scaling>
          <c:orientation val="minMax"/>
        </c:scaling>
        <c:delete val="0"/>
        <c:axPos val="b"/>
        <c:majorTickMark val="out"/>
        <c:minorTickMark val="none"/>
        <c:tickLblPos val="nextTo"/>
        <c:crossAx val="194903424"/>
        <c:crosses val="autoZero"/>
        <c:auto val="1"/>
        <c:lblAlgn val="ctr"/>
        <c:lblOffset val="100"/>
        <c:noMultiLvlLbl val="0"/>
      </c:catAx>
      <c:valAx>
        <c:axId val="194903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9018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pour oral du 16-03-2016.xlsm]TCD par regroupement    !Tableau croisé dynamique9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par regroupement    '!$C$4:$C$5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'TCD par regroupement    '!$B$6:$B$19</c:f>
              <c:multiLvlStrCache>
                <c:ptCount val="10"/>
                <c:lvl>
                  <c:pt idx="0">
                    <c:v>Location véhicule</c:v>
                  </c:pt>
                  <c:pt idx="1">
                    <c:v>ticket de train</c:v>
                  </c:pt>
                  <c:pt idx="2">
                    <c:v>Vélib</c:v>
                  </c:pt>
                  <c:pt idx="3">
                    <c:v>billet avion</c:v>
                  </c:pt>
                  <c:pt idx="4">
                    <c:v>ticket métro</c:v>
                  </c:pt>
                  <c:pt idx="5">
                    <c:v>Location véhicule</c:v>
                  </c:pt>
                  <c:pt idx="6">
                    <c:v>ticket de train</c:v>
                  </c:pt>
                  <c:pt idx="7">
                    <c:v>Vélib</c:v>
                  </c:pt>
                  <c:pt idx="8">
                    <c:v>billet avion</c:v>
                  </c:pt>
                  <c:pt idx="9">
                    <c:v>ticket métro</c:v>
                  </c:pt>
                </c:lvl>
                <c:lvl>
                  <c:pt idx="0">
                    <c:v>Somme de Dépenses</c:v>
                  </c:pt>
                  <c:pt idx="5">
                    <c:v>Somme de Recettes</c:v>
                  </c:pt>
                </c:lvl>
              </c:multiLvlStrCache>
            </c:multiLvlStrRef>
          </c:cat>
          <c:val>
            <c:numRef>
              <c:f>'TCD par regroupement    '!$C$6:$C$19</c:f>
              <c:numCache>
                <c:formatCode>General</c:formatCode>
                <c:ptCount val="10"/>
                <c:pt idx="0">
                  <c:v>125</c:v>
                </c:pt>
                <c:pt idx="1">
                  <c:v>200</c:v>
                </c:pt>
                <c:pt idx="2">
                  <c:v>75</c:v>
                </c:pt>
                <c:pt idx="3">
                  <c:v>150</c:v>
                </c:pt>
                <c:pt idx="4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5461376"/>
        <c:axId val="205462912"/>
        <c:axId val="0"/>
      </c:bar3DChart>
      <c:catAx>
        <c:axId val="205461376"/>
        <c:scaling>
          <c:orientation val="minMax"/>
        </c:scaling>
        <c:delete val="0"/>
        <c:axPos val="b"/>
        <c:majorTickMark val="out"/>
        <c:minorTickMark val="none"/>
        <c:tickLblPos val="nextTo"/>
        <c:crossAx val="205462912"/>
        <c:crosses val="autoZero"/>
        <c:auto val="1"/>
        <c:lblAlgn val="ctr"/>
        <c:lblOffset val="100"/>
        <c:noMultiLvlLbl val="0"/>
      </c:catAx>
      <c:valAx>
        <c:axId val="20546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4613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pour oral du 16-03-2016.xlsm]Graphes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rubrique'!$A$16:$A$18</c:f>
              <c:strCache>
                <c:ptCount val="2"/>
                <c:pt idx="0">
                  <c:v>19/03/2016</c:v>
                </c:pt>
                <c:pt idx="1">
                  <c:v>20/03/2016</c:v>
                </c:pt>
              </c:strCache>
            </c:strRef>
          </c:cat>
          <c:val>
            <c:numRef>
              <c:f>'Graphes écritures par rubrique'!$B$16:$B$18</c:f>
              <c:numCache>
                <c:formatCode>#,##0.00\ "€"</c:formatCode>
                <c:ptCount val="2"/>
                <c:pt idx="0">
                  <c:v>20</c:v>
                </c:pt>
                <c:pt idx="1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rubrique'!$A$16:$A$18</c:f>
              <c:strCache>
                <c:ptCount val="2"/>
                <c:pt idx="0">
                  <c:v>19/03/2016</c:v>
                </c:pt>
                <c:pt idx="1">
                  <c:v>20/03/2016</c:v>
                </c:pt>
              </c:strCache>
            </c:strRef>
          </c:cat>
          <c:val>
            <c:numRef>
              <c:f>'Graphes écritures par rubrique'!$C$16:$C$18</c:f>
              <c:numCache>
                <c:formatCode>#,##0.00\ "€"</c:formatCode>
                <c:ptCount val="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786432"/>
        <c:axId val="194787968"/>
      </c:lineChart>
      <c:catAx>
        <c:axId val="194786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787968"/>
        <c:crosses val="autoZero"/>
        <c:auto val="1"/>
        <c:lblAlgn val="ctr"/>
        <c:lblOffset val="100"/>
        <c:noMultiLvlLbl val="0"/>
      </c:catAx>
      <c:valAx>
        <c:axId val="19478796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4786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pour oral du 16-03-2016.xlsm]Graphes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rubrique'!$H$16:$H$18</c:f>
              <c:numCache>
                <c:formatCode>#,##0.00\ "€"</c:formatCode>
                <c:ptCount val="2"/>
                <c:pt idx="0">
                  <c:v>90</c:v>
                </c:pt>
                <c:pt idx="1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rubrique'!$I$16:$I$18</c:f>
              <c:numCache>
                <c:formatCode>#,##0.00\ "€"</c:formatCode>
                <c:ptCount val="2"/>
                <c:pt idx="0">
                  <c:v>20</c:v>
                </c:pt>
                <c:pt idx="1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571200"/>
        <c:axId val="205572736"/>
      </c:lineChart>
      <c:catAx>
        <c:axId val="205571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5572736"/>
        <c:crosses val="autoZero"/>
        <c:auto val="1"/>
        <c:lblAlgn val="ctr"/>
        <c:lblOffset val="100"/>
        <c:noMultiLvlLbl val="0"/>
      </c:catAx>
      <c:valAx>
        <c:axId val="20557273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05571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 pour oral du 16-03-2016.xlsm]Graphes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regroupem'!$B$7:$B$9</c:f>
              <c:numCache>
                <c:formatCode>#,##0.00\ "€"</c:formatCode>
                <c:ptCount val="2"/>
                <c:pt idx="0">
                  <c:v>390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regroupem'!$C$7:$C$9</c:f>
              <c:numCache>
                <c:formatCode>#,##0.00\ "€"</c:formatCode>
                <c:ptCount val="2"/>
                <c:pt idx="1">
                  <c:v>140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808384"/>
        <c:axId val="205809920"/>
      </c:barChart>
      <c:catAx>
        <c:axId val="2058083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5809920"/>
        <c:crosses val="autoZero"/>
        <c:auto val="1"/>
        <c:lblAlgn val="ctr"/>
        <c:lblOffset val="100"/>
        <c:noMultiLvlLbl val="0"/>
      </c:catAx>
      <c:valAx>
        <c:axId val="20580992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05808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'TCD par regroupement    '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1917000</xdr:colOff>
      <xdr:row>13</xdr:row>
      <xdr:rowOff>158641</xdr:rowOff>
    </xdr:from>
    <xdr:to>
      <xdr:col>4</xdr:col>
      <xdr:colOff>470600</xdr:colOff>
      <xdr:row>15</xdr:row>
      <xdr:rowOff>182813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1917000" y="3799308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0</xdr:col>
      <xdr:colOff>1917000</xdr:colOff>
      <xdr:row>3</xdr:row>
      <xdr:rowOff>85601</xdr:rowOff>
    </xdr:from>
    <xdr:to>
      <xdr:col>4</xdr:col>
      <xdr:colOff>470600</xdr:colOff>
      <xdr:row>5</xdr:row>
      <xdr:rowOff>109773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1917000" y="847601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0</xdr:col>
      <xdr:colOff>1917000</xdr:colOff>
      <xdr:row>5</xdr:row>
      <xdr:rowOff>224161</xdr:rowOff>
    </xdr:from>
    <xdr:to>
      <xdr:col>4</xdr:col>
      <xdr:colOff>470600</xdr:colOff>
      <xdr:row>7</xdr:row>
      <xdr:rowOff>239018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1917000" y="1561894"/>
          <a:ext cx="3024000" cy="59059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0</xdr:col>
      <xdr:colOff>1917000</xdr:colOff>
      <xdr:row>8</xdr:row>
      <xdr:rowOff>65540</xdr:rowOff>
    </xdr:from>
    <xdr:to>
      <xdr:col>4</xdr:col>
      <xdr:colOff>470600</xdr:colOff>
      <xdr:row>10</xdr:row>
      <xdr:rowOff>89711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1917000" y="2266873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0</xdr:col>
      <xdr:colOff>1917000</xdr:colOff>
      <xdr:row>16</xdr:row>
      <xdr:rowOff>17</xdr:rowOff>
    </xdr:from>
    <xdr:to>
      <xdr:col>4</xdr:col>
      <xdr:colOff>470600</xdr:colOff>
      <xdr:row>18</xdr:row>
      <xdr:rowOff>13304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1917000" y="4504284"/>
          <a:ext cx="3024000" cy="5890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1917000</xdr:colOff>
      <xdr:row>18</xdr:row>
      <xdr:rowOff>79346</xdr:rowOff>
    </xdr:from>
    <xdr:to>
      <xdr:col>4</xdr:col>
      <xdr:colOff>470600</xdr:colOff>
      <xdr:row>20</xdr:row>
      <xdr:rowOff>95052</xdr:rowOff>
    </xdr:to>
    <xdr:sp macro="" textlink="">
      <xdr:nvSpPr>
        <xdr:cNvPr id="7" name="Ellipse 6">
          <a:hlinkClick xmlns:r="http://schemas.openxmlformats.org/officeDocument/2006/relationships" r:id="rId6"/>
        </xdr:cNvPr>
        <xdr:cNvSpPr/>
      </xdr:nvSpPr>
      <xdr:spPr>
        <a:xfrm>
          <a:off x="1917000" y="5159346"/>
          <a:ext cx="3024000" cy="59990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0</xdr:col>
      <xdr:colOff>1574800</xdr:colOff>
      <xdr:row>0</xdr:row>
      <xdr:rowOff>55033</xdr:rowOff>
    </xdr:from>
    <xdr:to>
      <xdr:col>5</xdr:col>
      <xdr:colOff>0</xdr:colOff>
      <xdr:row>2</xdr:row>
      <xdr:rowOff>259080</xdr:rowOff>
    </xdr:to>
    <xdr:sp macro="" textlink="">
      <xdr:nvSpPr>
        <xdr:cNvPr id="8" name="Rectangle 7"/>
        <xdr:cNvSpPr/>
      </xdr:nvSpPr>
      <xdr:spPr>
        <a:xfrm>
          <a:off x="1574800" y="55033"/>
          <a:ext cx="3691467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SOMMAIRE</a:t>
          </a:r>
        </a:p>
        <a:p>
          <a:pPr algn="ctr"/>
          <a:r>
            <a:rPr lang="fr-FR" sz="1200" b="0" i="1" baseline="0"/>
            <a:t>Cliquez sur la forme que vous souhaitez. </a:t>
          </a:r>
          <a:endParaRPr lang="fr-FR" sz="1200" b="0" i="1"/>
        </a:p>
      </xdr:txBody>
    </xdr:sp>
    <xdr:clientData/>
  </xdr:twoCellAnchor>
  <xdr:twoCellAnchor>
    <xdr:from>
      <xdr:col>0</xdr:col>
      <xdr:colOff>1917000</xdr:colOff>
      <xdr:row>10</xdr:row>
      <xdr:rowOff>270933</xdr:rowOff>
    </xdr:from>
    <xdr:to>
      <xdr:col>4</xdr:col>
      <xdr:colOff>470600</xdr:colOff>
      <xdr:row>13</xdr:row>
      <xdr:rowOff>7238</xdr:rowOff>
    </xdr:to>
    <xdr:sp macro="" textlink="">
      <xdr:nvSpPr>
        <xdr:cNvPr id="10" name="Ellipse 9">
          <a:hlinkClick xmlns:r="http://schemas.openxmlformats.org/officeDocument/2006/relationships" r:id="rId7"/>
        </xdr:cNvPr>
        <xdr:cNvSpPr/>
      </xdr:nvSpPr>
      <xdr:spPr>
        <a:xfrm>
          <a:off x="1917000" y="3048000"/>
          <a:ext cx="3024000" cy="5999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TCD par regroupement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8</xdr:row>
      <xdr:rowOff>19050</xdr:rowOff>
    </xdr:from>
    <xdr:to>
      <xdr:col>3</xdr:col>
      <xdr:colOff>502920</xdr:colOff>
      <xdr:row>23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198120</xdr:colOff>
          <xdr:row>9</xdr:row>
          <xdr:rowOff>7620</xdr:rowOff>
        </xdr:from>
        <xdr:to>
          <xdr:col>5</xdr:col>
          <xdr:colOff>1363980</xdr:colOff>
          <xdr:row>11</xdr:row>
          <xdr:rowOff>160020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350520</xdr:colOff>
          <xdr:row>5</xdr:row>
          <xdr:rowOff>114300</xdr:rowOff>
        </xdr:from>
        <xdr:to>
          <xdr:col>6</xdr:col>
          <xdr:colOff>304800</xdr:colOff>
          <xdr:row>8</xdr:row>
          <xdr:rowOff>137160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519007</xdr:colOff>
      <xdr:row>9</xdr:row>
      <xdr:rowOff>155575</xdr:rowOff>
    </xdr:from>
    <xdr:to>
      <xdr:col>13</xdr:col>
      <xdr:colOff>479424</xdr:colOff>
      <xdr:row>25</xdr:row>
      <xdr:rowOff>138853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411480</xdr:colOff>
          <xdr:row>2</xdr:row>
          <xdr:rowOff>60960</xdr:rowOff>
        </xdr:from>
        <xdr:to>
          <xdr:col>21</xdr:col>
          <xdr:colOff>655320</xdr:colOff>
          <xdr:row>4</xdr:row>
          <xdr:rowOff>91440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411480</xdr:colOff>
          <xdr:row>6</xdr:row>
          <xdr:rowOff>137160</xdr:rowOff>
        </xdr:from>
        <xdr:to>
          <xdr:col>21</xdr:col>
          <xdr:colOff>655320</xdr:colOff>
          <xdr:row>10</xdr:row>
          <xdr:rowOff>144780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Insère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411480</xdr:colOff>
          <xdr:row>13</xdr:row>
          <xdr:rowOff>7620</xdr:rowOff>
        </xdr:from>
        <xdr:to>
          <xdr:col>21</xdr:col>
          <xdr:colOff>655320</xdr:colOff>
          <xdr:row>17</xdr:row>
          <xdr:rowOff>15240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411480</xdr:colOff>
          <xdr:row>19</xdr:row>
          <xdr:rowOff>45720</xdr:rowOff>
        </xdr:from>
        <xdr:to>
          <xdr:col>21</xdr:col>
          <xdr:colOff>655320</xdr:colOff>
          <xdr:row>23</xdr:row>
          <xdr:rowOff>129540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411480</xdr:colOff>
          <xdr:row>26</xdr:row>
          <xdr:rowOff>45720</xdr:rowOff>
        </xdr:from>
        <xdr:to>
          <xdr:col>21</xdr:col>
          <xdr:colOff>655320</xdr:colOff>
          <xdr:row>30</xdr:row>
          <xdr:rowOff>167640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 banque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74840</xdr:colOff>
      <xdr:row>3</xdr:row>
      <xdr:rowOff>4242</xdr:rowOff>
    </xdr:from>
    <xdr:to>
      <xdr:col>0</xdr:col>
      <xdr:colOff>1903640</xdr:colOff>
      <xdr:row>16</xdr:row>
      <xdr:rowOff>51867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40" y="559413"/>
              <a:ext cx="1828800" cy="24533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341297</xdr:colOff>
      <xdr:row>22</xdr:row>
      <xdr:rowOff>111900</xdr:rowOff>
    </xdr:from>
    <xdr:to>
      <xdr:col>7</xdr:col>
      <xdr:colOff>261257</xdr:colOff>
      <xdr:row>40</xdr:row>
      <xdr:rowOff>65314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152400</xdr:rowOff>
        </xdr:from>
        <xdr:to>
          <xdr:col>9</xdr:col>
          <xdr:colOff>701040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Cliquez ici pour actualiser le segment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</xdr:colOff>
          <xdr:row>14</xdr:row>
          <xdr:rowOff>45720</xdr:rowOff>
        </xdr:from>
        <xdr:to>
          <xdr:col>11</xdr:col>
          <xdr:colOff>45720</xdr:colOff>
          <xdr:row>16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580355</xdr:colOff>
      <xdr:row>21</xdr:row>
      <xdr:rowOff>181037</xdr:rowOff>
    </xdr:from>
    <xdr:ext cx="1654977" cy="1730086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8630" y="5295962"/>
              <a:ext cx="1654977" cy="1730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xdr:oneCellAnchor>
    <xdr:from>
      <xdr:col>0</xdr:col>
      <xdr:colOff>245053</xdr:colOff>
      <xdr:row>21</xdr:row>
      <xdr:rowOff>140133</xdr:rowOff>
    </xdr:from>
    <xdr:ext cx="1462161" cy="2011218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053" y="5255058"/>
              <a:ext cx="1462161" cy="20112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9</xdr:row>
      <xdr:rowOff>179070</xdr:rowOff>
    </xdr:from>
    <xdr:to>
      <xdr:col>3</xdr:col>
      <xdr:colOff>929640</xdr:colOff>
      <xdr:row>24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" refreshedDate="42443.519880324071" createdVersion="4" refreshedVersion="3" minRefreshableVersion="3" recordCount="28">
  <cacheSource type="worksheet">
    <worksheetSource ref="A4:S23" sheet="Ecriture"/>
  </cacheSource>
  <cacheFields count="19">
    <cacheField name="Solde précédent" numFmtId="0">
      <sharedItems containsNonDate="0" containsString="0" containsBlank="1"/>
    </cacheField>
    <cacheField name="Compte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2015" maxValue="2016" count="2">
        <n v="2015"/>
        <n v="2016"/>
      </sharedItems>
    </cacheField>
    <cacheField name="concatener" numFmtId="0">
      <sharedItems/>
    </cacheField>
    <cacheField name="Date" numFmtId="14">
      <sharedItems containsSemiMixedTypes="0" containsNonDate="0" containsDate="1" containsString="0" minDate="2015-01-01T00:00:00" maxDate="2016-03-21T00:00:00" count="23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</sharedItems>
    </cacheField>
    <cacheField name="Libellé" numFmtId="0">
      <sharedItems/>
    </cacheField>
    <cacheField name="Famille" numFmtId="0">
      <sharedItems/>
    </cacheField>
    <cacheField name="Prev / réel" numFmtId="0">
      <sharedItems containsNonDate="0" containsString="0" containsBlank="1"/>
    </cacheField>
    <cacheField name="Mode" numFmtId="0">
      <sharedItems/>
    </cacheField>
    <cacheField name="Référence" numFmtId="0">
      <sharedItems containsBlank="1"/>
    </cacheField>
    <cacheField name="Recettes" numFmtId="0">
      <sharedItems containsString="0" containsBlank="1" containsNumber="1" containsInteger="1" minValue="20" maxValue="100"/>
    </cacheField>
    <cacheField name="Dépenses" numFmtId="0">
      <sharedItems containsSemiMixedTypes="0" containsString="0" containsNumber="1" containsInteger="1" minValue="10" maxValue="1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emiMixedTypes="0" containsString="0" containsNumber="1" containsInteger="1" minValue="0" maxValue="40"/>
    </cacheField>
    <cacheField name="2 colmasqué si j'a x j'affiche le contenu " numFmtId="0">
      <sharedItems containsSemiMixedTypes="0" containsString="0" containsNumber="1" containsInteger="1" minValue="0" maxValue="10"/>
    </cacheField>
    <cacheField name="Date valeur banque " numFmtId="0">
      <sharedItems containsString="0" containsBlank="1" containsNumber="1" containsInteger="1" minValue="42008" maxValue="42083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46.389039583337" createdVersion="4" refreshedVersion="4" minRefreshableVersion="3" recordCount="19">
  <cacheSource type="worksheet">
    <worksheetSource name="tblEcritures"/>
  </cacheSource>
  <cacheFields count="19">
    <cacheField name="Compte" numFmtId="0">
      <sharedItems count="4">
        <s v="Compte chèques"/>
        <s v="compte-chèques"/>
        <s v="cpte" u="1"/>
        <s v="compte-chèque" u="1"/>
      </sharedItems>
    </cacheField>
    <cacheField name="Mois" numFmtId="0">
      <sharedItems containsSemiMixedTypes="0" containsString="0" containsNumber="1" containsInteger="1" minValue="1" maxValue="8" count="5">
        <n v="8"/>
        <n v="2"/>
        <n v="3"/>
        <n v="4"/>
        <n v="1"/>
      </sharedItems>
    </cacheField>
    <cacheField name="Année-Ecr" numFmtId="0">
      <sharedItems containsSemiMixedTypes="0" containsString="0" containsNumber="1" containsInteger="1" minValue="2015" maxValue="2016"/>
    </cacheField>
    <cacheField name="concatener" numFmtId="0">
      <sharedItems/>
    </cacheField>
    <cacheField name="Date" numFmtId="14">
      <sharedItems containsDate="1" containsMixedTypes="1" minDate="2015-02-10T00:00:00" maxDate="2016-08-02T00:00:00"/>
    </cacheField>
    <cacheField name="Libellé" numFmtId="0">
      <sharedItems containsBlank="1" count="31">
        <s v="Recettes encaissées"/>
        <s v="Salaires nets"/>
        <s v="Location véhicule"/>
        <s v="ticket de train"/>
        <s v="Charges sociales"/>
        <s v="Charges de personnel"/>
        <s v="vente marchandise"/>
        <s v="achat ordinateur"/>
        <s v="Impôts"/>
        <s v="EDF"/>
        <s v="Impôts et taxes"/>
        <s v="Eau"/>
        <s v="Loyers et charges locatives"/>
        <s v="Dotation aux amortissements"/>
        <s v="Locations"/>
        <s v="Vélib"/>
        <s v="billet avion"/>
        <s v="ticket métro"/>
        <s v="ticket bus 2"/>
        <m u="1"/>
        <s v="Pub journal" u="1"/>
        <s v="Logiciel d'architecture" u="1"/>
        <s v="Frais de déplacement" u="1"/>
        <s v="Achats perso" u="1"/>
        <s v="Achats" u="1"/>
        <s v="Assurance" u="1"/>
        <s v="Frais de réception" u="1"/>
        <s v="Fournitures de bureau" u="1"/>
        <s v="tavion" u="1"/>
        <s v="bateau" u="1"/>
        <s v="Pub radio" u="1"/>
      </sharedItems>
    </cacheField>
    <cacheField name="Famille" numFmtId="0">
      <sharedItems containsBlank="1" count="3">
        <s v="Produit"/>
        <s v="Charge"/>
        <m u="1"/>
      </sharedItems>
    </cacheField>
    <cacheField name="Prévisionnel" numFmtId="0">
      <sharedItems containsString="0" containsBlank="1" containsNumber="1" containsInteger="1" minValue="25" maxValue="3000"/>
    </cacheField>
    <cacheField name="Réel" numFmtId="0">
      <sharedItems containsString="0" containsBlank="1" containsNumber="1" containsInteger="1" minValue="20" maxValue="3250"/>
    </cacheField>
    <cacheField name="Mode" numFmtId="0">
      <sharedItems containsBlank="1" count="4">
        <s v="Virement"/>
        <s v="Espèces"/>
        <s v="Carte"/>
        <m u="1"/>
      </sharedItems>
    </cacheField>
    <cacheField name="Référence" numFmtId="0">
      <sharedItems containsBlank="1"/>
    </cacheField>
    <cacheField name="Recettes" numFmtId="0">
      <sharedItems containsString="0" containsBlank="1" containsNumber="1" containsInteger="1" minValue="10" maxValue="50"/>
    </cacheField>
    <cacheField name="Dépenses" numFmtId="0">
      <sharedItems containsString="0" containsBlank="1" containsNumber="1" containsInteger="1" minValue="10" maxValue="20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MixedTypes="1" containsNumber="1" containsInteger="1" minValue="0" maxValue="25"/>
    </cacheField>
    <cacheField name="2 colmasqué si j'a x j'affiche le contenu " numFmtId="0">
      <sharedItems containsMixedTypes="1" containsNumber="1" containsInteger="1" minValue="0" maxValue="50"/>
    </cacheField>
    <cacheField name="Date valeur banque " numFmtId="14">
      <sharedItems containsSemiMixedTypes="0" containsNonDate="0" containsDate="1" containsString="0" minDate="2015-01-04T00:00:00" maxDate="2016-03-17T09:18:27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m/>
    <s v="Compte chèques"/>
    <x v="0"/>
    <x v="0"/>
    <s v="20151"/>
    <x v="0"/>
    <s v="Recettes encaissées"/>
    <s v="Produit"/>
    <m/>
    <s v="Virement"/>
    <s v="N° FACTURE"/>
    <n v="20"/>
    <n v="10"/>
    <s v="x"/>
    <s v="x"/>
    <n v="20"/>
    <n v="10"/>
    <n v="42024"/>
    <m/>
  </r>
  <r>
    <m/>
    <s v="Compte chèques"/>
    <x v="1"/>
    <x v="0"/>
    <s v="20152"/>
    <x v="1"/>
    <s v="Honoraires rétrocédés"/>
    <s v="Charge"/>
    <m/>
    <s v="Virement"/>
    <m/>
    <m/>
    <n v="10"/>
    <m/>
    <m/>
    <n v="0"/>
    <n v="0"/>
    <n v="42038"/>
    <m/>
  </r>
  <r>
    <m/>
    <s v="Compte chèques"/>
    <x v="1"/>
    <x v="0"/>
    <s v="20152"/>
    <x v="2"/>
    <s v="Montant net des recettes"/>
    <s v="Produit"/>
    <m/>
    <s v="Virement"/>
    <m/>
    <m/>
    <n v="10"/>
    <s v="x"/>
    <m/>
    <n v="0"/>
    <n v="0"/>
    <n v="42045"/>
    <m/>
  </r>
  <r>
    <m/>
    <s v="Compte chèques"/>
    <x v="2"/>
    <x v="0"/>
    <s v="20153"/>
    <x v="3"/>
    <s v="Achat"/>
    <s v="Charge"/>
    <m/>
    <s v="Espèces"/>
    <m/>
    <m/>
    <n v="10"/>
    <m/>
    <m/>
    <n v="0"/>
    <n v="0"/>
    <n v="42083"/>
    <m/>
  </r>
  <r>
    <m/>
    <s v="Compte chèques"/>
    <x v="2"/>
    <x v="0"/>
    <s v="20153"/>
    <x v="4"/>
    <s v="Salaires nets"/>
    <s v="Produit"/>
    <m/>
    <s v="Virement"/>
    <m/>
    <m/>
    <n v="10"/>
    <m/>
    <m/>
    <n v="0"/>
    <n v="0"/>
    <n v="42066"/>
    <m/>
  </r>
  <r>
    <m/>
    <s v="Compte chèques"/>
    <x v="2"/>
    <x v="0"/>
    <s v="20153"/>
    <x v="5"/>
    <s v="Charges sociales"/>
    <s v="Charge"/>
    <m/>
    <s v="Virement"/>
    <m/>
    <n v="50"/>
    <n v="10"/>
    <m/>
    <s v="x"/>
    <n v="0"/>
    <n v="10"/>
    <n v="42068"/>
    <m/>
  </r>
  <r>
    <m/>
    <s v="Compte chèques"/>
    <x v="2"/>
    <x v="0"/>
    <s v="20153"/>
    <x v="6"/>
    <s v="Charges de personnel"/>
    <s v="Charge"/>
    <m/>
    <s v="Virement"/>
    <m/>
    <m/>
    <n v="10"/>
    <m/>
    <m/>
    <n v="0"/>
    <n v="0"/>
    <n v="42075"/>
    <m/>
  </r>
  <r>
    <m/>
    <s v="Compte chèques"/>
    <x v="3"/>
    <x v="0"/>
    <s v="20154"/>
    <x v="7"/>
    <s v="CSG déductible"/>
    <s v="Produit"/>
    <m/>
    <s v="Virement"/>
    <m/>
    <m/>
    <n v="10"/>
    <m/>
    <m/>
    <n v="0"/>
    <n v="0"/>
    <n v="42008"/>
    <m/>
  </r>
  <r>
    <m/>
    <s v="Compte chèques"/>
    <x v="3"/>
    <x v="0"/>
    <s v="20154"/>
    <x v="8"/>
    <s v="Résultat financier"/>
    <s v="Produit"/>
    <m/>
    <s v="Virement"/>
    <m/>
    <m/>
    <n v="10"/>
    <m/>
    <m/>
    <n v="0"/>
    <n v="0"/>
    <n v="42083"/>
    <m/>
  </r>
  <r>
    <m/>
    <s v="Compte chèques"/>
    <x v="1"/>
    <x v="0"/>
    <s v="20152"/>
    <x v="9"/>
    <s v="Autres impôts"/>
    <s v="Charge"/>
    <m/>
    <s v="Virement"/>
    <m/>
    <m/>
    <n v="10"/>
    <m/>
    <m/>
    <n v="0"/>
    <n v="0"/>
    <n v="42052"/>
    <m/>
  </r>
  <r>
    <m/>
    <s v="Compte chèques"/>
    <x v="1"/>
    <x v="1"/>
    <s v="20162"/>
    <x v="10"/>
    <s v="Gains divers"/>
    <s v="Produit"/>
    <m/>
    <s v="Virement"/>
    <m/>
    <n v="100"/>
    <n v="10"/>
    <m/>
    <m/>
    <n v="0"/>
    <n v="0"/>
    <n v="42066"/>
    <m/>
  </r>
  <r>
    <m/>
    <s v="Compte chèques"/>
    <x v="0"/>
    <x v="1"/>
    <s v="20161"/>
    <x v="11"/>
    <s v="Impôts et taxes"/>
    <s v="Charge"/>
    <m/>
    <s v="Virement"/>
    <m/>
    <m/>
    <n v="10"/>
    <s v="x"/>
    <m/>
    <n v="0"/>
    <n v="0"/>
    <n v="42022"/>
    <m/>
  </r>
  <r>
    <m/>
    <s v="Compte chèques"/>
    <x v="0"/>
    <x v="1"/>
    <s v="20161"/>
    <x v="11"/>
    <s v="Pertes diverses"/>
    <s v="Charge"/>
    <m/>
    <s v="Virement"/>
    <m/>
    <m/>
    <n v="10"/>
    <m/>
    <m/>
    <n v="0"/>
    <n v="0"/>
    <n v="42068"/>
    <m/>
  </r>
  <r>
    <m/>
    <s v="Compte chèques"/>
    <x v="2"/>
    <x v="1"/>
    <s v="20163"/>
    <x v="12"/>
    <s v="Loyers et charges locatives"/>
    <s v="Charge"/>
    <m/>
    <s v="Virement"/>
    <m/>
    <m/>
    <n v="10"/>
    <m/>
    <m/>
    <n v="0"/>
    <n v="0"/>
    <m/>
    <m/>
  </r>
  <r>
    <m/>
    <s v="Compte chèques"/>
    <x v="2"/>
    <x v="1"/>
    <s v="20163"/>
    <x v="12"/>
    <s v="Dotation aux amortissements"/>
    <s v="Produit"/>
    <m/>
    <s v="Virement"/>
    <m/>
    <m/>
    <n v="10"/>
    <m/>
    <m/>
    <n v="0"/>
    <n v="0"/>
    <n v="42075"/>
    <m/>
  </r>
  <r>
    <m/>
    <s v="Compte chèques"/>
    <x v="1"/>
    <x v="1"/>
    <s v="20162"/>
    <x v="13"/>
    <s v="Locations"/>
    <s v="Charge"/>
    <m/>
    <s v="Virement"/>
    <m/>
    <m/>
    <n v="10"/>
    <m/>
    <m/>
    <n v="0"/>
    <n v="0"/>
    <n v="42055"/>
    <m/>
  </r>
  <r>
    <m/>
    <s v="Compte chèques"/>
    <x v="1"/>
    <x v="1"/>
    <s v="20162"/>
    <x v="13"/>
    <s v="Bénéfices"/>
    <s v="Produit"/>
    <m/>
    <s v="Virement"/>
    <m/>
    <n v="40"/>
    <n v="10"/>
    <s v="x"/>
    <m/>
    <n v="40"/>
    <n v="0"/>
    <n v="42008"/>
    <m/>
  </r>
  <r>
    <m/>
    <s v="Compte chèques"/>
    <x v="2"/>
    <x v="1"/>
    <s v="20163"/>
    <x v="14"/>
    <s v="Honoraires"/>
    <s v="Charge"/>
    <m/>
    <s v="Virement"/>
    <m/>
    <m/>
    <n v="10"/>
    <m/>
    <m/>
    <n v="0"/>
    <n v="0"/>
    <n v="42083"/>
    <m/>
  </r>
  <r>
    <m/>
    <s v="Compte chèques"/>
    <x v="0"/>
    <x v="1"/>
    <s v="20161"/>
    <x v="15"/>
    <s v="Prime d'assurance"/>
    <s v="Charge"/>
    <m/>
    <s v="Virement"/>
    <m/>
    <m/>
    <n v="10"/>
    <m/>
    <m/>
    <n v="0"/>
    <n v="0"/>
    <n v="42026"/>
    <m/>
  </r>
  <r>
    <m/>
    <s v="Compte chèques"/>
    <x v="0"/>
    <x v="1"/>
    <s v="20161"/>
    <x v="15"/>
    <s v="Autre TFSE"/>
    <s v="Charge"/>
    <m/>
    <s v="Virement"/>
    <m/>
    <m/>
    <n v="10"/>
    <m/>
    <m/>
    <n v="0"/>
    <n v="0"/>
    <n v="42026"/>
    <m/>
  </r>
  <r>
    <m/>
    <s v="Compte chèques"/>
    <x v="0"/>
    <x v="1"/>
    <s v="20161"/>
    <x v="16"/>
    <s v="Frais de déplacement"/>
    <s v="Charge"/>
    <m/>
    <s v="Virement"/>
    <m/>
    <m/>
    <n v="10"/>
    <m/>
    <m/>
    <n v="0"/>
    <n v="0"/>
    <n v="42027"/>
    <m/>
  </r>
  <r>
    <m/>
    <s v="Compte chèques"/>
    <x v="1"/>
    <x v="0"/>
    <s v="20152"/>
    <x v="17"/>
    <s v="Charges sociales personnelles"/>
    <s v="Charge"/>
    <m/>
    <s v="Virement"/>
    <m/>
    <n v="20"/>
    <n v="10"/>
    <m/>
    <m/>
    <n v="0"/>
    <n v="0"/>
    <n v="42059"/>
    <m/>
  </r>
  <r>
    <m/>
    <s v="Compte chèques"/>
    <x v="0"/>
    <x v="1"/>
    <s v="20161"/>
    <x v="18"/>
    <s v="Frais de réception"/>
    <s v="Charge"/>
    <m/>
    <s v="Virement"/>
    <m/>
    <m/>
    <n v="10"/>
    <m/>
    <m/>
    <n v="0"/>
    <n v="0"/>
    <n v="42029"/>
    <m/>
  </r>
  <r>
    <m/>
    <s v="Compte chèques"/>
    <x v="0"/>
    <x v="0"/>
    <s v="20151"/>
    <x v="19"/>
    <s v="Fournitures de bureau"/>
    <s v="Charge"/>
    <m/>
    <s v="Virement"/>
    <m/>
    <m/>
    <n v="10"/>
    <m/>
    <m/>
    <n v="0"/>
    <n v="0"/>
    <n v="42029"/>
    <m/>
  </r>
  <r>
    <m/>
    <s v="Compte chèques"/>
    <x v="1"/>
    <x v="0"/>
    <s v="20152"/>
    <x v="20"/>
    <s v="Autres frais divers de gestion"/>
    <s v="Charge"/>
    <m/>
    <s v="Virement"/>
    <m/>
    <m/>
    <n v="10"/>
    <m/>
    <m/>
    <n v="0"/>
    <n v="0"/>
    <n v="42060"/>
    <m/>
  </r>
  <r>
    <m/>
    <s v="Compte chèques"/>
    <x v="2"/>
    <x v="0"/>
    <s v="20153"/>
    <x v="21"/>
    <s v="Charges externes"/>
    <s v="Charge"/>
    <m/>
    <s v="Virement"/>
    <m/>
    <m/>
    <n v="10"/>
    <m/>
    <m/>
    <n v="0"/>
    <n v="0"/>
    <m/>
    <m/>
  </r>
  <r>
    <m/>
    <s v="Compte chèques"/>
    <x v="2"/>
    <x v="0"/>
    <s v="20153"/>
    <x v="21"/>
    <s v="Produits financiers"/>
    <s v="Produit"/>
    <m/>
    <s v="Virement"/>
    <m/>
    <m/>
    <n v="10"/>
    <m/>
    <m/>
    <n v="0"/>
    <n v="0"/>
    <m/>
    <m/>
  </r>
  <r>
    <m/>
    <s v="Compte chèques"/>
    <x v="0"/>
    <x v="0"/>
    <s v="20151"/>
    <x v="22"/>
    <s v="Frais financiers"/>
    <s v="Charge"/>
    <m/>
    <s v="Virement"/>
    <m/>
    <m/>
    <n v="10"/>
    <m/>
    <m/>
    <n v="0"/>
    <n v="0"/>
    <n v="4203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x v="0"/>
    <n v="2016"/>
    <s v="20168"/>
    <d v="2016-08-01T00:00:00"/>
    <x v="0"/>
    <x v="0"/>
    <m/>
    <m/>
    <x v="0"/>
    <m/>
    <n v="20"/>
    <m/>
    <s v="x"/>
    <s v="x"/>
    <n v="20"/>
    <n v="0"/>
    <d v="2015-01-20T00:00:00"/>
    <m/>
  </r>
  <r>
    <x v="0"/>
    <x v="1"/>
    <n v="2015"/>
    <s v="20152"/>
    <d v="2015-02-10T00:00:00"/>
    <x v="1"/>
    <x v="0"/>
    <m/>
    <m/>
    <x v="0"/>
    <m/>
    <n v="50"/>
    <m/>
    <m/>
    <m/>
    <s v=""/>
    <s v=""/>
    <d v="2015-02-10T00:00:00"/>
    <m/>
  </r>
  <r>
    <x v="0"/>
    <x v="2"/>
    <n v="2015"/>
    <s v="20153"/>
    <d v="2015-03-01T00:00:00"/>
    <x v="2"/>
    <x v="1"/>
    <m/>
    <m/>
    <x v="1"/>
    <s v="N° FACT"/>
    <m/>
    <n v="125"/>
    <m/>
    <m/>
    <s v=""/>
    <s v=""/>
    <d v="2015-03-20T00:00:00"/>
    <m/>
  </r>
  <r>
    <x v="0"/>
    <x v="2"/>
    <n v="2015"/>
    <s v="20153"/>
    <d v="2015-03-03T00:00:00"/>
    <x v="3"/>
    <x v="1"/>
    <n v="150"/>
    <n v="100"/>
    <x v="0"/>
    <m/>
    <m/>
    <n v="200"/>
    <m/>
    <m/>
    <s v=""/>
    <s v=""/>
    <d v="2015-03-03T00:00:00"/>
    <m/>
  </r>
  <r>
    <x v="0"/>
    <x v="2"/>
    <n v="2015"/>
    <s v="20153"/>
    <d v="2015-03-05T00:00:00"/>
    <x v="4"/>
    <x v="1"/>
    <m/>
    <m/>
    <x v="0"/>
    <m/>
    <m/>
    <n v="50"/>
    <m/>
    <s v="x"/>
    <s v=""/>
    <n v="50"/>
    <d v="2015-03-05T00:00:00"/>
    <m/>
  </r>
  <r>
    <x v="0"/>
    <x v="2"/>
    <n v="2015"/>
    <s v="20153"/>
    <d v="2015-03-12T00:00:00"/>
    <x v="5"/>
    <x v="1"/>
    <m/>
    <m/>
    <x v="2"/>
    <m/>
    <m/>
    <n v="10"/>
    <m/>
    <m/>
    <s v=""/>
    <s v=""/>
    <d v="2015-03-12T00:00:00"/>
    <m/>
  </r>
  <r>
    <x v="0"/>
    <x v="3"/>
    <n v="2015"/>
    <s v="20154"/>
    <d v="2015-04-01T00:00:00"/>
    <x v="6"/>
    <x v="0"/>
    <n v="3000"/>
    <n v="3250"/>
    <x v="0"/>
    <m/>
    <n v="10"/>
    <m/>
    <m/>
    <m/>
    <s v=""/>
    <s v=""/>
    <d v="2015-01-04T00:00:00"/>
    <m/>
  </r>
  <r>
    <x v="0"/>
    <x v="3"/>
    <n v="2015"/>
    <s v="20154"/>
    <d v="2015-04-02T00:00:00"/>
    <x v="7"/>
    <x v="0"/>
    <m/>
    <m/>
    <x v="0"/>
    <s v="N° FACT"/>
    <n v="10"/>
    <m/>
    <m/>
    <m/>
    <s v=""/>
    <s v=""/>
    <d v="2015-03-20T00:00:00"/>
    <m/>
  </r>
  <r>
    <x v="0"/>
    <x v="1"/>
    <n v="2015"/>
    <s v="20152"/>
    <d v="2015-02-17T00:00:00"/>
    <x v="8"/>
    <x v="1"/>
    <m/>
    <m/>
    <x v="0"/>
    <s v="N° IMPO"/>
    <m/>
    <n v="10"/>
    <m/>
    <m/>
    <s v=""/>
    <s v=""/>
    <d v="2015-02-17T00:00:00"/>
    <m/>
  </r>
  <r>
    <x v="0"/>
    <x v="1"/>
    <n v="2016"/>
    <s v="20162"/>
    <d v="2016-02-17T00:00:00"/>
    <x v="9"/>
    <x v="1"/>
    <n v="300"/>
    <n v="300"/>
    <x v="0"/>
    <s v="N° FACT"/>
    <m/>
    <n v="100"/>
    <m/>
    <m/>
    <s v=""/>
    <s v=""/>
    <d v="2015-03-03T00:00:00"/>
    <m/>
  </r>
  <r>
    <x v="0"/>
    <x v="4"/>
    <n v="2016"/>
    <s v="20161"/>
    <d v="2016-01-18T00:00:00"/>
    <x v="10"/>
    <x v="1"/>
    <m/>
    <m/>
    <x v="0"/>
    <m/>
    <m/>
    <n v="10"/>
    <s v="x"/>
    <m/>
    <n v="0"/>
    <s v=""/>
    <d v="2015-01-18T00:00:00"/>
    <m/>
  </r>
  <r>
    <x v="0"/>
    <x v="4"/>
    <n v="2016"/>
    <s v="20161"/>
    <d v="2016-01-18T00:00:00"/>
    <x v="11"/>
    <x v="1"/>
    <m/>
    <m/>
    <x v="0"/>
    <s v="N° FACT"/>
    <m/>
    <n v="10"/>
    <m/>
    <m/>
    <s v=""/>
    <s v=""/>
    <d v="2015-03-05T00:00:00"/>
    <m/>
  </r>
  <r>
    <x v="0"/>
    <x v="2"/>
    <n v="2016"/>
    <s v="20163"/>
    <d v="2016-03-19T00:00:00"/>
    <x v="12"/>
    <x v="1"/>
    <n v="285"/>
    <n v="285"/>
    <x v="0"/>
    <m/>
    <m/>
    <n v="10"/>
    <m/>
    <m/>
    <s v=""/>
    <s v=""/>
    <d v="2015-10-01T00:00:00"/>
    <m/>
  </r>
  <r>
    <x v="0"/>
    <x v="2"/>
    <n v="2016"/>
    <s v="20163"/>
    <d v="2016-03-19T00:00:00"/>
    <x v="13"/>
    <x v="0"/>
    <m/>
    <m/>
    <x v="0"/>
    <m/>
    <n v="25"/>
    <m/>
    <s v="x"/>
    <m/>
    <n v="25"/>
    <s v=""/>
    <d v="2015-03-12T00:00:00"/>
    <m/>
  </r>
  <r>
    <x v="0"/>
    <x v="1"/>
    <n v="2016"/>
    <s v="20162"/>
    <d v="2016-02-20T00:00:00"/>
    <x v="14"/>
    <x v="0"/>
    <n v="425"/>
    <n v="400"/>
    <x v="0"/>
    <m/>
    <n v="25"/>
    <m/>
    <m/>
    <m/>
    <s v=""/>
    <s v=""/>
    <d v="2015-02-20T00:00:00"/>
    <m/>
  </r>
  <r>
    <x v="0"/>
    <x v="2"/>
    <n v="2016"/>
    <s v="20163"/>
    <s v="17/03/2016"/>
    <x v="15"/>
    <x v="1"/>
    <n v="80"/>
    <n v="70"/>
    <x v="2"/>
    <m/>
    <m/>
    <n v="75"/>
    <m/>
    <m/>
    <s v=""/>
    <s v=""/>
    <d v="2016-03-16T16:35:20"/>
    <m/>
  </r>
  <r>
    <x v="0"/>
    <x v="2"/>
    <n v="2016"/>
    <s v="20163"/>
    <s v="16/03/2016"/>
    <x v="16"/>
    <x v="1"/>
    <n v="140"/>
    <n v="140"/>
    <x v="1"/>
    <m/>
    <m/>
    <n v="150"/>
    <m/>
    <m/>
    <s v=""/>
    <s v=""/>
    <d v="2016-03-16T20:13:43"/>
    <m/>
  </r>
  <r>
    <x v="0"/>
    <x v="2"/>
    <n v="2016"/>
    <s v="20163"/>
    <s v="17/03/2016"/>
    <x v="17"/>
    <x v="1"/>
    <n v="125"/>
    <n v="100"/>
    <x v="2"/>
    <m/>
    <m/>
    <n v="50"/>
    <m/>
    <m/>
    <s v=""/>
    <s v=""/>
    <d v="2016-03-16T21:23:41"/>
    <m/>
  </r>
  <r>
    <x v="1"/>
    <x v="2"/>
    <n v="2016"/>
    <s v="20163"/>
    <s v="17/03/2016"/>
    <x v="18"/>
    <x v="1"/>
    <n v="25"/>
    <n v="20"/>
    <x v="2"/>
    <m/>
    <m/>
    <n v="20"/>
    <m/>
    <s v="x"/>
    <s v=""/>
    <n v="20"/>
    <d v="2016-03-17T09:18:2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G18" firstHeaderRow="1" firstDataRow="3" firstDataCol="1"/>
  <pivotFields count="19">
    <pivotField axis="axisRow" showAll="0">
      <items count="5">
        <item x="0"/>
        <item h="1" m="1" x="3"/>
        <item h="1" m="1" x="2"/>
        <item h="1" x="1"/>
        <item t="default"/>
      </items>
    </pivotField>
    <pivotField axis="axisCol" showAll="0">
      <items count="6">
        <item h="1" x="4"/>
        <item x="1"/>
        <item h="1" sd="0" x="2"/>
        <item h="1" x="3"/>
        <item h="1" x="0"/>
        <item t="default"/>
      </items>
    </pivotField>
    <pivotField showAll="0"/>
    <pivotField showAll="0"/>
    <pivotField showAll="0"/>
    <pivotField axis="axisCol" showAll="0">
      <items count="32">
        <item x="7"/>
        <item m="1" x="24"/>
        <item m="1" x="23"/>
        <item m="1" x="25"/>
        <item x="16"/>
        <item x="5"/>
        <item x="4"/>
        <item x="13"/>
        <item x="11"/>
        <item x="9"/>
        <item m="1" x="27"/>
        <item m="1" x="22"/>
        <item m="1" x="26"/>
        <item x="8"/>
        <item x="10"/>
        <item x="2"/>
        <item x="14"/>
        <item m="1" x="21"/>
        <item x="12"/>
        <item m="1" x="20"/>
        <item m="1" x="30"/>
        <item x="0"/>
        <item x="1"/>
        <item m="1" x="28"/>
        <item x="3"/>
        <item x="15"/>
        <item x="6"/>
        <item m="1" x="19"/>
        <item x="17"/>
        <item m="1" x="29"/>
        <item x="18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</pivotFields>
  <rowFields count="2">
    <field x="0"/>
    <field x="-2"/>
  </rowFields>
  <rowItems count="5">
    <i>
      <x/>
    </i>
    <i r="1">
      <x/>
    </i>
    <i r="1" i="1">
      <x v="1"/>
    </i>
    <i t="grand">
      <x/>
    </i>
    <i t="grand" i="1">
      <x/>
    </i>
  </rowItems>
  <colFields count="2">
    <field x="1"/>
    <field x="5"/>
  </colFields>
  <colItems count="6">
    <i>
      <x v="1"/>
      <x v="9"/>
    </i>
    <i r="1">
      <x v="13"/>
    </i>
    <i r="1">
      <x v="16"/>
    </i>
    <i r="1">
      <x v="22"/>
    </i>
    <i t="default">
      <x v="1"/>
    </i>
    <i t="grand">
      <x/>
    </i>
  </colItems>
  <dataFields count="2">
    <dataField name="S. Prévisionnel" fld="7" baseField="0" baseItem="0"/>
    <dataField name="S. Réel" fld="8" baseField="0" baseItem="0"/>
  </dataFields>
  <formats count="3">
    <format dxfId="16">
      <pivotArea dataOnly="0" labelOnly="1" outline="0" fieldPosition="0">
        <references count="2">
          <reference field="4294967294" count="2">
            <x v="0"/>
            <x v="1"/>
          </reference>
          <reference field="1" count="0" selected="0"/>
        </references>
      </pivotArea>
    </format>
    <format dxfId="1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1" dataOnRows="1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4:D19" firstHeaderRow="1" firstDataRow="2" firstDataCol="1"/>
  <pivotFields count="19">
    <pivotField showAll="0"/>
    <pivotField axis="axisCol" showAll="0">
      <items count="6">
        <item x="4"/>
        <item x="1"/>
        <item x="2"/>
        <item x="3"/>
        <item x="0"/>
        <item t="default"/>
      </items>
    </pivotField>
    <pivotField showAll="0"/>
    <pivotField showAll="0"/>
    <pivotField showAll="0"/>
    <pivotField axis="axisRow" showAll="0">
      <items count="32">
        <item h="1" x="7"/>
        <item h="1" m="1" x="24"/>
        <item h="1" m="1" x="23"/>
        <item h="1" m="1" x="25"/>
        <item h="1" x="5"/>
        <item h="1" x="4"/>
        <item h="1" x="13"/>
        <item h="1" x="11"/>
        <item h="1" x="9"/>
        <item h="1" m="1" x="27"/>
        <item h="1" m="1" x="22"/>
        <item h="1" m="1" x="26"/>
        <item h="1" x="8"/>
        <item h="1" x="10"/>
        <item x="2"/>
        <item h="1" x="14"/>
        <item h="1" m="1" x="21"/>
        <item h="1" x="12"/>
        <item h="1" m="1" x="20"/>
        <item h="1" m="1" x="30"/>
        <item h="1" x="0"/>
        <item h="1" x="1"/>
        <item x="3"/>
        <item h="1" x="6"/>
        <item h="1" m="1" x="19"/>
        <item x="15"/>
        <item h="1" m="1" x="28"/>
        <item x="16"/>
        <item x="17"/>
        <item h="1" m="1" x="29"/>
        <item h="1" x="18"/>
        <item t="default"/>
      </items>
    </pivotField>
    <pivotField showAl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2">
    <field x="-2"/>
    <field x="5"/>
  </rowFields>
  <rowItems count="14">
    <i>
      <x/>
    </i>
    <i r="1">
      <x v="14"/>
    </i>
    <i r="1">
      <x v="22"/>
    </i>
    <i r="1">
      <x v="25"/>
    </i>
    <i r="1">
      <x v="27"/>
    </i>
    <i r="1">
      <x v="28"/>
    </i>
    <i i="1">
      <x v="1"/>
    </i>
    <i r="1" i="1">
      <x v="14"/>
    </i>
    <i r="1" i="1">
      <x v="22"/>
    </i>
    <i r="1" i="1">
      <x v="25"/>
    </i>
    <i r="1" i="1">
      <x v="27"/>
    </i>
    <i r="1" i="1">
      <x v="28"/>
    </i>
    <i t="grand">
      <x/>
    </i>
    <i t="grand" i="1">
      <x/>
    </i>
  </rowItems>
  <colFields count="1">
    <field x="1"/>
  </colFields>
  <colItems count="2">
    <i>
      <x v="2"/>
    </i>
    <i t="grand">
      <x/>
    </i>
  </colItems>
  <dataFields count="2">
    <dataField name="Somme de Dépenses" fld="12" baseField="5" baseItem="0"/>
    <dataField name="Somme de Recettes" fld="11" baseField="5" baseItem="0"/>
  </dataFields>
  <chartFormats count="10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18" firstHeaderRow="1" firstDataRow="2" firstDataCol="1"/>
  <pivotFields count="19">
    <pivotField showAll="0"/>
    <pivotField showAll="0"/>
    <pivotField axis="axisRow" showAll="0">
      <items count="5">
        <item x="0"/>
        <item x="1"/>
        <item h="1" x="2"/>
        <item h="1" x="3"/>
        <item t="default"/>
      </items>
    </pivotField>
    <pivotField showAll="0"/>
    <pivotField showAll="0"/>
    <pivotField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2">
      <pivotArea outline="0" collapsedLevelsAreSubtotals="1" fieldPosition="0"/>
    </format>
    <format dxfId="1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18" firstHeaderRow="1" firstDataRow="2" firstDataCol="1" rowPageCount="1" colPageCount="1"/>
  <pivotFields count="19">
    <pivotField showAll="0"/>
    <pivotField showAll="0"/>
    <pivotField axis="axisPage" showAll="0">
      <items count="5">
        <item x="0"/>
        <item x="1"/>
        <item x="2"/>
        <item x="3"/>
        <item t="default"/>
      </items>
    </pivotField>
    <pivotField showAll="0">
      <items count="3">
        <item h="1" x="0"/>
        <item x="1"/>
        <item t="default"/>
      </items>
    </pivotField>
    <pivotField showAll="0"/>
    <pivotField axis="axisRow"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3"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2" hier="-1"/>
  </pageFields>
  <dataFields count="2">
    <dataField name="Somme de Dépenses" fld="12" baseField="0" baseItem="0"/>
    <dataField name="Somme de Recettes" fld="11" baseField="0" baseItem="1"/>
  </dataFields>
  <formats count="2">
    <format dxfId="4">
      <pivotArea outline="0" collapsedLevelsAreSubtotals="1" fieldPosition="0"/>
    </format>
    <format dxfId="3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9" firstHeaderRow="0" firstDataRow="1" firstDataCol="1" rowPageCount="1" colPageCount="1"/>
  <pivotFields count="19">
    <pivotField showAll="0"/>
    <pivotField showAll="0"/>
    <pivotField showAll="0"/>
    <pivotField showAll="0"/>
    <pivotField showAll="0"/>
    <pivotField showAll="0"/>
    <pivotField axis="axisRow" showAll="0">
      <items count="4">
        <item x="1"/>
        <item x="0"/>
        <item m="1" x="2"/>
        <item t="default"/>
      </items>
    </pivotField>
    <pivotField showAll="0" defaultSubtotal="0"/>
    <pivotField showAll="0" defaultSubtotal="0"/>
    <pivotField axis="axisPage" showAll="0">
      <items count="5">
        <item x="1"/>
        <item x="0"/>
        <item m="1" x="3"/>
        <item x="2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9" item="1" hier="-1"/>
  </pageFields>
  <dataFields count="2">
    <dataField name="Somme de Dépenses" fld="12" baseField="6" baseItem="0"/>
    <dataField name="Somme de Recettes" fld="11" baseField="6" baseItem="0"/>
  </dataFields>
  <formats count="1">
    <format dxfId="0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4">
        <i x="0"/>
        <i x="1"/>
        <i x="2" s="1"/>
        <i x="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 customListSort="0">
      <items count="31">
        <i x="7"/>
        <i x="16" s="1"/>
        <i x="5"/>
        <i x="4"/>
        <i x="13"/>
        <i x="11"/>
        <i x="9"/>
        <i x="8"/>
        <i x="10"/>
        <i x="2" s="1"/>
        <i x="14"/>
        <i x="12"/>
        <i x="0"/>
        <i x="1"/>
        <i x="18"/>
        <i x="3" s="1"/>
        <i x="17" s="1"/>
        <i x="15" s="1"/>
        <i x="6"/>
        <i x="24" nd="1"/>
        <i x="23" nd="1"/>
        <i x="25" nd="1"/>
        <i x="29" nd="1"/>
        <i x="27" nd="1"/>
        <i x="22" nd="1"/>
        <i x="26" nd="1"/>
        <i x="21" nd="1"/>
        <i x="20" nd="1"/>
        <i x="30" nd="1"/>
        <i x="28" nd="1"/>
        <i x="19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dataDxfId="31">
  <autoFilter ref="A5:E6"/>
  <tableColumns count="5">
    <tableColumn id="1" name="Comptes" dataDxfId="30"/>
    <tableColumn id="2" name="Solde initial" dataDxfId="29"/>
    <tableColumn id="3" name="Recettes après saisie" dataDxfId="28">
      <calculatedColumnFormula>SUM(Recettes)</calculatedColumnFormula>
    </tableColumn>
    <tableColumn id="4" name="Dépenses après saisie" dataDxfId="27">
      <calculatedColumnFormula>SUM(Dépenses)</calculatedColumnFormula>
    </tableColumn>
    <tableColumn id="5" name="Solde final" dataDxfId="26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4:S23" totalsRowShown="0" headerRowDxfId="13" headerRowBorderDxfId="12" tableBorderDxfId="11" totalsRowBorderDxfId="10" headerRowCellStyle="Monétaire 2" dataCellStyle="Normal">
  <autoFilter ref="A4:S23"/>
  <sortState ref="A5:O33">
    <sortCondition ref="E5"/>
  </sortState>
  <tableColumns count="19"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9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8" dataCellStyle="Normal"/>
    <tableColumn id="16" name="Pointage dépense" dataDxfId="7" dataCellStyle="Normal">
      <calculatedColumnFormula>IF(tblEcritures[[#This Row],[Dépenses]]="x",tblEcritures[[#This Row],[Dépenses]],0)</calculatedColumnFormula>
    </tableColumn>
    <tableColumn id="10" name="Pojnage recette masqué" dataCellStyle="Normal">
      <calculatedColumnFormula>IF(tblEcritures[[#This Row],[Pointage recette]]="x",tblEcritures[[#This Row],[Recettes]],"")</calculatedColumnFormula>
    </tableColumn>
    <tableColumn id="4" name="2 colmasqué si j'a x j'affiche le contenu " dataCellStyle="Normal">
      <calculatedColumnFormula>IF(tblEcritures[[#This Row],[Pointage dépense]]="x",tblEcritures[[#This Row],[Dépenses]],"")</calculatedColumnFormula>
    </tableColumn>
    <tableColumn id="11" name="Date valeur banque " dataDxfId="6" dataCellStyle="Normal"/>
    <tableColumn id="12" name="Observations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7" Type="http://schemas.microsoft.com/office/2007/relationships/slicer" Target="../slicers/slicer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9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C27"/>
  <sheetViews>
    <sheetView zoomScale="70" zoomScaleNormal="70" workbookViewId="0">
      <selection activeCell="P13" sqref="P13:Q14"/>
    </sheetView>
  </sheetViews>
  <sheetFormatPr baseColWidth="10" defaultRowHeight="14.4" x14ac:dyDescent="0.3"/>
  <cols>
    <col min="1" max="1" width="30.33203125" customWidth="1"/>
  </cols>
  <sheetData>
    <row r="2" spans="1:3" ht="23.25" x14ac:dyDescent="0.35">
      <c r="A2" s="10"/>
      <c r="B2" s="28"/>
      <c r="C2" s="28"/>
    </row>
    <row r="3" spans="1:3" ht="23.25" x14ac:dyDescent="0.35">
      <c r="A3" s="10"/>
      <c r="B3" s="28"/>
      <c r="C3" s="28"/>
    </row>
    <row r="4" spans="1:3" ht="23.25" x14ac:dyDescent="0.35">
      <c r="A4" s="52"/>
      <c r="B4" s="28"/>
      <c r="C4" s="28"/>
    </row>
    <row r="5" spans="1:3" ht="23.25" x14ac:dyDescent="0.35">
      <c r="A5" s="10"/>
      <c r="B5" s="28"/>
      <c r="C5" s="28"/>
    </row>
    <row r="6" spans="1:3" ht="23.25" x14ac:dyDescent="0.35">
      <c r="A6" s="10"/>
      <c r="B6" s="28"/>
      <c r="C6" s="28"/>
    </row>
    <row r="7" spans="1:3" ht="23.25" x14ac:dyDescent="0.35">
      <c r="A7" s="10"/>
      <c r="B7" s="28"/>
      <c r="C7" s="28"/>
    </row>
    <row r="8" spans="1:3" ht="23.25" x14ac:dyDescent="0.35">
      <c r="A8" s="10"/>
      <c r="B8" s="28"/>
      <c r="C8" s="28"/>
    </row>
    <row r="9" spans="1:3" ht="23.25" x14ac:dyDescent="0.35">
      <c r="A9" s="10"/>
      <c r="B9" s="28"/>
      <c r="C9" s="28"/>
    </row>
    <row r="10" spans="1:3" ht="23.25" x14ac:dyDescent="0.35">
      <c r="A10" s="10"/>
      <c r="B10" s="28"/>
      <c r="C10" s="28"/>
    </row>
    <row r="11" spans="1:3" ht="23.25" x14ac:dyDescent="0.35">
      <c r="A11" s="10"/>
      <c r="B11" s="28"/>
      <c r="C11" s="28"/>
    </row>
    <row r="12" spans="1:3" ht="23.25" x14ac:dyDescent="0.35">
      <c r="A12" s="10"/>
      <c r="B12" s="28"/>
      <c r="C12" s="28"/>
    </row>
    <row r="13" spans="1:3" ht="23.25" x14ac:dyDescent="0.35">
      <c r="A13" s="10"/>
      <c r="B13" s="28"/>
      <c r="C13" s="28"/>
    </row>
    <row r="14" spans="1:3" ht="23.25" x14ac:dyDescent="0.35">
      <c r="A14" s="10"/>
      <c r="B14" s="28"/>
      <c r="C14" s="28"/>
    </row>
    <row r="15" spans="1:3" ht="23.25" x14ac:dyDescent="0.35">
      <c r="A15" s="10"/>
      <c r="B15" s="28"/>
      <c r="C15" s="28"/>
    </row>
    <row r="16" spans="1:3" ht="23.25" x14ac:dyDescent="0.35">
      <c r="A16" s="10"/>
      <c r="B16" s="28"/>
      <c r="C16" s="28"/>
    </row>
    <row r="17" spans="1:3" ht="23.25" x14ac:dyDescent="0.35">
      <c r="A17" s="10"/>
      <c r="B17" s="28"/>
      <c r="C17" s="28"/>
    </row>
    <row r="18" spans="1:3" ht="23.25" x14ac:dyDescent="0.35">
      <c r="A18" s="10"/>
      <c r="B18" s="28"/>
      <c r="C18" s="28"/>
    </row>
    <row r="19" spans="1:3" ht="23.25" x14ac:dyDescent="0.35">
      <c r="A19" s="10"/>
      <c r="B19" s="28"/>
      <c r="C19" s="28"/>
    </row>
    <row r="20" spans="1:3" ht="23.4" x14ac:dyDescent="0.45">
      <c r="A20" s="10"/>
      <c r="B20" s="28"/>
      <c r="C20" s="28"/>
    </row>
    <row r="21" spans="1:3" ht="23.4" x14ac:dyDescent="0.45">
      <c r="A21" s="10"/>
      <c r="B21" s="28"/>
      <c r="C21" s="28"/>
    </row>
    <row r="22" spans="1:3" x14ac:dyDescent="0.3">
      <c r="A22" s="10"/>
    </row>
    <row r="23" spans="1:3" x14ac:dyDescent="0.3">
      <c r="A23" s="10"/>
    </row>
    <row r="24" spans="1:3" x14ac:dyDescent="0.3">
      <c r="A24" s="10"/>
    </row>
    <row r="25" spans="1:3" x14ac:dyDescent="0.3">
      <c r="A25" s="10"/>
    </row>
    <row r="26" spans="1:3" x14ac:dyDescent="0.3">
      <c r="A26" s="10"/>
    </row>
    <row r="27" spans="1:3" x14ac:dyDescent="0.3">
      <c r="A27" s="10"/>
    </row>
  </sheetData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sqref="A1:B3"/>
    </sheetView>
  </sheetViews>
  <sheetFormatPr baseColWidth="10" defaultRowHeight="14.4" x14ac:dyDescent="0.3"/>
  <cols>
    <col min="1" max="6" width="23.33203125" customWidth="1"/>
  </cols>
  <sheetData>
    <row r="1" spans="1:5" ht="15.6" customHeight="1" x14ac:dyDescent="0.3">
      <c r="A1" s="72" t="s">
        <v>80</v>
      </c>
      <c r="B1" s="73"/>
      <c r="C1" s="7"/>
    </row>
    <row r="2" spans="1:5" ht="14.4" customHeight="1" x14ac:dyDescent="0.3">
      <c r="A2" s="72"/>
      <c r="B2" s="73"/>
    </row>
    <row r="3" spans="1:5" ht="14.4" customHeight="1" thickBot="1" x14ac:dyDescent="0.35">
      <c r="A3" s="74"/>
      <c r="B3" s="75"/>
    </row>
    <row r="4" spans="1:5" ht="15" thickTop="1" x14ac:dyDescent="0.3">
      <c r="B4" s="7"/>
    </row>
    <row r="5" spans="1:5" x14ac:dyDescent="0.3">
      <c r="A5" s="10" t="s">
        <v>6</v>
      </c>
      <c r="B5" s="10" t="s">
        <v>1</v>
      </c>
      <c r="C5" s="40" t="s">
        <v>81</v>
      </c>
      <c r="D5" s="40" t="s">
        <v>82</v>
      </c>
      <c r="E5" s="10" t="s">
        <v>83</v>
      </c>
    </row>
    <row r="6" spans="1:5" x14ac:dyDescent="0.3">
      <c r="A6" s="53" t="s">
        <v>96</v>
      </c>
      <c r="B6" s="54">
        <v>1000</v>
      </c>
      <c r="C6" s="54">
        <f>SUM(Recettes)</f>
        <v>140</v>
      </c>
      <c r="D6" s="54">
        <f>SUM(Dépenses)</f>
        <v>820</v>
      </c>
      <c r="E6" s="54">
        <f>Tableau1[Solde initial]+Tableau1[Recettes après saisie]-Tableau1[Dépenses après saisie]</f>
        <v>320</v>
      </c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198120</xdr:colOff>
                    <xdr:row>9</xdr:row>
                    <xdr:rowOff>7620</xdr:rowOff>
                  </from>
                  <to>
                    <xdr:col>5</xdr:col>
                    <xdr:colOff>1363980</xdr:colOff>
                    <xdr:row>11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3:G18"/>
  <sheetViews>
    <sheetView zoomScale="80" zoomScaleNormal="80" workbookViewId="0">
      <selection activeCell="C8" sqref="C8"/>
    </sheetView>
  </sheetViews>
  <sheetFormatPr baseColWidth="10" defaultRowHeight="14.4" x14ac:dyDescent="0.3"/>
  <cols>
    <col min="1" max="1" width="21" customWidth="1"/>
    <col min="2" max="2" width="23.77734375" customWidth="1"/>
    <col min="3" max="3" width="12.44140625" customWidth="1"/>
    <col min="4" max="4" width="9" customWidth="1"/>
    <col min="5" max="5" width="11.77734375" customWidth="1"/>
    <col min="6" max="6" width="6.6640625" customWidth="1"/>
    <col min="7" max="7" width="12.21875" customWidth="1"/>
    <col min="8" max="8" width="17.88671875" customWidth="1"/>
    <col min="9" max="9" width="7" customWidth="1"/>
    <col min="10" max="10" width="7.6640625" customWidth="1"/>
    <col min="11" max="11" width="12.44140625" customWidth="1"/>
    <col min="12" max="12" width="20.77734375" customWidth="1"/>
    <col min="13" max="13" width="14" customWidth="1"/>
    <col min="14" max="14" width="17.6640625" customWidth="1"/>
    <col min="15" max="15" width="18.5546875" customWidth="1"/>
    <col min="16" max="16" width="20.77734375" customWidth="1"/>
    <col min="17" max="17" width="14" customWidth="1"/>
    <col min="18" max="18" width="17.6640625" customWidth="1"/>
    <col min="19" max="19" width="18.5546875" customWidth="1"/>
    <col min="20" max="20" width="20.77734375" customWidth="1"/>
    <col min="21" max="21" width="14" customWidth="1"/>
    <col min="22" max="22" width="22.44140625" customWidth="1"/>
    <col min="23" max="23" width="23.33203125" customWidth="1"/>
    <col min="24" max="24" width="25.5546875" customWidth="1"/>
    <col min="25" max="25" width="18.77734375" customWidth="1"/>
  </cols>
  <sheetData>
    <row r="3" spans="1:7" x14ac:dyDescent="0.3">
      <c r="A3" s="55"/>
      <c r="B3" s="55" t="s">
        <v>2</v>
      </c>
      <c r="C3" s="55" t="s">
        <v>3</v>
      </c>
    </row>
    <row r="4" spans="1:7" x14ac:dyDescent="0.3">
      <c r="A4" s="56" t="s">
        <v>67</v>
      </c>
      <c r="B4" s="5">
        <f>SUM(Prévisionnel)</f>
        <v>4530</v>
      </c>
      <c r="C4" s="5">
        <f>SUM(Dépenses)</f>
        <v>820</v>
      </c>
    </row>
    <row r="5" spans="1:7" x14ac:dyDescent="0.3">
      <c r="A5" s="57" t="s">
        <v>68</v>
      </c>
      <c r="B5" s="5"/>
      <c r="C5" s="5"/>
    </row>
    <row r="6" spans="1:7" ht="17.399999999999999" customHeight="1" x14ac:dyDescent="0.25">
      <c r="A6" s="58" t="s">
        <v>66</v>
      </c>
      <c r="B6" s="5">
        <f>B4+B5</f>
        <v>4530</v>
      </c>
      <c r="C6" s="5">
        <f>C4+C5</f>
        <v>820</v>
      </c>
    </row>
    <row r="7" spans="1:7" ht="17.399999999999999" customHeight="1" x14ac:dyDescent="0.3">
      <c r="A7" s="59" t="s">
        <v>69</v>
      </c>
      <c r="B7" s="5"/>
      <c r="C7" s="5"/>
    </row>
    <row r="8" spans="1:7" ht="17.399999999999999" customHeight="1" x14ac:dyDescent="0.3"/>
    <row r="9" spans="1:7" ht="17.399999999999999" customHeight="1" x14ac:dyDescent="0.3"/>
    <row r="10" spans="1:7" ht="17.399999999999999" customHeight="1" x14ac:dyDescent="0.3"/>
    <row r="11" spans="1:7" ht="17.399999999999999" customHeight="1" x14ac:dyDescent="0.3">
      <c r="B11" s="49" t="s">
        <v>97</v>
      </c>
    </row>
    <row r="12" spans="1:7" x14ac:dyDescent="0.3">
      <c r="B12" s="2">
        <v>2</v>
      </c>
      <c r="F12" s="2" t="s">
        <v>113</v>
      </c>
      <c r="G12" s="66" t="s">
        <v>61</v>
      </c>
    </row>
    <row r="13" spans="1:7" x14ac:dyDescent="0.3">
      <c r="A13" s="49" t="s">
        <v>60</v>
      </c>
      <c r="B13" s="2" t="s">
        <v>86</v>
      </c>
      <c r="C13" s="2" t="s">
        <v>89</v>
      </c>
      <c r="D13" s="2" t="s">
        <v>27</v>
      </c>
      <c r="E13" s="2" t="s">
        <v>20</v>
      </c>
      <c r="G13" s="66"/>
    </row>
    <row r="14" spans="1:7" x14ac:dyDescent="0.3">
      <c r="A14" s="50" t="s">
        <v>5</v>
      </c>
      <c r="B14" s="60"/>
      <c r="C14" s="60"/>
      <c r="D14" s="60"/>
      <c r="E14" s="60"/>
      <c r="F14" s="60"/>
      <c r="G14" s="60"/>
    </row>
    <row r="15" spans="1:7" x14ac:dyDescent="0.3">
      <c r="A15" s="67" t="s">
        <v>101</v>
      </c>
      <c r="B15" s="60">
        <v>300</v>
      </c>
      <c r="C15" s="60"/>
      <c r="D15" s="60">
        <v>425</v>
      </c>
      <c r="E15" s="60"/>
      <c r="F15" s="60">
        <v>725</v>
      </c>
      <c r="G15" s="60">
        <v>725</v>
      </c>
    </row>
    <row r="16" spans="1:7" x14ac:dyDescent="0.3">
      <c r="A16" s="67" t="s">
        <v>103</v>
      </c>
      <c r="B16" s="60">
        <v>300</v>
      </c>
      <c r="C16" s="60"/>
      <c r="D16" s="60">
        <v>400</v>
      </c>
      <c r="E16" s="60"/>
      <c r="F16" s="60">
        <v>700</v>
      </c>
      <c r="G16" s="60">
        <v>700</v>
      </c>
    </row>
    <row r="17" spans="1:7" x14ac:dyDescent="0.3">
      <c r="A17" s="50" t="s">
        <v>102</v>
      </c>
      <c r="B17" s="60">
        <v>300</v>
      </c>
      <c r="C17" s="60"/>
      <c r="D17" s="60">
        <v>425</v>
      </c>
      <c r="E17" s="60"/>
      <c r="F17" s="60">
        <v>725</v>
      </c>
      <c r="G17" s="60">
        <v>725</v>
      </c>
    </row>
    <row r="18" spans="1:7" x14ac:dyDescent="0.3">
      <c r="A18" s="50" t="s">
        <v>104</v>
      </c>
      <c r="B18" s="60">
        <v>300</v>
      </c>
      <c r="C18" s="60"/>
      <c r="D18" s="60">
        <v>400</v>
      </c>
      <c r="E18" s="60"/>
      <c r="F18" s="60">
        <v>700</v>
      </c>
      <c r="G18" s="60">
        <v>700</v>
      </c>
    </row>
  </sheetData>
  <conditionalFormatting sqref="A14">
    <cfRule type="containsText" dxfId="25" priority="7" operator="containsText" text="Réel">
      <formula>NOT(ISERROR(SEARCH("Réel",A14)))</formula>
    </cfRule>
    <cfRule type="containsText" dxfId="24" priority="8" operator="containsText" text="Réel">
      <formula>NOT(ISERROR(SEARCH("Réel",A14)))</formula>
    </cfRule>
    <cfRule type="containsText" dxfId="23" priority="9" operator="containsText" text="Prévisionnel">
      <formula>NOT(ISERROR(SEARCH("Prévisionnel",A14)))</formula>
    </cfRule>
  </conditionalFormatting>
  <conditionalFormatting sqref="A12:C12 A13:A17">
    <cfRule type="containsText" dxfId="22" priority="6" operator="containsText" text="Réel">
      <formula>NOT(ISERROR(SEARCH("Réel",A12)))</formula>
    </cfRule>
  </conditionalFormatting>
  <conditionalFormatting sqref="A16">
    <cfRule type="containsText" dxfId="21" priority="2" operator="containsText" text="S. Réel">
      <formula>NOT(ISERROR(SEARCH("S. Réel",A16)))</formula>
    </cfRule>
    <cfRule type="containsText" dxfId="20" priority="5" operator="containsText" text="Prévisionnel">
      <formula>NOT(ISERROR(SEARCH("Prévisionnel",A16)))</formula>
    </cfRule>
  </conditionalFormatting>
  <conditionalFormatting sqref="A15">
    <cfRule type="containsText" dxfId="19" priority="4" operator="containsText" text="S. Prévisionnel">
      <formula>NOT(ISERROR(SEARCH("S. Prévisionnel",A15)))</formula>
    </cfRule>
  </conditionalFormatting>
  <conditionalFormatting sqref="A17">
    <cfRule type="containsText" dxfId="18" priority="3" operator="containsText" text="Total S. Prévisionnel">
      <formula>NOT(ISERROR(SEARCH("Total S. Prévisionnel",A17)))</formula>
    </cfRule>
  </conditionalFormatting>
  <conditionalFormatting sqref="A18">
    <cfRule type="containsText" dxfId="17" priority="1" operator="containsText" text="Total S. Réel">
      <formula>NOT(ISERROR(SEARCH("Total S. Réel",A18)))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Page_suiv_2">
                <anchor moveWithCells="1" sizeWithCells="1">
                  <from>
                    <xdr:col>4</xdr:col>
                    <xdr:colOff>350520</xdr:colOff>
                    <xdr:row>5</xdr:row>
                    <xdr:rowOff>114300</xdr:rowOff>
                  </from>
                  <to>
                    <xdr:col>6</xdr:col>
                    <xdr:colOff>304800</xdr:colOff>
                    <xdr:row>8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T57"/>
  <sheetViews>
    <sheetView topLeftCell="G1" zoomScale="60" zoomScaleNormal="60" workbookViewId="0">
      <selection activeCell="O27" sqref="O27"/>
    </sheetView>
  </sheetViews>
  <sheetFormatPr baseColWidth="10" defaultRowHeight="14.4" x14ac:dyDescent="0.3"/>
  <cols>
    <col min="1" max="1" width="17.6640625" customWidth="1"/>
    <col min="2" max="2" width="14.33203125" customWidth="1"/>
    <col min="3" max="3" width="19.6640625" customWidth="1"/>
    <col min="4" max="4" width="14.33203125" customWidth="1"/>
    <col min="5" max="5" width="22.6640625" customWidth="1"/>
    <col min="6" max="6" width="44.6640625" style="2" customWidth="1"/>
    <col min="7" max="7" width="23.6640625" customWidth="1"/>
    <col min="8" max="8" width="16" customWidth="1"/>
    <col min="9" max="9" width="17.5546875" customWidth="1"/>
    <col min="10" max="10" width="17.5546875" style="2" customWidth="1"/>
    <col min="11" max="11" width="14.33203125" customWidth="1"/>
    <col min="12" max="12" width="17.88671875" customWidth="1"/>
    <col min="13" max="13" width="20.44140625" style="41" customWidth="1"/>
    <col min="14" max="14" width="11.5546875" style="41"/>
    <col min="17" max="17" width="17" customWidth="1"/>
    <col min="18" max="18" width="16.6640625" customWidth="1"/>
  </cols>
  <sheetData>
    <row r="1" spans="1:19" ht="15.6" x14ac:dyDescent="0.3">
      <c r="J1" s="71" t="str">
        <f>SUBTOTAL(3,A4:A23)&amp;" écritures"</f>
        <v>20 écritures</v>
      </c>
      <c r="K1" s="3">
        <f>SUBTOTAL(9,tblEcritures[Recettes])</f>
        <v>140</v>
      </c>
      <c r="L1" s="3">
        <f>SUBTOTAL(9,tblEcritures[Dépenses])</f>
        <v>820</v>
      </c>
    </row>
    <row r="3" spans="1:19" x14ac:dyDescent="0.3">
      <c r="A3" s="47" t="s">
        <v>91</v>
      </c>
      <c r="B3" s="47" t="s">
        <v>92</v>
      </c>
      <c r="C3" s="47" t="s">
        <v>92</v>
      </c>
      <c r="D3" s="47" t="s">
        <v>92</v>
      </c>
      <c r="E3" s="47" t="s">
        <v>93</v>
      </c>
      <c r="F3" s="47" t="s">
        <v>91</v>
      </c>
      <c r="G3" s="47" t="s">
        <v>90</v>
      </c>
      <c r="H3" s="47" t="s">
        <v>91</v>
      </c>
      <c r="I3" s="47" t="s">
        <v>91</v>
      </c>
      <c r="J3" s="47" t="s">
        <v>91</v>
      </c>
      <c r="K3" s="47" t="s">
        <v>91</v>
      </c>
      <c r="L3" s="47" t="s">
        <v>91</v>
      </c>
      <c r="M3" s="48" t="s">
        <v>91</v>
      </c>
      <c r="N3" s="48" t="s">
        <v>91</v>
      </c>
      <c r="O3" s="47" t="s">
        <v>91</v>
      </c>
      <c r="P3" s="47" t="s">
        <v>92</v>
      </c>
      <c r="Q3" s="47" t="s">
        <v>92</v>
      </c>
      <c r="R3" s="47" t="s">
        <v>91</v>
      </c>
      <c r="S3" s="47" t="s">
        <v>91</v>
      </c>
    </row>
    <row r="4" spans="1:19" ht="43.2" x14ac:dyDescent="0.3">
      <c r="A4" s="42" t="s">
        <v>0</v>
      </c>
      <c r="B4" s="42" t="s">
        <v>51</v>
      </c>
      <c r="C4" s="43" t="s">
        <v>52</v>
      </c>
      <c r="D4" s="42" t="s">
        <v>53</v>
      </c>
      <c r="E4" s="44" t="s">
        <v>7</v>
      </c>
      <c r="F4" s="45" t="s">
        <v>8</v>
      </c>
      <c r="G4" s="45" t="s">
        <v>50</v>
      </c>
      <c r="H4" s="45" t="s">
        <v>67</v>
      </c>
      <c r="I4" s="45" t="s">
        <v>68</v>
      </c>
      <c r="J4" s="44" t="s">
        <v>9</v>
      </c>
      <c r="K4" s="44" t="s">
        <v>10</v>
      </c>
      <c r="L4" s="44" t="s">
        <v>2</v>
      </c>
      <c r="M4" s="44" t="s">
        <v>3</v>
      </c>
      <c r="N4" s="44" t="s">
        <v>58</v>
      </c>
      <c r="O4" s="44" t="s">
        <v>59</v>
      </c>
      <c r="P4" s="44" t="s">
        <v>73</v>
      </c>
      <c r="Q4" s="44" t="s">
        <v>65</v>
      </c>
      <c r="R4" s="46" t="s">
        <v>74</v>
      </c>
      <c r="S4" s="46" t="s">
        <v>4</v>
      </c>
    </row>
    <row r="5" spans="1:19" x14ac:dyDescent="0.3">
      <c r="A5" s="2" t="s">
        <v>5</v>
      </c>
      <c r="B5" s="2">
        <f>MONTH(tblEcritures[[#This Row],[Date]])</f>
        <v>8</v>
      </c>
      <c r="C5" s="2">
        <f>YEAR(tblEcritures[[#This Row],[Date]])</f>
        <v>2016</v>
      </c>
      <c r="D5" s="2" t="str">
        <f>CONCATENATE(tblEcritures[[#This Row],[Année-Ecr]],tblEcritures[[#This Row],[Mois]])</f>
        <v>20168</v>
      </c>
      <c r="E5" s="68">
        <v>42583</v>
      </c>
      <c r="F5" s="2" t="s">
        <v>11</v>
      </c>
      <c r="G5" s="2" t="s">
        <v>70</v>
      </c>
      <c r="J5" s="2" t="s">
        <v>12</v>
      </c>
      <c r="K5" s="2"/>
      <c r="L5" s="2">
        <v>20</v>
      </c>
      <c r="M5" s="2"/>
      <c r="N5" s="41" t="s">
        <v>72</v>
      </c>
      <c r="O5" s="41" t="s">
        <v>72</v>
      </c>
      <c r="P5" s="2">
        <f>IF(tblEcritures[[#This Row],[Pointage recette]]="x",tblEcritures[[#This Row],[Recettes]],"")</f>
        <v>20</v>
      </c>
      <c r="Q5" s="2">
        <f>IF(tblEcritures[[#This Row],[Pointage dépense]]="x",tblEcritures[[#This Row],[Dépenses]],"")</f>
        <v>0</v>
      </c>
      <c r="R5" s="20">
        <v>42024</v>
      </c>
      <c r="S5" s="2"/>
    </row>
    <row r="6" spans="1:19" x14ac:dyDescent="0.3">
      <c r="A6" s="2" t="s">
        <v>5</v>
      </c>
      <c r="B6" s="2">
        <f>MONTH(tblEcritures[[#This Row],[Date]])</f>
        <v>2</v>
      </c>
      <c r="C6" s="2">
        <f>YEAR(tblEcritures[[#This Row],[Date]])</f>
        <v>2015</v>
      </c>
      <c r="D6" s="2" t="str">
        <f>CONCATENATE(tblEcritures[[#This Row],[Année-Ecr]],tblEcritures[[#This Row],[Mois]])</f>
        <v>20152</v>
      </c>
      <c r="E6" s="68">
        <v>42045</v>
      </c>
      <c r="F6" s="2" t="s">
        <v>20</v>
      </c>
      <c r="G6" s="2" t="s">
        <v>70</v>
      </c>
      <c r="J6" s="2" t="s">
        <v>12</v>
      </c>
      <c r="K6" s="2"/>
      <c r="L6" s="2">
        <v>50</v>
      </c>
      <c r="M6" s="2"/>
      <c r="O6" s="41"/>
      <c r="P6" s="2" t="str">
        <f>IF(tblEcritures[[#This Row],[Pointage recette]]="x",tblEcritures[[#This Row],[Recettes]],"")</f>
        <v/>
      </c>
      <c r="Q6" s="2" t="str">
        <f>IF(tblEcritures[[#This Row],[Pointage dépense]]="x",tblEcritures[[#This Row],[Dépenses]],"")</f>
        <v/>
      </c>
      <c r="R6" s="20">
        <v>42045</v>
      </c>
      <c r="S6" s="2"/>
    </row>
    <row r="7" spans="1:19" x14ac:dyDescent="0.3">
      <c r="A7" s="2" t="s">
        <v>5</v>
      </c>
      <c r="B7" s="2">
        <f>MONTH(tblEcritures[[#This Row],[Date]])</f>
        <v>3</v>
      </c>
      <c r="C7" s="2">
        <f>YEAR(tblEcritures[[#This Row],[Date]])</f>
        <v>2015</v>
      </c>
      <c r="D7" s="2" t="str">
        <f>CONCATENATE(tblEcritures[[#This Row],[Année-Ecr]],tblEcritures[[#This Row],[Mois]])</f>
        <v>20153</v>
      </c>
      <c r="E7" s="68">
        <v>42064</v>
      </c>
      <c r="F7" s="2" t="s">
        <v>85</v>
      </c>
      <c r="G7" s="2" t="s">
        <v>71</v>
      </c>
      <c r="J7" s="2" t="s">
        <v>48</v>
      </c>
      <c r="K7" s="2" t="s">
        <v>108</v>
      </c>
      <c r="L7" s="2"/>
      <c r="M7" s="2">
        <v>125</v>
      </c>
      <c r="O7" s="41"/>
      <c r="P7" s="2" t="str">
        <f>IF(tblEcritures[[#This Row],[Pointage recette]]="x",tblEcritures[[#This Row],[Recettes]],"")</f>
        <v/>
      </c>
      <c r="Q7" s="2" t="str">
        <f>IF(tblEcritures[[#This Row],[Pointage dépense]]="x",tblEcritures[[#This Row],[Dépenses]],"")</f>
        <v/>
      </c>
      <c r="R7" s="20">
        <v>42083</v>
      </c>
      <c r="S7" s="2"/>
    </row>
    <row r="8" spans="1:19" x14ac:dyDescent="0.3">
      <c r="A8" s="2" t="s">
        <v>5</v>
      </c>
      <c r="B8" s="2">
        <f>MONTH(tblEcritures[[#This Row],[Date]])</f>
        <v>3</v>
      </c>
      <c r="C8" s="2">
        <f>YEAR(tblEcritures[[#This Row],[Date]])</f>
        <v>2015</v>
      </c>
      <c r="D8" s="2" t="str">
        <f>CONCATENATE(tblEcritures[[#This Row],[Année-Ecr]],tblEcritures[[#This Row],[Mois]])</f>
        <v>20153</v>
      </c>
      <c r="E8" s="68">
        <v>42066</v>
      </c>
      <c r="F8" s="2" t="s">
        <v>94</v>
      </c>
      <c r="G8" s="2" t="s">
        <v>71</v>
      </c>
      <c r="H8">
        <v>150</v>
      </c>
      <c r="I8">
        <v>100</v>
      </c>
      <c r="J8" s="2" t="s">
        <v>12</v>
      </c>
      <c r="K8" s="2"/>
      <c r="L8" s="2"/>
      <c r="M8" s="2">
        <v>200</v>
      </c>
      <c r="O8" s="41"/>
      <c r="P8" s="2" t="str">
        <f>IF(tblEcritures[[#This Row],[Pointage recette]]="x",tblEcritures[[#This Row],[Recettes]],"")</f>
        <v/>
      </c>
      <c r="Q8" s="2" t="str">
        <f>IF(tblEcritures[[#This Row],[Pointage dépense]]="x",tblEcritures[[#This Row],[Dépenses]],"")</f>
        <v/>
      </c>
      <c r="R8" s="20">
        <v>42066</v>
      </c>
      <c r="S8" s="2"/>
    </row>
    <row r="9" spans="1:19" x14ac:dyDescent="0.3">
      <c r="A9" s="2" t="s">
        <v>5</v>
      </c>
      <c r="B9" s="2">
        <f>MONTH(tblEcritures[[#This Row],[Date]])</f>
        <v>3</v>
      </c>
      <c r="C9" s="2">
        <f>YEAR(tblEcritures[[#This Row],[Date]])</f>
        <v>2015</v>
      </c>
      <c r="D9" s="2" t="str">
        <f>CONCATENATE(tblEcritures[[#This Row],[Année-Ecr]],tblEcritures[[#This Row],[Mois]])</f>
        <v>20153</v>
      </c>
      <c r="E9" s="68">
        <v>42068</v>
      </c>
      <c r="F9" s="2" t="s">
        <v>21</v>
      </c>
      <c r="G9" s="2" t="str">
        <f>VLOOKUP(tblEcritures[[#This Row],[Libellé]],RechecheV,2,FALSE)</f>
        <v>Charge</v>
      </c>
      <c r="J9" s="2" t="s">
        <v>12</v>
      </c>
      <c r="K9" s="2"/>
      <c r="L9" s="2"/>
      <c r="M9" s="2">
        <v>50</v>
      </c>
      <c r="O9" s="41" t="s">
        <v>72</v>
      </c>
      <c r="P9" s="2" t="str">
        <f>IF(tblEcritures[[#This Row],[Pointage recette]]="x",tblEcritures[[#This Row],[Recettes]],"")</f>
        <v/>
      </c>
      <c r="Q9" s="2">
        <f>IF(tblEcritures[[#This Row],[Pointage dépense]]="x",tblEcritures[[#This Row],[Dépenses]],"")</f>
        <v>50</v>
      </c>
      <c r="R9" s="20">
        <v>42068</v>
      </c>
      <c r="S9" s="2"/>
    </row>
    <row r="10" spans="1:19" x14ac:dyDescent="0.3">
      <c r="A10" s="2" t="s">
        <v>5</v>
      </c>
      <c r="B10" s="2">
        <f>MONTH(tblEcritures[[#This Row],[Date]])</f>
        <v>3</v>
      </c>
      <c r="C10" s="2">
        <f>YEAR(tblEcritures[[#This Row],[Date]])</f>
        <v>2015</v>
      </c>
      <c r="D10" s="2" t="str">
        <f>CONCATENATE(tblEcritures[[#This Row],[Année-Ecr]],tblEcritures[[#This Row],[Mois]])</f>
        <v>20153</v>
      </c>
      <c r="E10" s="68">
        <v>42075</v>
      </c>
      <c r="F10" s="2" t="s">
        <v>22</v>
      </c>
      <c r="G10" s="2" t="str">
        <f>VLOOKUP(tblEcritures[[#This Row],[Libellé]],RechecheV,2,FALSE)</f>
        <v>Charge</v>
      </c>
      <c r="J10" s="2" t="s">
        <v>16</v>
      </c>
      <c r="K10" s="2"/>
      <c r="L10" s="2"/>
      <c r="M10" s="2">
        <v>10</v>
      </c>
      <c r="O10" s="41"/>
      <c r="P10" s="2" t="str">
        <f>IF(tblEcritures[[#This Row],[Pointage recette]]="x",tblEcritures[[#This Row],[Recettes]],"")</f>
        <v/>
      </c>
      <c r="Q10" s="2" t="str">
        <f>IF(tblEcritures[[#This Row],[Pointage dépense]]="x",tblEcritures[[#This Row],[Dépenses]],"")</f>
        <v/>
      </c>
      <c r="R10" s="20">
        <v>42075</v>
      </c>
      <c r="S10" s="2"/>
    </row>
    <row r="11" spans="1:19" x14ac:dyDescent="0.3">
      <c r="A11" s="2" t="s">
        <v>5</v>
      </c>
      <c r="B11" s="2">
        <f>MONTH(tblEcritures[[#This Row],[Date]])</f>
        <v>4</v>
      </c>
      <c r="C11" s="2">
        <f>YEAR(tblEcritures[[#This Row],[Date]])</f>
        <v>2015</v>
      </c>
      <c r="D11" s="2" t="str">
        <f>CONCATENATE(tblEcritures[[#This Row],[Année-Ecr]],tblEcritures[[#This Row],[Mois]])</f>
        <v>20154</v>
      </c>
      <c r="E11" s="68">
        <v>42095</v>
      </c>
      <c r="F11" s="2" t="s">
        <v>95</v>
      </c>
      <c r="G11" s="2" t="s">
        <v>70</v>
      </c>
      <c r="H11">
        <v>3000</v>
      </c>
      <c r="I11">
        <v>3250</v>
      </c>
      <c r="J11" s="2" t="s">
        <v>12</v>
      </c>
      <c r="K11" s="2"/>
      <c r="L11" s="2">
        <v>10</v>
      </c>
      <c r="M11" s="2"/>
      <c r="O11" s="41"/>
      <c r="P11" s="2" t="str">
        <f>IF(tblEcritures[[#This Row],[Pointage recette]]="x",tblEcritures[[#This Row],[Recettes]],"")</f>
        <v/>
      </c>
      <c r="Q11" s="2" t="str">
        <f>IF(tblEcritures[[#This Row],[Pointage dépense]]="x",tblEcritures[[#This Row],[Dépenses]],"")</f>
        <v/>
      </c>
      <c r="R11" s="20">
        <v>42008</v>
      </c>
      <c r="S11" s="2"/>
    </row>
    <row r="12" spans="1:19" x14ac:dyDescent="0.3">
      <c r="A12" s="2" t="s">
        <v>5</v>
      </c>
      <c r="B12" s="2">
        <f>MONTH(tblEcritures[[#This Row],[Date]])</f>
        <v>4</v>
      </c>
      <c r="C12" s="2">
        <f>YEAR(tblEcritures[[#This Row],[Date]])</f>
        <v>2015</v>
      </c>
      <c r="D12" s="2" t="str">
        <f>CONCATENATE(tblEcritures[[#This Row],[Année-Ecr]],tblEcritures[[#This Row],[Mois]])</f>
        <v>20154</v>
      </c>
      <c r="E12" s="68">
        <v>42096</v>
      </c>
      <c r="F12" s="2" t="s">
        <v>88</v>
      </c>
      <c r="G12" s="2" t="s">
        <v>70</v>
      </c>
      <c r="J12" s="2" t="s">
        <v>12</v>
      </c>
      <c r="K12" s="2" t="s">
        <v>108</v>
      </c>
      <c r="L12" s="2">
        <v>10</v>
      </c>
      <c r="M12" s="2"/>
      <c r="O12" s="41"/>
      <c r="P12" s="2" t="str">
        <f>IF(tblEcritures[[#This Row],[Pointage recette]]="x",tblEcritures[[#This Row],[Recettes]],"")</f>
        <v/>
      </c>
      <c r="Q12" s="2" t="str">
        <f>IF(tblEcritures[[#This Row],[Pointage dépense]]="x",tblEcritures[[#This Row],[Dépenses]],"")</f>
        <v/>
      </c>
      <c r="R12" s="20">
        <v>42083</v>
      </c>
      <c r="S12" s="2"/>
    </row>
    <row r="13" spans="1:19" x14ac:dyDescent="0.3">
      <c r="A13" s="2" t="s">
        <v>5</v>
      </c>
      <c r="B13" s="2">
        <f>MONTH(tblEcritures[[#This Row],[Date]])</f>
        <v>2</v>
      </c>
      <c r="C13" s="2">
        <f>YEAR(tblEcritures[[#This Row],[Date]])</f>
        <v>2015</v>
      </c>
      <c r="D13" s="2" t="str">
        <f>CONCATENATE(tblEcritures[[#This Row],[Année-Ecr]],tblEcritures[[#This Row],[Mois]])</f>
        <v>20152</v>
      </c>
      <c r="E13" s="68">
        <v>42052</v>
      </c>
      <c r="F13" s="2" t="s">
        <v>89</v>
      </c>
      <c r="G13" s="2" t="s">
        <v>71</v>
      </c>
      <c r="J13" s="2" t="s">
        <v>12</v>
      </c>
      <c r="K13" s="2" t="s">
        <v>109</v>
      </c>
      <c r="L13" s="2"/>
      <c r="M13" s="2">
        <v>10</v>
      </c>
      <c r="O13" s="41"/>
      <c r="P13" s="2" t="str">
        <f>IF(tblEcritures[[#This Row],[Pointage recette]]="x",tblEcritures[[#This Row],[Recettes]],"")</f>
        <v/>
      </c>
      <c r="Q13" s="2" t="str">
        <f>IF(tblEcritures[[#This Row],[Pointage dépense]]="x",tblEcritures[[#This Row],[Dépenses]],"")</f>
        <v/>
      </c>
      <c r="R13" s="20">
        <v>42052</v>
      </c>
      <c r="S13" s="2"/>
    </row>
    <row r="14" spans="1:19" x14ac:dyDescent="0.3">
      <c r="A14" s="2" t="s">
        <v>5</v>
      </c>
      <c r="B14" s="2">
        <f>MONTH(tblEcritures[[#This Row],[Date]])</f>
        <v>2</v>
      </c>
      <c r="C14" s="2">
        <f>YEAR(tblEcritures[[#This Row],[Date]])</f>
        <v>2016</v>
      </c>
      <c r="D14" s="2" t="str">
        <f>CONCATENATE(tblEcritures[[#This Row],[Année-Ecr]],tblEcritures[[#This Row],[Mois]])</f>
        <v>20162</v>
      </c>
      <c r="E14" s="68">
        <v>42417</v>
      </c>
      <c r="F14" s="2" t="s">
        <v>86</v>
      </c>
      <c r="G14" s="2" t="s">
        <v>71</v>
      </c>
      <c r="H14">
        <v>300</v>
      </c>
      <c r="I14">
        <v>300</v>
      </c>
      <c r="J14" s="2" t="s">
        <v>12</v>
      </c>
      <c r="K14" s="2" t="s">
        <v>108</v>
      </c>
      <c r="L14" s="2"/>
      <c r="M14" s="2">
        <v>100</v>
      </c>
      <c r="O14" s="41"/>
      <c r="P14" s="2" t="str">
        <f>IF(tblEcritures[[#This Row],[Pointage recette]]="x",tblEcritures[[#This Row],[Recettes]],"")</f>
        <v/>
      </c>
      <c r="Q14" s="2" t="str">
        <f>IF(tblEcritures[[#This Row],[Pointage dépense]]="x",tblEcritures[[#This Row],[Dépenses]],"")</f>
        <v/>
      </c>
      <c r="R14" s="20">
        <v>42066</v>
      </c>
      <c r="S14" s="2"/>
    </row>
    <row r="15" spans="1:19" x14ac:dyDescent="0.3">
      <c r="A15" s="2" t="s">
        <v>5</v>
      </c>
      <c r="B15" s="2">
        <f>MONTH(tblEcritures[[#This Row],[Date]])</f>
        <v>1</v>
      </c>
      <c r="C15" s="2">
        <f>YEAR(tblEcritures[[#This Row],[Date]])</f>
        <v>2016</v>
      </c>
      <c r="D15" s="2" t="str">
        <f>CONCATENATE(tblEcritures[[#This Row],[Année-Ecr]],tblEcritures[[#This Row],[Mois]])</f>
        <v>20161</v>
      </c>
      <c r="E15" s="68">
        <v>42387</v>
      </c>
      <c r="F15" s="2" t="s">
        <v>25</v>
      </c>
      <c r="G15" s="2" t="str">
        <f>VLOOKUP(tblEcritures[[#This Row],[Libellé]],RechecheV,2,FALSE)</f>
        <v>Charge</v>
      </c>
      <c r="J15" s="2" t="s">
        <v>12</v>
      </c>
      <c r="K15" s="2"/>
      <c r="L15" s="2"/>
      <c r="M15" s="2">
        <v>10</v>
      </c>
      <c r="N15" s="41" t="s">
        <v>72</v>
      </c>
      <c r="O15" s="41"/>
      <c r="P15" s="2">
        <f>IF(tblEcritures[[#This Row],[Pointage recette]]="x",tblEcritures[[#This Row],[Recettes]],"")</f>
        <v>0</v>
      </c>
      <c r="Q15" s="2" t="str">
        <f>IF(tblEcritures[[#This Row],[Pointage dépense]]="x",tblEcritures[[#This Row],[Dépenses]],"")</f>
        <v/>
      </c>
      <c r="R15" s="20">
        <v>42022</v>
      </c>
      <c r="S15" s="2"/>
    </row>
    <row r="16" spans="1:19" x14ac:dyDescent="0.3">
      <c r="A16" s="2" t="s">
        <v>5</v>
      </c>
      <c r="B16" s="2">
        <f>MONTH(tblEcritures[[#This Row],[Date]])</f>
        <v>1</v>
      </c>
      <c r="C16" s="2">
        <f>YEAR(tblEcritures[[#This Row],[Date]])</f>
        <v>2016</v>
      </c>
      <c r="D16" s="2" t="str">
        <f>CONCATENATE(tblEcritures[[#This Row],[Année-Ecr]],tblEcritures[[#This Row],[Mois]])</f>
        <v>20161</v>
      </c>
      <c r="E16" s="68">
        <v>42387</v>
      </c>
      <c r="F16" s="2" t="s">
        <v>87</v>
      </c>
      <c r="G16" s="2" t="s">
        <v>71</v>
      </c>
      <c r="J16" s="2" t="s">
        <v>12</v>
      </c>
      <c r="K16" s="2" t="s">
        <v>108</v>
      </c>
      <c r="L16" s="2"/>
      <c r="M16" s="2">
        <v>10</v>
      </c>
      <c r="O16" s="41"/>
      <c r="P16" s="2" t="str">
        <f>IF(tblEcritures[[#This Row],[Pointage recette]]="x",tblEcritures[[#This Row],[Recettes]],"")</f>
        <v/>
      </c>
      <c r="Q16" s="2" t="str">
        <f>IF(tblEcritures[[#This Row],[Pointage dépense]]="x",tblEcritures[[#This Row],[Dépenses]],"")</f>
        <v/>
      </c>
      <c r="R16" s="20">
        <v>42068</v>
      </c>
      <c r="S16" s="2"/>
    </row>
    <row r="17" spans="1:19" x14ac:dyDescent="0.3">
      <c r="A17" s="2" t="s">
        <v>5</v>
      </c>
      <c r="B17" s="2">
        <f>MONTH(tblEcritures[[#This Row],[Date]])</f>
        <v>3</v>
      </c>
      <c r="C17" s="2">
        <f>YEAR(tblEcritures[[#This Row],[Date]])</f>
        <v>2016</v>
      </c>
      <c r="D17" s="2" t="str">
        <f>CONCATENATE(tblEcritures[[#This Row],[Année-Ecr]],tblEcritures[[#This Row],[Mois]])</f>
        <v>20163</v>
      </c>
      <c r="E17" s="68">
        <v>42448</v>
      </c>
      <c r="F17" s="2" t="s">
        <v>26</v>
      </c>
      <c r="G17" s="2" t="str">
        <f>VLOOKUP(tblEcritures[[#This Row],[Libellé]],RechecheV,2,FALSE)</f>
        <v>Charge</v>
      </c>
      <c r="H17">
        <v>285</v>
      </c>
      <c r="I17">
        <v>285</v>
      </c>
      <c r="J17" s="2" t="s">
        <v>12</v>
      </c>
      <c r="K17" s="2"/>
      <c r="L17" s="2"/>
      <c r="M17" s="2">
        <v>10</v>
      </c>
      <c r="O17" s="41"/>
      <c r="P17" s="2" t="str">
        <f>IF(tblEcritures[[#This Row],[Pointage recette]]="x",tblEcritures[[#This Row],[Recettes]],"")</f>
        <v/>
      </c>
      <c r="Q17" s="2" t="str">
        <f>IF(tblEcritures[[#This Row],[Pointage dépense]]="x",tblEcritures[[#This Row],[Dépenses]],"")</f>
        <v/>
      </c>
      <c r="R17" s="20">
        <v>42278</v>
      </c>
      <c r="S17" s="2"/>
    </row>
    <row r="18" spans="1:19" x14ac:dyDescent="0.3">
      <c r="A18" s="2" t="s">
        <v>5</v>
      </c>
      <c r="B18" s="2">
        <f>MONTH(tblEcritures[[#This Row],[Date]])</f>
        <v>3</v>
      </c>
      <c r="C18" s="2">
        <f>YEAR(tblEcritures[[#This Row],[Date]])</f>
        <v>2016</v>
      </c>
      <c r="D18" s="2" t="str">
        <f>CONCATENATE(tblEcritures[[#This Row],[Année-Ecr]],tblEcritures[[#This Row],[Mois]])</f>
        <v>20163</v>
      </c>
      <c r="E18" s="68">
        <v>42448</v>
      </c>
      <c r="F18" s="2" t="s">
        <v>43</v>
      </c>
      <c r="G18" s="2" t="str">
        <f>VLOOKUP(tblEcritures[[#This Row],[Libellé]],RechecheV,2,FALSE)</f>
        <v>Produit</v>
      </c>
      <c r="J18" s="2" t="s">
        <v>12</v>
      </c>
      <c r="K18" s="2"/>
      <c r="L18" s="2">
        <v>25</v>
      </c>
      <c r="M18" s="2"/>
      <c r="N18" s="41" t="s">
        <v>72</v>
      </c>
      <c r="O18" s="41"/>
      <c r="P18" s="2">
        <f>IF(tblEcritures[[#This Row],[Pointage recette]]="x",tblEcritures[[#This Row],[Recettes]],"")</f>
        <v>25</v>
      </c>
      <c r="Q18" s="2" t="str">
        <f>IF(tblEcritures[[#This Row],[Pointage dépense]]="x",tblEcritures[[#This Row],[Dépenses]],"")</f>
        <v/>
      </c>
      <c r="R18" s="20">
        <v>42075</v>
      </c>
      <c r="S18" s="2"/>
    </row>
    <row r="19" spans="1:19" x14ac:dyDescent="0.3">
      <c r="A19" s="2" t="s">
        <v>5</v>
      </c>
      <c r="B19" s="2">
        <f>MONTH(tblEcritures[[#This Row],[Date]])</f>
        <v>2</v>
      </c>
      <c r="C19" s="2">
        <f>YEAR(tblEcritures[[#This Row],[Date]])</f>
        <v>2016</v>
      </c>
      <c r="D19" s="2" t="str">
        <f>CONCATENATE(tblEcritures[[#This Row],[Année-Ecr]],tblEcritures[[#This Row],[Mois]])</f>
        <v>20162</v>
      </c>
      <c r="E19" s="68">
        <v>42420</v>
      </c>
      <c r="F19" s="2" t="s">
        <v>27</v>
      </c>
      <c r="G19" s="2" t="s">
        <v>70</v>
      </c>
      <c r="H19">
        <v>425</v>
      </c>
      <c r="I19">
        <v>400</v>
      </c>
      <c r="J19" s="2" t="s">
        <v>12</v>
      </c>
      <c r="K19" s="2"/>
      <c r="L19" s="2">
        <v>25</v>
      </c>
      <c r="M19" s="2"/>
      <c r="O19" s="41"/>
      <c r="P19" s="2" t="str">
        <f>IF(tblEcritures[[#This Row],[Pointage recette]]="x",tblEcritures[[#This Row],[Recettes]],"")</f>
        <v/>
      </c>
      <c r="Q19" s="2" t="str">
        <f>IF(tblEcritures[[#This Row],[Pointage dépense]]="x",tblEcritures[[#This Row],[Dépenses]],"")</f>
        <v/>
      </c>
      <c r="R19" s="20">
        <v>42055</v>
      </c>
      <c r="S19" s="2"/>
    </row>
    <row r="20" spans="1:19" x14ac:dyDescent="0.3">
      <c r="A20" s="2" t="s">
        <v>5</v>
      </c>
      <c r="B20" s="34">
        <f>MONTH(tblEcritures[[#This Row],[Date]])</f>
        <v>3</v>
      </c>
      <c r="C20" s="34">
        <f>YEAR(tblEcritures[[#This Row],[Date]])</f>
        <v>2016</v>
      </c>
      <c r="D20" s="34" t="str">
        <f>CONCATENATE(tblEcritures[[#This Row],[Année-Ecr]],tblEcritures[[#This Row],[Mois]])</f>
        <v>20163</v>
      </c>
      <c r="E20" s="69" t="s">
        <v>98</v>
      </c>
      <c r="F20" s="34" t="s">
        <v>99</v>
      </c>
      <c r="G20" s="34" t="s">
        <v>71</v>
      </c>
      <c r="H20" s="2">
        <v>80</v>
      </c>
      <c r="I20" s="2">
        <v>70</v>
      </c>
      <c r="J20" s="34" t="s">
        <v>16</v>
      </c>
      <c r="K20" s="34"/>
      <c r="L20" s="34"/>
      <c r="M20" s="34">
        <v>75</v>
      </c>
      <c r="N20" s="62"/>
      <c r="O20" s="62"/>
      <c r="P20" s="34" t="str">
        <f>IF(tblEcritures[[#This Row],[Pointage recette]]="x",tblEcritures[[#This Row],[Recettes]],"")</f>
        <v/>
      </c>
      <c r="Q20" s="34" t="str">
        <f>IF(tblEcritures[[#This Row],[Pointage dépense]]="x",tblEcritures[[#This Row],[Dépenses]],"")</f>
        <v/>
      </c>
      <c r="R20" s="61">
        <v>42445.691203703704</v>
      </c>
      <c r="S20" s="34"/>
    </row>
    <row r="21" spans="1:19" x14ac:dyDescent="0.3">
      <c r="A21" s="2" t="s">
        <v>5</v>
      </c>
      <c r="B21" s="34">
        <f>MONTH(tblEcritures[[#This Row],[Date]])</f>
        <v>3</v>
      </c>
      <c r="C21" s="34">
        <f>YEAR(tblEcritures[[#This Row],[Date]])</f>
        <v>2016</v>
      </c>
      <c r="D21" s="34" t="str">
        <f>CONCATENATE(tblEcritures[[#This Row],[Année-Ecr]],tblEcritures[[#This Row],[Mois]])</f>
        <v>20163</v>
      </c>
      <c r="E21" s="69" t="s">
        <v>106</v>
      </c>
      <c r="F21" s="34" t="s">
        <v>105</v>
      </c>
      <c r="G21" s="34" t="s">
        <v>71</v>
      </c>
      <c r="H21" s="2">
        <v>140</v>
      </c>
      <c r="I21" s="2">
        <v>140</v>
      </c>
      <c r="J21" s="34" t="s">
        <v>48</v>
      </c>
      <c r="K21" s="34"/>
      <c r="L21" s="34"/>
      <c r="M21" s="34">
        <v>150</v>
      </c>
      <c r="N21" s="62"/>
      <c r="O21" s="62"/>
      <c r="P21" s="34" t="str">
        <f>IF(tblEcritures[[#This Row],[Pointage recette]]="x",tblEcritures[[#This Row],[Recettes]],"")</f>
        <v/>
      </c>
      <c r="Q21" s="34" t="str">
        <f>IF(tblEcritures[[#This Row],[Pointage dépense]]="x",tblEcritures[[#This Row],[Dépenses]],"")</f>
        <v/>
      </c>
      <c r="R21" s="61">
        <v>42445.842858796299</v>
      </c>
      <c r="S21" s="34"/>
    </row>
    <row r="22" spans="1:19" x14ac:dyDescent="0.3">
      <c r="A22" s="34" t="s">
        <v>5</v>
      </c>
      <c r="B22" s="34">
        <f>MONTH(tblEcritures[[#This Row],[Date]])</f>
        <v>3</v>
      </c>
      <c r="C22" s="34">
        <f>YEAR(tblEcritures[[#This Row],[Date]])</f>
        <v>2016</v>
      </c>
      <c r="D22" s="34" t="str">
        <f>CONCATENATE(tblEcritures[[#This Row],[Année-Ecr]],tblEcritures[[#This Row],[Mois]])</f>
        <v>20163</v>
      </c>
      <c r="E22" s="69" t="s">
        <v>98</v>
      </c>
      <c r="F22" s="34" t="s">
        <v>107</v>
      </c>
      <c r="G22" s="34" t="s">
        <v>71</v>
      </c>
      <c r="H22" s="2">
        <v>125</v>
      </c>
      <c r="I22" s="2">
        <v>100</v>
      </c>
      <c r="J22" s="34" t="s">
        <v>16</v>
      </c>
      <c r="K22" s="34"/>
      <c r="L22" s="34"/>
      <c r="M22" s="34">
        <v>50</v>
      </c>
      <c r="N22" s="62"/>
      <c r="O22" s="62"/>
      <c r="P22" s="34" t="str">
        <f>IF(tblEcritures[[#This Row],[Pointage recette]]="x",tblEcritures[[#This Row],[Recettes]],"")</f>
        <v/>
      </c>
      <c r="Q22" s="34" t="str">
        <f>IF(tblEcritures[[#This Row],[Pointage dépense]]="x",tblEcritures[[#This Row],[Dépenses]],"")</f>
        <v/>
      </c>
      <c r="R22" s="61">
        <v>42445.891446759262</v>
      </c>
      <c r="S22" s="34"/>
    </row>
    <row r="23" spans="1:19" x14ac:dyDescent="0.3">
      <c r="A23" s="34" t="s">
        <v>111</v>
      </c>
      <c r="B23" s="34">
        <f>MONTH(tblEcritures[[#This Row],[Date]])</f>
        <v>3</v>
      </c>
      <c r="C23" s="34">
        <f>YEAR(tblEcritures[[#This Row],[Date]])</f>
        <v>2016</v>
      </c>
      <c r="D23" s="34" t="str">
        <f>CONCATENATE(tblEcritures[[#This Row],[Année-Ecr]],tblEcritures[[#This Row],[Mois]])</f>
        <v>20163</v>
      </c>
      <c r="E23" s="69" t="s">
        <v>98</v>
      </c>
      <c r="F23" s="34" t="s">
        <v>112</v>
      </c>
      <c r="G23" s="34" t="s">
        <v>71</v>
      </c>
      <c r="H23" s="2">
        <v>25</v>
      </c>
      <c r="I23" s="2">
        <v>20</v>
      </c>
      <c r="J23" s="34" t="s">
        <v>16</v>
      </c>
      <c r="K23" s="34"/>
      <c r="L23" s="34"/>
      <c r="M23" s="34">
        <v>20</v>
      </c>
      <c r="N23" s="62"/>
      <c r="O23" s="62" t="s">
        <v>72</v>
      </c>
      <c r="P23" s="34" t="str">
        <f>IF(tblEcritures[[#This Row],[Pointage recette]]="x",tblEcritures[[#This Row],[Recettes]],"")</f>
        <v/>
      </c>
      <c r="Q23" s="34">
        <f>IF(tblEcritures[[#This Row],[Pointage dépense]]="x",tblEcritures[[#This Row],[Dépenses]],"")</f>
        <v>20</v>
      </c>
      <c r="R23" s="61">
        <v>42446.387812499997</v>
      </c>
      <c r="S23" s="34"/>
    </row>
    <row r="24" spans="1:19" x14ac:dyDescent="0.3">
      <c r="E24" s="70"/>
      <c r="F24"/>
      <c r="J24"/>
      <c r="M24"/>
      <c r="N24"/>
    </row>
    <row r="25" spans="1:19" x14ac:dyDescent="0.3">
      <c r="E25" s="70"/>
      <c r="F25"/>
      <c r="J25"/>
      <c r="M25"/>
      <c r="N25"/>
    </row>
    <row r="26" spans="1:19" x14ac:dyDescent="0.3">
      <c r="E26" s="70"/>
      <c r="F26"/>
      <c r="J26"/>
      <c r="M26"/>
      <c r="N26"/>
    </row>
    <row r="27" spans="1:19" x14ac:dyDescent="0.3">
      <c r="E27" s="70"/>
      <c r="F27"/>
      <c r="J27"/>
      <c r="M27"/>
      <c r="N27"/>
    </row>
    <row r="28" spans="1:19" x14ac:dyDescent="0.3">
      <c r="E28" s="70"/>
      <c r="F28"/>
      <c r="J28"/>
      <c r="M28"/>
      <c r="N28"/>
    </row>
    <row r="29" spans="1:19" x14ac:dyDescent="0.3">
      <c r="E29" s="70"/>
      <c r="F29"/>
      <c r="J29"/>
      <c r="M29"/>
      <c r="N29"/>
    </row>
    <row r="30" spans="1:19" x14ac:dyDescent="0.3">
      <c r="E30" s="70"/>
      <c r="F30"/>
      <c r="J30"/>
      <c r="M30"/>
      <c r="N30"/>
    </row>
    <row r="31" spans="1:19" x14ac:dyDescent="0.3">
      <c r="E31" s="70"/>
      <c r="F31"/>
      <c r="J31"/>
      <c r="M31"/>
      <c r="N31"/>
    </row>
    <row r="32" spans="1:19" x14ac:dyDescent="0.3">
      <c r="E32" s="70"/>
      <c r="F32"/>
      <c r="J32"/>
      <c r="M32"/>
      <c r="N32"/>
    </row>
    <row r="33" spans="5:20" x14ac:dyDescent="0.3">
      <c r="E33" s="70"/>
      <c r="F33"/>
      <c r="J33"/>
      <c r="M33"/>
      <c r="N33"/>
    </row>
    <row r="34" spans="5:20" x14ac:dyDescent="0.3">
      <c r="F34"/>
      <c r="J34"/>
      <c r="M34"/>
      <c r="N34"/>
      <c r="T34" t="s">
        <v>114</v>
      </c>
    </row>
    <row r="35" spans="5:20" x14ac:dyDescent="0.3">
      <c r="F35"/>
      <c r="J35"/>
      <c r="M35"/>
      <c r="N35"/>
    </row>
    <row r="36" spans="5:20" x14ac:dyDescent="0.3">
      <c r="F36"/>
      <c r="J36"/>
      <c r="M36"/>
      <c r="N36"/>
    </row>
    <row r="37" spans="5:20" x14ac:dyDescent="0.3">
      <c r="F37"/>
      <c r="J37"/>
      <c r="M37"/>
      <c r="N37"/>
    </row>
    <row r="38" spans="5:20" x14ac:dyDescent="0.3">
      <c r="F38"/>
      <c r="J38"/>
      <c r="M38"/>
      <c r="N38"/>
    </row>
    <row r="39" spans="5:20" x14ac:dyDescent="0.3">
      <c r="F39"/>
      <c r="J39"/>
      <c r="M39"/>
      <c r="N39"/>
    </row>
    <row r="40" spans="5:20" x14ac:dyDescent="0.3">
      <c r="F40"/>
      <c r="J40"/>
      <c r="M40"/>
      <c r="N40"/>
    </row>
    <row r="41" spans="5:20" x14ac:dyDescent="0.3">
      <c r="F41"/>
      <c r="J41"/>
      <c r="M41"/>
      <c r="N41"/>
    </row>
    <row r="42" spans="5:20" x14ac:dyDescent="0.3">
      <c r="F42"/>
      <c r="J42"/>
      <c r="M42"/>
      <c r="N42"/>
    </row>
    <row r="43" spans="5:20" x14ac:dyDescent="0.3">
      <c r="F43"/>
      <c r="J43"/>
      <c r="M43"/>
      <c r="N43"/>
    </row>
    <row r="44" spans="5:20" x14ac:dyDescent="0.3">
      <c r="F44"/>
      <c r="J44"/>
      <c r="M44"/>
      <c r="N44"/>
    </row>
    <row r="45" spans="5:20" x14ac:dyDescent="0.3">
      <c r="F45"/>
      <c r="J45"/>
      <c r="M45"/>
      <c r="N45"/>
    </row>
    <row r="46" spans="5:20" x14ac:dyDescent="0.3">
      <c r="F46"/>
      <c r="J46"/>
      <c r="M46"/>
      <c r="N46"/>
    </row>
    <row r="47" spans="5:20" x14ac:dyDescent="0.3">
      <c r="F47"/>
      <c r="J47"/>
      <c r="M47"/>
      <c r="N47"/>
    </row>
    <row r="48" spans="5:20" x14ac:dyDescent="0.3">
      <c r="F48"/>
      <c r="J48"/>
      <c r="M48"/>
      <c r="N48"/>
    </row>
    <row r="49" spans="6:14" x14ac:dyDescent="0.3">
      <c r="F49"/>
      <c r="J49"/>
      <c r="M49"/>
      <c r="N49"/>
    </row>
    <row r="50" spans="6:14" x14ac:dyDescent="0.3">
      <c r="F50"/>
      <c r="J50"/>
      <c r="M50"/>
      <c r="N50"/>
    </row>
    <row r="51" spans="6:14" x14ac:dyDescent="0.3">
      <c r="F51"/>
      <c r="J51"/>
      <c r="M51"/>
      <c r="N51"/>
    </row>
    <row r="52" spans="6:14" x14ac:dyDescent="0.3">
      <c r="F52"/>
      <c r="J52"/>
      <c r="M52"/>
      <c r="N52"/>
    </row>
    <row r="53" spans="6:14" x14ac:dyDescent="0.3">
      <c r="F53"/>
      <c r="J53"/>
      <c r="M53"/>
      <c r="N53"/>
    </row>
    <row r="54" spans="6:14" x14ac:dyDescent="0.3">
      <c r="F54"/>
      <c r="J54"/>
      <c r="M54"/>
      <c r="N54"/>
    </row>
    <row r="55" spans="6:14" x14ac:dyDescent="0.3">
      <c r="F55"/>
      <c r="J55"/>
      <c r="M55"/>
      <c r="N55"/>
    </row>
    <row r="56" spans="6:14" x14ac:dyDescent="0.3">
      <c r="F56"/>
      <c r="J56"/>
      <c r="M56"/>
      <c r="N56"/>
    </row>
    <row r="57" spans="6:14" x14ac:dyDescent="0.3">
      <c r="F57"/>
      <c r="J57"/>
      <c r="M57"/>
      <c r="N57"/>
    </row>
  </sheetData>
  <dataValidations count="1">
    <dataValidation type="list" allowBlank="1" showInputMessage="1" showErrorMessage="1" sqref="J5:J23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elerUserForm">
                <anchor>
                  <from>
                    <xdr:col>19</xdr:col>
                    <xdr:colOff>411480</xdr:colOff>
                    <xdr:row>2</xdr:row>
                    <xdr:rowOff>60960</xdr:rowOff>
                  </from>
                  <to>
                    <xdr:col>21</xdr:col>
                    <xdr:colOff>655320</xdr:colOff>
                    <xdr:row>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nsert_der_lig">
                <anchor>
                  <from>
                    <xdr:col>19</xdr:col>
                    <xdr:colOff>411480</xdr:colOff>
                    <xdr:row>6</xdr:row>
                    <xdr:rowOff>137160</xdr:rowOff>
                  </from>
                  <to>
                    <xdr:col>21</xdr:col>
                    <xdr:colOff>655320</xdr:colOff>
                    <xdr:row>10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_lig">
                <anchor>
                  <from>
                    <xdr:col>19</xdr:col>
                    <xdr:colOff>411480</xdr:colOff>
                    <xdr:row>13</xdr:row>
                    <xdr:rowOff>7620</xdr:rowOff>
                  </from>
                  <to>
                    <xdr:col>21</xdr:col>
                    <xdr:colOff>655320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quitter">
                <anchor>
                  <from>
                    <xdr:col>19</xdr:col>
                    <xdr:colOff>411480</xdr:colOff>
                    <xdr:row>19</xdr:row>
                    <xdr:rowOff>45720</xdr:rowOff>
                  </from>
                  <to>
                    <xdr:col>21</xdr:col>
                    <xdr:colOff>655320</xdr:colOff>
                    <xdr:row>23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Nvelledate">
                <anchor>
                  <from>
                    <xdr:col>19</xdr:col>
                    <xdr:colOff>411480</xdr:colOff>
                    <xdr:row>26</xdr:row>
                    <xdr:rowOff>45720</xdr:rowOff>
                  </from>
                  <to>
                    <xdr:col>21</xdr:col>
                    <xdr:colOff>655320</xdr:colOff>
                    <xdr:row>30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G5:G23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D19"/>
  <sheetViews>
    <sheetView tabSelected="1" zoomScale="70" zoomScaleNormal="70" workbookViewId="0">
      <selection activeCell="H16" sqref="H16"/>
    </sheetView>
  </sheetViews>
  <sheetFormatPr baseColWidth="10" defaultRowHeight="14.4" x14ac:dyDescent="0.3"/>
  <cols>
    <col min="1" max="1" width="34.44140625" customWidth="1"/>
    <col min="2" max="2" width="27.5546875" customWidth="1"/>
    <col min="3" max="3" width="26.77734375" bestFit="1" customWidth="1"/>
    <col min="4" max="4" width="14.109375" bestFit="1" customWidth="1"/>
    <col min="5" max="5" width="4.6640625" bestFit="1" customWidth="1"/>
    <col min="6" max="6" width="2.44140625" bestFit="1" customWidth="1"/>
    <col min="7" max="7" width="3.5546875" bestFit="1" customWidth="1"/>
    <col min="8" max="8" width="14.109375" bestFit="1" customWidth="1"/>
    <col min="9" max="9" width="11.88671875" bestFit="1" customWidth="1"/>
    <col min="10" max="22" width="10.77734375" bestFit="1" customWidth="1"/>
    <col min="23" max="23" width="5.88671875" bestFit="1" customWidth="1"/>
    <col min="24" max="24" width="11.88671875" bestFit="1" customWidth="1"/>
  </cols>
  <sheetData>
    <row r="4" spans="2:4" x14ac:dyDescent="0.3">
      <c r="C4" s="49" t="s">
        <v>97</v>
      </c>
    </row>
    <row r="5" spans="2:4" x14ac:dyDescent="0.3">
      <c r="B5" s="49" t="s">
        <v>60</v>
      </c>
      <c r="C5" s="2">
        <v>3</v>
      </c>
      <c r="D5" s="2" t="s">
        <v>61</v>
      </c>
    </row>
    <row r="6" spans="2:4" x14ac:dyDescent="0.3">
      <c r="B6" s="50" t="s">
        <v>62</v>
      </c>
      <c r="C6" s="60"/>
      <c r="D6" s="60"/>
    </row>
    <row r="7" spans="2:4" x14ac:dyDescent="0.3">
      <c r="B7" s="65" t="s">
        <v>85</v>
      </c>
      <c r="C7" s="60">
        <v>125</v>
      </c>
      <c r="D7" s="60">
        <v>125</v>
      </c>
    </row>
    <row r="8" spans="2:4" x14ac:dyDescent="0.3">
      <c r="B8" s="65" t="s">
        <v>94</v>
      </c>
      <c r="C8" s="60">
        <v>200</v>
      </c>
      <c r="D8" s="60">
        <v>200</v>
      </c>
    </row>
    <row r="9" spans="2:4" x14ac:dyDescent="0.3">
      <c r="B9" s="65" t="s">
        <v>99</v>
      </c>
      <c r="C9" s="60">
        <v>75</v>
      </c>
      <c r="D9" s="60">
        <v>75</v>
      </c>
    </row>
    <row r="10" spans="2:4" x14ac:dyDescent="0.3">
      <c r="B10" s="65" t="s">
        <v>105</v>
      </c>
      <c r="C10" s="60">
        <v>150</v>
      </c>
      <c r="D10" s="60">
        <v>150</v>
      </c>
    </row>
    <row r="11" spans="2:4" x14ac:dyDescent="0.3">
      <c r="B11" s="65" t="s">
        <v>107</v>
      </c>
      <c r="C11" s="60">
        <v>50</v>
      </c>
      <c r="D11" s="60">
        <v>50</v>
      </c>
    </row>
    <row r="12" spans="2:4" x14ac:dyDescent="0.3">
      <c r="B12" s="50" t="s">
        <v>63</v>
      </c>
      <c r="C12" s="60"/>
      <c r="D12" s="60"/>
    </row>
    <row r="13" spans="2:4" x14ac:dyDescent="0.3">
      <c r="B13" s="65" t="s">
        <v>85</v>
      </c>
      <c r="C13" s="60"/>
      <c r="D13" s="60"/>
    </row>
    <row r="14" spans="2:4" x14ac:dyDescent="0.3">
      <c r="B14" s="65" t="s">
        <v>94</v>
      </c>
      <c r="C14" s="60"/>
      <c r="D14" s="60"/>
    </row>
    <row r="15" spans="2:4" x14ac:dyDescent="0.3">
      <c r="B15" s="65" t="s">
        <v>99</v>
      </c>
      <c r="C15" s="60"/>
      <c r="D15" s="60"/>
    </row>
    <row r="16" spans="2:4" x14ac:dyDescent="0.3">
      <c r="B16" s="65" t="s">
        <v>105</v>
      </c>
      <c r="C16" s="60"/>
      <c r="D16" s="60"/>
    </row>
    <row r="17" spans="2:4" x14ac:dyDescent="0.3">
      <c r="B17" s="65" t="s">
        <v>107</v>
      </c>
      <c r="C17" s="60"/>
      <c r="D17" s="60"/>
    </row>
    <row r="18" spans="2:4" x14ac:dyDescent="0.3">
      <c r="B18" s="50" t="s">
        <v>100</v>
      </c>
      <c r="C18" s="60">
        <v>600</v>
      </c>
      <c r="D18" s="60">
        <v>600</v>
      </c>
    </row>
    <row r="19" spans="2:4" x14ac:dyDescent="0.3">
      <c r="B19" s="50" t="s">
        <v>110</v>
      </c>
      <c r="C19" s="60"/>
      <c r="D19" s="60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er_Libellé_TCD_par_regroup">
                <anchor moveWithCells="1" sizeWithCells="1">
                  <from>
                    <xdr:col>7</xdr:col>
                    <xdr:colOff>7620</xdr:colOff>
                    <xdr:row>3</xdr:row>
                    <xdr:rowOff>152400</xdr:rowOff>
                  </from>
                  <to>
                    <xdr:col>9</xdr:col>
                    <xdr:colOff>701040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42"/>
  <sheetViews>
    <sheetView zoomScale="80" zoomScaleNormal="80" workbookViewId="0">
      <selection activeCell="H7" sqref="H7"/>
    </sheetView>
  </sheetViews>
  <sheetFormatPr baseColWidth="10" defaultRowHeight="14.4" x14ac:dyDescent="0.3"/>
  <cols>
    <col min="1" max="1" width="21" customWidth="1"/>
    <col min="2" max="2" width="19.109375" customWidth="1"/>
    <col min="3" max="3" width="18.21875" customWidth="1"/>
    <col min="4" max="4" width="3" customWidth="1"/>
    <col min="5" max="5" width="4" customWidth="1"/>
    <col min="6" max="6" width="5.88671875" customWidth="1"/>
    <col min="7" max="7" width="21" customWidth="1"/>
    <col min="8" max="8" width="19.109375" customWidth="1"/>
    <col min="9" max="9" width="27.88671875" customWidth="1"/>
    <col min="10" max="11" width="26" customWidth="1"/>
  </cols>
  <sheetData>
    <row r="2" spans="1:11" ht="31.2" x14ac:dyDescent="0.3">
      <c r="A2" s="25" t="s">
        <v>64</v>
      </c>
      <c r="B2" s="36">
        <f>MATCH("Total général",A:A,0)</f>
        <v>18</v>
      </c>
    </row>
    <row r="3" spans="1:11" ht="15.75" x14ac:dyDescent="0.25">
      <c r="A3" s="24"/>
      <c r="B3" s="24"/>
    </row>
    <row r="4" spans="1:11" ht="15.75" x14ac:dyDescent="0.25">
      <c r="A4" s="26" t="s">
        <v>78</v>
      </c>
      <c r="B4" s="37">
        <f>EOMONTH(A16,0)</f>
        <v>42460</v>
      </c>
    </row>
    <row r="5" spans="1:11" ht="15.6" x14ac:dyDescent="0.3">
      <c r="G5" s="33" t="s">
        <v>75</v>
      </c>
    </row>
    <row r="6" spans="1:11" ht="15.6" x14ac:dyDescent="0.3">
      <c r="A6" s="26" t="s">
        <v>79</v>
      </c>
      <c r="B6" s="38">
        <v>-100</v>
      </c>
      <c r="G6" s="35"/>
      <c r="H6" s="33" t="s">
        <v>57</v>
      </c>
      <c r="I6" s="33" t="s">
        <v>54</v>
      </c>
      <c r="J6" s="33" t="s">
        <v>56</v>
      </c>
    </row>
    <row r="7" spans="1:11" ht="15.75" x14ac:dyDescent="0.25">
      <c r="G7" s="33" t="s">
        <v>55</v>
      </c>
      <c r="H7" s="22">
        <f>INDEX(mon_tcd,B2-13,2)</f>
        <v>30</v>
      </c>
      <c r="I7" s="22">
        <f>INDEX(mon_tcd,B2-13,3)</f>
        <v>0</v>
      </c>
      <c r="J7" s="22">
        <f>I7-H7</f>
        <v>-30</v>
      </c>
    </row>
    <row r="8" spans="1:11" ht="15.6" x14ac:dyDescent="0.3">
      <c r="G8" s="33" t="s">
        <v>77</v>
      </c>
      <c r="H8" s="21">
        <f>SUMIFS(Ecriture!L:L,Ecriture!E:E,"&lt;="&amp;B4)</f>
        <v>120</v>
      </c>
      <c r="I8" s="21">
        <f>SUMIFS(Ecriture!K:K,Ecriture!E:E,"&lt;="&amp;B4)</f>
        <v>0</v>
      </c>
      <c r="J8" s="21">
        <f>I8-H8</f>
        <v>-120</v>
      </c>
    </row>
    <row r="9" spans="1:11" ht="15.75" x14ac:dyDescent="0.25">
      <c r="G9" s="33" t="s">
        <v>76</v>
      </c>
      <c r="H9" s="21">
        <f>H7+H8</f>
        <v>150</v>
      </c>
      <c r="I9" s="21">
        <f>I7+I8</f>
        <v>0</v>
      </c>
      <c r="J9" s="21">
        <f>J7+J8</f>
        <v>-150</v>
      </c>
    </row>
    <row r="10" spans="1:11" x14ac:dyDescent="0.3">
      <c r="G10" s="34"/>
      <c r="I10" s="23" t="s">
        <v>79</v>
      </c>
      <c r="J10" s="39" t="str">
        <f>IF(J9&lt;B6,"Attention solde débiteur","RAS")</f>
        <v>Attention solde débiteur</v>
      </c>
    </row>
    <row r="12" spans="1:11" ht="15" x14ac:dyDescent="0.25">
      <c r="A12" s="29" t="s">
        <v>51</v>
      </c>
      <c r="B12" s="32">
        <v>3</v>
      </c>
      <c r="I12" s="2"/>
    </row>
    <row r="13" spans="1:11" ht="15" x14ac:dyDescent="0.25">
      <c r="A13" s="2"/>
      <c r="B13" s="2"/>
      <c r="G13" s="2"/>
      <c r="H13" s="2"/>
      <c r="I13" s="2"/>
    </row>
    <row r="14" spans="1:11" ht="25.2" customHeight="1" x14ac:dyDescent="0.25">
      <c r="A14" s="5"/>
      <c r="B14" s="29" t="s">
        <v>84</v>
      </c>
      <c r="C14" s="5"/>
      <c r="G14" s="5"/>
      <c r="H14" s="29" t="s">
        <v>84</v>
      </c>
      <c r="I14" s="5"/>
    </row>
    <row r="15" spans="1:11" ht="25.2" customHeight="1" x14ac:dyDescent="0.3">
      <c r="A15" s="29" t="s">
        <v>60</v>
      </c>
      <c r="B15" s="5" t="s">
        <v>62</v>
      </c>
      <c r="C15" s="5" t="s">
        <v>63</v>
      </c>
      <c r="G15" s="29" t="s">
        <v>60</v>
      </c>
      <c r="H15" s="5" t="s">
        <v>62</v>
      </c>
      <c r="I15" s="5" t="s">
        <v>63</v>
      </c>
    </row>
    <row r="16" spans="1:11" ht="25.2" customHeight="1" x14ac:dyDescent="0.3">
      <c r="A16" s="30">
        <v>42448</v>
      </c>
      <c r="B16" s="31">
        <v>20</v>
      </c>
      <c r="C16" s="31"/>
      <c r="G16" s="32">
        <v>1</v>
      </c>
      <c r="H16" s="31">
        <v>90</v>
      </c>
      <c r="I16" s="31">
        <v>20</v>
      </c>
      <c r="K16" s="27"/>
    </row>
    <row r="17" spans="1:9" ht="25.2" customHeight="1" x14ac:dyDescent="0.25">
      <c r="A17" s="30">
        <v>42449</v>
      </c>
      <c r="B17" s="31">
        <v>10</v>
      </c>
      <c r="C17" s="31"/>
      <c r="G17" s="32">
        <v>2</v>
      </c>
      <c r="H17" s="31">
        <v>80</v>
      </c>
      <c r="I17" s="31">
        <v>160</v>
      </c>
    </row>
    <row r="18" spans="1:9" ht="25.2" customHeight="1" x14ac:dyDescent="0.3">
      <c r="A18" s="32" t="s">
        <v>61</v>
      </c>
      <c r="B18" s="31">
        <v>30</v>
      </c>
      <c r="C18" s="31"/>
      <c r="G18" s="32" t="s">
        <v>61</v>
      </c>
      <c r="H18" s="31">
        <v>170</v>
      </c>
      <c r="I18" s="31">
        <v>180</v>
      </c>
    </row>
    <row r="19" spans="1:9" ht="25.2" customHeight="1" x14ac:dyDescent="0.25"/>
    <row r="20" spans="1:9" ht="25.2" customHeight="1" x14ac:dyDescent="0.3"/>
    <row r="21" spans="1:9" ht="25.2" customHeight="1" x14ac:dyDescent="0.3"/>
    <row r="22" spans="1:9" ht="25.2" customHeight="1" x14ac:dyDescent="0.25"/>
    <row r="23" spans="1:9" ht="25.2" customHeight="1" x14ac:dyDescent="0.25"/>
    <row r="24" spans="1:9" ht="25.2" customHeight="1" x14ac:dyDescent="0.25"/>
    <row r="25" spans="1:9" ht="25.2" customHeight="1" x14ac:dyDescent="0.25"/>
    <row r="26" spans="1:9" ht="25.2" customHeight="1" x14ac:dyDescent="0.3"/>
    <row r="27" spans="1:9" ht="25.2" customHeight="1" x14ac:dyDescent="0.3"/>
    <row r="28" spans="1:9" ht="25.2" customHeight="1" x14ac:dyDescent="0.3"/>
    <row r="29" spans="1:9" ht="25.2" customHeight="1" x14ac:dyDescent="0.3"/>
    <row r="30" spans="1:9" ht="25.2" customHeight="1" x14ac:dyDescent="0.3"/>
    <row r="31" spans="1:9" ht="25.2" customHeight="1" x14ac:dyDescent="0.3"/>
    <row r="32" spans="1:9" ht="25.2" customHeight="1" x14ac:dyDescent="0.3"/>
    <row r="33" ht="25.2" customHeight="1" x14ac:dyDescent="0.3"/>
    <row r="34" ht="25.2" customHeight="1" x14ac:dyDescent="0.3"/>
    <row r="35" ht="25.2" customHeight="1" x14ac:dyDescent="0.3"/>
    <row r="36" ht="25.2" customHeight="1" x14ac:dyDescent="0.3"/>
    <row r="37" ht="25.2" customHeight="1" x14ac:dyDescent="0.3"/>
    <row r="38" ht="25.2" customHeight="1" x14ac:dyDescent="0.3"/>
    <row r="39" ht="25.2" customHeight="1" x14ac:dyDescent="0.3"/>
    <row r="40" ht="25.2" customHeight="1" x14ac:dyDescent="0.3"/>
    <row r="41" ht="25.2" customHeight="1" x14ac:dyDescent="0.3"/>
    <row r="42" ht="25.2" customHeight="1" x14ac:dyDescent="0.3"/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30480</xdr:colOff>
                    <xdr:row>14</xdr:row>
                    <xdr:rowOff>45720</xdr:rowOff>
                  </from>
                  <to>
                    <xdr:col>11</xdr:col>
                    <xdr:colOff>45720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zoomScale="90" zoomScaleNormal="90" workbookViewId="0">
      <selection activeCell="G14" sqref="G14"/>
    </sheetView>
  </sheetViews>
  <sheetFormatPr baseColWidth="10" defaultRowHeight="14.4" x14ac:dyDescent="0.3"/>
  <cols>
    <col min="1" max="1" width="19.5546875" customWidth="1"/>
    <col min="2" max="2" width="18.5546875" customWidth="1"/>
    <col min="3" max="3" width="17.6640625" customWidth="1"/>
    <col min="4" max="4" width="14.109375" customWidth="1"/>
    <col min="5" max="5" width="4" customWidth="1"/>
    <col min="6" max="6" width="5.88671875" customWidth="1"/>
    <col min="7" max="7" width="11.88671875" bestFit="1" customWidth="1"/>
  </cols>
  <sheetData>
    <row r="1" spans="1:5" x14ac:dyDescent="0.3">
      <c r="B1" s="4" t="s">
        <v>45</v>
      </c>
      <c r="C1" s="4" t="s">
        <v>46</v>
      </c>
      <c r="D1" s="4" t="s">
        <v>47</v>
      </c>
    </row>
    <row r="2" spans="1:5" ht="15" x14ac:dyDescent="0.25">
      <c r="B2" s="31">
        <f>GETPIVOTDATA("Somme de Recettes",$A$6)</f>
        <v>140</v>
      </c>
      <c r="C2" s="63">
        <f>GETPIVOTDATA("Somme de Dépenses",$A$6)</f>
        <v>390</v>
      </c>
      <c r="D2" s="64">
        <f>B2-C2</f>
        <v>-250</v>
      </c>
    </row>
    <row r="4" spans="1:5" ht="15" x14ac:dyDescent="0.25">
      <c r="A4" s="49" t="s">
        <v>9</v>
      </c>
      <c r="B4" s="2" t="s">
        <v>12</v>
      </c>
    </row>
    <row r="6" spans="1:5" x14ac:dyDescent="0.3">
      <c r="A6" s="49" t="s">
        <v>60</v>
      </c>
      <c r="B6" s="2" t="s">
        <v>62</v>
      </c>
      <c r="C6" s="2" t="s">
        <v>63</v>
      </c>
    </row>
    <row r="7" spans="1:5" ht="15" x14ac:dyDescent="0.25">
      <c r="A7" s="50" t="s">
        <v>71</v>
      </c>
      <c r="B7" s="51">
        <v>390</v>
      </c>
      <c r="C7" s="51"/>
      <c r="E7" s="1"/>
    </row>
    <row r="8" spans="1:5" ht="15" x14ac:dyDescent="0.25">
      <c r="A8" s="50" t="s">
        <v>70</v>
      </c>
      <c r="B8" s="51"/>
      <c r="C8" s="51">
        <v>140</v>
      </c>
      <c r="E8" s="1"/>
    </row>
    <row r="9" spans="1:5" x14ac:dyDescent="0.3">
      <c r="A9" s="50" t="s">
        <v>61</v>
      </c>
      <c r="B9" s="51">
        <v>390</v>
      </c>
      <c r="C9" s="51">
        <v>140</v>
      </c>
      <c r="E9" s="1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D1" sqref="D1:E1"/>
    </sheetView>
  </sheetViews>
  <sheetFormatPr baseColWidth="10" defaultRowHeight="14.4" x14ac:dyDescent="0.3"/>
  <cols>
    <col min="1" max="2" width="33" customWidth="1"/>
    <col min="4" max="4" width="18.33203125" customWidth="1"/>
  </cols>
  <sheetData>
    <row r="1" spans="1:6" x14ac:dyDescent="0.3">
      <c r="A1" s="11" t="s">
        <v>8</v>
      </c>
      <c r="B1" s="11" t="s">
        <v>50</v>
      </c>
      <c r="D1" s="9" t="s">
        <v>49</v>
      </c>
      <c r="F1" s="9" t="s">
        <v>50</v>
      </c>
    </row>
    <row r="2" spans="1:6" x14ac:dyDescent="0.3">
      <c r="A2" s="12" t="s">
        <v>11</v>
      </c>
      <c r="B2" s="13" t="s">
        <v>70</v>
      </c>
      <c r="D2" s="6" t="s">
        <v>36</v>
      </c>
      <c r="F2" s="6" t="s">
        <v>70</v>
      </c>
    </row>
    <row r="3" spans="1:6" x14ac:dyDescent="0.3">
      <c r="A3" s="14" t="s">
        <v>15</v>
      </c>
      <c r="B3" s="15" t="s">
        <v>71</v>
      </c>
      <c r="D3" s="6" t="s">
        <v>16</v>
      </c>
      <c r="F3" s="6" t="s">
        <v>71</v>
      </c>
    </row>
    <row r="4" spans="1:6" x14ac:dyDescent="0.3">
      <c r="A4" s="16" t="s">
        <v>17</v>
      </c>
      <c r="B4" s="17" t="s">
        <v>70</v>
      </c>
      <c r="C4" s="7"/>
      <c r="D4" s="6" t="s">
        <v>19</v>
      </c>
    </row>
    <row r="5" spans="1:6" x14ac:dyDescent="0.3">
      <c r="A5" s="18" t="s">
        <v>18</v>
      </c>
      <c r="B5" s="15" t="s">
        <v>71</v>
      </c>
      <c r="D5" s="6" t="s">
        <v>48</v>
      </c>
    </row>
    <row r="6" spans="1:6" x14ac:dyDescent="0.3">
      <c r="A6" s="19" t="s">
        <v>20</v>
      </c>
      <c r="B6" s="17" t="s">
        <v>70</v>
      </c>
      <c r="D6" s="6" t="s">
        <v>14</v>
      </c>
    </row>
    <row r="7" spans="1:6" ht="15" x14ac:dyDescent="0.25">
      <c r="A7" s="18" t="s">
        <v>21</v>
      </c>
      <c r="B7" s="15" t="s">
        <v>71</v>
      </c>
      <c r="D7" s="6" t="s">
        <v>12</v>
      </c>
    </row>
    <row r="8" spans="1:6" ht="15" x14ac:dyDescent="0.25">
      <c r="A8" s="19" t="s">
        <v>22</v>
      </c>
      <c r="B8" s="17" t="s">
        <v>71</v>
      </c>
      <c r="D8" s="8"/>
    </row>
    <row r="9" spans="1:6" x14ac:dyDescent="0.3">
      <c r="A9" s="18" t="s">
        <v>23</v>
      </c>
      <c r="B9" s="15" t="s">
        <v>70</v>
      </c>
    </row>
    <row r="10" spans="1:6" x14ac:dyDescent="0.3">
      <c r="A10" s="19" t="s">
        <v>40</v>
      </c>
      <c r="B10" s="17" t="s">
        <v>70</v>
      </c>
    </row>
    <row r="11" spans="1:6" x14ac:dyDescent="0.3">
      <c r="A11" s="18" t="s">
        <v>24</v>
      </c>
      <c r="B11" s="15" t="s">
        <v>71</v>
      </c>
    </row>
    <row r="12" spans="1:6" ht="15" x14ac:dyDescent="0.25">
      <c r="A12" s="19" t="s">
        <v>41</v>
      </c>
      <c r="B12" s="17" t="s">
        <v>70</v>
      </c>
    </row>
    <row r="13" spans="1:6" x14ac:dyDescent="0.3">
      <c r="A13" s="18" t="s">
        <v>25</v>
      </c>
      <c r="B13" s="15" t="s">
        <v>71</v>
      </c>
    </row>
    <row r="14" spans="1:6" ht="15" x14ac:dyDescent="0.25">
      <c r="A14" s="19" t="s">
        <v>42</v>
      </c>
      <c r="B14" s="17" t="s">
        <v>71</v>
      </c>
    </row>
    <row r="15" spans="1:6" ht="15" x14ac:dyDescent="0.25">
      <c r="A15" s="18" t="s">
        <v>26</v>
      </c>
      <c r="B15" s="15" t="s">
        <v>71</v>
      </c>
    </row>
    <row r="16" spans="1:6" ht="15" x14ac:dyDescent="0.25">
      <c r="A16" s="19" t="s">
        <v>43</v>
      </c>
      <c r="B16" s="17" t="s">
        <v>70</v>
      </c>
    </row>
    <row r="17" spans="1:2" ht="15" x14ac:dyDescent="0.25">
      <c r="A17" s="18" t="s">
        <v>27</v>
      </c>
      <c r="B17" s="15" t="s">
        <v>71</v>
      </c>
    </row>
    <row r="18" spans="1:2" x14ac:dyDescent="0.3">
      <c r="A18" s="19" t="s">
        <v>44</v>
      </c>
      <c r="B18" s="17" t="s">
        <v>70</v>
      </c>
    </row>
    <row r="19" spans="1:2" ht="15" x14ac:dyDescent="0.25">
      <c r="A19" s="18" t="s">
        <v>28</v>
      </c>
      <c r="B19" s="15" t="s">
        <v>71</v>
      </c>
    </row>
    <row r="20" spans="1:2" ht="15" x14ac:dyDescent="0.25">
      <c r="A20" s="19" t="s">
        <v>29</v>
      </c>
      <c r="B20" s="17" t="s">
        <v>71</v>
      </c>
    </row>
    <row r="21" spans="1:2" ht="15" x14ac:dyDescent="0.25">
      <c r="A21" s="18" t="s">
        <v>30</v>
      </c>
      <c r="B21" s="15" t="s">
        <v>71</v>
      </c>
    </row>
    <row r="22" spans="1:2" x14ac:dyDescent="0.3">
      <c r="A22" s="19" t="s">
        <v>31</v>
      </c>
      <c r="B22" s="17" t="s">
        <v>71</v>
      </c>
    </row>
    <row r="23" spans="1:2" ht="15" x14ac:dyDescent="0.25">
      <c r="A23" s="18" t="s">
        <v>32</v>
      </c>
      <c r="B23" s="15" t="s">
        <v>71</v>
      </c>
    </row>
    <row r="24" spans="1:2" x14ac:dyDescent="0.3">
      <c r="A24" s="19" t="s">
        <v>33</v>
      </c>
      <c r="B24" s="17" t="s">
        <v>71</v>
      </c>
    </row>
    <row r="25" spans="1:2" ht="15" x14ac:dyDescent="0.25">
      <c r="A25" s="18" t="s">
        <v>34</v>
      </c>
      <c r="B25" s="15" t="s">
        <v>71</v>
      </c>
    </row>
    <row r="26" spans="1:2" x14ac:dyDescent="0.3">
      <c r="A26" s="19" t="s">
        <v>35</v>
      </c>
      <c r="B26" s="17" t="s">
        <v>71</v>
      </c>
    </row>
    <row r="27" spans="1:2" x14ac:dyDescent="0.3">
      <c r="A27" s="18" t="s">
        <v>37</v>
      </c>
      <c r="B27" s="15" t="s">
        <v>71</v>
      </c>
    </row>
    <row r="28" spans="1:2" x14ac:dyDescent="0.3">
      <c r="A28" s="19" t="s">
        <v>38</v>
      </c>
      <c r="B28" s="17" t="s">
        <v>70</v>
      </c>
    </row>
    <row r="29" spans="1:2" x14ac:dyDescent="0.3">
      <c r="A29" s="18" t="s">
        <v>39</v>
      </c>
      <c r="B29" s="15" t="s">
        <v>71</v>
      </c>
    </row>
    <row r="30" spans="1:2" x14ac:dyDescent="0.3">
      <c r="A30" s="16" t="s">
        <v>13</v>
      </c>
      <c r="B30" s="17" t="s">
        <v>70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Sommaire</vt:lpstr>
      <vt:lpstr>Récap</vt:lpstr>
      <vt:lpstr>Total</vt:lpstr>
      <vt:lpstr>Ecriture</vt:lpstr>
      <vt:lpstr>TCD par regroupement    </vt:lpstr>
      <vt:lpstr>Graphes écritures par rubrique</vt:lpstr>
      <vt:lpstr>Graphes écritures par regroupem</vt:lpstr>
      <vt:lpstr>Données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2016-03-07T07:31:40Z</dcterms:created>
  <dcterms:modified xsi:type="dcterms:W3CDTF">2016-03-31T08:30:10Z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