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480" yWindow="36" windowWidth="22116" windowHeight="9552" tabRatio="851" activeTab="3"/>
  </bookViews>
  <sheets>
    <sheet name="Sommaire" sheetId="12" r:id="rId1"/>
    <sheet name="Récap" sheetId="1" r:id="rId2"/>
    <sheet name="Total" sheetId="13" r:id="rId3"/>
    <sheet name="Ecriture" sheetId="2" r:id="rId4"/>
    <sheet name="TCD" sheetId="4" r:id="rId5"/>
    <sheet name="Données" sheetId="9" r:id="rId6"/>
    <sheet name="Graphes écritures par rubrique" sheetId="10" r:id="rId7"/>
    <sheet name="Graphes écritures par regroupem" sheetId="11" r:id="rId8"/>
  </sheets>
  <definedNames>
    <definedName name="Année_Ecr">Ecriture!$D$5:$D$32</definedName>
    <definedName name="concatener">Ecriture!$E$5:$E$32</definedName>
    <definedName name="Date">Ecriture!$F$5:$F$32</definedName>
    <definedName name="Dépenses">Ecriture!$M$5:$M$32</definedName>
    <definedName name="Famille">Ecriture!$H$5:$H$32</definedName>
    <definedName name="Libellé">Ecriture!$G$5:$G$32</definedName>
    <definedName name="Modes_paiement">Données!$D$2:$D$7</definedName>
    <definedName name="Mois">Ecriture!$C$5:$C$32</definedName>
    <definedName name="mon_tcd">'Graphes écritures par rubrique'!$A$14:$C$23</definedName>
    <definedName name="Recettes">Ecriture!$L$5:$L$32</definedName>
    <definedName name="RechecheV">Données!$A:$B</definedName>
    <definedName name="Sens">Données!$A$2:$A$3</definedName>
  </definedNames>
  <calcPr calcId="145621"/>
  <pivotCaches>
    <pivotCache cacheId="0" r:id="rId9"/>
  </pivotCaches>
</workbook>
</file>

<file path=xl/calcChain.xml><?xml version="1.0" encoding="utf-8"?>
<calcChain xmlns="http://schemas.openxmlformats.org/spreadsheetml/2006/main">
  <c r="I1" i="2" l="1"/>
  <c r="Q5" i="2" l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H6" i="2" l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5" i="2"/>
  <c r="B2" i="10" l="1"/>
  <c r="H7" i="10" s="1"/>
  <c r="B4" i="10"/>
  <c r="I8" i="10" l="1"/>
  <c r="H8" i="10"/>
  <c r="H9" i="10" s="1"/>
  <c r="I7" i="10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5" i="2"/>
  <c r="J8" i="10" l="1"/>
  <c r="I9" i="10"/>
  <c r="J7" i="10"/>
  <c r="J1" i="2"/>
  <c r="C5" i="2"/>
  <c r="E5" i="2" s="1"/>
  <c r="C6" i="2"/>
  <c r="E6" i="2" s="1"/>
  <c r="C7" i="2"/>
  <c r="E7" i="2" s="1"/>
  <c r="C8" i="2"/>
  <c r="E8" i="2" s="1"/>
  <c r="C9" i="2"/>
  <c r="E9" i="2" s="1"/>
  <c r="C10" i="2"/>
  <c r="E10" i="2" s="1"/>
  <c r="C11" i="2"/>
  <c r="E11" i="2" s="1"/>
  <c r="C12" i="2"/>
  <c r="E12" i="2" s="1"/>
  <c r="C14" i="2"/>
  <c r="E14" i="2" s="1"/>
  <c r="C16" i="2"/>
  <c r="E16" i="2" s="1"/>
  <c r="C18" i="2"/>
  <c r="E18" i="2" s="1"/>
  <c r="C20" i="2"/>
  <c r="E20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29" i="2"/>
  <c r="E29" i="2" s="1"/>
  <c r="C30" i="2"/>
  <c r="E30" i="2" s="1"/>
  <c r="C31" i="2"/>
  <c r="E31" i="2" s="1"/>
  <c r="C32" i="2"/>
  <c r="E32" i="2" s="1"/>
  <c r="C13" i="2"/>
  <c r="E13" i="2" s="1"/>
  <c r="C15" i="2"/>
  <c r="E15" i="2" s="1"/>
  <c r="C17" i="2"/>
  <c r="E17" i="2" s="1"/>
  <c r="C19" i="2"/>
  <c r="E19" i="2" s="1"/>
  <c r="C21" i="2"/>
  <c r="E21" i="2" s="1"/>
  <c r="J9" i="10" l="1"/>
  <c r="J10" i="10" s="1"/>
  <c r="C2" i="4"/>
  <c r="D2" i="4"/>
  <c r="B2" i="4"/>
</calcChain>
</file>

<file path=xl/sharedStrings.xml><?xml version="1.0" encoding="utf-8"?>
<sst xmlns="http://schemas.openxmlformats.org/spreadsheetml/2006/main" count="226" uniqueCount="97">
  <si>
    <t>Compte</t>
  </si>
  <si>
    <t>Solde initial</t>
  </si>
  <si>
    <t>Recettes</t>
  </si>
  <si>
    <t>Dépenses</t>
  </si>
  <si>
    <t>Solde</t>
  </si>
  <si>
    <t>Observations</t>
  </si>
  <si>
    <t>Compte chèques</t>
  </si>
  <si>
    <t>Comptes</t>
  </si>
  <si>
    <t>Compte chèque</t>
  </si>
  <si>
    <t>Observation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</si>
  <si>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</si>
  <si>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</si>
  <si>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</si>
  <si>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</si>
  <si>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</si>
  <si>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</si>
  <si>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</si>
  <si>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</si>
  <si>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</si>
  <si>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</si>
  <si>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</si>
  <si>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</si>
  <si>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</si>
  <si>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</si>
  <si>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</si>
  <si>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</si>
  <si>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</si>
  <si>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</si>
  <si>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</si>
  <si>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</si>
  <si>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</si>
  <si>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</si>
  <si>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</si>
  <si>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</si>
  <si>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</si>
  <si>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</si>
  <si>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</si>
  <si>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</si>
  <si>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</si>
  <si>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</si>
  <si>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</si>
  <si>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</si>
  <si>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</si>
  <si>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</si>
  <si>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</si>
  <si>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</si>
  <si>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</si>
  <si>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</si>
  <si>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Regroupements</t>
  </si>
  <si>
    <t>Total recettes</t>
  </si>
  <si>
    <t>Total dépenses</t>
  </si>
  <si>
    <t>Solde général</t>
  </si>
  <si>
    <t>Espèces</t>
  </si>
  <si>
    <t>Modes_paiement</t>
  </si>
  <si>
    <t>Famille</t>
  </si>
  <si>
    <t>Somme si</t>
  </si>
  <si>
    <t>Saisie</t>
  </si>
  <si>
    <t>N° FACTURE</t>
  </si>
  <si>
    <t>Nbre d'écritures</t>
  </si>
  <si>
    <t>Solde précédent</t>
  </si>
  <si>
    <t>Mois</t>
  </si>
  <si>
    <t>Année-Ecr</t>
  </si>
  <si>
    <t>concatener</t>
  </si>
  <si>
    <t>recettes</t>
  </si>
  <si>
    <t>total mois</t>
  </si>
  <si>
    <t>solde</t>
  </si>
  <si>
    <t>dépenses</t>
  </si>
  <si>
    <t>1. Nommer TCD GESTIONNAIRE NOM nouveau nom définir un nom fonction décaler (point départ; 0,0, nb ligne TCD, -ligne précédentes;NB colonnes)</t>
  </si>
  <si>
    <t>Pointage recette</t>
  </si>
  <si>
    <t>Pointage dépense</t>
  </si>
  <si>
    <t>Prev / réel</t>
  </si>
  <si>
    <t>Étiquettes de lignes</t>
  </si>
  <si>
    <t>Total général</t>
  </si>
  <si>
    <t>Somme de Dépenses</t>
  </si>
  <si>
    <t>Somme de Recettes</t>
  </si>
  <si>
    <t>Numéro dernière ligne TCD</t>
  </si>
  <si>
    <t xml:space="preserve">2 colmasqué si j'a x j'affiche le contenu </t>
  </si>
  <si>
    <t>Total</t>
  </si>
  <si>
    <t>Prévisionnel</t>
  </si>
  <si>
    <t>Réel</t>
  </si>
  <si>
    <t>Pointé</t>
  </si>
  <si>
    <t>Produit</t>
  </si>
  <si>
    <t>Charge</t>
  </si>
  <si>
    <t>Communication</t>
  </si>
  <si>
    <t>Véhicules</t>
  </si>
  <si>
    <t>x</t>
  </si>
  <si>
    <t>Pojnage recette masqué</t>
  </si>
  <si>
    <t xml:space="preserve">Date valeur banque </t>
  </si>
  <si>
    <t>(vide)</t>
  </si>
  <si>
    <t>Récapitulatif</t>
  </si>
  <si>
    <t>solde actuel</t>
  </si>
  <si>
    <t>total antérieur</t>
  </si>
  <si>
    <t>Date dernier jour du mois</t>
  </si>
  <si>
    <t xml:space="preserve">Autorisation de découvert </t>
  </si>
  <si>
    <t>Faire un même graph avec les mois</t>
  </si>
  <si>
    <t>Cliquez sur une forme pour accéder à la feuille indiquée</t>
  </si>
  <si>
    <t xml:space="preserve">ARCHITECTE D'INTERIEUR - Floriane Aussel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</si>
</sst>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1"/>
      <color theme="0"/>
      <name val="Calibri"/>
      <scheme val="minor"/>
    </font>
    <font>
      <b/>
      <sz val="12"/>
      <color theme="3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65">
    <xf numFmtId="0" fontId="0" fillId="0" borderId="0" xfId="0"/>
    <xf numFmtId="0" fontId="2" fillId="3" borderId="3" xfId="0" applyFont="1" applyFill="1" applyBorder="1" applyAlignment="1">
      <alignment vertical="top"/>
    </xf>
    <xf numFmtId="0" fontId="2" fillId="3" borderId="4" xfId="0" applyFont="1" applyFill="1" applyBorder="1" applyAlignment="1">
      <alignment vertical="top"/>
    </xf>
    <xf numFmtId="0" fontId="7" fillId="3" borderId="4" xfId="0" applyFont="1" applyFill="1" applyBorder="1" applyAlignment="1">
      <alignment vertical="top"/>
    </xf>
    <xf numFmtId="0" fontId="7" fillId="3" borderId="5" xfId="0" applyFont="1" applyFill="1" applyBorder="1" applyAlignment="1">
      <alignment vertical="top"/>
    </xf>
    <xf numFmtId="0" fontId="0" fillId="0" borderId="0" xfId="0"/>
    <xf numFmtId="0" fontId="0" fillId="0" borderId="0" xfId="0" applyFont="1" applyProtection="1">
      <protection locked="0"/>
    </xf>
    <xf numFmtId="165" fontId="0" fillId="2" borderId="0" xfId="1" applyNumberFormat="1" applyFont="1" applyFill="1" applyAlignment="1">
      <alignment horizontal="center"/>
    </xf>
    <xf numFmtId="165" fontId="2" fillId="3" borderId="2" xfId="1" applyNumberFormat="1" applyFont="1" applyFill="1" applyBorder="1" applyAlignment="1">
      <alignment horizontal="center" vertical="top" wrapText="1"/>
    </xf>
    <xf numFmtId="165" fontId="2" fillId="3" borderId="2" xfId="1" applyNumberFormat="1" applyFont="1" applyFill="1" applyBorder="1" applyAlignment="1">
      <alignment horizontal="center" vertical="top"/>
    </xf>
    <xf numFmtId="0" fontId="0" fillId="0" borderId="0" xfId="0"/>
    <xf numFmtId="165" fontId="6" fillId="3" borderId="0" xfId="1" applyNumberFormat="1" applyFont="1" applyFill="1" applyAlignment="1" applyProtection="1">
      <alignment horizontal="left" vertical="center"/>
    </xf>
    <xf numFmtId="0" fontId="2" fillId="3" borderId="0" xfId="0" applyFont="1" applyFill="1" applyAlignment="1" applyProtection="1">
      <alignment vertical="center"/>
    </xf>
    <xf numFmtId="0" fontId="0" fillId="4" borderId="1" xfId="0" applyFill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166" fontId="0" fillId="0" borderId="0" xfId="0" applyNumberFormat="1"/>
    <xf numFmtId="165" fontId="0" fillId="2" borderId="0" xfId="1" applyNumberFormat="1" applyFont="1" applyFill="1" applyAlignment="1">
      <alignment horizontal="center"/>
    </xf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9" fillId="4" borderId="1" xfId="0" applyFont="1" applyFill="1" applyBorder="1"/>
    <xf numFmtId="0" fontId="2" fillId="3" borderId="3" xfId="0" applyFont="1" applyFill="1" applyBorder="1" applyAlignment="1" applyProtection="1">
      <alignment horizontal="center" vertical="center"/>
    </xf>
    <xf numFmtId="14" fontId="2" fillId="3" borderId="2" xfId="1" applyNumberFormat="1" applyFont="1" applyFill="1" applyBorder="1" applyAlignment="1" applyProtection="1">
      <alignment horizontal="center" vertical="center"/>
    </xf>
    <xf numFmtId="165" fontId="2" fillId="3" borderId="2" xfId="1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/>
    </xf>
    <xf numFmtId="165" fontId="2" fillId="3" borderId="4" xfId="1" applyNumberFormat="1" applyFont="1" applyFill="1" applyBorder="1" applyAlignment="1" applyProtection="1">
      <alignment horizontal="center" vertical="center" wrapText="1"/>
    </xf>
    <xf numFmtId="165" fontId="0" fillId="3" borderId="0" xfId="1" applyNumberFormat="1" applyFont="1" applyFill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14" fontId="2" fillId="3" borderId="6" xfId="1" applyNumberFormat="1" applyFont="1" applyFill="1" applyBorder="1" applyAlignment="1" applyProtection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2" fillId="3" borderId="7" xfId="0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left" vertical="top"/>
    </xf>
    <xf numFmtId="165" fontId="0" fillId="9" borderId="9" xfId="1" applyNumberFormat="1" applyFont="1" applyFill="1" applyBorder="1" applyAlignment="1">
      <alignment horizontal="left"/>
    </xf>
    <xf numFmtId="0" fontId="0" fillId="0" borderId="8" xfId="0" applyFont="1" applyBorder="1" applyAlignment="1">
      <alignment horizontal="left" vertical="top"/>
    </xf>
    <xf numFmtId="165" fontId="0" fillId="0" borderId="8" xfId="1" applyNumberFormat="1" applyFont="1" applyBorder="1" applyAlignment="1">
      <alignment horizontal="left"/>
    </xf>
    <xf numFmtId="0" fontId="0" fillId="9" borderId="8" xfId="0" applyFont="1" applyFill="1" applyBorder="1" applyAlignment="1">
      <alignment horizontal="left" vertical="top"/>
    </xf>
    <xf numFmtId="165" fontId="0" fillId="9" borderId="8" xfId="1" applyNumberFormat="1" applyFont="1" applyFill="1" applyBorder="1" applyAlignment="1">
      <alignment horizontal="left"/>
    </xf>
    <xf numFmtId="165" fontId="0" fillId="0" borderId="8" xfId="1" applyNumberFormat="1" applyFont="1" applyBorder="1" applyAlignment="1">
      <alignment horizontal="left" vertical="top"/>
    </xf>
    <xf numFmtId="165" fontId="0" fillId="9" borderId="8" xfId="1" applyNumberFormat="1" applyFont="1" applyFill="1" applyBorder="1" applyAlignment="1">
      <alignment horizontal="left" vertical="top"/>
    </xf>
    <xf numFmtId="14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10" borderId="1" xfId="0" applyFill="1" applyBorder="1"/>
    <xf numFmtId="0" fontId="10" fillId="10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0" borderId="0" xfId="0" applyFont="1"/>
    <xf numFmtId="0" fontId="10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/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/>
    <xf numFmtId="166" fontId="11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16">
    <dxf>
      <font>
        <b/>
        <i val="0"/>
        <strike val="0"/>
        <color rgb="FFC00000"/>
      </font>
    </dxf>
    <dxf>
      <numFmt numFmtId="166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numFmt numFmtId="19" formatCode="dd/mm/yyyy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numFmt numFmtId="166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 07-03-2016.xlsm]Graphes écritures par rubrique!Mon_TCD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rubrique'!$A$15:$A$23</c:f>
              <c:strCache>
                <c:ptCount val="8"/>
                <c:pt idx="0">
                  <c:v>01/01/2015</c:v>
                </c:pt>
                <c:pt idx="1">
                  <c:v>25/01/2015</c:v>
                </c:pt>
                <c:pt idx="2">
                  <c:v>31/01/2015</c:v>
                </c:pt>
                <c:pt idx="3">
                  <c:v>18/01/2016</c:v>
                </c:pt>
                <c:pt idx="4">
                  <c:v>22/01/2016</c:v>
                </c:pt>
                <c:pt idx="5">
                  <c:v>23/01/2016</c:v>
                </c:pt>
                <c:pt idx="6">
                  <c:v>25/01/2016</c:v>
                </c:pt>
                <c:pt idx="7">
                  <c:v>(vide)</c:v>
                </c:pt>
              </c:strCache>
            </c:strRef>
          </c:cat>
          <c:val>
            <c:numRef>
              <c:f>'Graphes écritures par rubrique'!$B$15:$B$23</c:f>
              <c:numCache>
                <c:formatCode>#,##0.00\ "€"</c:formatCode>
                <c:ptCount val="8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20</c:v>
                </c:pt>
                <c:pt idx="4">
                  <c:v>20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rubrique'!$A$15:$A$23</c:f>
              <c:strCache>
                <c:ptCount val="8"/>
                <c:pt idx="0">
                  <c:v>01/01/2015</c:v>
                </c:pt>
                <c:pt idx="1">
                  <c:v>25/01/2015</c:v>
                </c:pt>
                <c:pt idx="2">
                  <c:v>31/01/2015</c:v>
                </c:pt>
                <c:pt idx="3">
                  <c:v>18/01/2016</c:v>
                </c:pt>
                <c:pt idx="4">
                  <c:v>22/01/2016</c:v>
                </c:pt>
                <c:pt idx="5">
                  <c:v>23/01/2016</c:v>
                </c:pt>
                <c:pt idx="6">
                  <c:v>25/01/2016</c:v>
                </c:pt>
                <c:pt idx="7">
                  <c:v>(vide)</c:v>
                </c:pt>
              </c:strCache>
            </c:strRef>
          </c:cat>
          <c:val>
            <c:numRef>
              <c:f>'Graphes écritures par rubrique'!$C$15:$C$23</c:f>
              <c:numCache>
                <c:formatCode>#,##0.00\ "€"</c:formatCode>
                <c:ptCount val="8"/>
                <c:pt idx="0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441600"/>
        <c:axId val="194443136"/>
      </c:lineChart>
      <c:catAx>
        <c:axId val="194441600"/>
        <c:scaling>
          <c:orientation val="minMax"/>
        </c:scaling>
        <c:delete val="0"/>
        <c:axPos val="b"/>
        <c:majorTickMark val="out"/>
        <c:minorTickMark val="none"/>
        <c:tickLblPos val="nextTo"/>
        <c:crossAx val="194443136"/>
        <c:crosses val="autoZero"/>
        <c:auto val="1"/>
        <c:lblAlgn val="ctr"/>
        <c:lblOffset val="100"/>
        <c:noMultiLvlLbl val="0"/>
      </c:catAx>
      <c:valAx>
        <c:axId val="194443136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944416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Donn&#233;es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TCD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132631</xdr:rowOff>
    </xdr:from>
    <xdr:to>
      <xdr:col>6</xdr:col>
      <xdr:colOff>102686</xdr:colOff>
      <xdr:row>15</xdr:row>
      <xdr:rowOff>156803</xdr:rowOff>
    </xdr:to>
    <xdr:sp macro="" textlink="">
      <xdr:nvSpPr>
        <xdr:cNvPr id="9" name="Ellipse 8">
          <a:hlinkClick xmlns:r="http://schemas.openxmlformats.org/officeDocument/2006/relationships" r:id="rId1"/>
        </xdr:cNvPr>
        <xdr:cNvSpPr/>
      </xdr:nvSpPr>
      <xdr:spPr>
        <a:xfrm>
          <a:off x="5133975" y="3856906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rubrique</a:t>
          </a:r>
        </a:p>
      </xdr:txBody>
    </xdr:sp>
    <xdr:clientData/>
  </xdr:twoCellAnchor>
  <xdr:twoCellAnchor>
    <xdr:from>
      <xdr:col>4</xdr:col>
      <xdr:colOff>0</xdr:colOff>
      <xdr:row>1</xdr:row>
      <xdr:rowOff>104058</xdr:rowOff>
    </xdr:from>
    <xdr:to>
      <xdr:col>6</xdr:col>
      <xdr:colOff>102686</xdr:colOff>
      <xdr:row>3</xdr:row>
      <xdr:rowOff>128229</xdr:rowOff>
    </xdr:to>
    <xdr:sp macro="" textlink="">
      <xdr:nvSpPr>
        <xdr:cNvPr id="2" name="Ellipse 1">
          <a:hlinkClick xmlns:r="http://schemas.openxmlformats.org/officeDocument/2006/relationships" r:id="rId2"/>
        </xdr:cNvPr>
        <xdr:cNvSpPr/>
      </xdr:nvSpPr>
      <xdr:spPr>
        <a:xfrm>
          <a:off x="5133975" y="285033"/>
          <a:ext cx="1683836" cy="6147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Récapitulatif</a:t>
          </a:r>
        </a:p>
      </xdr:txBody>
    </xdr:sp>
    <xdr:clientData/>
  </xdr:twoCellAnchor>
  <xdr:twoCellAnchor>
    <xdr:from>
      <xdr:col>4</xdr:col>
      <xdr:colOff>0</xdr:colOff>
      <xdr:row>3</xdr:row>
      <xdr:rowOff>200025</xdr:rowOff>
    </xdr:from>
    <xdr:to>
      <xdr:col>6</xdr:col>
      <xdr:colOff>102686</xdr:colOff>
      <xdr:row>5</xdr:row>
      <xdr:rowOff>224196</xdr:rowOff>
    </xdr:to>
    <xdr:sp macro="" textlink="">
      <xdr:nvSpPr>
        <xdr:cNvPr id="3" name="Ellipse 2">
          <a:hlinkClick xmlns:r="http://schemas.openxmlformats.org/officeDocument/2006/relationships" r:id="rId3"/>
        </xdr:cNvPr>
        <xdr:cNvSpPr/>
      </xdr:nvSpPr>
      <xdr:spPr>
        <a:xfrm>
          <a:off x="5133975" y="971550"/>
          <a:ext cx="1683836" cy="61472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</a:t>
          </a:r>
        </a:p>
      </xdr:txBody>
    </xdr:sp>
    <xdr:clientData/>
  </xdr:twoCellAnchor>
  <xdr:twoCellAnchor>
    <xdr:from>
      <xdr:col>4</xdr:col>
      <xdr:colOff>0</xdr:colOff>
      <xdr:row>6</xdr:row>
      <xdr:rowOff>23453</xdr:rowOff>
    </xdr:from>
    <xdr:to>
      <xdr:col>6</xdr:col>
      <xdr:colOff>102686</xdr:colOff>
      <xdr:row>8</xdr:row>
      <xdr:rowOff>47625</xdr:rowOff>
    </xdr:to>
    <xdr:sp macro="" textlink="">
      <xdr:nvSpPr>
        <xdr:cNvPr id="4" name="Ellipse 3">
          <a:hlinkClick xmlns:r="http://schemas.openxmlformats.org/officeDocument/2006/relationships" r:id="rId4"/>
        </xdr:cNvPr>
        <xdr:cNvSpPr/>
      </xdr:nvSpPr>
      <xdr:spPr>
        <a:xfrm>
          <a:off x="5133975" y="1680803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Ecriture</a:t>
          </a:r>
        </a:p>
      </xdr:txBody>
    </xdr:sp>
    <xdr:clientData/>
  </xdr:twoCellAnchor>
  <xdr:twoCellAnchor>
    <xdr:from>
      <xdr:col>4</xdr:col>
      <xdr:colOff>0</xdr:colOff>
      <xdr:row>15</xdr:row>
      <xdr:rowOff>280628</xdr:rowOff>
    </xdr:from>
    <xdr:to>
      <xdr:col>6</xdr:col>
      <xdr:colOff>102686</xdr:colOff>
      <xdr:row>18</xdr:row>
      <xdr:rowOff>0</xdr:rowOff>
    </xdr:to>
    <xdr:sp macro="" textlink="">
      <xdr:nvSpPr>
        <xdr:cNvPr id="5" name="Ellipse 4">
          <a:hlinkClick xmlns:r="http://schemas.openxmlformats.org/officeDocument/2006/relationships" r:id="rId5"/>
        </xdr:cNvPr>
        <xdr:cNvSpPr/>
      </xdr:nvSpPr>
      <xdr:spPr>
        <a:xfrm>
          <a:off x="5133975" y="4595453"/>
          <a:ext cx="1683836" cy="60519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regroupement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8</xdr:row>
      <xdr:rowOff>171450</xdr:rowOff>
    </xdr:from>
    <xdr:to>
      <xdr:col>6</xdr:col>
      <xdr:colOff>102686</xdr:colOff>
      <xdr:row>10</xdr:row>
      <xdr:rowOff>195622</xdr:rowOff>
    </xdr:to>
    <xdr:sp macro="" textlink="">
      <xdr:nvSpPr>
        <xdr:cNvPr id="6" name="Ellipse 5">
          <a:hlinkClick xmlns:r="http://schemas.openxmlformats.org/officeDocument/2006/relationships" r:id="rId6"/>
        </xdr:cNvPr>
        <xdr:cNvSpPr/>
      </xdr:nvSpPr>
      <xdr:spPr>
        <a:xfrm>
          <a:off x="5133975" y="2419350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TCD</a:t>
          </a:r>
        </a:p>
      </xdr:txBody>
    </xdr:sp>
    <xdr:clientData/>
  </xdr:twoCellAnchor>
  <xdr:twoCellAnchor>
    <xdr:from>
      <xdr:col>4</xdr:col>
      <xdr:colOff>0</xdr:colOff>
      <xdr:row>11</xdr:row>
      <xdr:rowOff>0</xdr:rowOff>
    </xdr:from>
    <xdr:to>
      <xdr:col>6</xdr:col>
      <xdr:colOff>102686</xdr:colOff>
      <xdr:row>13</xdr:row>
      <xdr:rowOff>24172</xdr:rowOff>
    </xdr:to>
    <xdr:sp macro="" textlink="">
      <xdr:nvSpPr>
        <xdr:cNvPr id="7" name="Ellipse 6">
          <a:hlinkClick xmlns:r="http://schemas.openxmlformats.org/officeDocument/2006/relationships" r:id="rId7"/>
        </xdr:cNvPr>
        <xdr:cNvSpPr/>
      </xdr:nvSpPr>
      <xdr:spPr>
        <a:xfrm>
          <a:off x="5133975" y="3133725"/>
          <a:ext cx="1683836" cy="614722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3</xdr:row>
      <xdr:rowOff>685800</xdr:rowOff>
    </xdr:from>
    <xdr:to>
      <xdr:col>22</xdr:col>
      <xdr:colOff>502920</xdr:colOff>
      <xdr:row>6</xdr:row>
      <xdr:rowOff>15240</xdr:rowOff>
    </xdr:to>
    <xdr:sp macro="[0]!Inser_lig" textlink="">
      <xdr:nvSpPr>
        <xdr:cNvPr id="3" name="Rectangle à coins arrondis 2"/>
        <xdr:cNvSpPr/>
      </xdr:nvSpPr>
      <xdr:spPr>
        <a:xfrm>
          <a:off x="22997160" y="1249680"/>
          <a:ext cx="20116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Inseère</a:t>
          </a:r>
          <a:r>
            <a:rPr lang="fr-FR" sz="1100" baseline="0"/>
            <a:t> une ligne</a:t>
          </a:r>
          <a:endParaRPr lang="fr-FR" sz="1100"/>
        </a:p>
      </xdr:txBody>
    </xdr:sp>
    <xdr:clientData/>
  </xdr:twoCellAnchor>
  <xdr:twoCellAnchor>
    <xdr:from>
      <xdr:col>20</xdr:col>
      <xdr:colOff>91440</xdr:colOff>
      <xdr:row>7</xdr:row>
      <xdr:rowOff>91440</xdr:rowOff>
    </xdr:from>
    <xdr:to>
      <xdr:col>22</xdr:col>
      <xdr:colOff>518160</xdr:colOff>
      <xdr:row>10</xdr:row>
      <xdr:rowOff>152400</xdr:rowOff>
    </xdr:to>
    <xdr:sp macro="[0]!Suppr_lig" textlink="">
      <xdr:nvSpPr>
        <xdr:cNvPr id="4" name="Rectangle à coins arrondis 3"/>
        <xdr:cNvSpPr/>
      </xdr:nvSpPr>
      <xdr:spPr>
        <a:xfrm>
          <a:off x="23012400" y="2118360"/>
          <a:ext cx="20116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 une ligne</a:t>
          </a:r>
        </a:p>
      </xdr:txBody>
    </xdr:sp>
    <xdr:clientData/>
  </xdr:twoCellAnchor>
  <xdr:twoCellAnchor>
    <xdr:from>
      <xdr:col>20</xdr:col>
      <xdr:colOff>91440</xdr:colOff>
      <xdr:row>12</xdr:row>
      <xdr:rowOff>0</xdr:rowOff>
    </xdr:from>
    <xdr:to>
      <xdr:col>22</xdr:col>
      <xdr:colOff>518160</xdr:colOff>
      <xdr:row>15</xdr:row>
      <xdr:rowOff>60960</xdr:rowOff>
    </xdr:to>
    <xdr:sp macro="[0]!Feuil2.Inser_date" textlink="">
      <xdr:nvSpPr>
        <xdr:cNvPr id="6" name="Rectangle à coins arrondis 5"/>
        <xdr:cNvSpPr/>
      </xdr:nvSpPr>
      <xdr:spPr>
        <a:xfrm>
          <a:off x="23012400" y="2941320"/>
          <a:ext cx="201168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Inseère</a:t>
          </a:r>
          <a:r>
            <a:rPr lang="fr-FR" sz="1100" baseline="0"/>
            <a:t> une date</a:t>
          </a:r>
        </a:p>
        <a:p>
          <a:pPr algn="l"/>
          <a:endParaRPr lang="fr-FR" sz="1100"/>
        </a:p>
      </xdr:txBody>
    </xdr:sp>
    <xdr:clientData/>
  </xdr:twoCellAnchor>
  <xdr:twoCellAnchor>
    <xdr:from>
      <xdr:col>20</xdr:col>
      <xdr:colOff>609600</xdr:colOff>
      <xdr:row>18</xdr:row>
      <xdr:rowOff>0</xdr:rowOff>
    </xdr:from>
    <xdr:to>
      <xdr:col>23</xdr:col>
      <xdr:colOff>274320</xdr:colOff>
      <xdr:row>21</xdr:row>
      <xdr:rowOff>121920</xdr:rowOff>
    </xdr:to>
    <xdr:sp macro="[0]!Insert_der_lig" textlink="">
      <xdr:nvSpPr>
        <xdr:cNvPr id="2" name="Rectangle à coins arrondis 1"/>
        <xdr:cNvSpPr/>
      </xdr:nvSpPr>
      <xdr:spPr>
        <a:xfrm>
          <a:off x="23530560" y="4038600"/>
          <a:ext cx="2042160" cy="670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Inser</a:t>
          </a:r>
          <a:r>
            <a:rPr lang="fr-FR" sz="1100" baseline="0"/>
            <a:t> der lig</a:t>
          </a:r>
        </a:p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356506</xdr:colOff>
      <xdr:row>12</xdr:row>
      <xdr:rowOff>170769</xdr:rowOff>
    </xdr:from>
    <xdr:to>
      <xdr:col>9</xdr:col>
      <xdr:colOff>688521</xdr:colOff>
      <xdr:row>22</xdr:row>
      <xdr:rowOff>40820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entin Mercadier" refreshedDate="42439.396347106478" createdVersion="4" refreshedVersion="4" minRefreshableVersion="3" recordCount="29">
  <cacheSource type="worksheet">
    <worksheetSource ref="A4:S32" sheet="Ecriture"/>
  </cacheSource>
  <cacheFields count="18">
    <cacheField name="Solde précédent" numFmtId="0">
      <sharedItems containsNonDate="0" containsString="0" containsBlank="1" count="1">
        <m/>
      </sharedItems>
    </cacheField>
    <cacheField name="Compte" numFmtId="0">
      <sharedItems count="1">
        <s v="Compte chèques"/>
      </sharedItems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-Ecr" numFmtId="0">
      <sharedItems containsSemiMixedTypes="0" containsString="0" containsNumber="1" containsInteger="1" minValue="1900" maxValue="2016" count="3">
        <n v="2015"/>
        <n v="2016"/>
        <n v="1900"/>
      </sharedItems>
    </cacheField>
    <cacheField name="concatener" numFmtId="0">
      <sharedItems count="8">
        <s v="20151"/>
        <s v="20152"/>
        <s v="20153"/>
        <s v="20154"/>
        <s v="20162"/>
        <s v="20161"/>
        <s v="20163"/>
        <s v="19001"/>
      </sharedItems>
    </cacheField>
    <cacheField name="Date" numFmtId="14">
      <sharedItems containsNonDate="0" containsDate="1" containsString="0" containsBlank="1" minDate="2015-01-01T00:00:00" maxDate="2016-03-21T00:00:00" count="24">
        <d v="2015-01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3-20T00:00:00"/>
        <d v="2016-01-22T00:00:00"/>
        <d v="2016-01-23T00:00:00"/>
        <d v="2015-02-24T00:00:00"/>
        <d v="2016-01-25T00:00:00"/>
        <d v="2015-01-25T00:00:00"/>
        <d v="2015-02-25T00:00:00"/>
        <d v="2015-03-26T00:00:00"/>
        <d v="2015-01-31T00:00:00"/>
        <m/>
      </sharedItems>
    </cacheField>
    <cacheField name="Libellé" numFmtId="0">
      <sharedItems count="29">
        <s v="Recettes encaissées"/>
        <s v="Honoraires rétrocédés"/>
        <s v="Montant net des recettes"/>
        <s v="Achat"/>
        <s v="Salaires nets"/>
        <s v="Charges sociales"/>
        <s v="Charges de personnel"/>
        <s v="CSG déductible"/>
        <s v="Résultat financier"/>
        <s v="Autres impôts"/>
        <s v="Gains divers"/>
        <s v="Impôts et taxes"/>
        <s v="Pertes diverses"/>
        <s v="Loyers et charges locatives"/>
        <s v="Dotation aux amortissements"/>
        <s v="Locations"/>
        <s v="Bénéfices"/>
        <s v="Honoraires"/>
        <s v="Prime d'assurance"/>
        <s v="Autre TFSE"/>
        <s v="Frais de déplacement"/>
        <s v="Charges sociales personnelles"/>
        <s v="Frais de réception"/>
        <s v="Fournitures de bureau"/>
        <s v="Autres frais divers de gestion"/>
        <s v="Charges externes"/>
        <s v="Produits financiers"/>
        <s v="Frais financiers"/>
        <s v="Debours"/>
      </sharedItems>
    </cacheField>
    <cacheField name="Famille" numFmtId="165">
      <sharedItems count="1">
        <s v="..."/>
      </sharedItems>
    </cacheField>
    <cacheField name="Prev / réel" numFmtId="165">
      <sharedItems containsNonDate="0" containsString="0" containsBlank="1" count="1">
        <m/>
      </sharedItems>
    </cacheField>
    <cacheField name="Mode" numFmtId="0">
      <sharedItems count="1">
        <s v="Virement"/>
      </sharedItems>
    </cacheField>
    <cacheField name="Référence" numFmtId="165">
      <sharedItems containsBlank="1" count="2">
        <s v="N° FACTURE"/>
        <m/>
      </sharedItems>
    </cacheField>
    <cacheField name="Recettes" numFmtId="165">
      <sharedItems containsString="0" containsBlank="1" containsNumber="1" containsInteger="1" minValue="20" maxValue="100" count="5">
        <n v="20"/>
        <m/>
        <n v="50"/>
        <n v="100"/>
        <n v="40"/>
      </sharedItems>
    </cacheField>
    <cacheField name="Dépenses" numFmtId="166">
      <sharedItems containsSemiMixedTypes="0" containsString="0" containsNumber="1" containsInteger="1" minValue="10" maxValue="10" count="1">
        <n v="10"/>
      </sharedItems>
    </cacheField>
    <cacheField name="Pointage recette" numFmtId="166">
      <sharedItems containsNonDate="0" containsString="0" containsBlank="1"/>
    </cacheField>
    <cacheField name="Pointage dépense" numFmtId="166">
      <sharedItems containsNonDate="0" containsString="0" containsBlank="1"/>
    </cacheField>
    <cacheField name="2 colonnes prév et reel Pointage + 2col masqué si j'a x j'affiche le contenu " numFmtId="166">
      <sharedItems containsNonDate="0" containsString="0" containsBlank="1"/>
    </cacheField>
    <cacheField name="Date valeur banque à voir si intéressant" numFmtId="14">
      <sharedItems containsNonDate="0" containsDate="1" containsString="0" containsBlank="1" minDate="2015-01-04T00:00:00" maxDate="2015-03-21T00:00:00"/>
    </cacheField>
    <cacheField name="Observations" numFmtId="165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  <x v="0"/>
    <x v="0"/>
    <x v="0"/>
    <x v="0"/>
    <x v="0"/>
    <x v="0"/>
    <x v="0"/>
    <x v="0"/>
    <x v="0"/>
    <x v="0"/>
    <m/>
    <m/>
    <m/>
    <d v="2015-01-20T00:00:00"/>
    <m/>
  </r>
  <r>
    <x v="0"/>
    <x v="0"/>
    <x v="1"/>
    <x v="0"/>
    <x v="1"/>
    <x v="1"/>
    <x v="1"/>
    <x v="0"/>
    <x v="0"/>
    <x v="0"/>
    <x v="1"/>
    <x v="1"/>
    <x v="0"/>
    <m/>
    <m/>
    <m/>
    <d v="2015-02-03T00:00:00"/>
    <m/>
  </r>
  <r>
    <x v="0"/>
    <x v="0"/>
    <x v="1"/>
    <x v="0"/>
    <x v="1"/>
    <x v="2"/>
    <x v="2"/>
    <x v="0"/>
    <x v="0"/>
    <x v="0"/>
    <x v="1"/>
    <x v="1"/>
    <x v="0"/>
    <m/>
    <m/>
    <m/>
    <d v="2015-02-10T00:00:00"/>
    <m/>
  </r>
  <r>
    <x v="0"/>
    <x v="0"/>
    <x v="2"/>
    <x v="0"/>
    <x v="2"/>
    <x v="3"/>
    <x v="3"/>
    <x v="0"/>
    <x v="0"/>
    <x v="0"/>
    <x v="1"/>
    <x v="1"/>
    <x v="0"/>
    <m/>
    <m/>
    <m/>
    <d v="2015-03-20T00:00:00"/>
    <m/>
  </r>
  <r>
    <x v="0"/>
    <x v="0"/>
    <x v="2"/>
    <x v="0"/>
    <x v="2"/>
    <x v="4"/>
    <x v="4"/>
    <x v="0"/>
    <x v="0"/>
    <x v="0"/>
    <x v="1"/>
    <x v="1"/>
    <x v="0"/>
    <m/>
    <m/>
    <m/>
    <d v="2015-03-03T00:00:00"/>
    <m/>
  </r>
  <r>
    <x v="0"/>
    <x v="0"/>
    <x v="2"/>
    <x v="0"/>
    <x v="2"/>
    <x v="5"/>
    <x v="5"/>
    <x v="0"/>
    <x v="0"/>
    <x v="0"/>
    <x v="1"/>
    <x v="2"/>
    <x v="0"/>
    <m/>
    <m/>
    <m/>
    <d v="2015-03-05T00:00:00"/>
    <m/>
  </r>
  <r>
    <x v="0"/>
    <x v="0"/>
    <x v="2"/>
    <x v="0"/>
    <x v="2"/>
    <x v="6"/>
    <x v="6"/>
    <x v="0"/>
    <x v="0"/>
    <x v="0"/>
    <x v="1"/>
    <x v="1"/>
    <x v="0"/>
    <m/>
    <m/>
    <m/>
    <d v="2015-03-12T00:00:00"/>
    <m/>
  </r>
  <r>
    <x v="0"/>
    <x v="0"/>
    <x v="3"/>
    <x v="0"/>
    <x v="3"/>
    <x v="7"/>
    <x v="7"/>
    <x v="0"/>
    <x v="0"/>
    <x v="0"/>
    <x v="1"/>
    <x v="1"/>
    <x v="0"/>
    <m/>
    <m/>
    <m/>
    <d v="2015-01-04T00:00:00"/>
    <m/>
  </r>
  <r>
    <x v="0"/>
    <x v="0"/>
    <x v="3"/>
    <x v="0"/>
    <x v="3"/>
    <x v="8"/>
    <x v="8"/>
    <x v="0"/>
    <x v="0"/>
    <x v="0"/>
    <x v="1"/>
    <x v="1"/>
    <x v="0"/>
    <m/>
    <m/>
    <m/>
    <d v="2015-03-20T00:00:00"/>
    <m/>
  </r>
  <r>
    <x v="0"/>
    <x v="0"/>
    <x v="1"/>
    <x v="0"/>
    <x v="1"/>
    <x v="9"/>
    <x v="9"/>
    <x v="0"/>
    <x v="0"/>
    <x v="0"/>
    <x v="1"/>
    <x v="1"/>
    <x v="0"/>
    <m/>
    <m/>
    <m/>
    <d v="2015-02-17T00:00:00"/>
    <m/>
  </r>
  <r>
    <x v="0"/>
    <x v="0"/>
    <x v="1"/>
    <x v="1"/>
    <x v="4"/>
    <x v="10"/>
    <x v="10"/>
    <x v="0"/>
    <x v="0"/>
    <x v="0"/>
    <x v="1"/>
    <x v="3"/>
    <x v="0"/>
    <m/>
    <m/>
    <m/>
    <d v="2015-03-03T00:00:00"/>
    <m/>
  </r>
  <r>
    <x v="0"/>
    <x v="0"/>
    <x v="0"/>
    <x v="1"/>
    <x v="5"/>
    <x v="11"/>
    <x v="11"/>
    <x v="0"/>
    <x v="0"/>
    <x v="0"/>
    <x v="1"/>
    <x v="1"/>
    <x v="0"/>
    <m/>
    <m/>
    <m/>
    <d v="2015-01-18T00:00:00"/>
    <m/>
  </r>
  <r>
    <x v="0"/>
    <x v="0"/>
    <x v="0"/>
    <x v="1"/>
    <x v="5"/>
    <x v="11"/>
    <x v="12"/>
    <x v="0"/>
    <x v="0"/>
    <x v="0"/>
    <x v="1"/>
    <x v="1"/>
    <x v="0"/>
    <m/>
    <m/>
    <m/>
    <d v="2015-03-05T00:00:00"/>
    <m/>
  </r>
  <r>
    <x v="0"/>
    <x v="0"/>
    <x v="2"/>
    <x v="1"/>
    <x v="6"/>
    <x v="12"/>
    <x v="13"/>
    <x v="0"/>
    <x v="0"/>
    <x v="0"/>
    <x v="1"/>
    <x v="1"/>
    <x v="0"/>
    <m/>
    <m/>
    <m/>
    <m/>
    <m/>
  </r>
  <r>
    <x v="0"/>
    <x v="0"/>
    <x v="2"/>
    <x v="1"/>
    <x v="6"/>
    <x v="12"/>
    <x v="14"/>
    <x v="0"/>
    <x v="0"/>
    <x v="0"/>
    <x v="1"/>
    <x v="1"/>
    <x v="0"/>
    <m/>
    <m/>
    <m/>
    <d v="2015-03-12T00:00:00"/>
    <m/>
  </r>
  <r>
    <x v="0"/>
    <x v="0"/>
    <x v="1"/>
    <x v="1"/>
    <x v="4"/>
    <x v="13"/>
    <x v="15"/>
    <x v="0"/>
    <x v="0"/>
    <x v="0"/>
    <x v="1"/>
    <x v="1"/>
    <x v="0"/>
    <m/>
    <m/>
    <m/>
    <d v="2015-02-20T00:00:00"/>
    <m/>
  </r>
  <r>
    <x v="0"/>
    <x v="0"/>
    <x v="1"/>
    <x v="1"/>
    <x v="4"/>
    <x v="13"/>
    <x v="16"/>
    <x v="0"/>
    <x v="0"/>
    <x v="0"/>
    <x v="1"/>
    <x v="4"/>
    <x v="0"/>
    <m/>
    <m/>
    <m/>
    <d v="2015-01-04T00:00:00"/>
    <m/>
  </r>
  <r>
    <x v="0"/>
    <x v="0"/>
    <x v="2"/>
    <x v="1"/>
    <x v="6"/>
    <x v="14"/>
    <x v="17"/>
    <x v="0"/>
    <x v="0"/>
    <x v="0"/>
    <x v="1"/>
    <x v="1"/>
    <x v="0"/>
    <m/>
    <m/>
    <m/>
    <d v="2015-03-20T00:00:00"/>
    <m/>
  </r>
  <r>
    <x v="0"/>
    <x v="0"/>
    <x v="0"/>
    <x v="1"/>
    <x v="5"/>
    <x v="15"/>
    <x v="18"/>
    <x v="0"/>
    <x v="0"/>
    <x v="0"/>
    <x v="1"/>
    <x v="1"/>
    <x v="0"/>
    <m/>
    <m/>
    <m/>
    <d v="2015-01-22T00:00:00"/>
    <m/>
  </r>
  <r>
    <x v="0"/>
    <x v="0"/>
    <x v="0"/>
    <x v="1"/>
    <x v="5"/>
    <x v="15"/>
    <x v="19"/>
    <x v="0"/>
    <x v="0"/>
    <x v="0"/>
    <x v="1"/>
    <x v="1"/>
    <x v="0"/>
    <m/>
    <m/>
    <m/>
    <d v="2015-01-22T00:00:00"/>
    <m/>
  </r>
  <r>
    <x v="0"/>
    <x v="0"/>
    <x v="0"/>
    <x v="1"/>
    <x v="5"/>
    <x v="16"/>
    <x v="20"/>
    <x v="0"/>
    <x v="0"/>
    <x v="0"/>
    <x v="1"/>
    <x v="1"/>
    <x v="0"/>
    <m/>
    <m/>
    <m/>
    <d v="2015-01-23T00:00:00"/>
    <m/>
  </r>
  <r>
    <x v="0"/>
    <x v="0"/>
    <x v="1"/>
    <x v="0"/>
    <x v="1"/>
    <x v="17"/>
    <x v="21"/>
    <x v="0"/>
    <x v="0"/>
    <x v="0"/>
    <x v="1"/>
    <x v="0"/>
    <x v="0"/>
    <m/>
    <m/>
    <m/>
    <d v="2015-02-24T00:00:00"/>
    <m/>
  </r>
  <r>
    <x v="0"/>
    <x v="0"/>
    <x v="0"/>
    <x v="1"/>
    <x v="5"/>
    <x v="18"/>
    <x v="22"/>
    <x v="0"/>
    <x v="0"/>
    <x v="0"/>
    <x v="1"/>
    <x v="1"/>
    <x v="0"/>
    <m/>
    <m/>
    <m/>
    <d v="2015-01-25T00:00:00"/>
    <m/>
  </r>
  <r>
    <x v="0"/>
    <x v="0"/>
    <x v="0"/>
    <x v="0"/>
    <x v="0"/>
    <x v="19"/>
    <x v="23"/>
    <x v="0"/>
    <x v="0"/>
    <x v="0"/>
    <x v="1"/>
    <x v="1"/>
    <x v="0"/>
    <m/>
    <m/>
    <m/>
    <d v="2015-01-25T00:00:00"/>
    <m/>
  </r>
  <r>
    <x v="0"/>
    <x v="0"/>
    <x v="1"/>
    <x v="0"/>
    <x v="1"/>
    <x v="20"/>
    <x v="24"/>
    <x v="0"/>
    <x v="0"/>
    <x v="0"/>
    <x v="1"/>
    <x v="1"/>
    <x v="0"/>
    <m/>
    <m/>
    <m/>
    <d v="2015-02-25T00:00:00"/>
    <m/>
  </r>
  <r>
    <x v="0"/>
    <x v="0"/>
    <x v="2"/>
    <x v="0"/>
    <x v="2"/>
    <x v="21"/>
    <x v="25"/>
    <x v="0"/>
    <x v="0"/>
    <x v="0"/>
    <x v="1"/>
    <x v="1"/>
    <x v="0"/>
    <m/>
    <m/>
    <m/>
    <m/>
    <m/>
  </r>
  <r>
    <x v="0"/>
    <x v="0"/>
    <x v="2"/>
    <x v="0"/>
    <x v="2"/>
    <x v="21"/>
    <x v="26"/>
    <x v="0"/>
    <x v="0"/>
    <x v="0"/>
    <x v="1"/>
    <x v="1"/>
    <x v="0"/>
    <m/>
    <m/>
    <m/>
    <m/>
    <m/>
  </r>
  <r>
    <x v="0"/>
    <x v="0"/>
    <x v="0"/>
    <x v="0"/>
    <x v="0"/>
    <x v="22"/>
    <x v="27"/>
    <x v="0"/>
    <x v="0"/>
    <x v="0"/>
    <x v="1"/>
    <x v="1"/>
    <x v="0"/>
    <m/>
    <m/>
    <m/>
    <d v="2015-01-31T00:00:00"/>
    <m/>
  </r>
  <r>
    <x v="0"/>
    <x v="0"/>
    <x v="0"/>
    <x v="2"/>
    <x v="7"/>
    <x v="23"/>
    <x v="28"/>
    <x v="0"/>
    <x v="0"/>
    <x v="0"/>
    <x v="1"/>
    <x v="1"/>
    <x v="0"/>
    <m/>
    <m/>
    <m/>
    <d v="2015-02-01T00:00: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Mon_TCD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23" firstHeaderRow="0" firstDataRow="1" firstDataCol="1" rowPageCount="1" colPageCount="1"/>
  <pivotFields count="18"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showAll="0">
      <items count="4">
        <item x="2"/>
        <item x="0"/>
        <item x="1"/>
        <item t="default"/>
      </items>
    </pivotField>
    <pivotField showAll="0">
      <items count="9">
        <item x="7"/>
        <item x="0"/>
        <item x="1"/>
        <item x="2"/>
        <item x="3"/>
        <item x="5"/>
        <item x="4"/>
        <item x="6"/>
        <item t="default"/>
      </items>
    </pivotField>
    <pivotField axis="axisRow" showAll="0">
      <items count="25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x="23"/>
        <item t="default"/>
      </items>
    </pivotField>
    <pivotField showAll="0">
      <items count="30">
        <item x="3"/>
        <item x="19"/>
        <item x="24"/>
        <item x="9"/>
        <item x="16"/>
        <item x="6"/>
        <item x="25"/>
        <item x="5"/>
        <item x="21"/>
        <item x="7"/>
        <item x="28"/>
        <item x="14"/>
        <item x="23"/>
        <item x="20"/>
        <item x="22"/>
        <item x="27"/>
        <item x="10"/>
        <item x="17"/>
        <item x="1"/>
        <item x="11"/>
        <item x="15"/>
        <item x="13"/>
        <item x="2"/>
        <item x="12"/>
        <item x="18"/>
        <item x="26"/>
        <item x="0"/>
        <item x="8"/>
        <item x="4"/>
        <item t="default"/>
      </items>
    </pivotField>
    <pivotField showAll="0">
      <items count="2">
        <item x="0"/>
        <item t="default"/>
      </items>
    </pivotField>
    <pivotField showAll="0"/>
    <pivotField showAll="0">
      <items count="2">
        <item x="0"/>
        <item t="default"/>
      </items>
    </pivotField>
    <pivotField showAll="0"/>
    <pivotField dataField="1" showAll="0">
      <items count="6">
        <item x="0"/>
        <item x="4"/>
        <item x="2"/>
        <item x="3"/>
        <item x="1"/>
        <item t="default"/>
      </items>
    </pivotField>
    <pivotField dataField="1" numFmtId="166" showAll="0">
      <items count="2">
        <item x="0"/>
        <item t="default"/>
      </items>
    </pivotField>
    <pivotField showAll="0"/>
    <pivotField showAll="0"/>
    <pivotField showAll="0"/>
    <pivotField showAll="0"/>
    <pivotField showAll="0"/>
  </pivotFields>
  <rowFields count="1">
    <field x="5"/>
  </rowFields>
  <rowItems count="9">
    <i>
      <x/>
    </i>
    <i>
      <x v="1"/>
    </i>
    <i>
      <x v="2"/>
    </i>
    <i>
      <x v="15"/>
    </i>
    <i>
      <x v="16"/>
    </i>
    <i>
      <x v="17"/>
    </i>
    <i>
      <x v="18"/>
    </i>
    <i>
      <x v="23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Somme de Dépenses" fld="12" baseField="0" baseItem="0"/>
    <dataField name="Somme de Recettes" fld="11" baseField="0" baseItem="1"/>
  </dataFields>
  <formats count="1">
    <format dxfId="1">
      <pivotArea outline="0" collapsedLevelsAreSubtotals="1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5:F6" totalsRowShown="0">
  <autoFilter ref="A5:F6"/>
  <tableColumns count="6">
    <tableColumn id="1" name="Comptes"/>
    <tableColumn id="2" name="Solde initial" dataDxfId="15"/>
    <tableColumn id="3" name="Recettes"/>
    <tableColumn id="4" name="Dépenses"/>
    <tableColumn id="5" name="Solde"/>
    <tableColumn id="6" name="Observ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4:S32" totalsRowShown="0" headerRowDxfId="14" headerRowBorderDxfId="13" tableBorderDxfId="12" totalsRowBorderDxfId="11" headerRowCellStyle="Monétaire 2" dataCellStyle="Normal">
  <autoFilter ref="B4:S32"/>
  <sortState ref="B5:P33">
    <sortCondition ref="F5"/>
  </sortState>
  <tableColumns count="18">
    <tableColumn id="1" name="Compte" dataCellStyle="Normal"/>
    <tableColumn id="13" name="Mois" dataCellStyle="Normal">
      <calculatedColumnFormula>MONTH(Tableau3[[#This Row],[Date]])</calculatedColumnFormula>
    </tableColumn>
    <tableColumn id="14" name="Année-Ecr" dataCellStyle="Normal">
      <calculatedColumnFormula>YEAR(Tableau3[[#This Row],[Date]])</calculatedColumnFormula>
    </tableColumn>
    <tableColumn id="15" name="concatener" dataCellStyle="Normal">
      <calculatedColumnFormula>CONCATENATE(Tableau3[[#This Row],[Année-Ecr]],Tableau3[[#This Row],[Mois]])</calculatedColumnFormula>
    </tableColumn>
    <tableColumn id="2" name="Date" dataDxfId="10" dataCellStyle="Normal"/>
    <tableColumn id="3" name="Libellé" dataCellStyle="Normal"/>
    <tableColumn id="5" name="Famille" dataCellStyle="Normal"/>
    <tableColumn id="17" name="Prev / réel" dataCellStyle="Norma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CellStyle="Normal"/>
    <tableColumn id="16" name="Pointage dépense" dataCellStyle="Normal">
      <calculatedColumnFormula>IF(Tableau3[[#This Row],[Dépenses]]="x",Tableau3[[#This Row],[Dépenses]],0)</calculatedColumnFormula>
    </tableColumn>
    <tableColumn id="10" name="Pojnage recette masqué" dataCellStyle="Normal">
      <calculatedColumnFormula>IF(Tableau3[[#This Row],[Pointage recette]]="x",Tableau3[[#This Row],[Recettes]],0)</calculatedColumnFormula>
    </tableColumn>
    <tableColumn id="4" name="2 colmasqué si j'a x j'affiche le contenu " dataCellStyle="Normal">
      <calculatedColumnFormula>IF(Tableau3[[#This Row],[Pointage dépense]]="x",Tableau3[[#This Row],[Dépenses]],0)</calculatedColumnFormula>
    </tableColumn>
    <tableColumn id="11" name="Date valeur banque " dataCellStyle="Normal"/>
    <tableColumn id="12" name="Observations" dataCellStyle="Normal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4:E7" totalsRowShown="0" headerRowBorderDxfId="9" tableBorderDxfId="8" totalsRowBorderDxfId="7">
  <autoFilter ref="A4:E7"/>
  <tableColumns count="5">
    <tableColumn id="1" name="Regroupements" dataDxfId="6"/>
    <tableColumn id="2" name="Recettes" dataDxfId="5" dataCellStyle="Monétaire 2"/>
    <tableColumn id="3" name="Dépenses" dataDxfId="4" dataCellStyle="Monétaire 2"/>
    <tableColumn id="4" name="Solde" dataDxfId="3" dataCellStyle="Monétaire 2"/>
    <tableColumn id="5" name="Observation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F27"/>
  <sheetViews>
    <sheetView zoomScale="80" zoomScaleNormal="80" workbookViewId="0">
      <selection activeCell="H4" sqref="H4"/>
    </sheetView>
  </sheetViews>
  <sheetFormatPr baseColWidth="10" defaultRowHeight="14.4" x14ac:dyDescent="0.3"/>
  <cols>
    <col min="1" max="1" width="30.21875" customWidth="1"/>
    <col min="2" max="2" width="10.44140625" customWidth="1"/>
    <col min="3" max="3" width="22.6640625" customWidth="1"/>
  </cols>
  <sheetData>
    <row r="2" spans="1:6" ht="23.4" x14ac:dyDescent="0.45">
      <c r="A2" s="29"/>
      <c r="B2" s="59"/>
      <c r="C2" s="59"/>
      <c r="D2" s="59"/>
      <c r="E2" s="60"/>
      <c r="F2" s="60"/>
    </row>
    <row r="3" spans="1:6" ht="23.4" x14ac:dyDescent="0.45">
      <c r="A3" s="29"/>
      <c r="B3" s="62"/>
      <c r="C3" s="59"/>
      <c r="D3" s="59"/>
      <c r="E3" s="60"/>
      <c r="F3" s="60"/>
    </row>
    <row r="4" spans="1:6" ht="23.4" x14ac:dyDescent="0.45">
      <c r="A4" s="63" t="s">
        <v>95</v>
      </c>
      <c r="B4" s="63"/>
      <c r="C4" s="63"/>
      <c r="D4" s="59"/>
      <c r="E4" s="60"/>
      <c r="F4" s="60"/>
    </row>
    <row r="5" spans="1:6" ht="23.4" x14ac:dyDescent="0.45">
      <c r="A5" s="29"/>
      <c r="B5" s="59"/>
      <c r="C5" s="59"/>
      <c r="D5" s="59"/>
      <c r="E5" s="60"/>
      <c r="F5" s="60"/>
    </row>
    <row r="6" spans="1:6" ht="23.4" x14ac:dyDescent="0.45">
      <c r="A6" s="29"/>
      <c r="B6" s="59"/>
      <c r="C6" s="59"/>
      <c r="D6" s="59"/>
      <c r="E6" s="60"/>
      <c r="F6" s="60"/>
    </row>
    <row r="7" spans="1:6" ht="23.4" x14ac:dyDescent="0.45">
      <c r="A7" s="29"/>
      <c r="B7" s="59"/>
      <c r="C7" s="59"/>
      <c r="D7" s="59"/>
      <c r="E7" s="60"/>
      <c r="F7" s="60"/>
    </row>
    <row r="8" spans="1:6" ht="23.4" x14ac:dyDescent="0.45">
      <c r="A8" s="29"/>
      <c r="B8" s="59"/>
      <c r="C8" s="59"/>
      <c r="D8" s="59"/>
      <c r="E8" s="60"/>
      <c r="F8" s="60"/>
    </row>
    <row r="9" spans="1:6" ht="23.4" x14ac:dyDescent="0.45">
      <c r="A9" s="29"/>
      <c r="B9" s="59"/>
      <c r="C9" s="59"/>
      <c r="D9" s="59"/>
      <c r="E9" s="60"/>
      <c r="F9" s="60"/>
    </row>
    <row r="10" spans="1:6" ht="23.4" x14ac:dyDescent="0.45">
      <c r="A10" s="29"/>
      <c r="B10" s="59"/>
      <c r="C10" s="59"/>
      <c r="D10" s="59"/>
      <c r="E10" s="60"/>
      <c r="F10" s="60"/>
    </row>
    <row r="11" spans="1:6" ht="23.4" x14ac:dyDescent="0.45">
      <c r="A11" s="29"/>
      <c r="B11" s="59"/>
      <c r="C11" s="59"/>
      <c r="D11" s="59"/>
      <c r="E11" s="60"/>
      <c r="F11" s="60"/>
    </row>
    <row r="12" spans="1:6" ht="23.4" x14ac:dyDescent="0.45">
      <c r="A12" s="29"/>
      <c r="B12" s="59"/>
      <c r="C12" s="59"/>
      <c r="D12" s="59"/>
      <c r="E12" s="60"/>
      <c r="F12" s="60"/>
    </row>
    <row r="13" spans="1:6" ht="23.4" x14ac:dyDescent="0.45">
      <c r="A13" s="29"/>
      <c r="B13" s="59"/>
      <c r="C13" s="59"/>
      <c r="D13" s="59"/>
      <c r="E13" s="60"/>
      <c r="F13" s="60"/>
    </row>
    <row r="14" spans="1:6" ht="23.4" x14ac:dyDescent="0.45">
      <c r="A14" s="29"/>
      <c r="B14" s="59"/>
      <c r="C14" s="59"/>
      <c r="D14" s="59"/>
      <c r="E14" s="60"/>
      <c r="F14" s="60"/>
    </row>
    <row r="15" spans="1:6" ht="23.4" x14ac:dyDescent="0.45">
      <c r="A15" s="29"/>
      <c r="B15" s="59"/>
      <c r="C15" s="59"/>
      <c r="D15" s="59"/>
      <c r="E15" s="60"/>
      <c r="F15" s="60"/>
    </row>
    <row r="16" spans="1:6" ht="23.4" x14ac:dyDescent="0.45">
      <c r="A16" s="29"/>
      <c r="B16" s="59"/>
      <c r="C16" s="59"/>
      <c r="D16" s="59"/>
      <c r="E16" s="60"/>
      <c r="F16" s="60"/>
    </row>
    <row r="17" spans="1:6" ht="23.4" x14ac:dyDescent="0.45">
      <c r="A17" s="29"/>
      <c r="B17" s="59"/>
      <c r="C17" s="59"/>
      <c r="D17" s="59"/>
      <c r="E17" s="60"/>
      <c r="F17" s="60"/>
    </row>
    <row r="18" spans="1:6" ht="23.4" x14ac:dyDescent="0.45">
      <c r="A18" s="29"/>
      <c r="B18" s="59"/>
      <c r="C18" s="59"/>
      <c r="D18" s="59"/>
      <c r="E18" s="60"/>
      <c r="F18" s="60"/>
    </row>
    <row r="19" spans="1:6" ht="23.4" x14ac:dyDescent="0.45">
      <c r="A19" s="29"/>
      <c r="B19" s="59"/>
      <c r="C19" s="59"/>
      <c r="D19" s="59"/>
      <c r="E19" s="60"/>
      <c r="F19" s="60"/>
    </row>
    <row r="20" spans="1:6" ht="23.4" x14ac:dyDescent="0.45">
      <c r="A20" s="29"/>
      <c r="B20" s="59"/>
      <c r="C20" s="59"/>
      <c r="D20" s="59"/>
      <c r="E20" s="60"/>
      <c r="F20" s="60"/>
    </row>
    <row r="21" spans="1:6" ht="23.4" x14ac:dyDescent="0.45">
      <c r="A21" s="29"/>
      <c r="B21" s="59"/>
      <c r="C21" s="59"/>
      <c r="D21" s="59"/>
      <c r="E21" s="60"/>
      <c r="F21" s="60"/>
    </row>
    <row r="22" spans="1:6" x14ac:dyDescent="0.3">
      <c r="A22" s="29"/>
      <c r="B22" s="29"/>
      <c r="C22" s="29"/>
      <c r="D22" s="29"/>
    </row>
    <row r="23" spans="1:6" x14ac:dyDescent="0.3">
      <c r="A23" s="29"/>
      <c r="B23" s="29"/>
      <c r="C23" s="29"/>
      <c r="D23" s="29"/>
    </row>
    <row r="24" spans="1:6" x14ac:dyDescent="0.3">
      <c r="A24" s="29"/>
      <c r="B24" s="29"/>
      <c r="C24" s="29"/>
      <c r="D24" s="29"/>
    </row>
    <row r="25" spans="1:6" x14ac:dyDescent="0.3">
      <c r="A25" s="29"/>
      <c r="B25" s="29"/>
      <c r="C25" s="29"/>
      <c r="D25" s="29"/>
    </row>
    <row r="26" spans="1:6" x14ac:dyDescent="0.3">
      <c r="A26" s="29"/>
      <c r="B26" s="29"/>
      <c r="C26" s="29"/>
      <c r="D26" s="29"/>
    </row>
    <row r="27" spans="1:6" x14ac:dyDescent="0.3">
      <c r="A27" s="29"/>
      <c r="B27" s="29"/>
      <c r="C27" s="29"/>
      <c r="D27" s="29"/>
    </row>
  </sheetData>
  <mergeCells count="1">
    <mergeCell ref="A4:C4"/>
  </mergeCells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workbookViewId="0">
      <selection activeCell="B9" sqref="B9"/>
    </sheetView>
  </sheetViews>
  <sheetFormatPr baseColWidth="10" defaultRowHeight="14.4" x14ac:dyDescent="0.3"/>
  <cols>
    <col min="1" max="1" width="25.77734375" customWidth="1"/>
    <col min="2" max="2" width="13.77734375" customWidth="1"/>
    <col min="3" max="3" width="15.5546875" customWidth="1"/>
    <col min="4" max="6" width="13.77734375" customWidth="1"/>
  </cols>
  <sheetData>
    <row r="1" spans="1:6" ht="15.6" customHeight="1" x14ac:dyDescent="0.3">
      <c r="A1" s="64" t="s">
        <v>96</v>
      </c>
      <c r="B1" s="64"/>
    </row>
    <row r="2" spans="1:6" ht="14.4" customHeight="1" x14ac:dyDescent="0.3">
      <c r="A2" s="64"/>
      <c r="B2" s="64"/>
    </row>
    <row r="3" spans="1:6" ht="14.4" customHeight="1" x14ac:dyDescent="0.3">
      <c r="A3" s="64"/>
      <c r="B3" s="64"/>
    </row>
    <row r="5" spans="1:6" x14ac:dyDescent="0.3">
      <c r="A5" t="s">
        <v>7</v>
      </c>
      <c r="B5" t="s">
        <v>1</v>
      </c>
      <c r="C5" t="s">
        <v>2</v>
      </c>
      <c r="D5" t="s">
        <v>3</v>
      </c>
      <c r="E5" t="s">
        <v>4</v>
      </c>
      <c r="F5" t="s">
        <v>9</v>
      </c>
    </row>
    <row r="6" spans="1:6" x14ac:dyDescent="0.3">
      <c r="A6" t="s">
        <v>8</v>
      </c>
      <c r="B6" s="17">
        <v>1000</v>
      </c>
      <c r="C6" s="10" t="s">
        <v>55</v>
      </c>
      <c r="D6" s="10" t="s">
        <v>55</v>
      </c>
      <c r="E6" t="s">
        <v>55</v>
      </c>
      <c r="F6" t="s">
        <v>56</v>
      </c>
    </row>
  </sheetData>
  <mergeCells count="1">
    <mergeCell ref="A1:B3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C7"/>
  <sheetViews>
    <sheetView workbookViewId="0">
      <selection activeCell="B12" sqref="B12"/>
    </sheetView>
  </sheetViews>
  <sheetFormatPr baseColWidth="10" defaultRowHeight="14.4" x14ac:dyDescent="0.3"/>
  <cols>
    <col min="1" max="3" width="24.44140625" customWidth="1"/>
  </cols>
  <sheetData>
    <row r="3" spans="1:3" x14ac:dyDescent="0.3">
      <c r="A3" s="16"/>
      <c r="B3" s="16" t="s">
        <v>2</v>
      </c>
      <c r="C3" s="16" t="s">
        <v>3</v>
      </c>
    </row>
    <row r="4" spans="1:3" x14ac:dyDescent="0.3">
      <c r="A4" s="34" t="s">
        <v>78</v>
      </c>
      <c r="B4" s="14"/>
      <c r="C4" s="14"/>
    </row>
    <row r="5" spans="1:3" x14ac:dyDescent="0.3">
      <c r="A5" s="35" t="s">
        <v>79</v>
      </c>
      <c r="B5" s="14"/>
      <c r="C5" s="14"/>
    </row>
    <row r="6" spans="1:3" x14ac:dyDescent="0.3">
      <c r="A6" s="36" t="s">
        <v>77</v>
      </c>
      <c r="B6" s="14"/>
      <c r="C6" s="14"/>
    </row>
    <row r="7" spans="1:3" x14ac:dyDescent="0.3">
      <c r="A7" s="37" t="s">
        <v>80</v>
      </c>
      <c r="B7" s="14"/>
      <c r="C7" s="1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43"/>
  <sheetViews>
    <sheetView tabSelected="1" zoomScale="50" zoomScaleNormal="50" workbookViewId="0">
      <selection activeCell="A33" sqref="A33:XFD33"/>
    </sheetView>
  </sheetViews>
  <sheetFormatPr baseColWidth="10" defaultRowHeight="14.4" x14ac:dyDescent="0.3"/>
  <cols>
    <col min="1" max="1" width="17.109375" style="10" customWidth="1"/>
    <col min="2" max="3" width="14.33203125" customWidth="1"/>
    <col min="4" max="4" width="19.77734375" customWidth="1"/>
    <col min="5" max="5" width="14.33203125" customWidth="1"/>
    <col min="6" max="6" width="22.6640625" customWidth="1"/>
    <col min="7" max="7" width="46.109375" style="10" customWidth="1"/>
    <col min="8" max="8" width="21.33203125" customWidth="1"/>
    <col min="9" max="9" width="14.33203125" customWidth="1"/>
    <col min="10" max="10" width="17.5546875" customWidth="1"/>
    <col min="11" max="11" width="17.5546875" style="10" customWidth="1"/>
    <col min="12" max="12" width="14.33203125" customWidth="1"/>
    <col min="13" max="14" width="10.44140625" customWidth="1"/>
    <col min="18" max="18" width="17" customWidth="1"/>
    <col min="19" max="19" width="15.5546875" customWidth="1"/>
  </cols>
  <sheetData>
    <row r="1" spans="1:19" ht="15.6" x14ac:dyDescent="0.3">
      <c r="H1" s="12" t="s">
        <v>58</v>
      </c>
      <c r="I1" s="28" t="str">
        <f>SUBTOTAL(3,B4:B32)&amp;" écritures"</f>
        <v>29 écritures</v>
      </c>
      <c r="J1" s="11">
        <f>SUBTOTAL(9,Tableau3[Dépenses])</f>
        <v>280</v>
      </c>
      <c r="K1" s="11"/>
    </row>
    <row r="4" spans="1:19" ht="72" x14ac:dyDescent="0.3">
      <c r="A4" s="23" t="s">
        <v>59</v>
      </c>
      <c r="B4" s="24" t="s">
        <v>0</v>
      </c>
      <c r="C4" s="24" t="s">
        <v>60</v>
      </c>
      <c r="D4" s="30" t="s">
        <v>61</v>
      </c>
      <c r="E4" s="24" t="s">
        <v>62</v>
      </c>
      <c r="F4" s="25" t="s">
        <v>10</v>
      </c>
      <c r="G4" s="26" t="s">
        <v>11</v>
      </c>
      <c r="H4" s="26" t="s">
        <v>54</v>
      </c>
      <c r="I4" s="26" t="s">
        <v>70</v>
      </c>
      <c r="J4" s="25" t="s">
        <v>12</v>
      </c>
      <c r="K4" s="25" t="s">
        <v>13</v>
      </c>
      <c r="L4" s="25" t="s">
        <v>2</v>
      </c>
      <c r="M4" s="25" t="s">
        <v>3</v>
      </c>
      <c r="N4" s="25" t="s">
        <v>68</v>
      </c>
      <c r="O4" s="25" t="s">
        <v>69</v>
      </c>
      <c r="P4" s="25" t="s">
        <v>86</v>
      </c>
      <c r="Q4" s="25" t="s">
        <v>76</v>
      </c>
      <c r="R4" s="27" t="s">
        <v>87</v>
      </c>
      <c r="S4" s="27" t="s">
        <v>5</v>
      </c>
    </row>
    <row r="5" spans="1:19" x14ac:dyDescent="0.3">
      <c r="B5" s="10" t="s">
        <v>6</v>
      </c>
      <c r="C5" s="10">
        <f>MONTH(Tableau3[[#This Row],[Date]])</f>
        <v>1</v>
      </c>
      <c r="D5" s="10">
        <f>YEAR(Tableau3[[#This Row],[Date]])</f>
        <v>2015</v>
      </c>
      <c r="E5" s="10" t="str">
        <f>CONCATENATE(Tableau3[[#This Row],[Année-Ecr]],Tableau3[[#This Row],[Mois]])</f>
        <v>20151</v>
      </c>
      <c r="F5" s="47">
        <v>42005</v>
      </c>
      <c r="G5" s="10" t="s">
        <v>14</v>
      </c>
      <c r="H5" s="10" t="str">
        <f>VLOOKUP(Tableau3[[#This Row],[Libellé]],RechecheV,2,FALSE)</f>
        <v>Produit</v>
      </c>
      <c r="I5" s="10"/>
      <c r="J5" s="10" t="s">
        <v>15</v>
      </c>
      <c r="K5" s="10" t="s">
        <v>57</v>
      </c>
      <c r="L5" s="10">
        <v>20</v>
      </c>
      <c r="M5" s="10">
        <v>10</v>
      </c>
      <c r="N5" s="10" t="s">
        <v>85</v>
      </c>
      <c r="O5" s="10" t="s">
        <v>85</v>
      </c>
      <c r="P5" s="10">
        <f>IF(Tableau3[[#This Row],[Pointage recette]]="x",Tableau3[[#This Row],[Recettes]],0)</f>
        <v>20</v>
      </c>
      <c r="Q5" s="10">
        <f>IF(Tableau3[[#This Row],[Pointage dépense]]="x",Tableau3[[#This Row],[Dépenses]],0)</f>
        <v>10</v>
      </c>
      <c r="R5" s="10">
        <v>42024</v>
      </c>
      <c r="S5" s="10"/>
    </row>
    <row r="6" spans="1:19" x14ac:dyDescent="0.3">
      <c r="B6" s="10" t="s">
        <v>6</v>
      </c>
      <c r="C6" s="10">
        <f>MONTH(Tableau3[[#This Row],[Date]])</f>
        <v>2</v>
      </c>
      <c r="D6" s="10">
        <f>YEAR(Tableau3[[#This Row],[Date]])</f>
        <v>2015</v>
      </c>
      <c r="E6" s="10" t="str">
        <f>CONCATENATE(Tableau3[[#This Row],[Année-Ecr]],Tableau3[[#This Row],[Mois]])</f>
        <v>20152</v>
      </c>
      <c r="F6" s="47">
        <v>42038</v>
      </c>
      <c r="G6" s="10" t="s">
        <v>18</v>
      </c>
      <c r="H6" s="10" t="str">
        <f>VLOOKUP(Tableau3[[#This Row],[Libellé]],RechecheV,2,FALSE)</f>
        <v>Charge</v>
      </c>
      <c r="I6" s="10"/>
      <c r="J6" s="10" t="s">
        <v>15</v>
      </c>
      <c r="L6" s="10"/>
      <c r="M6" s="10">
        <v>10</v>
      </c>
      <c r="N6" s="10"/>
      <c r="O6" s="10"/>
      <c r="P6" s="10">
        <f>IF(Tableau3[[#This Row],[Pointage recette]]="x",Tableau3[[#This Row],[Recettes]],0)</f>
        <v>0</v>
      </c>
      <c r="Q6" s="10">
        <f>IF(Tableau3[[#This Row],[Pointage dépense]]="x",Tableau3[[#This Row],[Dépenses]],0)</f>
        <v>0</v>
      </c>
      <c r="R6" s="10">
        <v>42038</v>
      </c>
      <c r="S6" s="10"/>
    </row>
    <row r="7" spans="1:19" x14ac:dyDescent="0.3">
      <c r="B7" s="10" t="s">
        <v>6</v>
      </c>
      <c r="C7" s="10">
        <f>MONTH(Tableau3[[#This Row],[Date]])</f>
        <v>2</v>
      </c>
      <c r="D7" s="10">
        <f>YEAR(Tableau3[[#This Row],[Date]])</f>
        <v>2015</v>
      </c>
      <c r="E7" s="10" t="str">
        <f>CONCATENATE(Tableau3[[#This Row],[Année-Ecr]],Tableau3[[#This Row],[Mois]])</f>
        <v>20152</v>
      </c>
      <c r="F7" s="47">
        <v>42045</v>
      </c>
      <c r="G7" s="10" t="s">
        <v>20</v>
      </c>
      <c r="H7" s="10" t="str">
        <f>VLOOKUP(Tableau3[[#This Row],[Libellé]],RechecheV,2,FALSE)</f>
        <v>Produit</v>
      </c>
      <c r="I7" s="10"/>
      <c r="J7" s="10" t="s">
        <v>15</v>
      </c>
      <c r="L7" s="10"/>
      <c r="M7" s="10">
        <v>10</v>
      </c>
      <c r="N7" s="10" t="s">
        <v>85</v>
      </c>
      <c r="O7" s="10"/>
      <c r="P7" s="10">
        <f>IF(Tableau3[[#This Row],[Pointage recette]]="x",Tableau3[[#This Row],[Recettes]],0)</f>
        <v>0</v>
      </c>
      <c r="Q7" s="10">
        <f>IF(Tableau3[[#This Row],[Pointage dépense]]="x",Tableau3[[#This Row],[Dépenses]],0)</f>
        <v>0</v>
      </c>
      <c r="R7" s="10">
        <v>42045</v>
      </c>
      <c r="S7" s="10"/>
    </row>
    <row r="8" spans="1:19" x14ac:dyDescent="0.3">
      <c r="B8" s="10" t="s">
        <v>6</v>
      </c>
      <c r="C8" s="10">
        <f>MONTH(Tableau3[[#This Row],[Date]])</f>
        <v>3</v>
      </c>
      <c r="D8" s="10">
        <f>YEAR(Tableau3[[#This Row],[Date]])</f>
        <v>2015</v>
      </c>
      <c r="E8" s="10" t="str">
        <f>CONCATENATE(Tableau3[[#This Row],[Année-Ecr]],Tableau3[[#This Row],[Mois]])</f>
        <v>20153</v>
      </c>
      <c r="F8" s="47">
        <v>42064</v>
      </c>
      <c r="G8" s="10" t="s">
        <v>21</v>
      </c>
      <c r="H8" s="10" t="str">
        <f>VLOOKUP(Tableau3[[#This Row],[Libellé]],RechecheV,2,FALSE)</f>
        <v>Charge</v>
      </c>
      <c r="I8" s="10"/>
      <c r="J8" s="10" t="s">
        <v>52</v>
      </c>
      <c r="L8" s="10"/>
      <c r="M8" s="10">
        <v>10</v>
      </c>
      <c r="N8" s="10"/>
      <c r="O8" s="10"/>
      <c r="P8" s="10">
        <f>IF(Tableau3[[#This Row],[Pointage recette]]="x",Tableau3[[#This Row],[Recettes]],0)</f>
        <v>0</v>
      </c>
      <c r="Q8" s="10">
        <f>IF(Tableau3[[#This Row],[Pointage dépense]]="x",Tableau3[[#This Row],[Dépenses]],0)</f>
        <v>0</v>
      </c>
      <c r="R8" s="10">
        <v>42083</v>
      </c>
      <c r="S8" s="10"/>
    </row>
    <row r="9" spans="1:19" x14ac:dyDescent="0.3">
      <c r="B9" s="10" t="s">
        <v>6</v>
      </c>
      <c r="C9" s="10">
        <f>MONTH(Tableau3[[#This Row],[Date]])</f>
        <v>3</v>
      </c>
      <c r="D9" s="10">
        <f>YEAR(Tableau3[[#This Row],[Date]])</f>
        <v>2015</v>
      </c>
      <c r="E9" s="10" t="str">
        <f>CONCATENATE(Tableau3[[#This Row],[Année-Ecr]],Tableau3[[#This Row],[Mois]])</f>
        <v>20153</v>
      </c>
      <c r="F9" s="47">
        <v>42066</v>
      </c>
      <c r="G9" s="10" t="s">
        <v>23</v>
      </c>
      <c r="H9" s="10" t="str">
        <f>VLOOKUP(Tableau3[[#This Row],[Libellé]],RechecheV,2,FALSE)</f>
        <v>Produit</v>
      </c>
      <c r="I9" s="10"/>
      <c r="J9" s="10" t="s">
        <v>15</v>
      </c>
      <c r="L9" s="10"/>
      <c r="M9" s="10">
        <v>10</v>
      </c>
      <c r="N9" s="10"/>
      <c r="O9" s="10"/>
      <c r="P9" s="10">
        <f>IF(Tableau3[[#This Row],[Pointage recette]]="x",Tableau3[[#This Row],[Recettes]],0)</f>
        <v>0</v>
      </c>
      <c r="Q9" s="10">
        <f>IF(Tableau3[[#This Row],[Pointage dépense]]="x",Tableau3[[#This Row],[Dépenses]],0)</f>
        <v>0</v>
      </c>
      <c r="R9" s="10">
        <v>42066</v>
      </c>
      <c r="S9" s="10"/>
    </row>
    <row r="10" spans="1:19" x14ac:dyDescent="0.3">
      <c r="B10" s="10" t="s">
        <v>6</v>
      </c>
      <c r="C10" s="10">
        <f>MONTH(Tableau3[[#This Row],[Date]])</f>
        <v>3</v>
      </c>
      <c r="D10" s="10">
        <f>YEAR(Tableau3[[#This Row],[Date]])</f>
        <v>2015</v>
      </c>
      <c r="E10" s="10" t="str">
        <f>CONCATENATE(Tableau3[[#This Row],[Année-Ecr]],Tableau3[[#This Row],[Mois]])</f>
        <v>20153</v>
      </c>
      <c r="F10" s="47">
        <v>42068</v>
      </c>
      <c r="G10" s="10" t="s">
        <v>24</v>
      </c>
      <c r="H10" s="10" t="str">
        <f>VLOOKUP(Tableau3[[#This Row],[Libellé]],RechecheV,2,FALSE)</f>
        <v>Charge</v>
      </c>
      <c r="I10" s="10"/>
      <c r="J10" s="10" t="s">
        <v>15</v>
      </c>
      <c r="L10" s="10">
        <v>50</v>
      </c>
      <c r="M10" s="10">
        <v>10</v>
      </c>
      <c r="N10" s="10"/>
      <c r="O10" s="10" t="s">
        <v>85</v>
      </c>
      <c r="P10" s="10">
        <f>IF(Tableau3[[#This Row],[Pointage recette]]="x",Tableau3[[#This Row],[Recettes]],0)</f>
        <v>0</v>
      </c>
      <c r="Q10" s="10">
        <f>IF(Tableau3[[#This Row],[Pointage dépense]]="x",Tableau3[[#This Row],[Dépenses]],0)</f>
        <v>10</v>
      </c>
      <c r="R10" s="10">
        <v>42068</v>
      </c>
      <c r="S10" s="10"/>
    </row>
    <row r="11" spans="1:19" x14ac:dyDescent="0.3">
      <c r="B11" s="10" t="s">
        <v>6</v>
      </c>
      <c r="C11" s="10">
        <f>MONTH(Tableau3[[#This Row],[Date]])</f>
        <v>3</v>
      </c>
      <c r="D11" s="10">
        <f>YEAR(Tableau3[[#This Row],[Date]])</f>
        <v>2015</v>
      </c>
      <c r="E11" s="10" t="str">
        <f>CONCATENATE(Tableau3[[#This Row],[Année-Ecr]],Tableau3[[#This Row],[Mois]])</f>
        <v>20153</v>
      </c>
      <c r="F11" s="47">
        <v>42075</v>
      </c>
      <c r="G11" s="10" t="s">
        <v>25</v>
      </c>
      <c r="H11" s="10" t="str">
        <f>VLOOKUP(Tableau3[[#This Row],[Libellé]],RechecheV,2,FALSE)</f>
        <v>Charge</v>
      </c>
      <c r="I11" s="10"/>
      <c r="J11" s="10" t="s">
        <v>15</v>
      </c>
      <c r="L11" s="10"/>
      <c r="M11" s="10">
        <v>10</v>
      </c>
      <c r="N11" s="10"/>
      <c r="O11" s="10"/>
      <c r="P11" s="10">
        <f>IF(Tableau3[[#This Row],[Pointage recette]]="x",Tableau3[[#This Row],[Recettes]],0)</f>
        <v>0</v>
      </c>
      <c r="Q11" s="10">
        <f>IF(Tableau3[[#This Row],[Pointage dépense]]="x",Tableau3[[#This Row],[Dépenses]],0)</f>
        <v>0</v>
      </c>
      <c r="R11" s="10">
        <v>42075</v>
      </c>
      <c r="S11" s="10"/>
    </row>
    <row r="12" spans="1:19" x14ac:dyDescent="0.3">
      <c r="B12" s="10" t="s">
        <v>6</v>
      </c>
      <c r="C12" s="10">
        <f>MONTH(Tableau3[[#This Row],[Date]])</f>
        <v>4</v>
      </c>
      <c r="D12" s="10">
        <f>YEAR(Tableau3[[#This Row],[Date]])</f>
        <v>2015</v>
      </c>
      <c r="E12" s="10" t="str">
        <f>CONCATENATE(Tableau3[[#This Row],[Année-Ecr]],Tableau3[[#This Row],[Mois]])</f>
        <v>20154</v>
      </c>
      <c r="F12" s="47">
        <v>42095</v>
      </c>
      <c r="G12" s="10" t="s">
        <v>26</v>
      </c>
      <c r="H12" s="10" t="str">
        <f>VLOOKUP(Tableau3[[#This Row],[Libellé]],RechecheV,2,FALSE)</f>
        <v>Produit</v>
      </c>
      <c r="I12" s="10"/>
      <c r="J12" s="10" t="s">
        <v>15</v>
      </c>
      <c r="L12" s="10"/>
      <c r="M12" s="10">
        <v>10</v>
      </c>
      <c r="N12" s="10"/>
      <c r="O12" s="10"/>
      <c r="P12" s="10">
        <f>IF(Tableau3[[#This Row],[Pointage recette]]="x",Tableau3[[#This Row],[Recettes]],0)</f>
        <v>0</v>
      </c>
      <c r="Q12" s="10">
        <f>IF(Tableau3[[#This Row],[Pointage dépense]]="x",Tableau3[[#This Row],[Dépenses]],0)</f>
        <v>0</v>
      </c>
      <c r="R12" s="10">
        <v>42008</v>
      </c>
      <c r="S12" s="10"/>
    </row>
    <row r="13" spans="1:19" x14ac:dyDescent="0.3">
      <c r="B13" s="10" t="s">
        <v>6</v>
      </c>
      <c r="C13" s="10">
        <f>MONTH(Tableau3[[#This Row],[Date]])</f>
        <v>4</v>
      </c>
      <c r="D13" s="10">
        <f>YEAR(Tableau3[[#This Row],[Date]])</f>
        <v>2015</v>
      </c>
      <c r="E13" s="10" t="str">
        <f>CONCATENATE(Tableau3[[#This Row],[Année-Ecr]],Tableau3[[#This Row],[Mois]])</f>
        <v>20154</v>
      </c>
      <c r="F13" s="47">
        <v>42096</v>
      </c>
      <c r="G13" s="10" t="s">
        <v>43</v>
      </c>
      <c r="H13" s="10" t="str">
        <f>VLOOKUP(Tableau3[[#This Row],[Libellé]],RechecheV,2,FALSE)</f>
        <v>Produit</v>
      </c>
      <c r="I13" s="10"/>
      <c r="J13" s="10" t="s">
        <v>15</v>
      </c>
      <c r="L13" s="10"/>
      <c r="M13" s="10">
        <v>10</v>
      </c>
      <c r="N13" s="10"/>
      <c r="O13" s="10"/>
      <c r="P13" s="10">
        <f>IF(Tableau3[[#This Row],[Pointage recette]]="x",Tableau3[[#This Row],[Recettes]],0)</f>
        <v>0</v>
      </c>
      <c r="Q13" s="10">
        <f>IF(Tableau3[[#This Row],[Pointage dépense]]="x",Tableau3[[#This Row],[Dépenses]],0)</f>
        <v>0</v>
      </c>
      <c r="R13" s="10">
        <v>42083</v>
      </c>
      <c r="S13" s="10"/>
    </row>
    <row r="14" spans="1:19" x14ac:dyDescent="0.3">
      <c r="B14" s="10" t="s">
        <v>6</v>
      </c>
      <c r="C14" s="10">
        <f>MONTH(Tableau3[[#This Row],[Date]])</f>
        <v>2</v>
      </c>
      <c r="D14" s="10">
        <f>YEAR(Tableau3[[#This Row],[Date]])</f>
        <v>2015</v>
      </c>
      <c r="E14" s="10" t="str">
        <f>CONCATENATE(Tableau3[[#This Row],[Année-Ecr]],Tableau3[[#This Row],[Mois]])</f>
        <v>20152</v>
      </c>
      <c r="F14" s="47">
        <v>42052</v>
      </c>
      <c r="G14" s="10" t="s">
        <v>27</v>
      </c>
      <c r="H14" s="10" t="str">
        <f>VLOOKUP(Tableau3[[#This Row],[Libellé]],RechecheV,2,FALSE)</f>
        <v>Charge</v>
      </c>
      <c r="I14" s="10"/>
      <c r="J14" s="10" t="s">
        <v>15</v>
      </c>
      <c r="L14" s="10"/>
      <c r="M14" s="10">
        <v>10</v>
      </c>
      <c r="N14" s="10"/>
      <c r="O14" s="10"/>
      <c r="P14" s="10">
        <f>IF(Tableau3[[#This Row],[Pointage recette]]="x",Tableau3[[#This Row],[Recettes]],0)</f>
        <v>0</v>
      </c>
      <c r="Q14" s="10">
        <f>IF(Tableau3[[#This Row],[Pointage dépense]]="x",Tableau3[[#This Row],[Dépenses]],0)</f>
        <v>0</v>
      </c>
      <c r="R14" s="10">
        <v>42052</v>
      </c>
      <c r="S14" s="10"/>
    </row>
    <row r="15" spans="1:19" x14ac:dyDescent="0.3">
      <c r="B15" s="10" t="s">
        <v>6</v>
      </c>
      <c r="C15" s="10">
        <f>MONTH(Tableau3[[#This Row],[Date]])</f>
        <v>2</v>
      </c>
      <c r="D15" s="10">
        <f>YEAR(Tableau3[[#This Row],[Date]])</f>
        <v>2016</v>
      </c>
      <c r="E15" s="10" t="str">
        <f>CONCATENATE(Tableau3[[#This Row],[Année-Ecr]],Tableau3[[#This Row],[Mois]])</f>
        <v>20162</v>
      </c>
      <c r="F15" s="47">
        <v>42417</v>
      </c>
      <c r="G15" s="10" t="s">
        <v>44</v>
      </c>
      <c r="H15" s="10" t="str">
        <f>VLOOKUP(Tableau3[[#This Row],[Libellé]],RechecheV,2,FALSE)</f>
        <v>Produit</v>
      </c>
      <c r="I15" s="10"/>
      <c r="J15" s="10" t="s">
        <v>15</v>
      </c>
      <c r="L15" s="10">
        <v>100</v>
      </c>
      <c r="M15" s="10">
        <v>10</v>
      </c>
      <c r="N15" s="10"/>
      <c r="O15" s="10"/>
      <c r="P15" s="10">
        <f>IF(Tableau3[[#This Row],[Pointage recette]]="x",Tableau3[[#This Row],[Recettes]],0)</f>
        <v>0</v>
      </c>
      <c r="Q15" s="10">
        <f>IF(Tableau3[[#This Row],[Pointage dépense]]="x",Tableau3[[#This Row],[Dépenses]],0)</f>
        <v>0</v>
      </c>
      <c r="R15" s="10">
        <v>42066</v>
      </c>
      <c r="S15" s="10"/>
    </row>
    <row r="16" spans="1:19" x14ac:dyDescent="0.3">
      <c r="B16" s="10" t="s">
        <v>6</v>
      </c>
      <c r="C16" s="10">
        <f>MONTH(Tableau3[[#This Row],[Date]])</f>
        <v>1</v>
      </c>
      <c r="D16" s="10">
        <f>YEAR(Tableau3[[#This Row],[Date]])</f>
        <v>2016</v>
      </c>
      <c r="E16" s="10" t="str">
        <f>CONCATENATE(Tableau3[[#This Row],[Année-Ecr]],Tableau3[[#This Row],[Mois]])</f>
        <v>20161</v>
      </c>
      <c r="F16" s="47">
        <v>42387</v>
      </c>
      <c r="G16" s="10" t="s">
        <v>28</v>
      </c>
      <c r="H16" s="10" t="str">
        <f>VLOOKUP(Tableau3[[#This Row],[Libellé]],RechecheV,2,FALSE)</f>
        <v>Charge</v>
      </c>
      <c r="I16" s="10"/>
      <c r="J16" s="10" t="s">
        <v>15</v>
      </c>
      <c r="L16" s="10"/>
      <c r="M16" s="10">
        <v>10</v>
      </c>
      <c r="N16" s="10" t="s">
        <v>85</v>
      </c>
      <c r="O16" s="10"/>
      <c r="P16" s="10">
        <f>IF(Tableau3[[#This Row],[Pointage recette]]="x",Tableau3[[#This Row],[Recettes]],0)</f>
        <v>0</v>
      </c>
      <c r="Q16" s="10">
        <f>IF(Tableau3[[#This Row],[Pointage dépense]]="x",Tableau3[[#This Row],[Dépenses]],0)</f>
        <v>0</v>
      </c>
      <c r="R16" s="10">
        <v>42022</v>
      </c>
      <c r="S16" s="10"/>
    </row>
    <row r="17" spans="2:19" x14ac:dyDescent="0.3">
      <c r="B17" s="10" t="s">
        <v>6</v>
      </c>
      <c r="C17" s="10">
        <f>MONTH(Tableau3[[#This Row],[Date]])</f>
        <v>1</v>
      </c>
      <c r="D17" s="10">
        <f>YEAR(Tableau3[[#This Row],[Date]])</f>
        <v>2016</v>
      </c>
      <c r="E17" s="10" t="str">
        <f>CONCATENATE(Tableau3[[#This Row],[Année-Ecr]],Tableau3[[#This Row],[Mois]])</f>
        <v>20161</v>
      </c>
      <c r="F17" s="47">
        <v>42387</v>
      </c>
      <c r="G17" s="10" t="s">
        <v>45</v>
      </c>
      <c r="H17" s="10" t="str">
        <f>VLOOKUP(Tableau3[[#This Row],[Libellé]],RechecheV,2,FALSE)</f>
        <v>Charge</v>
      </c>
      <c r="I17" s="10"/>
      <c r="J17" s="10" t="s">
        <v>15</v>
      </c>
      <c r="L17" s="10"/>
      <c r="M17" s="10">
        <v>10</v>
      </c>
      <c r="N17" s="10"/>
      <c r="O17" s="10"/>
      <c r="P17" s="10">
        <f>IF(Tableau3[[#This Row],[Pointage recette]]="x",Tableau3[[#This Row],[Recettes]],0)</f>
        <v>0</v>
      </c>
      <c r="Q17" s="10">
        <f>IF(Tableau3[[#This Row],[Pointage dépense]]="x",Tableau3[[#This Row],[Dépenses]],0)</f>
        <v>0</v>
      </c>
      <c r="R17" s="10">
        <v>42068</v>
      </c>
      <c r="S17" s="10"/>
    </row>
    <row r="18" spans="2:19" x14ac:dyDescent="0.3">
      <c r="B18" s="10" t="s">
        <v>6</v>
      </c>
      <c r="C18" s="10">
        <f>MONTH(Tableau3[[#This Row],[Date]])</f>
        <v>3</v>
      </c>
      <c r="D18" s="10">
        <f>YEAR(Tableau3[[#This Row],[Date]])</f>
        <v>2016</v>
      </c>
      <c r="E18" s="10" t="str">
        <f>CONCATENATE(Tableau3[[#This Row],[Année-Ecr]],Tableau3[[#This Row],[Mois]])</f>
        <v>20163</v>
      </c>
      <c r="F18" s="47">
        <v>42448</v>
      </c>
      <c r="G18" s="10" t="s">
        <v>29</v>
      </c>
      <c r="H18" s="10" t="str">
        <f>VLOOKUP(Tableau3[[#This Row],[Libellé]],RechecheV,2,FALSE)</f>
        <v>Charge</v>
      </c>
      <c r="I18" s="10"/>
      <c r="J18" s="10" t="s">
        <v>15</v>
      </c>
      <c r="L18" s="10"/>
      <c r="M18" s="10">
        <v>10</v>
      </c>
      <c r="N18" s="10"/>
      <c r="O18" s="10"/>
      <c r="P18" s="10">
        <f>IF(Tableau3[[#This Row],[Pointage recette]]="x",Tableau3[[#This Row],[Recettes]],0)</f>
        <v>0</v>
      </c>
      <c r="Q18" s="10">
        <f>IF(Tableau3[[#This Row],[Pointage dépense]]="x",Tableau3[[#This Row],[Dépenses]],0)</f>
        <v>0</v>
      </c>
      <c r="R18" s="10"/>
      <c r="S18" s="10"/>
    </row>
    <row r="19" spans="2:19" x14ac:dyDescent="0.3">
      <c r="B19" s="10" t="s">
        <v>6</v>
      </c>
      <c r="C19" s="10">
        <f>MONTH(Tableau3[[#This Row],[Date]])</f>
        <v>3</v>
      </c>
      <c r="D19" s="10">
        <f>YEAR(Tableau3[[#This Row],[Date]])</f>
        <v>2016</v>
      </c>
      <c r="E19" s="10" t="str">
        <f>CONCATENATE(Tableau3[[#This Row],[Année-Ecr]],Tableau3[[#This Row],[Mois]])</f>
        <v>20163</v>
      </c>
      <c r="F19" s="47">
        <v>42448</v>
      </c>
      <c r="G19" s="10" t="s">
        <v>46</v>
      </c>
      <c r="H19" s="10" t="str">
        <f>VLOOKUP(Tableau3[[#This Row],[Libellé]],RechecheV,2,FALSE)</f>
        <v>Produit</v>
      </c>
      <c r="I19" s="10"/>
      <c r="J19" s="10" t="s">
        <v>15</v>
      </c>
      <c r="L19" s="10"/>
      <c r="M19" s="10">
        <v>10</v>
      </c>
      <c r="N19" s="10"/>
      <c r="O19" s="10"/>
      <c r="P19" s="10">
        <f>IF(Tableau3[[#This Row],[Pointage recette]]="x",Tableau3[[#This Row],[Recettes]],0)</f>
        <v>0</v>
      </c>
      <c r="Q19" s="10">
        <f>IF(Tableau3[[#This Row],[Pointage dépense]]="x",Tableau3[[#This Row],[Dépenses]],0)</f>
        <v>0</v>
      </c>
      <c r="R19" s="10">
        <v>42075</v>
      </c>
      <c r="S19" s="10"/>
    </row>
    <row r="20" spans="2:19" x14ac:dyDescent="0.3">
      <c r="B20" s="10" t="s">
        <v>6</v>
      </c>
      <c r="C20" s="10">
        <f>MONTH(Tableau3[[#This Row],[Date]])</f>
        <v>2</v>
      </c>
      <c r="D20" s="10">
        <f>YEAR(Tableau3[[#This Row],[Date]])</f>
        <v>2016</v>
      </c>
      <c r="E20" s="10" t="str">
        <f>CONCATENATE(Tableau3[[#This Row],[Année-Ecr]],Tableau3[[#This Row],[Mois]])</f>
        <v>20162</v>
      </c>
      <c r="F20" s="47">
        <v>42420</v>
      </c>
      <c r="G20" s="10" t="s">
        <v>30</v>
      </c>
      <c r="H20" s="10" t="str">
        <f>VLOOKUP(Tableau3[[#This Row],[Libellé]],RechecheV,2,FALSE)</f>
        <v>Charge</v>
      </c>
      <c r="I20" s="10"/>
      <c r="J20" s="10" t="s">
        <v>15</v>
      </c>
      <c r="L20" s="10"/>
      <c r="M20" s="10">
        <v>10</v>
      </c>
      <c r="N20" s="10"/>
      <c r="O20" s="10"/>
      <c r="P20" s="10">
        <f>IF(Tableau3[[#This Row],[Pointage recette]]="x",Tableau3[[#This Row],[Recettes]],0)</f>
        <v>0</v>
      </c>
      <c r="Q20" s="10">
        <f>IF(Tableau3[[#This Row],[Pointage dépense]]="x",Tableau3[[#This Row],[Dépenses]],0)</f>
        <v>0</v>
      </c>
      <c r="R20" s="10">
        <v>42055</v>
      </c>
      <c r="S20" s="10"/>
    </row>
    <row r="21" spans="2:19" x14ac:dyDescent="0.3">
      <c r="B21" s="10" t="s">
        <v>6</v>
      </c>
      <c r="C21" s="10">
        <f>MONTH(Tableau3[[#This Row],[Date]])</f>
        <v>2</v>
      </c>
      <c r="D21" s="10">
        <f>YEAR(Tableau3[[#This Row],[Date]])</f>
        <v>2016</v>
      </c>
      <c r="E21" s="10" t="str">
        <f>CONCATENATE(Tableau3[[#This Row],[Année-Ecr]],Tableau3[[#This Row],[Mois]])</f>
        <v>20162</v>
      </c>
      <c r="F21" s="47">
        <v>42420</v>
      </c>
      <c r="G21" s="10" t="s">
        <v>47</v>
      </c>
      <c r="H21" s="10" t="str">
        <f>VLOOKUP(Tableau3[[#This Row],[Libellé]],RechecheV,2,FALSE)</f>
        <v>Produit</v>
      </c>
      <c r="I21" s="10"/>
      <c r="J21" s="10" t="s">
        <v>15</v>
      </c>
      <c r="L21" s="10">
        <v>40</v>
      </c>
      <c r="M21" s="10">
        <v>10</v>
      </c>
      <c r="N21" s="10" t="s">
        <v>85</v>
      </c>
      <c r="O21" s="10"/>
      <c r="P21" s="10">
        <f>IF(Tableau3[[#This Row],[Pointage recette]]="x",Tableau3[[#This Row],[Recettes]],0)</f>
        <v>40</v>
      </c>
      <c r="Q21" s="10">
        <f>IF(Tableau3[[#This Row],[Pointage dépense]]="x",Tableau3[[#This Row],[Dépenses]],0)</f>
        <v>0</v>
      </c>
      <c r="R21" s="10">
        <v>42008</v>
      </c>
      <c r="S21" s="10"/>
    </row>
    <row r="22" spans="2:19" x14ac:dyDescent="0.3">
      <c r="B22" s="10" t="s">
        <v>6</v>
      </c>
      <c r="C22" s="10">
        <f>MONTH(Tableau3[[#This Row],[Date]])</f>
        <v>3</v>
      </c>
      <c r="D22" s="10">
        <f>YEAR(Tableau3[[#This Row],[Date]])</f>
        <v>2016</v>
      </c>
      <c r="E22" s="10" t="str">
        <f>CONCATENATE(Tableau3[[#This Row],[Année-Ecr]],Tableau3[[#This Row],[Mois]])</f>
        <v>20163</v>
      </c>
      <c r="F22" s="47">
        <v>42449</v>
      </c>
      <c r="G22" s="10" t="s">
        <v>31</v>
      </c>
      <c r="H22" s="10" t="str">
        <f>VLOOKUP(Tableau3[[#This Row],[Libellé]],RechecheV,2,FALSE)</f>
        <v>Charge</v>
      </c>
      <c r="I22" s="10"/>
      <c r="J22" s="10" t="s">
        <v>15</v>
      </c>
      <c r="L22" s="10"/>
      <c r="M22" s="10">
        <v>10</v>
      </c>
      <c r="N22" s="10"/>
      <c r="O22" s="10"/>
      <c r="P22" s="10">
        <f>IF(Tableau3[[#This Row],[Pointage recette]]="x",Tableau3[[#This Row],[Recettes]],0)</f>
        <v>0</v>
      </c>
      <c r="Q22" s="10">
        <f>IF(Tableau3[[#This Row],[Pointage dépense]]="x",Tableau3[[#This Row],[Dépenses]],0)</f>
        <v>0</v>
      </c>
      <c r="R22" s="10">
        <v>42083</v>
      </c>
      <c r="S22" s="10"/>
    </row>
    <row r="23" spans="2:19" x14ac:dyDescent="0.3">
      <c r="B23" s="10" t="s">
        <v>6</v>
      </c>
      <c r="C23" s="10">
        <f>MONTH(Tableau3[[#This Row],[Date]])</f>
        <v>1</v>
      </c>
      <c r="D23" s="10">
        <f>YEAR(Tableau3[[#This Row],[Date]])</f>
        <v>2016</v>
      </c>
      <c r="E23" s="10" t="str">
        <f>CONCATENATE(Tableau3[[#This Row],[Année-Ecr]],Tableau3[[#This Row],[Mois]])</f>
        <v>20161</v>
      </c>
      <c r="F23" s="47">
        <v>42391</v>
      </c>
      <c r="G23" s="10" t="s">
        <v>32</v>
      </c>
      <c r="H23" s="10" t="str">
        <f>VLOOKUP(Tableau3[[#This Row],[Libellé]],RechecheV,2,FALSE)</f>
        <v>Charge</v>
      </c>
      <c r="I23" s="10"/>
      <c r="J23" s="10" t="s">
        <v>15</v>
      </c>
      <c r="L23" s="10"/>
      <c r="M23" s="10">
        <v>10</v>
      </c>
      <c r="N23" s="10"/>
      <c r="O23" s="10"/>
      <c r="P23" s="10">
        <f>IF(Tableau3[[#This Row],[Pointage recette]]="x",Tableau3[[#This Row],[Recettes]],0)</f>
        <v>0</v>
      </c>
      <c r="Q23" s="10">
        <f>IF(Tableau3[[#This Row],[Pointage dépense]]="x",Tableau3[[#This Row],[Dépenses]],0)</f>
        <v>0</v>
      </c>
      <c r="R23" s="10">
        <v>42026</v>
      </c>
      <c r="S23" s="10"/>
    </row>
    <row r="24" spans="2:19" x14ac:dyDescent="0.3">
      <c r="B24" s="10" t="s">
        <v>6</v>
      </c>
      <c r="C24" s="10">
        <f>MONTH(Tableau3[[#This Row],[Date]])</f>
        <v>1</v>
      </c>
      <c r="D24" s="10">
        <f>YEAR(Tableau3[[#This Row],[Date]])</f>
        <v>2016</v>
      </c>
      <c r="E24" s="10" t="str">
        <f>CONCATENATE(Tableau3[[#This Row],[Année-Ecr]],Tableau3[[#This Row],[Mois]])</f>
        <v>20161</v>
      </c>
      <c r="F24" s="47">
        <v>42391</v>
      </c>
      <c r="G24" s="10" t="s">
        <v>33</v>
      </c>
      <c r="H24" s="10" t="str">
        <f>VLOOKUP(Tableau3[[#This Row],[Libellé]],RechecheV,2,FALSE)</f>
        <v>Charge</v>
      </c>
      <c r="I24" s="10"/>
      <c r="J24" s="10" t="s">
        <v>15</v>
      </c>
      <c r="L24" s="10"/>
      <c r="M24" s="10">
        <v>10</v>
      </c>
      <c r="N24" s="10"/>
      <c r="O24" s="10"/>
      <c r="P24" s="10">
        <f>IF(Tableau3[[#This Row],[Pointage recette]]="x",Tableau3[[#This Row],[Recettes]],0)</f>
        <v>0</v>
      </c>
      <c r="Q24" s="10">
        <f>IF(Tableau3[[#This Row],[Pointage dépense]]="x",Tableau3[[#This Row],[Dépenses]],0)</f>
        <v>0</v>
      </c>
      <c r="R24" s="10">
        <v>42026</v>
      </c>
      <c r="S24" s="10"/>
    </row>
    <row r="25" spans="2:19" x14ac:dyDescent="0.3">
      <c r="B25" s="10" t="s">
        <v>6</v>
      </c>
      <c r="C25" s="10">
        <f>MONTH(Tableau3[[#This Row],[Date]])</f>
        <v>1</v>
      </c>
      <c r="D25" s="10">
        <f>YEAR(Tableau3[[#This Row],[Date]])</f>
        <v>2016</v>
      </c>
      <c r="E25" s="10" t="str">
        <f>CONCATENATE(Tableau3[[#This Row],[Année-Ecr]],Tableau3[[#This Row],[Mois]])</f>
        <v>20161</v>
      </c>
      <c r="F25" s="47">
        <v>42392</v>
      </c>
      <c r="G25" s="10" t="s">
        <v>34</v>
      </c>
      <c r="H25" s="10" t="str">
        <f>VLOOKUP(Tableau3[[#This Row],[Libellé]],RechecheV,2,FALSE)</f>
        <v>Charge</v>
      </c>
      <c r="I25" s="10"/>
      <c r="J25" s="10" t="s">
        <v>15</v>
      </c>
      <c r="L25" s="10"/>
      <c r="M25" s="10">
        <v>10</v>
      </c>
      <c r="N25" s="10"/>
      <c r="O25" s="10"/>
      <c r="P25" s="10">
        <f>IF(Tableau3[[#This Row],[Pointage recette]]="x",Tableau3[[#This Row],[Recettes]],0)</f>
        <v>0</v>
      </c>
      <c r="Q25" s="10">
        <f>IF(Tableau3[[#This Row],[Pointage dépense]]="x",Tableau3[[#This Row],[Dépenses]],0)</f>
        <v>0</v>
      </c>
      <c r="R25" s="10">
        <v>42027</v>
      </c>
      <c r="S25" s="10"/>
    </row>
    <row r="26" spans="2:19" x14ac:dyDescent="0.3">
      <c r="B26" s="10" t="s">
        <v>6</v>
      </c>
      <c r="C26" s="10">
        <f>MONTH(Tableau3[[#This Row],[Date]])</f>
        <v>2</v>
      </c>
      <c r="D26" s="10">
        <f>YEAR(Tableau3[[#This Row],[Date]])</f>
        <v>2015</v>
      </c>
      <c r="E26" s="10" t="str">
        <f>CONCATENATE(Tableau3[[#This Row],[Année-Ecr]],Tableau3[[#This Row],[Mois]])</f>
        <v>20152</v>
      </c>
      <c r="F26" s="47">
        <v>42059</v>
      </c>
      <c r="G26" s="10" t="s">
        <v>35</v>
      </c>
      <c r="H26" s="10" t="str">
        <f>VLOOKUP(Tableau3[[#This Row],[Libellé]],RechecheV,2,FALSE)</f>
        <v>Charge</v>
      </c>
      <c r="I26" s="10"/>
      <c r="J26" s="10" t="s">
        <v>15</v>
      </c>
      <c r="L26" s="10">
        <v>20</v>
      </c>
      <c r="M26" s="10">
        <v>10</v>
      </c>
      <c r="N26" s="10"/>
      <c r="O26" s="10"/>
      <c r="P26" s="10">
        <f>IF(Tableau3[[#This Row],[Pointage recette]]="x",Tableau3[[#This Row],[Recettes]],0)</f>
        <v>0</v>
      </c>
      <c r="Q26" s="10">
        <f>IF(Tableau3[[#This Row],[Pointage dépense]]="x",Tableau3[[#This Row],[Dépenses]],0)</f>
        <v>0</v>
      </c>
      <c r="R26" s="10">
        <v>42059</v>
      </c>
      <c r="S26" s="10"/>
    </row>
    <row r="27" spans="2:19" x14ac:dyDescent="0.3">
      <c r="B27" s="10" t="s">
        <v>6</v>
      </c>
      <c r="C27" s="10">
        <f>MONTH(Tableau3[[#This Row],[Date]])</f>
        <v>1</v>
      </c>
      <c r="D27" s="10">
        <f>YEAR(Tableau3[[#This Row],[Date]])</f>
        <v>2016</v>
      </c>
      <c r="E27" s="10" t="str">
        <f>CONCATENATE(Tableau3[[#This Row],[Année-Ecr]],Tableau3[[#This Row],[Mois]])</f>
        <v>20161</v>
      </c>
      <c r="F27" s="47">
        <v>42394</v>
      </c>
      <c r="G27" s="10" t="s">
        <v>36</v>
      </c>
      <c r="H27" s="10" t="str">
        <f>VLOOKUP(Tableau3[[#This Row],[Libellé]],RechecheV,2,FALSE)</f>
        <v>Charge</v>
      </c>
      <c r="I27" s="10"/>
      <c r="J27" s="10" t="s">
        <v>15</v>
      </c>
      <c r="L27" s="10"/>
      <c r="M27" s="10">
        <v>10</v>
      </c>
      <c r="N27" s="10"/>
      <c r="O27" s="10"/>
      <c r="P27" s="10">
        <f>IF(Tableau3[[#This Row],[Pointage recette]]="x",Tableau3[[#This Row],[Recettes]],0)</f>
        <v>0</v>
      </c>
      <c r="Q27" s="10">
        <f>IF(Tableau3[[#This Row],[Pointage dépense]]="x",Tableau3[[#This Row],[Dépenses]],0)</f>
        <v>0</v>
      </c>
      <c r="R27" s="10">
        <v>42029</v>
      </c>
      <c r="S27" s="10"/>
    </row>
    <row r="28" spans="2:19" x14ac:dyDescent="0.3">
      <c r="B28" s="10" t="s">
        <v>6</v>
      </c>
      <c r="C28" s="10">
        <f>MONTH(Tableau3[[#This Row],[Date]])</f>
        <v>1</v>
      </c>
      <c r="D28" s="10">
        <f>YEAR(Tableau3[[#This Row],[Date]])</f>
        <v>2015</v>
      </c>
      <c r="E28" s="10" t="str">
        <f>CONCATENATE(Tableau3[[#This Row],[Année-Ecr]],Tableau3[[#This Row],[Mois]])</f>
        <v>20151</v>
      </c>
      <c r="F28" s="47">
        <v>42029</v>
      </c>
      <c r="G28" s="10" t="s">
        <v>37</v>
      </c>
      <c r="H28" s="10" t="str">
        <f>VLOOKUP(Tableau3[[#This Row],[Libellé]],RechecheV,2,FALSE)</f>
        <v>Charge</v>
      </c>
      <c r="I28" s="10"/>
      <c r="J28" s="10" t="s">
        <v>15</v>
      </c>
      <c r="L28" s="10"/>
      <c r="M28" s="10">
        <v>10</v>
      </c>
      <c r="N28" s="10"/>
      <c r="O28" s="10"/>
      <c r="P28" s="10">
        <f>IF(Tableau3[[#This Row],[Pointage recette]]="x",Tableau3[[#This Row],[Recettes]],0)</f>
        <v>0</v>
      </c>
      <c r="Q28" s="10">
        <f>IF(Tableau3[[#This Row],[Pointage dépense]]="x",Tableau3[[#This Row],[Dépenses]],0)</f>
        <v>0</v>
      </c>
      <c r="R28" s="10">
        <v>42029</v>
      </c>
      <c r="S28" s="10"/>
    </row>
    <row r="29" spans="2:19" x14ac:dyDescent="0.3">
      <c r="B29" s="10" t="s">
        <v>6</v>
      </c>
      <c r="C29" s="10">
        <f>MONTH(Tableau3[[#This Row],[Date]])</f>
        <v>2</v>
      </c>
      <c r="D29" s="10">
        <f>YEAR(Tableau3[[#This Row],[Date]])</f>
        <v>2015</v>
      </c>
      <c r="E29" s="10" t="str">
        <f>CONCATENATE(Tableau3[[#This Row],[Année-Ecr]],Tableau3[[#This Row],[Mois]])</f>
        <v>20152</v>
      </c>
      <c r="F29" s="47">
        <v>42060</v>
      </c>
      <c r="G29" s="10" t="s">
        <v>38</v>
      </c>
      <c r="H29" s="10" t="str">
        <f>VLOOKUP(Tableau3[[#This Row],[Libellé]],RechecheV,2,FALSE)</f>
        <v>Charge</v>
      </c>
      <c r="I29" s="10"/>
      <c r="J29" s="10" t="s">
        <v>15</v>
      </c>
      <c r="L29" s="10"/>
      <c r="M29" s="10">
        <v>10</v>
      </c>
      <c r="N29" s="10"/>
      <c r="O29" s="10"/>
      <c r="P29" s="10">
        <f>IF(Tableau3[[#This Row],[Pointage recette]]="x",Tableau3[[#This Row],[Recettes]],0)</f>
        <v>0</v>
      </c>
      <c r="Q29" s="10">
        <f>IF(Tableau3[[#This Row],[Pointage dépense]]="x",Tableau3[[#This Row],[Dépenses]],0)</f>
        <v>0</v>
      </c>
      <c r="R29" s="10">
        <v>42060</v>
      </c>
      <c r="S29" s="10"/>
    </row>
    <row r="30" spans="2:19" x14ac:dyDescent="0.3">
      <c r="B30" s="10" t="s">
        <v>6</v>
      </c>
      <c r="C30" s="10">
        <f>MONTH(Tableau3[[#This Row],[Date]])</f>
        <v>3</v>
      </c>
      <c r="D30" s="10">
        <f>YEAR(Tableau3[[#This Row],[Date]])</f>
        <v>2015</v>
      </c>
      <c r="E30" s="10" t="str">
        <f>CONCATENATE(Tableau3[[#This Row],[Année-Ecr]],Tableau3[[#This Row],[Mois]])</f>
        <v>20153</v>
      </c>
      <c r="F30" s="47">
        <v>42089</v>
      </c>
      <c r="G30" s="10" t="s">
        <v>40</v>
      </c>
      <c r="H30" s="10" t="str">
        <f>VLOOKUP(Tableau3[[#This Row],[Libellé]],RechecheV,2,FALSE)</f>
        <v>Charge</v>
      </c>
      <c r="I30" s="10"/>
      <c r="J30" s="10" t="s">
        <v>15</v>
      </c>
      <c r="L30" s="10"/>
      <c r="M30" s="10">
        <v>10</v>
      </c>
      <c r="N30" s="10"/>
      <c r="O30" s="10"/>
      <c r="P30" s="10">
        <f>IF(Tableau3[[#This Row],[Pointage recette]]="x",Tableau3[[#This Row],[Recettes]],0)</f>
        <v>0</v>
      </c>
      <c r="Q30" s="10">
        <f>IF(Tableau3[[#This Row],[Pointage dépense]]="x",Tableau3[[#This Row],[Dépenses]],0)</f>
        <v>0</v>
      </c>
      <c r="R30" s="10"/>
      <c r="S30" s="10"/>
    </row>
    <row r="31" spans="2:19" x14ac:dyDescent="0.3">
      <c r="B31" s="10" t="s">
        <v>6</v>
      </c>
      <c r="C31" s="10">
        <f>MONTH(Tableau3[[#This Row],[Date]])</f>
        <v>3</v>
      </c>
      <c r="D31" s="10">
        <f>YEAR(Tableau3[[#This Row],[Date]])</f>
        <v>2015</v>
      </c>
      <c r="E31" s="10" t="str">
        <f>CONCATENATE(Tableau3[[#This Row],[Année-Ecr]],Tableau3[[#This Row],[Mois]])</f>
        <v>20153</v>
      </c>
      <c r="F31" s="47">
        <v>42089</v>
      </c>
      <c r="G31" s="10" t="s">
        <v>41</v>
      </c>
      <c r="H31" s="10" t="str">
        <f>VLOOKUP(Tableau3[[#This Row],[Libellé]],RechecheV,2,FALSE)</f>
        <v>Produit</v>
      </c>
      <c r="I31" s="10"/>
      <c r="J31" s="10" t="s">
        <v>15</v>
      </c>
      <c r="L31" s="10"/>
      <c r="M31" s="10">
        <v>10</v>
      </c>
      <c r="N31" s="10"/>
      <c r="O31" s="10"/>
      <c r="P31" s="10">
        <f>IF(Tableau3[[#This Row],[Pointage recette]]="x",Tableau3[[#This Row],[Recettes]],0)</f>
        <v>0</v>
      </c>
      <c r="Q31" s="10">
        <f>IF(Tableau3[[#This Row],[Pointage dépense]]="x",Tableau3[[#This Row],[Dépenses]],0)</f>
        <v>0</v>
      </c>
      <c r="R31" s="10"/>
      <c r="S31" s="10"/>
    </row>
    <row r="32" spans="2:19" x14ac:dyDescent="0.3">
      <c r="B32" s="10" t="s">
        <v>6</v>
      </c>
      <c r="C32" s="10">
        <f>MONTH(Tableau3[[#This Row],[Date]])</f>
        <v>1</v>
      </c>
      <c r="D32" s="10">
        <f>YEAR(Tableau3[[#This Row],[Date]])</f>
        <v>2015</v>
      </c>
      <c r="E32" s="10" t="str">
        <f>CONCATENATE(Tableau3[[#This Row],[Année-Ecr]],Tableau3[[#This Row],[Mois]])</f>
        <v>20151</v>
      </c>
      <c r="F32" s="47">
        <v>42035</v>
      </c>
      <c r="G32" s="10" t="s">
        <v>42</v>
      </c>
      <c r="H32" s="10" t="str">
        <f>VLOOKUP(Tableau3[[#This Row],[Libellé]],RechecheV,2,FALSE)</f>
        <v>Charge</v>
      </c>
      <c r="I32" s="10"/>
      <c r="J32" s="10" t="s">
        <v>15</v>
      </c>
      <c r="L32" s="10"/>
      <c r="M32" s="10">
        <v>10</v>
      </c>
      <c r="N32" s="10"/>
      <c r="O32" s="10"/>
      <c r="P32" s="10">
        <f>IF(Tableau3[[#This Row],[Pointage recette]]="x",Tableau3[[#This Row],[Recettes]],0)</f>
        <v>0</v>
      </c>
      <c r="Q32" s="10">
        <f>IF(Tableau3[[#This Row],[Pointage dépense]]="x",Tableau3[[#This Row],[Dépenses]],0)</f>
        <v>0</v>
      </c>
      <c r="R32" s="10">
        <v>42035</v>
      </c>
      <c r="S32" s="10"/>
    </row>
    <row r="33" spans="6:6" s="10" customFormat="1" x14ac:dyDescent="0.3">
      <c r="F33" s="47"/>
    </row>
    <row r="34" spans="6:6" s="10" customFormat="1" x14ac:dyDescent="0.3">
      <c r="F34" s="47"/>
    </row>
    <row r="35" spans="6:6" s="10" customFormat="1" x14ac:dyDescent="0.3">
      <c r="F35" s="47"/>
    </row>
    <row r="36" spans="6:6" s="10" customFormat="1" x14ac:dyDescent="0.3">
      <c r="F36" s="47"/>
    </row>
    <row r="37" spans="6:6" s="10" customFormat="1" x14ac:dyDescent="0.3">
      <c r="F37" s="47"/>
    </row>
    <row r="38" spans="6:6" s="10" customFormat="1" x14ac:dyDescent="0.3">
      <c r="F38" s="47"/>
    </row>
    <row r="39" spans="6:6" s="10" customFormat="1" x14ac:dyDescent="0.3">
      <c r="F39" s="47"/>
    </row>
    <row r="40" spans="6:6" s="10" customFormat="1" x14ac:dyDescent="0.3">
      <c r="F40" s="47"/>
    </row>
    <row r="41" spans="6:6" s="10" customFormat="1" x14ac:dyDescent="0.3">
      <c r="F41" s="47"/>
    </row>
    <row r="42" spans="6:6" s="10" customFormat="1" x14ac:dyDescent="0.3">
      <c r="F42" s="47"/>
    </row>
    <row r="43" spans="6:6" s="10" customFormat="1" x14ac:dyDescent="0.3">
      <c r="F43" s="47"/>
    </row>
  </sheetData>
  <dataValidations count="1">
    <dataValidation type="list" allowBlank="1" showInputMessage="1" showErrorMessage="1" sqref="J5:J43">
      <formula1>Modes_paiement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0"/>
  <sheetViews>
    <sheetView workbookViewId="0">
      <selection activeCell="B5" sqref="B5"/>
    </sheetView>
  </sheetViews>
  <sheetFormatPr baseColWidth="10" defaultRowHeight="14.4" x14ac:dyDescent="0.3"/>
  <cols>
    <col min="1" max="1" width="22.88671875" customWidth="1"/>
    <col min="2" max="2" width="11.77734375" customWidth="1"/>
    <col min="3" max="3" width="15.33203125" customWidth="1"/>
    <col min="4" max="4" width="11.77734375" customWidth="1"/>
  </cols>
  <sheetData>
    <row r="1" spans="1:5" x14ac:dyDescent="0.3">
      <c r="B1" s="13" t="s">
        <v>49</v>
      </c>
      <c r="C1" s="13" t="s">
        <v>50</v>
      </c>
      <c r="D1" s="13" t="s">
        <v>51</v>
      </c>
    </row>
    <row r="2" spans="1:5" x14ac:dyDescent="0.3">
      <c r="B2" s="14">
        <f>SUBTOTAL(9,Tableau5[Recettes])</f>
        <v>0</v>
      </c>
      <c r="C2" s="15">
        <f>SUBTOTAL(9,Tableau5[Dépenses])</f>
        <v>0</v>
      </c>
      <c r="D2" s="16">
        <f>SUBTOTAL(9,Tableau5[Solde])</f>
        <v>0</v>
      </c>
    </row>
    <row r="4" spans="1:5" x14ac:dyDescent="0.3">
      <c r="A4" s="1" t="s">
        <v>48</v>
      </c>
      <c r="B4" s="9" t="s">
        <v>2</v>
      </c>
      <c r="C4" s="8" t="s">
        <v>3</v>
      </c>
      <c r="D4" s="8" t="s">
        <v>4</v>
      </c>
      <c r="E4" s="2" t="s">
        <v>5</v>
      </c>
    </row>
    <row r="5" spans="1:5" x14ac:dyDescent="0.3">
      <c r="A5" s="5" t="s">
        <v>83</v>
      </c>
      <c r="B5" s="7">
        <v>0</v>
      </c>
      <c r="C5" s="18">
        <v>0</v>
      </c>
      <c r="D5" s="18">
        <v>0</v>
      </c>
      <c r="E5" s="4"/>
    </row>
    <row r="6" spans="1:5" x14ac:dyDescent="0.3">
      <c r="A6" s="5" t="s">
        <v>84</v>
      </c>
      <c r="B6" s="7">
        <v>0</v>
      </c>
      <c r="C6" s="7">
        <v>0</v>
      </c>
      <c r="D6" s="7">
        <v>0</v>
      </c>
      <c r="E6" s="3"/>
    </row>
    <row r="7" spans="1:5" x14ac:dyDescent="0.3">
      <c r="A7" s="5"/>
      <c r="B7" s="7">
        <v>0</v>
      </c>
      <c r="C7" s="7">
        <v>0</v>
      </c>
      <c r="D7" s="7">
        <v>0</v>
      </c>
      <c r="E7" s="4"/>
    </row>
    <row r="8" spans="1:5" x14ac:dyDescent="0.3">
      <c r="E8" s="6"/>
    </row>
    <row r="9" spans="1:5" x14ac:dyDescent="0.3">
      <c r="E9" s="6"/>
    </row>
    <row r="10" spans="1:5" x14ac:dyDescent="0.3">
      <c r="E10" s="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30"/>
  <sheetViews>
    <sheetView workbookViewId="0"/>
  </sheetViews>
  <sheetFormatPr baseColWidth="10" defaultRowHeight="14.4" x14ac:dyDescent="0.3"/>
  <cols>
    <col min="1" max="2" width="33" customWidth="1"/>
    <col min="4" max="4" width="18.33203125" customWidth="1"/>
  </cols>
  <sheetData>
    <row r="1" spans="1:4" x14ac:dyDescent="0.3">
      <c r="A1" s="38" t="s">
        <v>11</v>
      </c>
      <c r="B1" s="38" t="s">
        <v>54</v>
      </c>
      <c r="D1" s="22" t="s">
        <v>53</v>
      </c>
    </row>
    <row r="2" spans="1:4" x14ac:dyDescent="0.3">
      <c r="A2" s="39" t="s">
        <v>14</v>
      </c>
      <c r="B2" s="40" t="s">
        <v>81</v>
      </c>
      <c r="D2" s="19" t="s">
        <v>39</v>
      </c>
    </row>
    <row r="3" spans="1:4" x14ac:dyDescent="0.3">
      <c r="A3" s="41" t="s">
        <v>18</v>
      </c>
      <c r="B3" s="42" t="s">
        <v>82</v>
      </c>
      <c r="D3" s="19" t="s">
        <v>19</v>
      </c>
    </row>
    <row r="4" spans="1:4" x14ac:dyDescent="0.3">
      <c r="A4" s="43" t="s">
        <v>20</v>
      </c>
      <c r="B4" s="44" t="s">
        <v>81</v>
      </c>
      <c r="C4" s="20"/>
      <c r="D4" s="19" t="s">
        <v>22</v>
      </c>
    </row>
    <row r="5" spans="1:4" x14ac:dyDescent="0.3">
      <c r="A5" s="45" t="s">
        <v>21</v>
      </c>
      <c r="B5" s="42" t="s">
        <v>82</v>
      </c>
      <c r="D5" s="19" t="s">
        <v>52</v>
      </c>
    </row>
    <row r="6" spans="1:4" x14ac:dyDescent="0.3">
      <c r="A6" s="46" t="s">
        <v>23</v>
      </c>
      <c r="B6" s="44" t="s">
        <v>81</v>
      </c>
      <c r="D6" s="19" t="s">
        <v>17</v>
      </c>
    </row>
    <row r="7" spans="1:4" x14ac:dyDescent="0.3">
      <c r="A7" s="45" t="s">
        <v>24</v>
      </c>
      <c r="B7" s="42" t="s">
        <v>82</v>
      </c>
      <c r="D7" s="19" t="s">
        <v>15</v>
      </c>
    </row>
    <row r="8" spans="1:4" x14ac:dyDescent="0.3">
      <c r="A8" s="46" t="s">
        <v>25</v>
      </c>
      <c r="B8" s="44" t="s">
        <v>82</v>
      </c>
      <c r="D8" s="21"/>
    </row>
    <row r="9" spans="1:4" x14ac:dyDescent="0.3">
      <c r="A9" s="45" t="s">
        <v>26</v>
      </c>
      <c r="B9" s="42" t="s">
        <v>81</v>
      </c>
    </row>
    <row r="10" spans="1:4" x14ac:dyDescent="0.3">
      <c r="A10" s="46" t="s">
        <v>43</v>
      </c>
      <c r="B10" s="44" t="s">
        <v>81</v>
      </c>
    </row>
    <row r="11" spans="1:4" x14ac:dyDescent="0.3">
      <c r="A11" s="45" t="s">
        <v>27</v>
      </c>
      <c r="B11" s="42" t="s">
        <v>82</v>
      </c>
    </row>
    <row r="12" spans="1:4" x14ac:dyDescent="0.3">
      <c r="A12" s="46" t="s">
        <v>44</v>
      </c>
      <c r="B12" s="44" t="s">
        <v>81</v>
      </c>
    </row>
    <row r="13" spans="1:4" x14ac:dyDescent="0.3">
      <c r="A13" s="45" t="s">
        <v>28</v>
      </c>
      <c r="B13" s="42" t="s">
        <v>82</v>
      </c>
    </row>
    <row r="14" spans="1:4" x14ac:dyDescent="0.3">
      <c r="A14" s="46" t="s">
        <v>45</v>
      </c>
      <c r="B14" s="44" t="s">
        <v>82</v>
      </c>
    </row>
    <row r="15" spans="1:4" x14ac:dyDescent="0.3">
      <c r="A15" s="45" t="s">
        <v>29</v>
      </c>
      <c r="B15" s="42" t="s">
        <v>82</v>
      </c>
    </row>
    <row r="16" spans="1:4" x14ac:dyDescent="0.3">
      <c r="A16" s="46" t="s">
        <v>46</v>
      </c>
      <c r="B16" s="44" t="s">
        <v>81</v>
      </c>
    </row>
    <row r="17" spans="1:2" x14ac:dyDescent="0.3">
      <c r="A17" s="45" t="s">
        <v>30</v>
      </c>
      <c r="B17" s="42" t="s">
        <v>82</v>
      </c>
    </row>
    <row r="18" spans="1:2" x14ac:dyDescent="0.3">
      <c r="A18" s="46" t="s">
        <v>47</v>
      </c>
      <c r="B18" s="44" t="s">
        <v>81</v>
      </c>
    </row>
    <row r="19" spans="1:2" x14ac:dyDescent="0.3">
      <c r="A19" s="45" t="s">
        <v>31</v>
      </c>
      <c r="B19" s="42" t="s">
        <v>82</v>
      </c>
    </row>
    <row r="20" spans="1:2" x14ac:dyDescent="0.3">
      <c r="A20" s="46" t="s">
        <v>32</v>
      </c>
      <c r="B20" s="44" t="s">
        <v>82</v>
      </c>
    </row>
    <row r="21" spans="1:2" x14ac:dyDescent="0.3">
      <c r="A21" s="45" t="s">
        <v>33</v>
      </c>
      <c r="B21" s="42" t="s">
        <v>82</v>
      </c>
    </row>
    <row r="22" spans="1:2" x14ac:dyDescent="0.3">
      <c r="A22" s="46" t="s">
        <v>34</v>
      </c>
      <c r="B22" s="44" t="s">
        <v>82</v>
      </c>
    </row>
    <row r="23" spans="1:2" x14ac:dyDescent="0.3">
      <c r="A23" s="45" t="s">
        <v>35</v>
      </c>
      <c r="B23" s="42" t="s">
        <v>82</v>
      </c>
    </row>
    <row r="24" spans="1:2" x14ac:dyDescent="0.3">
      <c r="A24" s="46" t="s">
        <v>36</v>
      </c>
      <c r="B24" s="44" t="s">
        <v>82</v>
      </c>
    </row>
    <row r="25" spans="1:2" x14ac:dyDescent="0.3">
      <c r="A25" s="45" t="s">
        <v>37</v>
      </c>
      <c r="B25" s="42" t="s">
        <v>82</v>
      </c>
    </row>
    <row r="26" spans="1:2" x14ac:dyDescent="0.3">
      <c r="A26" s="46" t="s">
        <v>38</v>
      </c>
      <c r="B26" s="44" t="s">
        <v>82</v>
      </c>
    </row>
    <row r="27" spans="1:2" x14ac:dyDescent="0.3">
      <c r="A27" s="45" t="s">
        <v>40</v>
      </c>
      <c r="B27" s="42" t="s">
        <v>82</v>
      </c>
    </row>
    <row r="28" spans="1:2" x14ac:dyDescent="0.3">
      <c r="A28" s="46" t="s">
        <v>41</v>
      </c>
      <c r="B28" s="44" t="s">
        <v>81</v>
      </c>
    </row>
    <row r="29" spans="1:2" x14ac:dyDescent="0.3">
      <c r="A29" s="45" t="s">
        <v>42</v>
      </c>
      <c r="B29" s="42" t="s">
        <v>82</v>
      </c>
    </row>
    <row r="30" spans="1:2" x14ac:dyDescent="0.3">
      <c r="A30" s="43" t="s">
        <v>16</v>
      </c>
      <c r="B30" s="44" t="s">
        <v>81</v>
      </c>
    </row>
  </sheetData>
  <dataValidations count="1">
    <dataValidation type="list" allowBlank="1" showInputMessage="1" showErrorMessage="1" sqref="D2:D7">
      <formula1>Modes_paiement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K25"/>
  <sheetViews>
    <sheetView zoomScale="85" zoomScaleNormal="85" workbookViewId="0">
      <selection activeCell="A27" sqref="A27"/>
    </sheetView>
  </sheetViews>
  <sheetFormatPr baseColWidth="10" defaultRowHeight="14.4" x14ac:dyDescent="0.3"/>
  <cols>
    <col min="1" max="1" width="24.109375" customWidth="1"/>
    <col min="2" max="2" width="21.88671875" customWidth="1"/>
    <col min="3" max="3" width="20.77734375" customWidth="1"/>
    <col min="4" max="4" width="3" customWidth="1"/>
    <col min="5" max="5" width="4" customWidth="1"/>
    <col min="6" max="6" width="5.88671875" customWidth="1"/>
    <col min="7" max="7" width="20.6640625" customWidth="1"/>
    <col min="8" max="8" width="28.33203125" customWidth="1"/>
    <col min="9" max="9" width="29.6640625" customWidth="1"/>
    <col min="10" max="11" width="26" customWidth="1"/>
  </cols>
  <sheetData>
    <row r="2" spans="1:11" ht="31.2" x14ac:dyDescent="0.3">
      <c r="A2" s="54" t="s">
        <v>75</v>
      </c>
      <c r="B2" s="56">
        <f>MATCH("Total général",A:A,0)</f>
        <v>23</v>
      </c>
    </row>
    <row r="3" spans="1:11" ht="15.6" x14ac:dyDescent="0.3">
      <c r="A3" s="53"/>
      <c r="B3" s="53"/>
    </row>
    <row r="4" spans="1:11" ht="15.6" x14ac:dyDescent="0.3">
      <c r="A4" s="55" t="s">
        <v>92</v>
      </c>
      <c r="B4" s="57">
        <f>EOMONTH(A15,0)</f>
        <v>42035</v>
      </c>
    </row>
    <row r="5" spans="1:11" ht="15.6" x14ac:dyDescent="0.3">
      <c r="G5" s="51" t="s">
        <v>89</v>
      </c>
    </row>
    <row r="6" spans="1:11" ht="15.6" x14ac:dyDescent="0.3">
      <c r="A6" s="55" t="s">
        <v>93</v>
      </c>
      <c r="B6" s="61">
        <v>1000</v>
      </c>
      <c r="G6" s="14"/>
      <c r="H6" s="52" t="s">
        <v>66</v>
      </c>
      <c r="I6" s="52" t="s">
        <v>63</v>
      </c>
      <c r="J6" s="52" t="s">
        <v>65</v>
      </c>
    </row>
    <row r="7" spans="1:11" ht="15.6" x14ac:dyDescent="0.3">
      <c r="G7" s="51" t="s">
        <v>64</v>
      </c>
      <c r="H7" s="49">
        <f>INDEX(mon_tcd,B2-13,2)</f>
        <v>100</v>
      </c>
      <c r="I7" s="49">
        <f>INDEX(mon_tcd,B2-13,3)</f>
        <v>20</v>
      </c>
      <c r="J7" s="49">
        <f>I7-H7</f>
        <v>-80</v>
      </c>
    </row>
    <row r="8" spans="1:11" ht="15.6" x14ac:dyDescent="0.3">
      <c r="G8" s="51" t="s">
        <v>91</v>
      </c>
      <c r="H8" s="48">
        <f>SUMIFS(Ecriture!M:M,Ecriture!F:F,"&lt;="&amp;B4)</f>
        <v>30</v>
      </c>
      <c r="I8" s="48">
        <f>SUMIFS(Ecriture!L:L,Ecriture!F:F,"&lt;="&amp;B4)</f>
        <v>20</v>
      </c>
      <c r="J8" s="48">
        <f>I8-H8</f>
        <v>-10</v>
      </c>
    </row>
    <row r="9" spans="1:11" ht="15.6" x14ac:dyDescent="0.3">
      <c r="G9" s="51" t="s">
        <v>90</v>
      </c>
      <c r="H9" s="48">
        <f>H7+H8</f>
        <v>130</v>
      </c>
      <c r="I9" s="48">
        <f>I7+I8</f>
        <v>40</v>
      </c>
      <c r="J9" s="48">
        <f>J7+J8</f>
        <v>-90</v>
      </c>
    </row>
    <row r="10" spans="1:11" x14ac:dyDescent="0.3">
      <c r="I10" s="50" t="s">
        <v>93</v>
      </c>
      <c r="J10" s="14" t="str">
        <f>IF(J9&lt;B6,"Attention solde débiteur","RAS")</f>
        <v>Attention solde débiteur</v>
      </c>
    </row>
    <row r="12" spans="1:11" x14ac:dyDescent="0.3">
      <c r="A12" s="31" t="s">
        <v>60</v>
      </c>
      <c r="B12" s="32">
        <v>1</v>
      </c>
    </row>
    <row r="13" spans="1:11" x14ac:dyDescent="0.3">
      <c r="A13" s="10"/>
      <c r="B13" s="10"/>
    </row>
    <row r="14" spans="1:11" ht="25.8" customHeight="1" x14ac:dyDescent="0.3">
      <c r="A14" s="31" t="s">
        <v>71</v>
      </c>
      <c r="B14" s="10" t="s">
        <v>73</v>
      </c>
      <c r="C14" s="10" t="s">
        <v>74</v>
      </c>
    </row>
    <row r="15" spans="1:11" ht="25.8" customHeight="1" x14ac:dyDescent="0.3">
      <c r="A15" s="33">
        <v>42005</v>
      </c>
      <c r="B15" s="17">
        <v>10</v>
      </c>
      <c r="C15" s="17">
        <v>20</v>
      </c>
    </row>
    <row r="16" spans="1:11" ht="25.8" customHeight="1" x14ac:dyDescent="0.35">
      <c r="A16" s="33">
        <v>42029</v>
      </c>
      <c r="B16" s="17">
        <v>10</v>
      </c>
      <c r="C16" s="17"/>
      <c r="K16" s="58" t="s">
        <v>94</v>
      </c>
    </row>
    <row r="17" spans="1:7" ht="25.8" customHeight="1" x14ac:dyDescent="0.3">
      <c r="A17" s="33">
        <v>42035</v>
      </c>
      <c r="B17" s="17">
        <v>10</v>
      </c>
      <c r="C17" s="17"/>
    </row>
    <row r="18" spans="1:7" ht="25.8" customHeight="1" x14ac:dyDescent="0.3">
      <c r="A18" s="33">
        <v>42387</v>
      </c>
      <c r="B18" s="17">
        <v>20</v>
      </c>
      <c r="C18" s="17"/>
    </row>
    <row r="19" spans="1:7" ht="25.8" customHeight="1" x14ac:dyDescent="0.3">
      <c r="A19" s="33">
        <v>42391</v>
      </c>
      <c r="B19" s="17">
        <v>20</v>
      </c>
      <c r="C19" s="17"/>
    </row>
    <row r="20" spans="1:7" ht="25.8" customHeight="1" x14ac:dyDescent="0.3">
      <c r="A20" s="33">
        <v>42392</v>
      </c>
      <c r="B20" s="17">
        <v>10</v>
      </c>
      <c r="C20" s="17"/>
    </row>
    <row r="21" spans="1:7" ht="25.8" customHeight="1" x14ac:dyDescent="0.3">
      <c r="A21" s="33">
        <v>42394</v>
      </c>
      <c r="B21" s="17">
        <v>10</v>
      </c>
      <c r="C21" s="17"/>
    </row>
    <row r="22" spans="1:7" ht="25.8" customHeight="1" x14ac:dyDescent="0.3">
      <c r="A22" s="32" t="s">
        <v>88</v>
      </c>
      <c r="B22" s="17">
        <v>10</v>
      </c>
      <c r="C22" s="17"/>
    </row>
    <row r="23" spans="1:7" ht="25.8" customHeight="1" x14ac:dyDescent="0.3">
      <c r="A23" s="32" t="s">
        <v>72</v>
      </c>
      <c r="B23" s="17">
        <v>100</v>
      </c>
      <c r="C23" s="17">
        <v>20</v>
      </c>
    </row>
    <row r="25" spans="1:7" x14ac:dyDescent="0.3">
      <c r="G25" t="s">
        <v>67</v>
      </c>
    </row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IF(J9&lt;B6,"Attention solde débiteur","RAS")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DC2046B-6367-4DEB-8E26-0B99C49DE2A1}">
            <xm:f>NOT(ISERROR(SEARCH($J$10,J10)))</xm:f>
            <xm:f>$J$10</xm:f>
            <x14:dxf>
              <font>
                <b/>
                <i val="0"/>
                <strike val="0"/>
                <color rgb="FFC00000"/>
              </font>
            </x14:dxf>
          </x14:cfRule>
          <xm:sqref>J10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Sommaire</vt:lpstr>
      <vt:lpstr>Récap</vt:lpstr>
      <vt:lpstr>Total</vt:lpstr>
      <vt:lpstr>Ecriture</vt:lpstr>
      <vt:lpstr>TCD</vt:lpstr>
      <vt:lpstr>Données</vt:lpstr>
      <vt:lpstr>Graphes écritures par rubrique</vt:lpstr>
      <vt:lpstr>Graphes écritures par regroupem</vt:lpstr>
      <vt:lpstr>Année_Ecr</vt:lpstr>
      <vt:lpstr>concatener</vt:lpstr>
      <vt:lpstr>Date</vt:lpstr>
      <vt:lpstr>Dépenses</vt:lpstr>
      <vt:lpstr>Famille</vt:lpstr>
      <vt:lpstr>Libellé</vt:lpstr>
      <vt:lpstr>Modes_paiement</vt:lpstr>
      <vt:lpstr>Mois</vt:lpstr>
      <vt:lpstr>mon_tcd</vt:lpstr>
      <vt:lpstr>Recettes</vt:lpstr>
      <vt:lpstr>RechecheV</vt:lpstr>
      <vt:lpstr>Sens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2016-03-07T07:31:40Z</dcterms:created>
  <dcterms:modified xsi:type="dcterms:W3CDTF">2016-03-12T11:16:24Z</dcterms:modified>
</cp:coreProperties>
</file>