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tables/table1.xml" ContentType="application/vnd.openxmlformats-officedocument.spreadsheetml.tab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pivotTables/pivotTable2.xml" ContentType="application/vnd.openxmlformats-officedocument.spreadsheetml.pivotTable+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defaultThemeVersion="124226"/>
  <mc:AlternateContent xmlns:mc="http://schemas.openxmlformats.org/markup-compatibility/2006">
    <mc:Choice Requires="x15">
      <x15ac:absPath xmlns:x15ac="http://schemas.microsoft.com/office/spreadsheetml/2010/11/ac" url="C:\Users\Ben\Desktop\"/>
    </mc:Choice>
  </mc:AlternateContent>
  <bookViews>
    <workbookView xWindow="0" yWindow="0" windowWidth="20490" windowHeight="7215"/>
  </bookViews>
  <sheets>
    <sheet name="Demande d'aide" sheetId="7" r:id="rId1"/>
    <sheet name="Accueuil" sheetId="2" r:id="rId2"/>
    <sheet name="Calcul Et Courbes " sheetId="3" r:id="rId3"/>
    <sheet name="Diffentre Besoin et dispo" sheetId="5" r:id="rId4"/>
    <sheet name="Decoupage et Rotation" sheetId="6" r:id="rId5"/>
    <sheet name="Base de donnée simple" sheetId="4" r:id="rId6"/>
  </sheets>
  <definedNames>
    <definedName name="active">Tableau1[#All]</definedName>
    <definedName name="Chaptel">'Base de donnée simple'!$I$3:$K$17</definedName>
    <definedName name="chaptel2">'Base de donnée simple'!$I$21:$K$34</definedName>
    <definedName name="flore">Tableau1[#Headers]</definedName>
    <definedName name="ouinon">Tableau4[#Headers]</definedName>
    <definedName name="passive">Tableau13[#All]</definedName>
    <definedName name="tab">Tableau5[]</definedName>
    <definedName name="tableau2">'Base de donnée simple'!$B$21:$C$36</definedName>
    <definedName name="Tableau6">'Base de donnée simple'!$I$21:$K$34</definedName>
    <definedName name="tableaupass">'Base de donnée simple'!$B$21:$C$36</definedName>
    <definedName name="typechaptel">Tableau3[#Headers]</definedName>
  </definedNames>
  <calcPr calcId="162913"/>
  <pivotCaches>
    <pivotCache cacheId="0" r:id="rId7"/>
  </pivotCaches>
</workbook>
</file>

<file path=xl/calcChain.xml><?xml version="1.0" encoding="utf-8"?>
<calcChain xmlns="http://schemas.openxmlformats.org/spreadsheetml/2006/main">
  <c r="E13" i="7" l="1"/>
  <c r="E12" i="7"/>
  <c r="E11" i="7"/>
  <c r="E10" i="7"/>
  <c r="N9" i="7"/>
  <c r="L9" i="7"/>
  <c r="E9" i="7"/>
  <c r="E8" i="7"/>
  <c r="E7" i="7"/>
  <c r="E6" i="7"/>
  <c r="E5" i="7"/>
  <c r="E51" i="6" l="1"/>
  <c r="X8" i="6" l="1"/>
  <c r="X9" i="6"/>
  <c r="X10" i="6"/>
  <c r="X11" i="6"/>
  <c r="X12" i="6"/>
  <c r="X13" i="6"/>
  <c r="X14" i="6"/>
  <c r="X15" i="6"/>
  <c r="X16" i="6"/>
  <c r="X17" i="6"/>
  <c r="X18" i="6"/>
  <c r="X19" i="6"/>
  <c r="X20" i="6"/>
  <c r="X21" i="6"/>
  <c r="X22" i="6"/>
  <c r="X23" i="6"/>
  <c r="X24" i="6"/>
  <c r="X7" i="6"/>
  <c r="X6" i="6"/>
  <c r="E47" i="6"/>
  <c r="E48" i="6"/>
  <c r="E49" i="6"/>
  <c r="E50" i="6"/>
  <c r="E52" i="6"/>
  <c r="E53" i="6"/>
  <c r="E54" i="6"/>
  <c r="E55" i="6"/>
  <c r="E56" i="6"/>
  <c r="E57" i="6"/>
  <c r="E46" i="6"/>
  <c r="D47" i="6"/>
  <c r="D48" i="6"/>
  <c r="D49" i="6"/>
  <c r="D50" i="6"/>
  <c r="D51" i="6"/>
  <c r="D52" i="6"/>
  <c r="D53" i="6"/>
  <c r="D54" i="6"/>
  <c r="D55" i="6"/>
  <c r="D56" i="6"/>
  <c r="D57" i="6"/>
  <c r="D46" i="6"/>
  <c r="J7" i="6" s="1"/>
  <c r="K8" i="6" l="1"/>
  <c r="A26" i="6"/>
  <c r="D21" i="6"/>
  <c r="L8" i="6" l="1"/>
  <c r="U8" i="6" s="1"/>
  <c r="Q8" i="6" l="1"/>
  <c r="S8" i="6" s="1"/>
  <c r="C31" i="5"/>
  <c r="H19" i="5" l="1"/>
  <c r="G35" i="5" l="1"/>
  <c r="D6" i="2" l="1"/>
  <c r="D3" i="5"/>
  <c r="C3" i="5"/>
  <c r="U5" i="3"/>
  <c r="T5" i="3"/>
  <c r="K27" i="3" l="1"/>
  <c r="C10" i="3" l="1"/>
  <c r="E10" i="3" s="1"/>
  <c r="C11" i="3"/>
  <c r="E11" i="3" s="1"/>
  <c r="C12" i="3"/>
  <c r="E12" i="3" s="1"/>
  <c r="C13" i="3"/>
  <c r="E13" i="3" s="1"/>
  <c r="C14" i="3"/>
  <c r="E14" i="3" s="1"/>
  <c r="C15" i="3"/>
  <c r="E15" i="3" s="1"/>
  <c r="C16" i="3"/>
  <c r="E16" i="3" s="1"/>
  <c r="C17" i="3"/>
  <c r="E17" i="3" s="1"/>
  <c r="C18" i="3"/>
  <c r="E18" i="3" s="1"/>
  <c r="C19" i="3"/>
  <c r="E19" i="3" s="1"/>
  <c r="C20" i="3"/>
  <c r="E20" i="3" s="1"/>
  <c r="C9" i="3"/>
  <c r="E9" i="3" s="1"/>
  <c r="C29" i="3"/>
  <c r="B27" i="6" s="1"/>
  <c r="D27" i="6" s="1"/>
  <c r="C30" i="3"/>
  <c r="B28" i="6" s="1"/>
  <c r="D28" i="6" s="1"/>
  <c r="C31" i="3"/>
  <c r="B29" i="6" s="1"/>
  <c r="D29" i="6" s="1"/>
  <c r="C32" i="3"/>
  <c r="B30" i="6" s="1"/>
  <c r="D30" i="6" s="1"/>
  <c r="C33" i="3"/>
  <c r="B31" i="6" s="1"/>
  <c r="D31" i="6" s="1"/>
  <c r="C34" i="3"/>
  <c r="B32" i="6" s="1"/>
  <c r="D32" i="6" s="1"/>
  <c r="C35" i="3"/>
  <c r="B33" i="6" s="1"/>
  <c r="D33" i="6" s="1"/>
  <c r="C36" i="3"/>
  <c r="B34" i="6" s="1"/>
  <c r="D34" i="6" s="1"/>
  <c r="C37" i="3"/>
  <c r="B35" i="6" s="1"/>
  <c r="D35" i="6" s="1"/>
  <c r="C38" i="3"/>
  <c r="B36" i="6" s="1"/>
  <c r="D36" i="6" s="1"/>
  <c r="C39" i="3"/>
  <c r="B37" i="6" s="1"/>
  <c r="D37" i="6" s="1"/>
  <c r="B29" i="3"/>
  <c r="B30" i="3"/>
  <c r="B31" i="3"/>
  <c r="B32" i="3"/>
  <c r="B33" i="3"/>
  <c r="B34" i="3"/>
  <c r="B35" i="3"/>
  <c r="B36" i="3"/>
  <c r="B37" i="3"/>
  <c r="B38" i="3"/>
  <c r="B39" i="3"/>
  <c r="C28" i="3"/>
  <c r="B26" i="6" s="1"/>
  <c r="D26" i="6" s="1"/>
  <c r="B28" i="3"/>
  <c r="H10" i="3"/>
  <c r="G10" i="3" s="1"/>
  <c r="H11" i="3"/>
  <c r="G11" i="3" s="1"/>
  <c r="H12" i="3"/>
  <c r="G12" i="3" s="1"/>
  <c r="H13" i="3"/>
  <c r="G13" i="3" s="1"/>
  <c r="H14" i="3"/>
  <c r="G14" i="3" s="1"/>
  <c r="H15" i="3"/>
  <c r="G15" i="3" s="1"/>
  <c r="H16" i="3"/>
  <c r="G16" i="3" s="1"/>
  <c r="H17" i="3"/>
  <c r="G17" i="3" s="1"/>
  <c r="H18" i="3"/>
  <c r="G18" i="3" s="1"/>
  <c r="H19" i="3"/>
  <c r="G19" i="3" s="1"/>
  <c r="H20" i="3"/>
  <c r="G20" i="3" s="1"/>
  <c r="H9" i="3"/>
  <c r="G9" i="3" s="1"/>
  <c r="E38" i="6" l="1"/>
  <c r="D39" i="6" s="1"/>
  <c r="N371" i="6"/>
  <c r="N357" i="6"/>
  <c r="N353" i="6"/>
  <c r="N352" i="6"/>
  <c r="N358" i="6"/>
  <c r="N348" i="6"/>
  <c r="N365" i="6"/>
  <c r="N346" i="6"/>
  <c r="N360" i="6"/>
  <c r="N355" i="6"/>
  <c r="N363" i="6"/>
  <c r="N356" i="6"/>
  <c r="N342" i="6"/>
  <c r="N343" i="6"/>
  <c r="N368" i="6"/>
  <c r="N344" i="6"/>
  <c r="N364" i="6"/>
  <c r="N361" i="6"/>
  <c r="N351" i="6"/>
  <c r="N370" i="6"/>
  <c r="N354" i="6"/>
  <c r="N366" i="6"/>
  <c r="N372" i="6"/>
  <c r="N362" i="6"/>
  <c r="N359" i="6"/>
  <c r="N347" i="6"/>
  <c r="N369" i="6"/>
  <c r="N350" i="6"/>
  <c r="N367" i="6"/>
  <c r="N345" i="6"/>
  <c r="N349" i="6"/>
  <c r="N114" i="6"/>
  <c r="N108" i="6"/>
  <c r="N112" i="6"/>
  <c r="N111" i="6"/>
  <c r="N103" i="6"/>
  <c r="N122" i="6"/>
  <c r="N116" i="6"/>
  <c r="N105" i="6"/>
  <c r="N119" i="6"/>
  <c r="N121" i="6"/>
  <c r="N106" i="6"/>
  <c r="N99" i="6"/>
  <c r="N124" i="6"/>
  <c r="N102" i="6"/>
  <c r="N127" i="6"/>
  <c r="N125" i="6"/>
  <c r="N107" i="6"/>
  <c r="N120" i="6"/>
  <c r="N110" i="6"/>
  <c r="N104" i="6"/>
  <c r="N98" i="6"/>
  <c r="N100" i="6"/>
  <c r="N115" i="6"/>
  <c r="N101" i="6"/>
  <c r="N118" i="6"/>
  <c r="N113" i="6"/>
  <c r="N123" i="6"/>
  <c r="N109" i="6"/>
  <c r="N126" i="6"/>
  <c r="N117" i="6"/>
  <c r="N326" i="6"/>
  <c r="N320" i="6"/>
  <c r="N341" i="6"/>
  <c r="N323" i="6"/>
  <c r="N327" i="6"/>
  <c r="N317" i="6"/>
  <c r="N315" i="6"/>
  <c r="N334" i="6"/>
  <c r="N328" i="6"/>
  <c r="N314" i="6"/>
  <c r="N331" i="6"/>
  <c r="N312" i="6"/>
  <c r="N336" i="6"/>
  <c r="N322" i="6"/>
  <c r="N339" i="6"/>
  <c r="N335" i="6"/>
  <c r="N324" i="6"/>
  <c r="N313" i="6"/>
  <c r="N330" i="6"/>
  <c r="N316" i="6"/>
  <c r="N333" i="6"/>
  <c r="N325" i="6"/>
  <c r="N321" i="6"/>
  <c r="N338" i="6"/>
  <c r="N340" i="6"/>
  <c r="N319" i="6"/>
  <c r="N329" i="6"/>
  <c r="N332" i="6"/>
  <c r="N337" i="6"/>
  <c r="N318" i="6"/>
  <c r="N83" i="6"/>
  <c r="N79" i="6"/>
  <c r="N92" i="6"/>
  <c r="N90" i="6"/>
  <c r="N84" i="6"/>
  <c r="N71" i="6"/>
  <c r="N68" i="6"/>
  <c r="N87" i="6"/>
  <c r="N73" i="6"/>
  <c r="N67" i="6"/>
  <c r="N85" i="6"/>
  <c r="N82" i="6"/>
  <c r="N70" i="6"/>
  <c r="N95" i="6"/>
  <c r="N81" i="6"/>
  <c r="N91" i="6"/>
  <c r="N74" i="6"/>
  <c r="N78" i="6"/>
  <c r="N76" i="6"/>
  <c r="N89" i="6"/>
  <c r="N88" i="6"/>
  <c r="N96" i="6"/>
  <c r="N69" i="6"/>
  <c r="N86" i="6"/>
  <c r="N72" i="6"/>
  <c r="N97" i="6"/>
  <c r="N77" i="6"/>
  <c r="N94" i="6"/>
  <c r="N80" i="6"/>
  <c r="N75" i="6"/>
  <c r="N93" i="6"/>
  <c r="N288" i="6"/>
  <c r="N283" i="6"/>
  <c r="N308" i="6"/>
  <c r="N294" i="6"/>
  <c r="N297" i="6"/>
  <c r="N281" i="6"/>
  <c r="N291" i="6"/>
  <c r="N303" i="6"/>
  <c r="N302" i="6"/>
  <c r="N296" i="6"/>
  <c r="N282" i="6"/>
  <c r="N299" i="6"/>
  <c r="N285" i="6"/>
  <c r="N310" i="6"/>
  <c r="N292" i="6"/>
  <c r="N286" i="6"/>
  <c r="N290" i="6"/>
  <c r="N307" i="6"/>
  <c r="N293" i="6"/>
  <c r="N295" i="6"/>
  <c r="N311" i="6"/>
  <c r="N300" i="6"/>
  <c r="N298" i="6"/>
  <c r="N304" i="6"/>
  <c r="N301" i="6"/>
  <c r="N289" i="6"/>
  <c r="N306" i="6"/>
  <c r="N284" i="6"/>
  <c r="N309" i="6"/>
  <c r="N287" i="6"/>
  <c r="N305" i="6"/>
  <c r="N43" i="6"/>
  <c r="N65" i="6"/>
  <c r="N56" i="6"/>
  <c r="N54" i="6"/>
  <c r="N40" i="6"/>
  <c r="N51" i="6"/>
  <c r="N45" i="6"/>
  <c r="N41" i="6"/>
  <c r="N60" i="6"/>
  <c r="N59" i="6"/>
  <c r="N53" i="6"/>
  <c r="N47" i="6"/>
  <c r="N49" i="6"/>
  <c r="N57" i="6"/>
  <c r="N42" i="6"/>
  <c r="N39" i="6"/>
  <c r="N61" i="6"/>
  <c r="N55" i="6"/>
  <c r="N50" i="6"/>
  <c r="N44" i="6"/>
  <c r="N48" i="6"/>
  <c r="N63" i="6"/>
  <c r="N58" i="6"/>
  <c r="N52" i="6"/>
  <c r="N46" i="6"/>
  <c r="N64" i="6"/>
  <c r="N66" i="6"/>
  <c r="N62" i="6"/>
  <c r="N268" i="6"/>
  <c r="N262" i="6"/>
  <c r="N279" i="6"/>
  <c r="N265" i="6"/>
  <c r="N267" i="6"/>
  <c r="N276" i="6"/>
  <c r="N270" i="6"/>
  <c r="N259" i="6"/>
  <c r="N273" i="6"/>
  <c r="N274" i="6"/>
  <c r="N257" i="6"/>
  <c r="N253" i="6"/>
  <c r="N278" i="6"/>
  <c r="N256" i="6"/>
  <c r="N251" i="6"/>
  <c r="N260" i="6"/>
  <c r="N261" i="6"/>
  <c r="N258" i="6"/>
  <c r="N264" i="6"/>
  <c r="N266" i="6"/>
  <c r="N252" i="6"/>
  <c r="N254" i="6"/>
  <c r="N269" i="6"/>
  <c r="N275" i="6"/>
  <c r="N272" i="6"/>
  <c r="N271" i="6"/>
  <c r="N277" i="6"/>
  <c r="N255" i="6"/>
  <c r="N280" i="6"/>
  <c r="N263" i="6"/>
  <c r="N142" i="6"/>
  <c r="N145" i="6"/>
  <c r="N133" i="6"/>
  <c r="N140" i="6"/>
  <c r="N146" i="6"/>
  <c r="N128" i="6"/>
  <c r="N136" i="6"/>
  <c r="N153" i="6"/>
  <c r="N131" i="6"/>
  <c r="N148" i="6"/>
  <c r="N151" i="6"/>
  <c r="N137" i="6"/>
  <c r="N144" i="6"/>
  <c r="N149" i="6"/>
  <c r="N139" i="6"/>
  <c r="N156" i="6"/>
  <c r="N129" i="6"/>
  <c r="N152" i="6"/>
  <c r="N150" i="6"/>
  <c r="N147" i="6"/>
  <c r="N134" i="6"/>
  <c r="N132" i="6"/>
  <c r="N135" i="6"/>
  <c r="N141" i="6"/>
  <c r="N130" i="6"/>
  <c r="N155" i="6"/>
  <c r="N143" i="6"/>
  <c r="N158" i="6"/>
  <c r="N138" i="6"/>
  <c r="N157" i="6"/>
  <c r="N154" i="6"/>
  <c r="N15" i="6"/>
  <c r="N21" i="6"/>
  <c r="N18" i="6"/>
  <c r="N35" i="6"/>
  <c r="N10" i="6"/>
  <c r="N23" i="6"/>
  <c r="N14" i="6"/>
  <c r="N26" i="6"/>
  <c r="N38" i="6"/>
  <c r="N30" i="6"/>
  <c r="N32" i="6"/>
  <c r="N31" i="6"/>
  <c r="N9" i="6"/>
  <c r="N34" i="6"/>
  <c r="N12" i="6"/>
  <c r="N19" i="6"/>
  <c r="N8" i="6"/>
  <c r="P8" i="6" s="1"/>
  <c r="N17" i="6"/>
  <c r="N37" i="6"/>
  <c r="N20" i="6"/>
  <c r="N29" i="6"/>
  <c r="N27" i="6"/>
  <c r="N13" i="6"/>
  <c r="N25" i="6"/>
  <c r="N22" i="6"/>
  <c r="N28" i="6"/>
  <c r="N16" i="6"/>
  <c r="N33" i="6"/>
  <c r="N11" i="6"/>
  <c r="N36" i="6"/>
  <c r="N24" i="6"/>
  <c r="N232" i="6"/>
  <c r="N237" i="6"/>
  <c r="N227" i="6"/>
  <c r="N238" i="6"/>
  <c r="N244" i="6"/>
  <c r="N249" i="6"/>
  <c r="N240" i="6"/>
  <c r="N246" i="6"/>
  <c r="N235" i="6"/>
  <c r="N229" i="6"/>
  <c r="N223" i="6"/>
  <c r="N248" i="6"/>
  <c r="N226" i="6"/>
  <c r="N243" i="6"/>
  <c r="N241" i="6"/>
  <c r="N231" i="6"/>
  <c r="N245" i="6"/>
  <c r="N234" i="6"/>
  <c r="N220" i="6"/>
  <c r="N221" i="6"/>
  <c r="N222" i="6"/>
  <c r="N239" i="6"/>
  <c r="N225" i="6"/>
  <c r="N242" i="6"/>
  <c r="N228" i="6"/>
  <c r="N224" i="6"/>
  <c r="N247" i="6"/>
  <c r="N233" i="6"/>
  <c r="N250" i="6"/>
  <c r="N236" i="6"/>
  <c r="N230" i="6"/>
  <c r="N210" i="6"/>
  <c r="N196" i="6"/>
  <c r="N213" i="6"/>
  <c r="N214" i="6"/>
  <c r="N193" i="6"/>
  <c r="N218" i="6"/>
  <c r="N204" i="6"/>
  <c r="N191" i="6"/>
  <c r="N194" i="6"/>
  <c r="N201" i="6"/>
  <c r="N200" i="6"/>
  <c r="N212" i="6"/>
  <c r="N192" i="6"/>
  <c r="N215" i="6"/>
  <c r="N209" i="6"/>
  <c r="N195" i="6"/>
  <c r="N189" i="6"/>
  <c r="N190" i="6"/>
  <c r="N199" i="6"/>
  <c r="N217" i="6"/>
  <c r="N203" i="6"/>
  <c r="N207" i="6"/>
  <c r="N198" i="6"/>
  <c r="N219" i="6"/>
  <c r="N205" i="6"/>
  <c r="N216" i="6"/>
  <c r="N211" i="6"/>
  <c r="N208" i="6"/>
  <c r="N206" i="6"/>
  <c r="N197" i="6"/>
  <c r="N202" i="6"/>
  <c r="N164" i="6"/>
  <c r="N159" i="6"/>
  <c r="N175" i="6"/>
  <c r="N161" i="6"/>
  <c r="N181" i="6"/>
  <c r="N172" i="6"/>
  <c r="N162" i="6"/>
  <c r="N183" i="6"/>
  <c r="N169" i="6"/>
  <c r="N173" i="6"/>
  <c r="N167" i="6"/>
  <c r="N180" i="6"/>
  <c r="N179" i="6"/>
  <c r="N187" i="6"/>
  <c r="N177" i="6"/>
  <c r="N163" i="6"/>
  <c r="N188" i="6"/>
  <c r="N166" i="6"/>
  <c r="N160" i="6"/>
  <c r="N185" i="6"/>
  <c r="N178" i="6"/>
  <c r="N174" i="6"/>
  <c r="N168" i="6"/>
  <c r="N186" i="6"/>
  <c r="N184" i="6"/>
  <c r="N165" i="6"/>
  <c r="N182" i="6"/>
  <c r="N176" i="6"/>
  <c r="N171" i="6"/>
  <c r="N170" i="6"/>
  <c r="E21" i="3"/>
  <c r="D8" i="3"/>
  <c r="Y16" i="6" l="1"/>
  <c r="Y19" i="6"/>
  <c r="Y11" i="6"/>
  <c r="Y6" i="6"/>
  <c r="Y12" i="6"/>
  <c r="Y7" i="6"/>
  <c r="Y14" i="6"/>
  <c r="Y22" i="6"/>
  <c r="Y13" i="6"/>
  <c r="Y9" i="6"/>
  <c r="Y18" i="6"/>
  <c r="Y10" i="6"/>
  <c r="Y15" i="6"/>
  <c r="Y23" i="6"/>
  <c r="Y17" i="6"/>
  <c r="Y21" i="6"/>
  <c r="Y20" i="6"/>
  <c r="Y8" i="6"/>
  <c r="F16" i="3"/>
  <c r="F17" i="3"/>
  <c r="F11" i="3"/>
  <c r="F19" i="3"/>
  <c r="F14" i="3"/>
  <c r="F18" i="3"/>
  <c r="F12" i="3"/>
  <c r="F13" i="3"/>
  <c r="F10" i="3"/>
  <c r="F15" i="3"/>
  <c r="F20" i="3"/>
  <c r="F9" i="3"/>
  <c r="N50" i="3"/>
  <c r="N51" i="3"/>
  <c r="N52" i="3"/>
  <c r="N53" i="3"/>
  <c r="N54" i="3"/>
  <c r="N55" i="3"/>
  <c r="N56" i="3"/>
  <c r="N57" i="3"/>
  <c r="N58" i="3"/>
  <c r="N59" i="3"/>
  <c r="N60" i="3"/>
  <c r="N49" i="3"/>
  <c r="M49" i="3"/>
  <c r="J50" i="3"/>
  <c r="J51" i="3"/>
  <c r="J52" i="3"/>
  <c r="J53" i="3"/>
  <c r="J54" i="3"/>
  <c r="J55" i="3"/>
  <c r="J56" i="3"/>
  <c r="J57" i="3"/>
  <c r="J58" i="3"/>
  <c r="J59" i="3"/>
  <c r="J60" i="3"/>
  <c r="J49" i="3"/>
  <c r="M50" i="3"/>
  <c r="M51" i="3"/>
  <c r="M52" i="3"/>
  <c r="M53" i="3"/>
  <c r="M54" i="3"/>
  <c r="M55" i="3"/>
  <c r="M56" i="3"/>
  <c r="M57" i="3"/>
  <c r="M58" i="3"/>
  <c r="M59" i="3"/>
  <c r="M60" i="3"/>
  <c r="I49" i="3" l="1"/>
  <c r="S5" i="3"/>
  <c r="R5" i="3"/>
  <c r="Q5" i="3"/>
  <c r="P5" i="3"/>
  <c r="O5" i="3"/>
  <c r="I60" i="3"/>
  <c r="I50" i="3"/>
  <c r="I51" i="3"/>
  <c r="I52" i="3"/>
  <c r="I53" i="3"/>
  <c r="I54" i="3"/>
  <c r="I55" i="3"/>
  <c r="I56" i="3"/>
  <c r="I57" i="3"/>
  <c r="I58" i="3"/>
  <c r="I59" i="3"/>
  <c r="D39" i="3" l="1"/>
  <c r="D38" i="3"/>
  <c r="D37" i="3"/>
  <c r="D36" i="3"/>
  <c r="E36" i="3" s="1"/>
  <c r="D35" i="3"/>
  <c r="D34" i="3"/>
  <c r="D33" i="3"/>
  <c r="D32" i="3"/>
  <c r="D31" i="3"/>
  <c r="D30" i="3"/>
  <c r="D29" i="3"/>
  <c r="E29" i="3" s="1"/>
  <c r="D28" i="3"/>
  <c r="E28" i="3" s="1"/>
  <c r="H21" i="3"/>
  <c r="G21" i="3"/>
  <c r="J20" i="3"/>
  <c r="D20" i="3"/>
  <c r="B16" i="6" s="1"/>
  <c r="J19" i="3"/>
  <c r="D19" i="3"/>
  <c r="B15" i="6" s="1"/>
  <c r="J18" i="3"/>
  <c r="D18" i="3"/>
  <c r="B14" i="6" s="1"/>
  <c r="J17" i="3"/>
  <c r="D17" i="3"/>
  <c r="B13" i="6" s="1"/>
  <c r="J16" i="3"/>
  <c r="D16" i="3"/>
  <c r="B12" i="6" s="1"/>
  <c r="J15" i="3"/>
  <c r="D15" i="3"/>
  <c r="B11" i="6" s="1"/>
  <c r="J14" i="3"/>
  <c r="D14" i="3"/>
  <c r="B10" i="6" s="1"/>
  <c r="J13" i="3"/>
  <c r="D13" i="3"/>
  <c r="B9" i="6" s="1"/>
  <c r="J12" i="3"/>
  <c r="D12" i="3"/>
  <c r="B8" i="6" s="1"/>
  <c r="J11" i="3"/>
  <c r="D11" i="3"/>
  <c r="B7" i="6" s="1"/>
  <c r="J10" i="3"/>
  <c r="D10" i="3"/>
  <c r="B6" i="6" s="1"/>
  <c r="I101" i="6" l="1"/>
  <c r="I109" i="6"/>
  <c r="I117" i="6"/>
  <c r="I125" i="6"/>
  <c r="I107" i="6"/>
  <c r="I102" i="6"/>
  <c r="I110" i="6"/>
  <c r="I118" i="6"/>
  <c r="I126" i="6"/>
  <c r="I99" i="6"/>
  <c r="I103" i="6"/>
  <c r="I111" i="6"/>
  <c r="I119" i="6"/>
  <c r="I127" i="6"/>
  <c r="I104" i="6"/>
  <c r="I112" i="6"/>
  <c r="I120" i="6"/>
  <c r="I98" i="6"/>
  <c r="I105" i="6"/>
  <c r="I113" i="6"/>
  <c r="I121" i="6"/>
  <c r="I123" i="6"/>
  <c r="I106" i="6"/>
  <c r="I114" i="6"/>
  <c r="I122" i="6"/>
  <c r="I100" i="6"/>
  <c r="I108" i="6"/>
  <c r="I116" i="6"/>
  <c r="I124" i="6"/>
  <c r="I115" i="6"/>
  <c r="I255" i="6"/>
  <c r="I263" i="6"/>
  <c r="I271" i="6"/>
  <c r="I279" i="6"/>
  <c r="I256" i="6"/>
  <c r="I264" i="6"/>
  <c r="I272" i="6"/>
  <c r="I280" i="6"/>
  <c r="I253" i="6"/>
  <c r="I269" i="6"/>
  <c r="I257" i="6"/>
  <c r="I265" i="6"/>
  <c r="I273" i="6"/>
  <c r="I251" i="6"/>
  <c r="I258" i="6"/>
  <c r="I266" i="6"/>
  <c r="I274" i="6"/>
  <c r="I259" i="6"/>
  <c r="I267" i="6"/>
  <c r="I275" i="6"/>
  <c r="I252" i="6"/>
  <c r="I260" i="6"/>
  <c r="I268" i="6"/>
  <c r="I276" i="6"/>
  <c r="I261" i="6"/>
  <c r="I277" i="6"/>
  <c r="I254" i="6"/>
  <c r="I262" i="6"/>
  <c r="I270" i="6"/>
  <c r="I278" i="6"/>
  <c r="I284" i="6"/>
  <c r="I292" i="6"/>
  <c r="I300" i="6"/>
  <c r="I308" i="6"/>
  <c r="I285" i="6"/>
  <c r="I293" i="6"/>
  <c r="I301" i="6"/>
  <c r="I309" i="6"/>
  <c r="I298" i="6"/>
  <c r="I286" i="6"/>
  <c r="I294" i="6"/>
  <c r="I302" i="6"/>
  <c r="I310" i="6"/>
  <c r="I287" i="6"/>
  <c r="I295" i="6"/>
  <c r="I303" i="6"/>
  <c r="I311" i="6"/>
  <c r="I288" i="6"/>
  <c r="I296" i="6"/>
  <c r="I304" i="6"/>
  <c r="I281" i="6"/>
  <c r="I282" i="6"/>
  <c r="I289" i="6"/>
  <c r="I297" i="6"/>
  <c r="I305" i="6"/>
  <c r="I290" i="6"/>
  <c r="I306" i="6"/>
  <c r="I283" i="6"/>
  <c r="I291" i="6"/>
  <c r="I299" i="6"/>
  <c r="I307" i="6"/>
  <c r="I226" i="6"/>
  <c r="I234" i="6"/>
  <c r="I242" i="6"/>
  <c r="I250" i="6"/>
  <c r="I224" i="6"/>
  <c r="I227" i="6"/>
  <c r="I235" i="6"/>
  <c r="I243" i="6"/>
  <c r="I220" i="6"/>
  <c r="I240" i="6"/>
  <c r="I228" i="6"/>
  <c r="I236" i="6"/>
  <c r="I244" i="6"/>
  <c r="I248" i="6"/>
  <c r="I221" i="6"/>
  <c r="I229" i="6"/>
  <c r="I237" i="6"/>
  <c r="I245" i="6"/>
  <c r="I222" i="6"/>
  <c r="I230" i="6"/>
  <c r="I238" i="6"/>
  <c r="I246" i="6"/>
  <c r="I223" i="6"/>
  <c r="I231" i="6"/>
  <c r="I239" i="6"/>
  <c r="I247" i="6"/>
  <c r="I225" i="6"/>
  <c r="I233" i="6"/>
  <c r="I241" i="6"/>
  <c r="I249" i="6"/>
  <c r="I232" i="6"/>
  <c r="I130" i="6"/>
  <c r="I138" i="6"/>
  <c r="I146" i="6"/>
  <c r="I154" i="6"/>
  <c r="I131" i="6"/>
  <c r="I139" i="6"/>
  <c r="I147" i="6"/>
  <c r="I155" i="6"/>
  <c r="I132" i="6"/>
  <c r="I140" i="6"/>
  <c r="I148" i="6"/>
  <c r="I156" i="6"/>
  <c r="I152" i="6"/>
  <c r="I133" i="6"/>
  <c r="I141" i="6"/>
  <c r="I149" i="6"/>
  <c r="I157" i="6"/>
  <c r="I136" i="6"/>
  <c r="I134" i="6"/>
  <c r="I142" i="6"/>
  <c r="I150" i="6"/>
  <c r="I158" i="6"/>
  <c r="I135" i="6"/>
  <c r="I143" i="6"/>
  <c r="I151" i="6"/>
  <c r="I128" i="6"/>
  <c r="I144" i="6"/>
  <c r="I129" i="6"/>
  <c r="I137" i="6"/>
  <c r="I145" i="6"/>
  <c r="I153" i="6"/>
  <c r="I45" i="6"/>
  <c r="I53" i="6"/>
  <c r="I61" i="6"/>
  <c r="I43" i="6"/>
  <c r="I46" i="6"/>
  <c r="I54" i="6"/>
  <c r="I62" i="6"/>
  <c r="I47" i="6"/>
  <c r="I55" i="6"/>
  <c r="I63" i="6"/>
  <c r="I40" i="6"/>
  <c r="I48" i="6"/>
  <c r="I56" i="6"/>
  <c r="I64" i="6"/>
  <c r="I39" i="6"/>
  <c r="I41" i="6"/>
  <c r="I49" i="6"/>
  <c r="I57" i="6"/>
  <c r="I65" i="6"/>
  <c r="I59" i="6"/>
  <c r="I42" i="6"/>
  <c r="I50" i="6"/>
  <c r="I58" i="6"/>
  <c r="I66" i="6"/>
  <c r="I44" i="6"/>
  <c r="I52" i="6"/>
  <c r="I60" i="6"/>
  <c r="I51" i="6"/>
  <c r="I350" i="6"/>
  <c r="I358" i="6"/>
  <c r="I366" i="6"/>
  <c r="I343" i="6"/>
  <c r="I351" i="6"/>
  <c r="I359" i="6"/>
  <c r="I367" i="6"/>
  <c r="I356" i="6"/>
  <c r="I344" i="6"/>
  <c r="I352" i="6"/>
  <c r="I360" i="6"/>
  <c r="I368" i="6"/>
  <c r="I364" i="6"/>
  <c r="I345" i="6"/>
  <c r="I353" i="6"/>
  <c r="I361" i="6"/>
  <c r="I369" i="6"/>
  <c r="I346" i="6"/>
  <c r="I354" i="6"/>
  <c r="I362" i="6"/>
  <c r="I370" i="6"/>
  <c r="I347" i="6"/>
  <c r="I355" i="6"/>
  <c r="I363" i="6"/>
  <c r="I371" i="6"/>
  <c r="I348" i="6"/>
  <c r="I349" i="6"/>
  <c r="I357" i="6"/>
  <c r="I365" i="6"/>
  <c r="I342" i="6"/>
  <c r="I372" i="6"/>
  <c r="I72" i="6"/>
  <c r="I80" i="6"/>
  <c r="I88" i="6"/>
  <c r="I96" i="6"/>
  <c r="I73" i="6"/>
  <c r="I81" i="6"/>
  <c r="I89" i="6"/>
  <c r="I97" i="6"/>
  <c r="I86" i="6"/>
  <c r="I74" i="6"/>
  <c r="I82" i="6"/>
  <c r="I90" i="6"/>
  <c r="I67" i="6"/>
  <c r="I94" i="6"/>
  <c r="I75" i="6"/>
  <c r="I83" i="6"/>
  <c r="I91" i="6"/>
  <c r="I70" i="6"/>
  <c r="I68" i="6"/>
  <c r="I76" i="6"/>
  <c r="I84" i="6"/>
  <c r="I92" i="6"/>
  <c r="I69" i="6"/>
  <c r="I77" i="6"/>
  <c r="I85" i="6"/>
  <c r="I93" i="6"/>
  <c r="I78" i="6"/>
  <c r="I71" i="6"/>
  <c r="I79" i="6"/>
  <c r="I87" i="6"/>
  <c r="I95" i="6"/>
  <c r="I196" i="6"/>
  <c r="I204" i="6"/>
  <c r="I212" i="6"/>
  <c r="I189" i="6"/>
  <c r="I197" i="6"/>
  <c r="I205" i="6"/>
  <c r="I213" i="6"/>
  <c r="I218" i="6"/>
  <c r="I190" i="6"/>
  <c r="I198" i="6"/>
  <c r="I206" i="6"/>
  <c r="I214" i="6"/>
  <c r="I191" i="6"/>
  <c r="I199" i="6"/>
  <c r="I207" i="6"/>
  <c r="I215" i="6"/>
  <c r="I210" i="6"/>
  <c r="I192" i="6"/>
  <c r="I200" i="6"/>
  <c r="I208" i="6"/>
  <c r="I216" i="6"/>
  <c r="I202" i="6"/>
  <c r="I193" i="6"/>
  <c r="I201" i="6"/>
  <c r="I209" i="6"/>
  <c r="I217" i="6"/>
  <c r="I194" i="6"/>
  <c r="I195" i="6"/>
  <c r="I203" i="6"/>
  <c r="I211" i="6"/>
  <c r="I219" i="6"/>
  <c r="I331" i="6"/>
  <c r="I339" i="6"/>
  <c r="I318" i="6"/>
  <c r="I326" i="6"/>
  <c r="I337" i="6"/>
  <c r="I332" i="6"/>
  <c r="I340" i="6"/>
  <c r="I319" i="6"/>
  <c r="I327" i="6"/>
  <c r="I316" i="6"/>
  <c r="I333" i="6"/>
  <c r="I341" i="6"/>
  <c r="I320" i="6"/>
  <c r="I328" i="6"/>
  <c r="I334" i="6"/>
  <c r="I313" i="6"/>
  <c r="I321" i="6"/>
  <c r="I329" i="6"/>
  <c r="I324" i="6"/>
  <c r="I335" i="6"/>
  <c r="I314" i="6"/>
  <c r="I322" i="6"/>
  <c r="I330" i="6"/>
  <c r="I336" i="6"/>
  <c r="I315" i="6"/>
  <c r="I323" i="6"/>
  <c r="I312" i="6"/>
  <c r="I338" i="6"/>
  <c r="I317" i="6"/>
  <c r="I325" i="6"/>
  <c r="I167" i="6"/>
  <c r="I175" i="6"/>
  <c r="I183" i="6"/>
  <c r="I173" i="6"/>
  <c r="I160" i="6"/>
  <c r="I168" i="6"/>
  <c r="I176" i="6"/>
  <c r="I184" i="6"/>
  <c r="I161" i="6"/>
  <c r="I169" i="6"/>
  <c r="I177" i="6"/>
  <c r="I185" i="6"/>
  <c r="I162" i="6"/>
  <c r="I170" i="6"/>
  <c r="I178" i="6"/>
  <c r="I186" i="6"/>
  <c r="I163" i="6"/>
  <c r="I171" i="6"/>
  <c r="I179" i="6"/>
  <c r="I187" i="6"/>
  <c r="I159" i="6"/>
  <c r="I164" i="6"/>
  <c r="I172" i="6"/>
  <c r="I180" i="6"/>
  <c r="I188" i="6"/>
  <c r="I165" i="6"/>
  <c r="I166" i="6"/>
  <c r="I174" i="6"/>
  <c r="I182" i="6"/>
  <c r="I181" i="6"/>
  <c r="F28" i="3"/>
  <c r="U7" i="3"/>
  <c r="F36" i="3"/>
  <c r="U15" i="3"/>
  <c r="V59" i="3" s="1"/>
  <c r="F29" i="3"/>
  <c r="U8" i="3"/>
  <c r="I13" i="3"/>
  <c r="K13" i="3" s="1"/>
  <c r="T11" i="3" s="1"/>
  <c r="C8" i="5" s="1"/>
  <c r="I18" i="3"/>
  <c r="K18" i="3" s="1"/>
  <c r="T16" i="3" s="1"/>
  <c r="C13" i="5" s="1"/>
  <c r="I16" i="3"/>
  <c r="K16" i="3" s="1"/>
  <c r="T14" i="3" s="1"/>
  <c r="C11" i="5" s="1"/>
  <c r="I19" i="3"/>
  <c r="K19" i="3" s="1"/>
  <c r="T17" i="3" s="1"/>
  <c r="C14" i="5" s="1"/>
  <c r="I17" i="3"/>
  <c r="K17" i="3" s="1"/>
  <c r="T15" i="3" s="1"/>
  <c r="C12" i="5" s="1"/>
  <c r="I11" i="3"/>
  <c r="K11" i="3" s="1"/>
  <c r="T9" i="3" s="1"/>
  <c r="C6" i="5" s="1"/>
  <c r="I14" i="3"/>
  <c r="K14" i="3" s="1"/>
  <c r="T12" i="3" s="1"/>
  <c r="C9" i="5" s="1"/>
  <c r="I15" i="3"/>
  <c r="K15" i="3" s="1"/>
  <c r="T13" i="3" s="1"/>
  <c r="C10" i="5" s="1"/>
  <c r="I20" i="3"/>
  <c r="K20" i="3" s="1"/>
  <c r="T18" i="3" s="1"/>
  <c r="C15" i="5" s="1"/>
  <c r="I12" i="3"/>
  <c r="K12" i="3" s="1"/>
  <c r="T10" i="3" s="1"/>
  <c r="C7" i="5" s="1"/>
  <c r="I10" i="3"/>
  <c r="K10" i="3" s="1"/>
  <c r="T8" i="3" s="1"/>
  <c r="C5" i="5" s="1"/>
  <c r="E31" i="3"/>
  <c r="E32" i="3"/>
  <c r="E33" i="3"/>
  <c r="E37" i="3"/>
  <c r="C21" i="3"/>
  <c r="D9" i="3"/>
  <c r="B5" i="6" s="1"/>
  <c r="E35" i="3"/>
  <c r="E39" i="3"/>
  <c r="J9" i="3"/>
  <c r="E30" i="3"/>
  <c r="E38" i="3"/>
  <c r="E34" i="3"/>
  <c r="I8" i="6" l="1"/>
  <c r="I10" i="6"/>
  <c r="I18" i="6"/>
  <c r="I26" i="6"/>
  <c r="I34" i="6"/>
  <c r="I32" i="6"/>
  <c r="I11" i="6"/>
  <c r="I19" i="6"/>
  <c r="I27" i="6"/>
  <c r="I35" i="6"/>
  <c r="I24" i="6"/>
  <c r="I12" i="6"/>
  <c r="I20" i="6"/>
  <c r="I28" i="6"/>
  <c r="I36" i="6"/>
  <c r="I13" i="6"/>
  <c r="I21" i="6"/>
  <c r="I29" i="6"/>
  <c r="I37" i="6"/>
  <c r="I14" i="6"/>
  <c r="I22" i="6"/>
  <c r="I30" i="6"/>
  <c r="I38" i="6"/>
  <c r="I15" i="6"/>
  <c r="I23" i="6"/>
  <c r="I31" i="6"/>
  <c r="I16" i="6"/>
  <c r="I9" i="6"/>
  <c r="I17" i="6"/>
  <c r="I25" i="6"/>
  <c r="I33" i="6"/>
  <c r="O7" i="3"/>
  <c r="P63" i="3" s="1"/>
  <c r="V52" i="3"/>
  <c r="V64" i="3"/>
  <c r="V63" i="3"/>
  <c r="V51" i="3"/>
  <c r="F31" i="3"/>
  <c r="U10" i="3"/>
  <c r="V54" i="3" s="1"/>
  <c r="F34" i="3"/>
  <c r="U13" i="3"/>
  <c r="V57" i="3" s="1"/>
  <c r="F37" i="3"/>
  <c r="U16" i="3"/>
  <c r="F35" i="3"/>
  <c r="U14" i="3"/>
  <c r="V58" i="3" s="1"/>
  <c r="F38" i="3"/>
  <c r="U17" i="3"/>
  <c r="F33" i="3"/>
  <c r="U12" i="3"/>
  <c r="V56" i="3" s="1"/>
  <c r="F39" i="3"/>
  <c r="U18" i="3"/>
  <c r="F30" i="3"/>
  <c r="U9" i="3"/>
  <c r="F32" i="3"/>
  <c r="U11" i="3"/>
  <c r="V55" i="3" s="1"/>
  <c r="L19" i="3"/>
  <c r="L10" i="3"/>
  <c r="L12" i="3"/>
  <c r="L14" i="3"/>
  <c r="L16" i="3"/>
  <c r="J21" i="3"/>
  <c r="L20" i="3"/>
  <c r="L11" i="3"/>
  <c r="L18" i="3"/>
  <c r="L15" i="3"/>
  <c r="D21" i="3"/>
  <c r="L17" i="3"/>
  <c r="L13" i="3"/>
  <c r="E40" i="3"/>
  <c r="I9" i="3"/>
  <c r="I21" i="3" s="1"/>
  <c r="J8" i="6" l="1"/>
  <c r="P51" i="3"/>
  <c r="V60" i="3"/>
  <c r="V48" i="3"/>
  <c r="V62" i="3"/>
  <c r="V50" i="3"/>
  <c r="V61" i="3"/>
  <c r="V49" i="3"/>
  <c r="V53" i="3"/>
  <c r="V65" i="3"/>
  <c r="F21" i="3"/>
  <c r="K9" i="3"/>
  <c r="T7" i="3" s="1"/>
  <c r="C4" i="5" s="1"/>
  <c r="J9" i="6" l="1"/>
  <c r="K9" i="6"/>
  <c r="L9" i="6" s="1"/>
  <c r="K21" i="3"/>
  <c r="L9" i="3"/>
  <c r="L21" i="3" s="1"/>
  <c r="R11" i="3"/>
  <c r="R14" i="3"/>
  <c r="R17" i="3"/>
  <c r="S49" i="3" s="1"/>
  <c r="R18" i="3"/>
  <c r="S50" i="3" s="1"/>
  <c r="R12" i="3"/>
  <c r="R7" i="3"/>
  <c r="R8" i="3"/>
  <c r="S64" i="3" s="1"/>
  <c r="R15" i="3"/>
  <c r="R16" i="3"/>
  <c r="S48" i="3" s="1"/>
  <c r="R13" i="3"/>
  <c r="R10" i="3"/>
  <c r="R9" i="3"/>
  <c r="S65" i="3" s="1"/>
  <c r="O16" i="3"/>
  <c r="O15" i="3"/>
  <c r="P59" i="3" s="1"/>
  <c r="O14" i="3"/>
  <c r="P58" i="3" s="1"/>
  <c r="O17" i="3"/>
  <c r="O11" i="3"/>
  <c r="P55" i="3" s="1"/>
  <c r="O10" i="3"/>
  <c r="P54" i="3" s="1"/>
  <c r="O8" i="3"/>
  <c r="O9" i="3"/>
  <c r="O18" i="3"/>
  <c r="O13" i="3"/>
  <c r="P57" i="3" s="1"/>
  <c r="O12" i="3"/>
  <c r="P56" i="3" s="1"/>
  <c r="Q17" i="3"/>
  <c r="Q8" i="3"/>
  <c r="Q18" i="3"/>
  <c r="Q14" i="3"/>
  <c r="R58" i="3" s="1"/>
  <c r="Q9" i="3"/>
  <c r="Q15" i="3"/>
  <c r="R59" i="3" s="1"/>
  <c r="Q7" i="3"/>
  <c r="Q16" i="3"/>
  <c r="Q10" i="3"/>
  <c r="R54" i="3" s="1"/>
  <c r="Q13" i="3"/>
  <c r="R57" i="3" s="1"/>
  <c r="Q12" i="3"/>
  <c r="R56" i="3" s="1"/>
  <c r="Q11" i="3"/>
  <c r="R55" i="3" s="1"/>
  <c r="P16" i="3"/>
  <c r="P9" i="3"/>
  <c r="P13" i="3"/>
  <c r="Q57" i="3" s="1"/>
  <c r="P8" i="3"/>
  <c r="P15" i="3"/>
  <c r="Q59" i="3" s="1"/>
  <c r="P14" i="3"/>
  <c r="Q58" i="3" s="1"/>
  <c r="P18" i="3"/>
  <c r="P17" i="3"/>
  <c r="P10" i="3"/>
  <c r="Q54" i="3" s="1"/>
  <c r="P12" i="3"/>
  <c r="Q56" i="3" s="1"/>
  <c r="P11" i="3"/>
  <c r="Q55" i="3" s="1"/>
  <c r="P7" i="3"/>
  <c r="S10" i="3"/>
  <c r="S15" i="3"/>
  <c r="S12" i="3"/>
  <c r="S18" i="3"/>
  <c r="D15" i="5" s="1"/>
  <c r="C30" i="5" s="1"/>
  <c r="S16" i="3"/>
  <c r="D13" i="5" s="1"/>
  <c r="C28" i="5" s="1"/>
  <c r="S9" i="3"/>
  <c r="D6" i="5" s="1"/>
  <c r="C21" i="5" s="1"/>
  <c r="S11" i="3"/>
  <c r="S8" i="3"/>
  <c r="D5" i="5" s="1"/>
  <c r="C20" i="5" s="1"/>
  <c r="S17" i="3"/>
  <c r="D14" i="5" s="1"/>
  <c r="C29" i="5" s="1"/>
  <c r="S7" i="3"/>
  <c r="D4" i="5" s="1"/>
  <c r="C19" i="5" s="1"/>
  <c r="S14" i="3"/>
  <c r="S13" i="3"/>
  <c r="U9" i="6" l="1"/>
  <c r="Q9" i="6"/>
  <c r="S9" i="6" s="1"/>
  <c r="P9" i="6"/>
  <c r="J10" i="6"/>
  <c r="K10" i="6"/>
  <c r="L10" i="6" s="1"/>
  <c r="U10" i="6" s="1"/>
  <c r="E14" i="5"/>
  <c r="E6" i="5"/>
  <c r="E5" i="5"/>
  <c r="E13" i="5"/>
  <c r="E15" i="5"/>
  <c r="E4" i="5"/>
  <c r="T57" i="3"/>
  <c r="D10" i="5"/>
  <c r="C25" i="5" s="1"/>
  <c r="T58" i="3"/>
  <c r="D11" i="5"/>
  <c r="C26" i="5" s="1"/>
  <c r="T56" i="3"/>
  <c r="D9" i="5"/>
  <c r="C24" i="5" s="1"/>
  <c r="T59" i="3"/>
  <c r="D12" i="5"/>
  <c r="C27" i="5" s="1"/>
  <c r="T54" i="3"/>
  <c r="D7" i="5"/>
  <c r="C22" i="5" s="1"/>
  <c r="T55" i="3"/>
  <c r="D8" i="5"/>
  <c r="C23" i="5" s="1"/>
  <c r="R53" i="3"/>
  <c r="R65" i="3"/>
  <c r="R62" i="3"/>
  <c r="R50" i="3"/>
  <c r="R52" i="3"/>
  <c r="R64" i="3"/>
  <c r="R61" i="3"/>
  <c r="R49" i="3"/>
  <c r="R60" i="3"/>
  <c r="R48" i="3"/>
  <c r="T53" i="3"/>
  <c r="T65" i="3"/>
  <c r="T60" i="3"/>
  <c r="T48" i="3"/>
  <c r="T62" i="3"/>
  <c r="T50" i="3"/>
  <c r="T61" i="3"/>
  <c r="T49" i="3"/>
  <c r="T52" i="3"/>
  <c r="T64" i="3"/>
  <c r="Q61" i="3"/>
  <c r="Q49" i="3"/>
  <c r="Q60" i="3"/>
  <c r="Q48" i="3"/>
  <c r="Q62" i="3"/>
  <c r="Q50" i="3"/>
  <c r="P62" i="3"/>
  <c r="P50" i="3"/>
  <c r="P60" i="3"/>
  <c r="P48" i="3"/>
  <c r="P61" i="3"/>
  <c r="P49" i="3"/>
  <c r="P64" i="3"/>
  <c r="P52" i="3"/>
  <c r="S54" i="3"/>
  <c r="U54" i="3"/>
  <c r="S61" i="3"/>
  <c r="S53" i="3"/>
  <c r="S57" i="3"/>
  <c r="U57" i="3"/>
  <c r="S58" i="3"/>
  <c r="U58" i="3"/>
  <c r="S60" i="3"/>
  <c r="S55" i="3"/>
  <c r="U55" i="3"/>
  <c r="P65" i="3"/>
  <c r="P53" i="3"/>
  <c r="S59" i="3"/>
  <c r="U59" i="3"/>
  <c r="S62" i="3"/>
  <c r="Q64" i="3"/>
  <c r="Q52" i="3"/>
  <c r="S52" i="3"/>
  <c r="T63" i="3"/>
  <c r="T51" i="3"/>
  <c r="Q51" i="3"/>
  <c r="Q63" i="3"/>
  <c r="R63" i="3"/>
  <c r="R51" i="3"/>
  <c r="S51" i="3"/>
  <c r="S63" i="3"/>
  <c r="Q53" i="3"/>
  <c r="Q65" i="3"/>
  <c r="S56" i="3"/>
  <c r="U56" i="3"/>
  <c r="Q10" i="6" l="1"/>
  <c r="S10" i="6" s="1"/>
  <c r="P10" i="6"/>
  <c r="J11" i="6"/>
  <c r="K11" i="6"/>
  <c r="L11" i="6" s="1"/>
  <c r="Q11" i="6" s="1"/>
  <c r="S11" i="6" s="1"/>
  <c r="E7" i="5"/>
  <c r="E12" i="5"/>
  <c r="H5" i="5"/>
  <c r="G5" i="5"/>
  <c r="E9" i="5"/>
  <c r="G6" i="5"/>
  <c r="H6" i="5"/>
  <c r="H13" i="5"/>
  <c r="G13" i="5"/>
  <c r="G4" i="5"/>
  <c r="H4" i="5"/>
  <c r="E10" i="5"/>
  <c r="E8" i="5"/>
  <c r="E11" i="5"/>
  <c r="H15" i="5"/>
  <c r="G15" i="5"/>
  <c r="G14" i="5"/>
  <c r="H14" i="5"/>
  <c r="U60" i="3"/>
  <c r="U48" i="3"/>
  <c r="U53" i="3"/>
  <c r="U65" i="3"/>
  <c r="U62" i="3"/>
  <c r="U50" i="3"/>
  <c r="U61" i="3"/>
  <c r="U49" i="3"/>
  <c r="U52" i="3"/>
  <c r="U64" i="3"/>
  <c r="U63" i="3"/>
  <c r="U51" i="3"/>
  <c r="U11" i="6" l="1"/>
  <c r="P11" i="6"/>
  <c r="J12" i="6"/>
  <c r="K12" i="6"/>
  <c r="L12" i="6" s="1"/>
  <c r="Q12" i="6" s="1"/>
  <c r="S12" i="6" s="1"/>
  <c r="E23" i="5"/>
  <c r="G23" i="5" s="1"/>
  <c r="G11" i="5"/>
  <c r="H11" i="5"/>
  <c r="G8" i="5"/>
  <c r="H8" i="5"/>
  <c r="C32" i="5"/>
  <c r="H12" i="5"/>
  <c r="G12" i="5"/>
  <c r="G7" i="5"/>
  <c r="H7" i="5"/>
  <c r="G10" i="5"/>
  <c r="H10" i="5"/>
  <c r="G9" i="5"/>
  <c r="H9" i="5"/>
  <c r="P12" i="6" l="1"/>
  <c r="U12" i="6"/>
  <c r="J13" i="6"/>
  <c r="K13" i="6"/>
  <c r="L13" i="6" s="1"/>
  <c r="Q13" i="6" s="1"/>
  <c r="S13" i="6" s="1"/>
  <c r="H2" i="2"/>
  <c r="E24" i="5"/>
  <c r="C33" i="5"/>
  <c r="U13" i="6" l="1"/>
  <c r="P13" i="6"/>
  <c r="J14" i="6"/>
  <c r="K14" i="6"/>
  <c r="L14" i="6" s="1"/>
  <c r="G24" i="5"/>
  <c r="E19" i="5"/>
  <c r="P14" i="6" l="1"/>
  <c r="Q14" i="6"/>
  <c r="S14" i="6" s="1"/>
  <c r="J15" i="6"/>
  <c r="K15" i="6"/>
  <c r="L15" i="6" s="1"/>
  <c r="U15" i="6" s="1"/>
  <c r="U14" i="6"/>
  <c r="E20" i="5"/>
  <c r="G19" i="5"/>
  <c r="H20" i="5" s="1"/>
  <c r="Q15" i="6" l="1"/>
  <c r="S15" i="6" s="1"/>
  <c r="P15" i="6"/>
  <c r="J16" i="6"/>
  <c r="K16" i="6"/>
  <c r="L16" i="6" s="1"/>
  <c r="Q16" i="6" s="1"/>
  <c r="S16" i="6" s="1"/>
  <c r="E21" i="5"/>
  <c r="E27" i="5"/>
  <c r="G20" i="5"/>
  <c r="H21" i="5" s="1"/>
  <c r="U16" i="6" l="1"/>
  <c r="P16" i="6"/>
  <c r="K17" i="6"/>
  <c r="L17" i="6" s="1"/>
  <c r="Q17" i="6" s="1"/>
  <c r="S17" i="6" s="1"/>
  <c r="J17" i="6"/>
  <c r="G21" i="5"/>
  <c r="H22" i="5" s="1"/>
  <c r="E22" i="5"/>
  <c r="P17" i="6" l="1"/>
  <c r="U17" i="6"/>
  <c r="J18" i="6"/>
  <c r="K18" i="6"/>
  <c r="L18" i="6" s="1"/>
  <c r="E25" i="5"/>
  <c r="G22" i="5"/>
  <c r="H23" i="5" s="1"/>
  <c r="H24" i="5" s="1"/>
  <c r="H25" i="5" s="1"/>
  <c r="G27" i="5"/>
  <c r="P18" i="6" l="1"/>
  <c r="U18" i="6"/>
  <c r="Q18" i="6"/>
  <c r="S18" i="6" s="1"/>
  <c r="J19" i="6"/>
  <c r="K19" i="6"/>
  <c r="L19" i="6" s="1"/>
  <c r="P19" i="6" s="1"/>
  <c r="G25" i="5"/>
  <c r="H26" i="5" s="1"/>
  <c r="E26" i="5"/>
  <c r="E28" i="5" s="1"/>
  <c r="U19" i="6" l="1"/>
  <c r="Q19" i="6"/>
  <c r="S19" i="6" s="1"/>
  <c r="J20" i="6"/>
  <c r="K20" i="6"/>
  <c r="L20" i="6" s="1"/>
  <c r="Q20" i="6" s="1"/>
  <c r="S20" i="6" s="1"/>
  <c r="G26" i="5"/>
  <c r="H27" i="5" s="1"/>
  <c r="H28" i="5" s="1"/>
  <c r="G28" i="5" s="1"/>
  <c r="H29" i="5" s="1"/>
  <c r="E29" i="5"/>
  <c r="E30" i="5" s="1"/>
  <c r="U20" i="6" l="1"/>
  <c r="P20" i="6"/>
  <c r="J21" i="6"/>
  <c r="K21" i="6"/>
  <c r="L21" i="6" s="1"/>
  <c r="U21" i="6" s="1"/>
  <c r="G29" i="5"/>
  <c r="H30" i="5" s="1"/>
  <c r="G30" i="5" s="1"/>
  <c r="H31" i="5" s="1"/>
  <c r="H32" i="5" s="1"/>
  <c r="H33" i="5" s="1"/>
  <c r="Q21" i="6" l="1"/>
  <c r="S21" i="6" s="1"/>
  <c r="P21" i="6"/>
  <c r="J22" i="6"/>
  <c r="K22" i="6"/>
  <c r="L22" i="6" s="1"/>
  <c r="U22" i="6" s="1"/>
  <c r="Q22" i="6" l="1"/>
  <c r="S22" i="6" s="1"/>
  <c r="J23" i="6"/>
  <c r="K23" i="6"/>
  <c r="L23" i="6" s="1"/>
  <c r="Q23" i="6" s="1"/>
  <c r="S23" i="6" s="1"/>
  <c r="P22" i="6"/>
  <c r="P23" i="6" l="1"/>
  <c r="U23" i="6"/>
  <c r="J24" i="6"/>
  <c r="K24" i="6"/>
  <c r="L24" i="6" s="1"/>
  <c r="Q24" i="6" s="1"/>
  <c r="S24" i="6" s="1"/>
  <c r="P24" i="6" l="1"/>
  <c r="U24" i="6"/>
  <c r="J25" i="6"/>
  <c r="K25" i="6"/>
  <c r="L25" i="6" s="1"/>
  <c r="P25" i="6" l="1"/>
  <c r="Q25" i="6"/>
  <c r="S25" i="6" s="1"/>
  <c r="K26" i="6"/>
  <c r="L26" i="6" s="1"/>
  <c r="Q26" i="6" s="1"/>
  <c r="S26" i="6" s="1"/>
  <c r="J26" i="6"/>
  <c r="U25" i="6"/>
  <c r="P26" i="6" l="1"/>
  <c r="U26" i="6"/>
  <c r="J27" i="6"/>
  <c r="K27" i="6"/>
  <c r="L27" i="6" s="1"/>
  <c r="P27" i="6" l="1"/>
  <c r="Q27" i="6"/>
  <c r="S27" i="6" s="1"/>
  <c r="J28" i="6"/>
  <c r="K28" i="6"/>
  <c r="L28" i="6" s="1"/>
  <c r="Q28" i="6" s="1"/>
  <c r="S28" i="6" s="1"/>
  <c r="U27" i="6"/>
  <c r="U28" i="6" l="1"/>
  <c r="P28" i="6"/>
  <c r="J29" i="6"/>
  <c r="K29" i="6"/>
  <c r="L29" i="6" s="1"/>
  <c r="Q29" i="6" s="1"/>
  <c r="S29" i="6" s="1"/>
  <c r="P29" i="6" l="1"/>
  <c r="U29" i="6"/>
  <c r="J30" i="6"/>
  <c r="K30" i="6"/>
  <c r="L30" i="6" s="1"/>
  <c r="P30" i="6" l="1"/>
  <c r="Q30" i="6"/>
  <c r="S30" i="6" s="1"/>
  <c r="K31" i="6"/>
  <c r="L31" i="6" s="1"/>
  <c r="J31" i="6"/>
  <c r="U30" i="6"/>
  <c r="P31" i="6" l="1"/>
  <c r="U31" i="6"/>
  <c r="Q31" i="6"/>
  <c r="S31" i="6" s="1"/>
  <c r="J32" i="6"/>
  <c r="K32" i="6"/>
  <c r="L32" i="6" s="1"/>
  <c r="Q32" i="6" s="1"/>
  <c r="S32" i="6" s="1"/>
  <c r="P32" i="6" l="1"/>
  <c r="U32" i="6"/>
  <c r="J33" i="6"/>
  <c r="K33" i="6"/>
  <c r="L33" i="6" s="1"/>
  <c r="Q33" i="6" s="1"/>
  <c r="S33" i="6" s="1"/>
  <c r="P33" i="6" l="1"/>
  <c r="U33" i="6"/>
  <c r="K34" i="6"/>
  <c r="L34" i="6" s="1"/>
  <c r="J34" i="6"/>
  <c r="P34" i="6" l="1"/>
  <c r="U34" i="6"/>
  <c r="J35" i="6"/>
  <c r="K35" i="6"/>
  <c r="L35" i="6" s="1"/>
  <c r="Q34" i="6"/>
  <c r="S34" i="6" s="1"/>
  <c r="P35" i="6" l="1"/>
  <c r="U35" i="6"/>
  <c r="K36" i="6"/>
  <c r="L36" i="6" s="1"/>
  <c r="Q36" i="6" s="1"/>
  <c r="S36" i="6" s="1"/>
  <c r="J36" i="6"/>
  <c r="Q35" i="6"/>
  <c r="S35" i="6" s="1"/>
  <c r="P36" i="6" l="1"/>
  <c r="U36" i="6"/>
  <c r="J37" i="6"/>
  <c r="K37" i="6"/>
  <c r="L37" i="6" s="1"/>
  <c r="P37" i="6" s="1"/>
  <c r="Q37" i="6" l="1"/>
  <c r="S37" i="6" s="1"/>
  <c r="U37" i="6"/>
  <c r="J38" i="6"/>
  <c r="K38" i="6"/>
  <c r="L38" i="6" s="1"/>
  <c r="U38" i="6" s="1"/>
  <c r="Q38" i="6" l="1"/>
  <c r="S38" i="6" s="1"/>
  <c r="P38" i="6"/>
  <c r="J39" i="6"/>
  <c r="K39" i="6"/>
  <c r="L39" i="6" s="1"/>
  <c r="Q39" i="6" s="1"/>
  <c r="S39" i="6" s="1"/>
  <c r="P39" i="6" l="1"/>
  <c r="U39" i="6"/>
  <c r="K40" i="6"/>
  <c r="L40" i="6" s="1"/>
  <c r="Q40" i="6" s="1"/>
  <c r="S40" i="6" s="1"/>
  <c r="J40" i="6"/>
  <c r="P40" i="6" l="1"/>
  <c r="U40" i="6"/>
  <c r="J41" i="6"/>
  <c r="K41" i="6"/>
  <c r="L41" i="6" s="1"/>
  <c r="Q41" i="6" s="1"/>
  <c r="S41" i="6" s="1"/>
  <c r="U41" i="6" l="1"/>
  <c r="P41" i="6"/>
  <c r="J42" i="6"/>
  <c r="K42" i="6"/>
  <c r="L42" i="6" s="1"/>
  <c r="Q42" i="6" s="1"/>
  <c r="S42" i="6" s="1"/>
  <c r="P42" i="6" l="1"/>
  <c r="U42" i="6"/>
  <c r="J43" i="6"/>
  <c r="K43" i="6"/>
  <c r="L43" i="6" s="1"/>
  <c r="Q43" i="6" s="1"/>
  <c r="S43" i="6" s="1"/>
  <c r="P43" i="6" l="1"/>
  <c r="U43" i="6"/>
  <c r="J44" i="6"/>
  <c r="K44" i="6"/>
  <c r="L44" i="6" s="1"/>
  <c r="Q44" i="6" s="1"/>
  <c r="S44" i="6" s="1"/>
  <c r="P44" i="6" l="1"/>
  <c r="U44" i="6"/>
  <c r="K45" i="6"/>
  <c r="L45" i="6" s="1"/>
  <c r="U45" i="6" s="1"/>
  <c r="J45" i="6"/>
  <c r="Q45" i="6" l="1"/>
  <c r="S45" i="6" s="1"/>
  <c r="P45" i="6"/>
  <c r="J46" i="6"/>
  <c r="K46" i="6"/>
  <c r="L46" i="6" s="1"/>
  <c r="Q46" i="6" s="1"/>
  <c r="S46" i="6" s="1"/>
  <c r="U46" i="6" l="1"/>
  <c r="P46" i="6"/>
  <c r="J47" i="6"/>
  <c r="K47" i="6"/>
  <c r="L47" i="6" s="1"/>
  <c r="Q47" i="6" s="1"/>
  <c r="S47" i="6" s="1"/>
  <c r="P47" i="6" l="1"/>
  <c r="U47" i="6"/>
  <c r="J48" i="6"/>
  <c r="K48" i="6"/>
  <c r="L48" i="6" s="1"/>
  <c r="Q48" i="6" s="1"/>
  <c r="S48" i="6" s="1"/>
  <c r="P48" i="6" l="1"/>
  <c r="U48" i="6"/>
  <c r="K49" i="6"/>
  <c r="L49" i="6" s="1"/>
  <c r="Q49" i="6" s="1"/>
  <c r="S49" i="6" s="1"/>
  <c r="J49" i="6"/>
  <c r="P49" i="6" l="1"/>
  <c r="U49" i="6"/>
  <c r="J50" i="6"/>
  <c r="K50" i="6"/>
  <c r="L50" i="6" s="1"/>
  <c r="P50" i="6" l="1"/>
  <c r="U50" i="6"/>
  <c r="Q50" i="6"/>
  <c r="S50" i="6" s="1"/>
  <c r="J51" i="6"/>
  <c r="K51" i="6"/>
  <c r="L51" i="6" s="1"/>
  <c r="P51" i="6" s="1"/>
  <c r="U51" i="6" l="1"/>
  <c r="Q51" i="6"/>
  <c r="S51" i="6" s="1"/>
  <c r="J52" i="6"/>
  <c r="K52" i="6"/>
  <c r="L52" i="6" s="1"/>
  <c r="Q52" i="6" s="1"/>
  <c r="S52" i="6" s="1"/>
  <c r="P52" i="6" l="1"/>
  <c r="U52" i="6"/>
  <c r="K53" i="6"/>
  <c r="L53" i="6" s="1"/>
  <c r="J53" i="6"/>
  <c r="P53" i="6" l="1"/>
  <c r="U53" i="6"/>
  <c r="Q53" i="6"/>
  <c r="S53" i="6" s="1"/>
  <c r="K54" i="6"/>
  <c r="L54" i="6" s="1"/>
  <c r="Q54" i="6" s="1"/>
  <c r="S54" i="6" s="1"/>
  <c r="J54" i="6"/>
  <c r="P54" i="6" l="1"/>
  <c r="U54" i="6"/>
  <c r="J55" i="6"/>
  <c r="K55" i="6"/>
  <c r="L55" i="6" s="1"/>
  <c r="Q55" i="6" s="1"/>
  <c r="S55" i="6" s="1"/>
  <c r="U55" i="6" l="1"/>
  <c r="P55" i="6"/>
  <c r="K56" i="6"/>
  <c r="L56" i="6" s="1"/>
  <c r="P56" i="6" s="1"/>
  <c r="J56" i="6"/>
  <c r="U56" i="6" l="1"/>
  <c r="J57" i="6"/>
  <c r="K57" i="6"/>
  <c r="L57" i="6" s="1"/>
  <c r="Q57" i="6" s="1"/>
  <c r="S57" i="6" s="1"/>
  <c r="Q56" i="6"/>
  <c r="S56" i="6" s="1"/>
  <c r="U57" i="6" l="1"/>
  <c r="P57" i="6"/>
  <c r="J58" i="6"/>
  <c r="K58" i="6"/>
  <c r="L58" i="6" s="1"/>
  <c r="P58" i="6" l="1"/>
  <c r="U58" i="6"/>
  <c r="Q58" i="6"/>
  <c r="S58" i="6" s="1"/>
  <c r="K59" i="6"/>
  <c r="L59" i="6" s="1"/>
  <c r="U59" i="6" s="1"/>
  <c r="J59" i="6"/>
  <c r="Q59" i="6" l="1"/>
  <c r="S59" i="6" s="1"/>
  <c r="P59" i="6"/>
  <c r="K60" i="6"/>
  <c r="L60" i="6" s="1"/>
  <c r="U60" i="6" s="1"/>
  <c r="J60" i="6"/>
  <c r="Q60" i="6" l="1"/>
  <c r="S60" i="6" s="1"/>
  <c r="P60" i="6"/>
  <c r="J61" i="6"/>
  <c r="K61" i="6"/>
  <c r="L61" i="6" s="1"/>
  <c r="Q61" i="6" s="1"/>
  <c r="S61" i="6" s="1"/>
  <c r="P61" i="6" l="1"/>
  <c r="U61" i="6"/>
  <c r="K62" i="6"/>
  <c r="L62" i="6" s="1"/>
  <c r="Q62" i="6" s="1"/>
  <c r="S62" i="6" s="1"/>
  <c r="J62" i="6"/>
  <c r="P62" i="6" l="1"/>
  <c r="U62" i="6"/>
  <c r="J63" i="6"/>
  <c r="K63" i="6"/>
  <c r="L63" i="6" s="1"/>
  <c r="Q63" i="6" s="1"/>
  <c r="S63" i="6" s="1"/>
  <c r="P63" i="6" l="1"/>
  <c r="U63" i="6"/>
  <c r="K64" i="6"/>
  <c r="L64" i="6" s="1"/>
  <c r="P64" i="6" s="1"/>
  <c r="J64" i="6"/>
  <c r="Q64" i="6" l="1"/>
  <c r="S64" i="6" s="1"/>
  <c r="U64" i="6"/>
  <c r="K65" i="6"/>
  <c r="L65" i="6" s="1"/>
  <c r="U65" i="6" s="1"/>
  <c r="J65" i="6"/>
  <c r="Q65" i="6" l="1"/>
  <c r="S65" i="6" s="1"/>
  <c r="P65" i="6"/>
  <c r="J66" i="6"/>
  <c r="K66" i="6"/>
  <c r="L66" i="6" s="1"/>
  <c r="Q66" i="6" s="1"/>
  <c r="S66" i="6" s="1"/>
  <c r="P66" i="6" l="1"/>
  <c r="U66" i="6"/>
  <c r="J67" i="6"/>
  <c r="K67" i="6"/>
  <c r="L67" i="6" s="1"/>
  <c r="Q67" i="6" s="1"/>
  <c r="S67" i="6" s="1"/>
  <c r="P67" i="6" l="1"/>
  <c r="U67" i="6"/>
  <c r="J68" i="6"/>
  <c r="K68" i="6"/>
  <c r="L68" i="6" s="1"/>
  <c r="Q68" i="6" s="1"/>
  <c r="S68" i="6" s="1"/>
  <c r="P68" i="6" l="1"/>
  <c r="U68" i="6"/>
  <c r="J69" i="6"/>
  <c r="K69" i="6"/>
  <c r="L69" i="6" s="1"/>
  <c r="Q69" i="6" s="1"/>
  <c r="S69" i="6" s="1"/>
  <c r="P69" i="6" l="1"/>
  <c r="U69" i="6"/>
  <c r="J70" i="6"/>
  <c r="K70" i="6"/>
  <c r="L70" i="6" s="1"/>
  <c r="Q70" i="6" s="1"/>
  <c r="S70" i="6" s="1"/>
  <c r="P70" i="6" l="1"/>
  <c r="U70" i="6"/>
  <c r="K71" i="6"/>
  <c r="L71" i="6" s="1"/>
  <c r="Q71" i="6" s="1"/>
  <c r="S71" i="6" s="1"/>
  <c r="J71" i="6"/>
  <c r="P71" i="6" l="1"/>
  <c r="U71" i="6"/>
  <c r="J72" i="6"/>
  <c r="K72" i="6"/>
  <c r="L72" i="6" s="1"/>
  <c r="Q72" i="6" s="1"/>
  <c r="S72" i="6" s="1"/>
  <c r="P72" i="6" l="1"/>
  <c r="U72" i="6"/>
  <c r="J73" i="6"/>
  <c r="K73" i="6"/>
  <c r="L73" i="6" s="1"/>
  <c r="Q73" i="6" s="1"/>
  <c r="S73" i="6" s="1"/>
  <c r="P73" i="6" l="1"/>
  <c r="U73" i="6"/>
  <c r="J74" i="6"/>
  <c r="K74" i="6"/>
  <c r="L74" i="6" s="1"/>
  <c r="Q74" i="6" s="1"/>
  <c r="S74" i="6" s="1"/>
  <c r="P74" i="6" l="1"/>
  <c r="U74" i="6"/>
  <c r="J75" i="6"/>
  <c r="K75" i="6"/>
  <c r="L75" i="6" s="1"/>
  <c r="Q75" i="6" s="1"/>
  <c r="S75" i="6" s="1"/>
  <c r="P75" i="6" l="1"/>
  <c r="U75" i="6"/>
  <c r="J76" i="6"/>
  <c r="K76" i="6"/>
  <c r="L76" i="6" s="1"/>
  <c r="Q76" i="6" s="1"/>
  <c r="S76" i="6" s="1"/>
  <c r="P76" i="6" l="1"/>
  <c r="U76" i="6"/>
  <c r="J77" i="6"/>
  <c r="K77" i="6"/>
  <c r="L77" i="6" s="1"/>
  <c r="U77" i="6" s="1"/>
  <c r="Q77" i="6" l="1"/>
  <c r="S77" i="6" s="1"/>
  <c r="J78" i="6"/>
  <c r="K78" i="6"/>
  <c r="L78" i="6" s="1"/>
  <c r="P77" i="6"/>
  <c r="P78" i="6" l="1"/>
  <c r="U78" i="6"/>
  <c r="Q78" i="6"/>
  <c r="S78" i="6" s="1"/>
  <c r="J79" i="6"/>
  <c r="K79" i="6"/>
  <c r="L79" i="6" s="1"/>
  <c r="P79" i="6" s="1"/>
  <c r="U79" i="6" l="1"/>
  <c r="Q79" i="6"/>
  <c r="S79" i="6" s="1"/>
  <c r="J80" i="6"/>
  <c r="K80" i="6"/>
  <c r="L80" i="6" s="1"/>
  <c r="Q80" i="6" s="1"/>
  <c r="S80" i="6" s="1"/>
  <c r="P80" i="6" l="1"/>
  <c r="U80" i="6"/>
  <c r="K81" i="6"/>
  <c r="L81" i="6" s="1"/>
  <c r="U81" i="6" s="1"/>
  <c r="J81" i="6"/>
  <c r="J82" i="6" l="1"/>
  <c r="K82" i="6"/>
  <c r="L82" i="6" s="1"/>
  <c r="Q81" i="6"/>
  <c r="S81" i="6" s="1"/>
  <c r="P81" i="6"/>
  <c r="P82" i="6" l="1"/>
  <c r="U82" i="6"/>
  <c r="Q82" i="6"/>
  <c r="S82" i="6" s="1"/>
  <c r="J83" i="6"/>
  <c r="K83" i="6"/>
  <c r="L83" i="6" s="1"/>
  <c r="Q83" i="6" s="1"/>
  <c r="S83" i="6" s="1"/>
  <c r="P83" i="6" l="1"/>
  <c r="U83" i="6"/>
  <c r="J84" i="6"/>
  <c r="K84" i="6"/>
  <c r="L84" i="6" s="1"/>
  <c r="Q84" i="6" s="1"/>
  <c r="S84" i="6" s="1"/>
  <c r="U84" i="6" l="1"/>
  <c r="P84" i="6"/>
  <c r="J85" i="6"/>
  <c r="K85" i="6"/>
  <c r="L85" i="6" s="1"/>
  <c r="P85" i="6" l="1"/>
  <c r="U85" i="6"/>
  <c r="Q85" i="6"/>
  <c r="S85" i="6" s="1"/>
  <c r="J86" i="6"/>
  <c r="K86" i="6"/>
  <c r="L86" i="6" s="1"/>
  <c r="P86" i="6" s="1"/>
  <c r="U86" i="6" l="1"/>
  <c r="Q86" i="6"/>
  <c r="S86" i="6" s="1"/>
  <c r="J87" i="6"/>
  <c r="K87" i="6"/>
  <c r="L87" i="6" s="1"/>
  <c r="Q87" i="6" s="1"/>
  <c r="S87" i="6" s="1"/>
  <c r="P87" i="6" l="1"/>
  <c r="U87" i="6"/>
  <c r="J88" i="6"/>
  <c r="K88" i="6"/>
  <c r="L88" i="6" s="1"/>
  <c r="P88" i="6" l="1"/>
  <c r="U88" i="6"/>
  <c r="Q88" i="6"/>
  <c r="S88" i="6" s="1"/>
  <c r="J89" i="6"/>
  <c r="K89" i="6"/>
  <c r="L89" i="6" s="1"/>
  <c r="Q89" i="6" s="1"/>
  <c r="S89" i="6" s="1"/>
  <c r="P89" i="6" l="1"/>
  <c r="U89" i="6"/>
  <c r="J90" i="6"/>
  <c r="K90" i="6"/>
  <c r="L90" i="6" s="1"/>
  <c r="Q90" i="6" s="1"/>
  <c r="S90" i="6" s="1"/>
  <c r="P90" i="6" l="1"/>
  <c r="U90" i="6"/>
  <c r="K91" i="6"/>
  <c r="L91" i="6" s="1"/>
  <c r="P91" i="6" s="1"/>
  <c r="J91" i="6"/>
  <c r="Q91" i="6" l="1"/>
  <c r="S91" i="6" s="1"/>
  <c r="U91" i="6"/>
  <c r="J92" i="6"/>
  <c r="K92" i="6"/>
  <c r="L92" i="6" s="1"/>
  <c r="P92" i="6" s="1"/>
  <c r="U92" i="6" l="1"/>
  <c r="Q92" i="6"/>
  <c r="S92" i="6" s="1"/>
  <c r="J93" i="6"/>
  <c r="K93" i="6"/>
  <c r="L93" i="6" s="1"/>
  <c r="U93" i="6" s="1"/>
  <c r="Q93" i="6" l="1"/>
  <c r="S93" i="6" s="1"/>
  <c r="P93" i="6"/>
  <c r="J94" i="6"/>
  <c r="K94" i="6"/>
  <c r="L94" i="6" s="1"/>
  <c r="U94" i="6" s="1"/>
  <c r="Q94" i="6" l="1"/>
  <c r="S94" i="6" s="1"/>
  <c r="P94" i="6"/>
  <c r="K95" i="6"/>
  <c r="L95" i="6" s="1"/>
  <c r="U95" i="6" s="1"/>
  <c r="J95" i="6"/>
  <c r="Q95" i="6" l="1"/>
  <c r="S95" i="6" s="1"/>
  <c r="P95" i="6"/>
  <c r="J96" i="6"/>
  <c r="K96" i="6"/>
  <c r="L96" i="6" s="1"/>
  <c r="Q96" i="6" s="1"/>
  <c r="S96" i="6" s="1"/>
  <c r="P96" i="6" l="1"/>
  <c r="U96" i="6"/>
  <c r="J97" i="6"/>
  <c r="K97" i="6"/>
  <c r="L97" i="6" s="1"/>
  <c r="P97" i="6" l="1"/>
  <c r="Q97" i="6"/>
  <c r="S97" i="6" s="1"/>
  <c r="J98" i="6"/>
  <c r="K98" i="6"/>
  <c r="L98" i="6" s="1"/>
  <c r="Q98" i="6" s="1"/>
  <c r="S98" i="6" s="1"/>
  <c r="U97" i="6"/>
  <c r="P98" i="6" l="1"/>
  <c r="U98" i="6"/>
  <c r="J99" i="6"/>
  <c r="K99" i="6"/>
  <c r="L99" i="6" s="1"/>
  <c r="Q99" i="6" s="1"/>
  <c r="S99" i="6" s="1"/>
  <c r="P99" i="6" l="1"/>
  <c r="U99" i="6"/>
  <c r="K100" i="6"/>
  <c r="L100" i="6" s="1"/>
  <c r="J100" i="6"/>
  <c r="P100" i="6" l="1"/>
  <c r="U100" i="6"/>
  <c r="Q100" i="6"/>
  <c r="S100" i="6" s="1"/>
  <c r="J101" i="6"/>
  <c r="K101" i="6"/>
  <c r="L101" i="6" s="1"/>
  <c r="Q101" i="6" s="1"/>
  <c r="S101" i="6" s="1"/>
  <c r="P101" i="6" l="1"/>
  <c r="U101" i="6"/>
  <c r="J102" i="6"/>
  <c r="K102" i="6"/>
  <c r="L102" i="6" s="1"/>
  <c r="P102" i="6" l="1"/>
  <c r="Q102" i="6"/>
  <c r="S102" i="6" s="1"/>
  <c r="J103" i="6"/>
  <c r="K103" i="6"/>
  <c r="L103" i="6" s="1"/>
  <c r="U103" i="6" s="1"/>
  <c r="U102" i="6"/>
  <c r="Q103" i="6" l="1"/>
  <c r="S103" i="6" s="1"/>
  <c r="P103" i="6"/>
  <c r="J104" i="6"/>
  <c r="K104" i="6"/>
  <c r="L104" i="6" s="1"/>
  <c r="Q104" i="6" s="1"/>
  <c r="S104" i="6" s="1"/>
  <c r="U104" i="6" l="1"/>
  <c r="P104" i="6"/>
  <c r="J105" i="6"/>
  <c r="K105" i="6"/>
  <c r="L105" i="6" s="1"/>
  <c r="P105" i="6" l="1"/>
  <c r="Q105" i="6"/>
  <c r="S105" i="6" s="1"/>
  <c r="J106" i="6"/>
  <c r="K106" i="6"/>
  <c r="L106" i="6" s="1"/>
  <c r="U106" i="6" s="1"/>
  <c r="U105" i="6"/>
  <c r="Q106" i="6" l="1"/>
  <c r="S106" i="6" s="1"/>
  <c r="P106" i="6"/>
  <c r="K107" i="6"/>
  <c r="L107" i="6" s="1"/>
  <c r="U107" i="6" s="1"/>
  <c r="J107" i="6"/>
  <c r="Q107" i="6" l="1"/>
  <c r="S107" i="6" s="1"/>
  <c r="P107" i="6"/>
  <c r="J108" i="6"/>
  <c r="K108" i="6"/>
  <c r="L108" i="6" s="1"/>
  <c r="U108" i="6" s="1"/>
  <c r="Q108" i="6" l="1"/>
  <c r="S108" i="6" s="1"/>
  <c r="J109" i="6"/>
  <c r="K109" i="6"/>
  <c r="L109" i="6" s="1"/>
  <c r="P108" i="6"/>
  <c r="P109" i="6" l="1"/>
  <c r="J110" i="6"/>
  <c r="K110" i="6"/>
  <c r="L110" i="6" s="1"/>
  <c r="U109" i="6"/>
  <c r="Q109" i="6"/>
  <c r="S109" i="6" s="1"/>
  <c r="P110" i="6" l="1"/>
  <c r="Q110" i="6"/>
  <c r="S110" i="6" s="1"/>
  <c r="U110" i="6"/>
  <c r="J111" i="6"/>
  <c r="K111" i="6"/>
  <c r="L111" i="6" s="1"/>
  <c r="Q111" i="6" s="1"/>
  <c r="S111" i="6" s="1"/>
  <c r="U111" i="6" l="1"/>
  <c r="P111" i="6"/>
  <c r="J112" i="6"/>
  <c r="K112" i="6"/>
  <c r="L112" i="6" s="1"/>
  <c r="Q112" i="6" s="1"/>
  <c r="S112" i="6" s="1"/>
  <c r="P112" i="6" l="1"/>
  <c r="U112" i="6"/>
  <c r="J113" i="6"/>
  <c r="K113" i="6"/>
  <c r="L113" i="6" s="1"/>
  <c r="P113" i="6" l="1"/>
  <c r="Q113" i="6"/>
  <c r="S113" i="6" s="1"/>
  <c r="J114" i="6"/>
  <c r="K114" i="6"/>
  <c r="L114" i="6" s="1"/>
  <c r="U114" i="6" s="1"/>
  <c r="U113" i="6"/>
  <c r="Q114" i="6" l="1"/>
  <c r="S114" i="6" s="1"/>
  <c r="P114" i="6"/>
  <c r="J115" i="6"/>
  <c r="K115" i="6"/>
  <c r="L115" i="6" s="1"/>
  <c r="Q115" i="6" s="1"/>
  <c r="S115" i="6" s="1"/>
  <c r="P115" i="6" l="1"/>
  <c r="U115" i="6"/>
  <c r="J116" i="6"/>
  <c r="K116" i="6"/>
  <c r="L116" i="6" s="1"/>
  <c r="P116" i="6" l="1"/>
  <c r="U116" i="6"/>
  <c r="Q116" i="6"/>
  <c r="S116" i="6" s="1"/>
  <c r="J117" i="6"/>
  <c r="K117" i="6"/>
  <c r="L117" i="6" s="1"/>
  <c r="Q117" i="6" s="1"/>
  <c r="S117" i="6" s="1"/>
  <c r="P117" i="6" l="1"/>
  <c r="U117" i="6"/>
  <c r="J118" i="6"/>
  <c r="K118" i="6"/>
  <c r="L118" i="6" s="1"/>
  <c r="Q118" i="6" s="1"/>
  <c r="S118" i="6" s="1"/>
  <c r="P118" i="6" l="1"/>
  <c r="U118" i="6"/>
  <c r="J119" i="6"/>
  <c r="K119" i="6"/>
  <c r="L119" i="6" s="1"/>
  <c r="P119" i="6" l="1"/>
  <c r="Q119" i="6"/>
  <c r="S119" i="6" s="1"/>
  <c r="K120" i="6"/>
  <c r="L120" i="6" s="1"/>
  <c r="Q120" i="6" s="1"/>
  <c r="S120" i="6" s="1"/>
  <c r="J120" i="6"/>
  <c r="U119" i="6"/>
  <c r="P120" i="6" l="1"/>
  <c r="U120" i="6"/>
  <c r="J121" i="6"/>
  <c r="K121" i="6"/>
  <c r="L121" i="6" s="1"/>
  <c r="P121" i="6" l="1"/>
  <c r="U121" i="6"/>
  <c r="Q121" i="6"/>
  <c r="S121" i="6" s="1"/>
  <c r="K122" i="6"/>
  <c r="L122" i="6" s="1"/>
  <c r="U122" i="6" s="1"/>
  <c r="J122" i="6"/>
  <c r="Q122" i="6" l="1"/>
  <c r="S122" i="6" s="1"/>
  <c r="P122" i="6"/>
  <c r="J123" i="6"/>
  <c r="K123" i="6"/>
  <c r="L123" i="6" s="1"/>
  <c r="U123" i="6" s="1"/>
  <c r="Q123" i="6" l="1"/>
  <c r="S123" i="6" s="1"/>
  <c r="J124" i="6"/>
  <c r="K124" i="6"/>
  <c r="L124" i="6" s="1"/>
  <c r="U124" i="6" s="1"/>
  <c r="P123" i="6"/>
  <c r="Q124" i="6" l="1"/>
  <c r="S124" i="6" s="1"/>
  <c r="P124" i="6"/>
  <c r="K125" i="6"/>
  <c r="L125" i="6" s="1"/>
  <c r="U125" i="6" s="1"/>
  <c r="J125" i="6"/>
  <c r="Q125" i="6" l="1"/>
  <c r="S125" i="6" s="1"/>
  <c r="P125" i="6"/>
  <c r="K126" i="6"/>
  <c r="L126" i="6" s="1"/>
  <c r="Q126" i="6" s="1"/>
  <c r="S126" i="6" s="1"/>
  <c r="J126" i="6"/>
  <c r="P126" i="6" l="1"/>
  <c r="U126" i="6"/>
  <c r="J127" i="6"/>
  <c r="K127" i="6"/>
  <c r="L127" i="6" s="1"/>
  <c r="P127" i="6" l="1"/>
  <c r="Q127" i="6"/>
  <c r="S127" i="6" s="1"/>
  <c r="J128" i="6"/>
  <c r="K128" i="6"/>
  <c r="L128" i="6" s="1"/>
  <c r="U128" i="6" s="1"/>
  <c r="U127" i="6"/>
  <c r="Q128" i="6" l="1"/>
  <c r="S128" i="6" s="1"/>
  <c r="P128" i="6"/>
  <c r="J129" i="6"/>
  <c r="K129" i="6"/>
  <c r="L129" i="6" s="1"/>
  <c r="Q129" i="6" s="1"/>
  <c r="S129" i="6" s="1"/>
  <c r="P129" i="6" l="1"/>
  <c r="U129" i="6"/>
  <c r="J130" i="6"/>
  <c r="K130" i="6"/>
  <c r="L130" i="6" s="1"/>
  <c r="P130" i="6" l="1"/>
  <c r="Q130" i="6"/>
  <c r="S130" i="6" s="1"/>
  <c r="K131" i="6"/>
  <c r="L131" i="6" s="1"/>
  <c r="Q131" i="6" s="1"/>
  <c r="S131" i="6" s="1"/>
  <c r="J131" i="6"/>
  <c r="U130" i="6"/>
  <c r="P131" i="6" l="1"/>
  <c r="U131" i="6"/>
  <c r="J132" i="6"/>
  <c r="K132" i="6"/>
  <c r="L132" i="6" s="1"/>
  <c r="P132" i="6" l="1"/>
  <c r="Q132" i="6"/>
  <c r="S132" i="6" s="1"/>
  <c r="J133" i="6"/>
  <c r="K133" i="6"/>
  <c r="L133" i="6" s="1"/>
  <c r="U133" i="6" s="1"/>
  <c r="U132" i="6"/>
  <c r="Q133" i="6" l="1"/>
  <c r="S133" i="6" s="1"/>
  <c r="P133" i="6"/>
  <c r="J134" i="6"/>
  <c r="K134" i="6"/>
  <c r="L134" i="6" s="1"/>
  <c r="Q134" i="6" s="1"/>
  <c r="S134" i="6" s="1"/>
  <c r="U134" i="6" l="1"/>
  <c r="P134" i="6"/>
  <c r="K135" i="6"/>
  <c r="L135" i="6" s="1"/>
  <c r="U135" i="6" s="1"/>
  <c r="J135" i="6"/>
  <c r="Q135" i="6" l="1"/>
  <c r="S135" i="6" s="1"/>
  <c r="P135" i="6"/>
  <c r="K136" i="6"/>
  <c r="L136" i="6" s="1"/>
  <c r="J136" i="6"/>
  <c r="P136" i="6" l="1"/>
  <c r="U136" i="6"/>
  <c r="Q136" i="6"/>
  <c r="S136" i="6" s="1"/>
  <c r="K137" i="6"/>
  <c r="L137" i="6" s="1"/>
  <c r="Q137" i="6" s="1"/>
  <c r="S137" i="6" s="1"/>
  <c r="J137" i="6"/>
  <c r="P137" i="6" l="1"/>
  <c r="U137" i="6"/>
  <c r="K138" i="6"/>
  <c r="L138" i="6" s="1"/>
  <c r="U138" i="6" s="1"/>
  <c r="J138" i="6"/>
  <c r="K139" i="6" l="1"/>
  <c r="L139" i="6" s="1"/>
  <c r="U139" i="6" s="1"/>
  <c r="J139" i="6"/>
  <c r="Q138" i="6"/>
  <c r="S138" i="6" s="1"/>
  <c r="P138" i="6"/>
  <c r="Q139" i="6" l="1"/>
  <c r="S139" i="6" s="1"/>
  <c r="P139" i="6"/>
  <c r="J140" i="6"/>
  <c r="K140" i="6"/>
  <c r="L140" i="6" s="1"/>
  <c r="Q140" i="6" s="1"/>
  <c r="S140" i="6" s="1"/>
  <c r="P140" i="6" l="1"/>
  <c r="U140" i="6"/>
  <c r="K141" i="6"/>
  <c r="L141" i="6" s="1"/>
  <c r="Q141" i="6" s="1"/>
  <c r="S141" i="6" s="1"/>
  <c r="J141" i="6"/>
  <c r="P141" i="6" l="1"/>
  <c r="U141" i="6"/>
  <c r="J142" i="6"/>
  <c r="K142" i="6"/>
  <c r="L142" i="6" s="1"/>
  <c r="U142" i="6" s="1"/>
  <c r="Q142" i="6" l="1"/>
  <c r="S142" i="6" s="1"/>
  <c r="P142" i="6"/>
  <c r="K143" i="6"/>
  <c r="L143" i="6" s="1"/>
  <c r="U143" i="6" s="1"/>
  <c r="J143" i="6"/>
  <c r="Q143" i="6" l="1"/>
  <c r="S143" i="6" s="1"/>
  <c r="P143" i="6"/>
  <c r="J144" i="6"/>
  <c r="K144" i="6"/>
  <c r="L144" i="6" s="1"/>
  <c r="Q144" i="6" s="1"/>
  <c r="S144" i="6" s="1"/>
  <c r="P144" i="6" l="1"/>
  <c r="U144" i="6"/>
  <c r="J145" i="6"/>
  <c r="K145" i="6"/>
  <c r="L145" i="6" s="1"/>
  <c r="Q145" i="6" s="1"/>
  <c r="S145" i="6" s="1"/>
  <c r="P145" i="6" l="1"/>
  <c r="U145" i="6"/>
  <c r="K146" i="6"/>
  <c r="L146" i="6" s="1"/>
  <c r="Q146" i="6" s="1"/>
  <c r="S146" i="6" s="1"/>
  <c r="J146" i="6"/>
  <c r="P146" i="6" l="1"/>
  <c r="U146" i="6"/>
  <c r="J147" i="6"/>
  <c r="K147" i="6"/>
  <c r="L147" i="6" s="1"/>
  <c r="Q147" i="6" s="1"/>
  <c r="S147" i="6" s="1"/>
  <c r="U147" i="6" l="1"/>
  <c r="P147" i="6"/>
  <c r="K148" i="6"/>
  <c r="L148" i="6" s="1"/>
  <c r="J148" i="6"/>
  <c r="P148" i="6" l="1"/>
  <c r="U148" i="6"/>
  <c r="Q148" i="6"/>
  <c r="S148" i="6" s="1"/>
  <c r="J149" i="6"/>
  <c r="K149" i="6"/>
  <c r="L149" i="6" s="1"/>
  <c r="Q149" i="6" s="1"/>
  <c r="S149" i="6" s="1"/>
  <c r="U149" i="6" l="1"/>
  <c r="P149" i="6"/>
  <c r="J150" i="6"/>
  <c r="K150" i="6"/>
  <c r="L150" i="6" s="1"/>
  <c r="P150" i="6" l="1"/>
  <c r="Q150" i="6"/>
  <c r="S150" i="6" s="1"/>
  <c r="K151" i="6"/>
  <c r="L151" i="6" s="1"/>
  <c r="U151" i="6" s="1"/>
  <c r="J151" i="6"/>
  <c r="U150" i="6"/>
  <c r="P151" i="6" l="1"/>
  <c r="Q151" i="6"/>
  <c r="S151" i="6" s="1"/>
  <c r="J152" i="6"/>
  <c r="K152" i="6"/>
  <c r="L152" i="6" s="1"/>
  <c r="P152" i="6" l="1"/>
  <c r="Q152" i="6"/>
  <c r="S152" i="6" s="1"/>
  <c r="J153" i="6"/>
  <c r="K153" i="6"/>
  <c r="L153" i="6" s="1"/>
  <c r="U153" i="6" s="1"/>
  <c r="U152" i="6"/>
  <c r="Q153" i="6" l="1"/>
  <c r="S153" i="6" s="1"/>
  <c r="P153" i="6"/>
  <c r="J154" i="6"/>
  <c r="K154" i="6"/>
  <c r="L154" i="6" s="1"/>
  <c r="Q154" i="6" s="1"/>
  <c r="S154" i="6" s="1"/>
  <c r="P154" i="6" l="1"/>
  <c r="U154" i="6"/>
  <c r="J155" i="6"/>
  <c r="K155" i="6"/>
  <c r="L155" i="6" s="1"/>
  <c r="P155" i="6" l="1"/>
  <c r="Q155" i="6"/>
  <c r="S155" i="6" s="1"/>
  <c r="J156" i="6"/>
  <c r="K156" i="6"/>
  <c r="L156" i="6" s="1"/>
  <c r="U156" i="6" s="1"/>
  <c r="U155" i="6"/>
  <c r="Q156" i="6" l="1"/>
  <c r="S156" i="6" s="1"/>
  <c r="P156" i="6"/>
  <c r="K157" i="6"/>
  <c r="L157" i="6" s="1"/>
  <c r="J157" i="6"/>
  <c r="P157" i="6" l="1"/>
  <c r="U157" i="6"/>
  <c r="Q157" i="6"/>
  <c r="S157" i="6" s="1"/>
  <c r="J158" i="6"/>
  <c r="K158" i="6"/>
  <c r="L158" i="6" s="1"/>
  <c r="P158" i="6" s="1"/>
  <c r="U158" i="6" l="1"/>
  <c r="Q158" i="6"/>
  <c r="S158" i="6" s="1"/>
  <c r="K159" i="6"/>
  <c r="L159" i="6" s="1"/>
  <c r="U159" i="6" s="1"/>
  <c r="J159" i="6"/>
  <c r="Q159" i="6" l="1"/>
  <c r="S159" i="6" s="1"/>
  <c r="P159" i="6"/>
  <c r="J160" i="6"/>
  <c r="K160" i="6"/>
  <c r="L160" i="6" s="1"/>
  <c r="Q160" i="6" s="1"/>
  <c r="S160" i="6" s="1"/>
  <c r="P160" i="6" l="1"/>
  <c r="U160" i="6"/>
  <c r="J161" i="6"/>
  <c r="K161" i="6"/>
  <c r="L161" i="6" s="1"/>
  <c r="Q161" i="6" s="1"/>
  <c r="S161" i="6" s="1"/>
  <c r="P161" i="6" l="1"/>
  <c r="U161" i="6"/>
  <c r="J162" i="6"/>
  <c r="K162" i="6"/>
  <c r="L162" i="6" s="1"/>
  <c r="P162" i="6" s="1"/>
  <c r="Q162" i="6" l="1"/>
  <c r="S162" i="6" s="1"/>
  <c r="J163" i="6"/>
  <c r="K163" i="6"/>
  <c r="L163" i="6" s="1"/>
  <c r="U163" i="6" s="1"/>
  <c r="U162" i="6"/>
  <c r="Q163" i="6" l="1"/>
  <c r="S163" i="6" s="1"/>
  <c r="P163" i="6"/>
  <c r="J164" i="6"/>
  <c r="K164" i="6"/>
  <c r="L164" i="6" s="1"/>
  <c r="Q164" i="6" l="1"/>
  <c r="S164" i="6" s="1"/>
  <c r="P164" i="6"/>
  <c r="U164" i="6"/>
  <c r="K165" i="6"/>
  <c r="L165" i="6" s="1"/>
  <c r="J165" i="6"/>
  <c r="P165" i="6" l="1"/>
  <c r="U165" i="6"/>
  <c r="J166" i="6"/>
  <c r="K166" i="6"/>
  <c r="L166" i="6" s="1"/>
  <c r="Q165" i="6"/>
  <c r="S165" i="6" s="1"/>
  <c r="P166" i="6" l="1"/>
  <c r="U166" i="6"/>
  <c r="K167" i="6"/>
  <c r="L167" i="6" s="1"/>
  <c r="Q167" i="6" s="1"/>
  <c r="S167" i="6" s="1"/>
  <c r="J167" i="6"/>
  <c r="Q166" i="6"/>
  <c r="S166" i="6" s="1"/>
  <c r="P167" i="6" l="1"/>
  <c r="U167" i="6"/>
  <c r="J168" i="6"/>
  <c r="K168" i="6"/>
  <c r="L168" i="6" s="1"/>
  <c r="U168" i="6" s="1"/>
  <c r="P168" i="6" l="1"/>
  <c r="Q168" i="6"/>
  <c r="S168" i="6" s="1"/>
  <c r="J169" i="6"/>
  <c r="K169" i="6"/>
  <c r="L169" i="6" s="1"/>
  <c r="U169" i="6" s="1"/>
  <c r="Q169" i="6" l="1"/>
  <c r="S169" i="6" s="1"/>
  <c r="J170" i="6"/>
  <c r="K170" i="6"/>
  <c r="L170" i="6" s="1"/>
  <c r="U170" i="6" s="1"/>
  <c r="P169" i="6"/>
  <c r="Q170" i="6" l="1"/>
  <c r="S170" i="6" s="1"/>
  <c r="P170" i="6"/>
  <c r="J171" i="6"/>
  <c r="K171" i="6"/>
  <c r="L171" i="6" s="1"/>
  <c r="Q171" i="6" l="1"/>
  <c r="S171" i="6" s="1"/>
  <c r="P171" i="6"/>
  <c r="U171" i="6"/>
  <c r="J172" i="6"/>
  <c r="K172" i="6"/>
  <c r="L172" i="6" s="1"/>
  <c r="P172" i="6" l="1"/>
  <c r="Q172" i="6"/>
  <c r="S172" i="6" s="1"/>
  <c r="J173" i="6"/>
  <c r="K173" i="6"/>
  <c r="L173" i="6" s="1"/>
  <c r="U173" i="6" s="1"/>
  <c r="U172" i="6"/>
  <c r="Q173" i="6" l="1"/>
  <c r="S173" i="6" s="1"/>
  <c r="P173" i="6"/>
  <c r="K174" i="6"/>
  <c r="L174" i="6" s="1"/>
  <c r="U174" i="6" s="1"/>
  <c r="J174" i="6"/>
  <c r="J175" i="6" l="1"/>
  <c r="K175" i="6"/>
  <c r="L175" i="6" s="1"/>
  <c r="Q174" i="6"/>
  <c r="S174" i="6" s="1"/>
  <c r="P174" i="6"/>
  <c r="P175" i="6" l="1"/>
  <c r="U175" i="6"/>
  <c r="Q175" i="6"/>
  <c r="S175" i="6" s="1"/>
  <c r="J176" i="6"/>
  <c r="K176" i="6"/>
  <c r="L176" i="6" s="1"/>
  <c r="P176" i="6" s="1"/>
  <c r="U176" i="6" l="1"/>
  <c r="Q176" i="6"/>
  <c r="S176" i="6" s="1"/>
  <c r="J177" i="6"/>
  <c r="K177" i="6"/>
  <c r="L177" i="6" s="1"/>
  <c r="P177" i="6" s="1"/>
  <c r="U177" i="6" l="1"/>
  <c r="Q177" i="6"/>
  <c r="S177" i="6" s="1"/>
  <c r="J178" i="6"/>
  <c r="K178" i="6"/>
  <c r="L178" i="6" s="1"/>
  <c r="Q178" i="6" s="1"/>
  <c r="S178" i="6" s="1"/>
  <c r="U178" i="6" l="1"/>
  <c r="P178" i="6"/>
  <c r="J179" i="6"/>
  <c r="K179" i="6"/>
  <c r="L179" i="6" s="1"/>
  <c r="P179" i="6" l="1"/>
  <c r="U179" i="6"/>
  <c r="Q179" i="6"/>
  <c r="S179" i="6" s="1"/>
  <c r="J180" i="6"/>
  <c r="K180" i="6"/>
  <c r="L180" i="6" s="1"/>
  <c r="U180" i="6" s="1"/>
  <c r="Q180" i="6" l="1"/>
  <c r="S180" i="6" s="1"/>
  <c r="P180" i="6"/>
  <c r="K181" i="6"/>
  <c r="L181" i="6" s="1"/>
  <c r="U181" i="6" s="1"/>
  <c r="J181" i="6"/>
  <c r="Q181" i="6" l="1"/>
  <c r="S181" i="6" s="1"/>
  <c r="P181" i="6"/>
  <c r="J182" i="6"/>
  <c r="K182" i="6"/>
  <c r="L182" i="6" s="1"/>
  <c r="Q182" i="6" s="1"/>
  <c r="S182" i="6" s="1"/>
  <c r="P182" i="6" l="1"/>
  <c r="U182" i="6"/>
  <c r="J183" i="6"/>
  <c r="K183" i="6"/>
  <c r="L183" i="6" s="1"/>
  <c r="Q183" i="6" l="1"/>
  <c r="S183" i="6" s="1"/>
  <c r="P183" i="6"/>
  <c r="U183" i="6"/>
  <c r="J184" i="6"/>
  <c r="K184" i="6"/>
  <c r="L184" i="6" s="1"/>
  <c r="U184" i="6" s="1"/>
  <c r="Q184" i="6" l="1"/>
  <c r="S184" i="6" s="1"/>
  <c r="P184" i="6"/>
  <c r="J185" i="6"/>
  <c r="K185" i="6"/>
  <c r="L185" i="6" s="1"/>
  <c r="U185" i="6" s="1"/>
  <c r="Q185" i="6" l="1"/>
  <c r="S185" i="6" s="1"/>
  <c r="J186" i="6"/>
  <c r="K186" i="6"/>
  <c r="L186" i="6" s="1"/>
  <c r="P185" i="6"/>
  <c r="P186" i="6" l="1"/>
  <c r="U186" i="6"/>
  <c r="Q186" i="6"/>
  <c r="S186" i="6" s="1"/>
  <c r="J187" i="6"/>
  <c r="K187" i="6"/>
  <c r="L187" i="6" s="1"/>
  <c r="Q187" i="6" s="1"/>
  <c r="S187" i="6" s="1"/>
  <c r="U187" i="6" l="1"/>
  <c r="P187" i="6"/>
  <c r="J188" i="6"/>
  <c r="K188" i="6"/>
  <c r="L188" i="6" s="1"/>
  <c r="P188" i="6" l="1"/>
  <c r="Q188" i="6"/>
  <c r="S188" i="6" s="1"/>
  <c r="J189" i="6"/>
  <c r="K189" i="6"/>
  <c r="L189" i="6" s="1"/>
  <c r="U189" i="6" s="1"/>
  <c r="U188" i="6"/>
  <c r="Q189" i="6" l="1"/>
  <c r="S189" i="6" s="1"/>
  <c r="P189" i="6"/>
  <c r="J190" i="6"/>
  <c r="K190" i="6"/>
  <c r="L190" i="6" s="1"/>
  <c r="Q190" i="6" s="1"/>
  <c r="S190" i="6" s="1"/>
  <c r="U190" i="6" l="1"/>
  <c r="P190" i="6"/>
  <c r="K191" i="6"/>
  <c r="L191" i="6" s="1"/>
  <c r="P191" i="6" s="1"/>
  <c r="J191" i="6"/>
  <c r="U191" i="6" l="1"/>
  <c r="Q191" i="6"/>
  <c r="S191" i="6" s="1"/>
  <c r="J192" i="6"/>
  <c r="K192" i="6"/>
  <c r="L192" i="6" s="1"/>
  <c r="Q192" i="6" s="1"/>
  <c r="S192" i="6" s="1"/>
  <c r="U192" i="6" l="1"/>
  <c r="P192" i="6"/>
  <c r="J193" i="6"/>
  <c r="K193" i="6"/>
  <c r="L193" i="6" s="1"/>
  <c r="P193" i="6" s="1"/>
  <c r="U193" i="6" l="1"/>
  <c r="J194" i="6"/>
  <c r="K194" i="6"/>
  <c r="L194" i="6" s="1"/>
  <c r="Q194" i="6" s="1"/>
  <c r="S194" i="6" s="1"/>
  <c r="Q193" i="6"/>
  <c r="S193" i="6" s="1"/>
  <c r="P194" i="6" l="1"/>
  <c r="U194" i="6"/>
  <c r="J195" i="6"/>
  <c r="K195" i="6"/>
  <c r="L195" i="6" s="1"/>
  <c r="P195" i="6" l="1"/>
  <c r="U195" i="6"/>
  <c r="Q195" i="6"/>
  <c r="S195" i="6" s="1"/>
  <c r="J196" i="6"/>
  <c r="K196" i="6"/>
  <c r="L196" i="6" s="1"/>
  <c r="P196" i="6" s="1"/>
  <c r="Q196" i="6" l="1"/>
  <c r="S196" i="6" s="1"/>
  <c r="J197" i="6"/>
  <c r="K197" i="6"/>
  <c r="L197" i="6" s="1"/>
  <c r="P197" i="6" s="1"/>
  <c r="U196" i="6"/>
  <c r="J198" i="6" l="1"/>
  <c r="K198" i="6"/>
  <c r="L198" i="6" s="1"/>
  <c r="Q198" i="6" s="1"/>
  <c r="S198" i="6" s="1"/>
  <c r="U197" i="6"/>
  <c r="Q197" i="6"/>
  <c r="S197" i="6" s="1"/>
  <c r="P198" i="6" l="1"/>
  <c r="U198" i="6"/>
  <c r="K199" i="6"/>
  <c r="L199" i="6" s="1"/>
  <c r="U199" i="6" s="1"/>
  <c r="J199" i="6"/>
  <c r="P199" i="6" l="1"/>
  <c r="Q199" i="6"/>
  <c r="S199" i="6" s="1"/>
  <c r="J200" i="6"/>
  <c r="K200" i="6"/>
  <c r="L200" i="6" s="1"/>
  <c r="Q200" i="6" s="1"/>
  <c r="S200" i="6" s="1"/>
  <c r="U200" i="6" l="1"/>
  <c r="P200" i="6"/>
  <c r="J201" i="6"/>
  <c r="K201" i="6"/>
  <c r="L201" i="6" s="1"/>
  <c r="Q201" i="6" s="1"/>
  <c r="S201" i="6" s="1"/>
  <c r="P201" i="6" l="1"/>
  <c r="U201" i="6"/>
  <c r="J202" i="6"/>
  <c r="K202" i="6"/>
  <c r="L202" i="6" s="1"/>
  <c r="P202" i="6" l="1"/>
  <c r="Q202" i="6"/>
  <c r="S202" i="6" s="1"/>
  <c r="U202" i="6"/>
  <c r="J203" i="6"/>
  <c r="K203" i="6"/>
  <c r="L203" i="6" s="1"/>
  <c r="P203" i="6" s="1"/>
  <c r="U203" i="6" l="1"/>
  <c r="Q203" i="6"/>
  <c r="S203" i="6" s="1"/>
  <c r="J204" i="6"/>
  <c r="K204" i="6"/>
  <c r="L204" i="6" s="1"/>
  <c r="P204" i="6" s="1"/>
  <c r="U204" i="6" l="1"/>
  <c r="Q204" i="6"/>
  <c r="S204" i="6" s="1"/>
  <c r="J205" i="6"/>
  <c r="K205" i="6"/>
  <c r="L205" i="6" s="1"/>
  <c r="Q205" i="6" s="1"/>
  <c r="S205" i="6" s="1"/>
  <c r="P205" i="6" l="1"/>
  <c r="U205" i="6"/>
  <c r="J206" i="6"/>
  <c r="K206" i="6"/>
  <c r="L206" i="6" s="1"/>
  <c r="U206" i="6" s="1"/>
  <c r="P206" i="6" l="1"/>
  <c r="Q206" i="6"/>
  <c r="S206" i="6" s="1"/>
  <c r="J207" i="6"/>
  <c r="K207" i="6"/>
  <c r="L207" i="6" s="1"/>
  <c r="U207" i="6" s="1"/>
  <c r="P207" i="6" l="1"/>
  <c r="Q207" i="6"/>
  <c r="S207" i="6" s="1"/>
  <c r="J208" i="6"/>
  <c r="K208" i="6"/>
  <c r="L208" i="6" s="1"/>
  <c r="Q208" i="6" s="1"/>
  <c r="S208" i="6" s="1"/>
  <c r="P208" i="6" l="1"/>
  <c r="U208" i="6"/>
  <c r="J209" i="6"/>
  <c r="K209" i="6"/>
  <c r="L209" i="6" s="1"/>
  <c r="Q209" i="6" s="1"/>
  <c r="S209" i="6" s="1"/>
  <c r="P209" i="6" l="1"/>
  <c r="U209" i="6"/>
  <c r="J210" i="6"/>
  <c r="K210" i="6"/>
  <c r="L210" i="6" s="1"/>
  <c r="Q210" i="6" l="1"/>
  <c r="S210" i="6" s="1"/>
  <c r="P210" i="6"/>
  <c r="U210" i="6"/>
  <c r="J211" i="6"/>
  <c r="K211" i="6"/>
  <c r="L211" i="6" s="1"/>
  <c r="Q211" i="6" s="1"/>
  <c r="S211" i="6" s="1"/>
  <c r="P211" i="6" l="1"/>
  <c r="U211" i="6"/>
  <c r="J212" i="6"/>
  <c r="K212" i="6"/>
  <c r="L212" i="6" s="1"/>
  <c r="Q212" i="6" s="1"/>
  <c r="S212" i="6" s="1"/>
  <c r="P212" i="6" l="1"/>
  <c r="U212" i="6"/>
  <c r="J213" i="6"/>
  <c r="K213" i="6"/>
  <c r="L213" i="6" s="1"/>
  <c r="Q213" i="6" s="1"/>
  <c r="S213" i="6" s="1"/>
  <c r="P213" i="6" l="1"/>
  <c r="U213" i="6"/>
  <c r="J214" i="6"/>
  <c r="K214" i="6"/>
  <c r="L214" i="6" s="1"/>
  <c r="Q214" i="6" s="1"/>
  <c r="S214" i="6" s="1"/>
  <c r="P214" i="6" l="1"/>
  <c r="U214" i="6"/>
  <c r="J215" i="6"/>
  <c r="K215" i="6"/>
  <c r="L215" i="6" s="1"/>
  <c r="P215" i="6" s="1"/>
  <c r="U215" i="6" l="1"/>
  <c r="J216" i="6"/>
  <c r="K216" i="6"/>
  <c r="L216" i="6" s="1"/>
  <c r="P216" i="6" s="1"/>
  <c r="Q215" i="6"/>
  <c r="S215" i="6" s="1"/>
  <c r="U216" i="6" l="1"/>
  <c r="Q216" i="6"/>
  <c r="S216" i="6" s="1"/>
  <c r="J217" i="6"/>
  <c r="K217" i="6"/>
  <c r="L217" i="6" s="1"/>
  <c r="Q217" i="6" s="1"/>
  <c r="S217" i="6" s="1"/>
  <c r="P217" i="6" l="1"/>
  <c r="U217" i="6"/>
  <c r="J218" i="6"/>
  <c r="K218" i="6"/>
  <c r="L218" i="6" s="1"/>
  <c r="Q218" i="6" s="1"/>
  <c r="S218" i="6" s="1"/>
  <c r="P218" i="6" l="1"/>
  <c r="U218" i="6"/>
  <c r="K219" i="6"/>
  <c r="L219" i="6" s="1"/>
  <c r="Q219" i="6" s="1"/>
  <c r="S219" i="6" s="1"/>
  <c r="J219" i="6"/>
  <c r="P219" i="6" l="1"/>
  <c r="U219" i="6"/>
  <c r="J220" i="6"/>
  <c r="J221" i="6" s="1"/>
  <c r="K220" i="6"/>
  <c r="L220" i="6" s="1"/>
  <c r="P220" i="6" l="1"/>
  <c r="U220" i="6"/>
  <c r="K222" i="6"/>
  <c r="J222" i="6"/>
  <c r="K221" i="6"/>
  <c r="L221" i="6" s="1"/>
  <c r="P221" i="6" s="1"/>
  <c r="Q220" i="6"/>
  <c r="S220" i="6" s="1"/>
  <c r="U221" i="6" l="1"/>
  <c r="Q221" i="6"/>
  <c r="S221" i="6" s="1"/>
  <c r="L222" i="6"/>
  <c r="U222" i="6" s="1"/>
  <c r="J223" i="6"/>
  <c r="K223" i="6"/>
  <c r="P222" i="6" l="1"/>
  <c r="L223" i="6"/>
  <c r="Q223" i="6" s="1"/>
  <c r="S223" i="6" s="1"/>
  <c r="Q222" i="6"/>
  <c r="S222" i="6" s="1"/>
  <c r="J224" i="6"/>
  <c r="K224" i="6"/>
  <c r="P223" i="6"/>
  <c r="U223" i="6" l="1"/>
  <c r="L224" i="6"/>
  <c r="Q224" i="6" s="1"/>
  <c r="S224" i="6" s="1"/>
  <c r="K225" i="6"/>
  <c r="L225" i="6" s="1"/>
  <c r="J225" i="6"/>
  <c r="P224" i="6"/>
  <c r="U224" i="6" l="1"/>
  <c r="J226" i="6"/>
  <c r="K226" i="6"/>
  <c r="L226" i="6" s="1"/>
  <c r="Q225" i="6"/>
  <c r="S225" i="6" s="1"/>
  <c r="U225" i="6"/>
  <c r="P225" i="6"/>
  <c r="J227" i="6" l="1"/>
  <c r="K227" i="6"/>
  <c r="L227" i="6" s="1"/>
  <c r="Q226" i="6"/>
  <c r="S226" i="6" s="1"/>
  <c r="U226" i="6"/>
  <c r="P226" i="6"/>
  <c r="J228" i="6" l="1"/>
  <c r="K228" i="6"/>
  <c r="L228" i="6" s="1"/>
  <c r="Q227" i="6"/>
  <c r="S227" i="6" s="1"/>
  <c r="U227" i="6"/>
  <c r="P227" i="6"/>
  <c r="J229" i="6" l="1"/>
  <c r="K229" i="6"/>
  <c r="L229" i="6" s="1"/>
  <c r="Q228" i="6"/>
  <c r="S228" i="6" s="1"/>
  <c r="U228" i="6"/>
  <c r="P228" i="6"/>
  <c r="J230" i="6" l="1"/>
  <c r="K230" i="6"/>
  <c r="L230" i="6" s="1"/>
  <c r="Q229" i="6"/>
  <c r="S229" i="6" s="1"/>
  <c r="U229" i="6"/>
  <c r="P229" i="6"/>
  <c r="J231" i="6" l="1"/>
  <c r="K231" i="6"/>
  <c r="L231" i="6" s="1"/>
  <c r="Q230" i="6"/>
  <c r="S230" i="6" s="1"/>
  <c r="U230" i="6"/>
  <c r="P230" i="6"/>
  <c r="J232" i="6" l="1"/>
  <c r="K232" i="6"/>
  <c r="L232" i="6" s="1"/>
  <c r="Q231" i="6"/>
  <c r="S231" i="6" s="1"/>
  <c r="U231" i="6"/>
  <c r="P231" i="6"/>
  <c r="J233" i="6" l="1"/>
  <c r="K233" i="6"/>
  <c r="L233" i="6" s="1"/>
  <c r="Q232" i="6"/>
  <c r="S232" i="6" s="1"/>
  <c r="U232" i="6"/>
  <c r="P232" i="6"/>
  <c r="K234" i="6" l="1"/>
  <c r="L234" i="6" s="1"/>
  <c r="J234" i="6"/>
  <c r="Q233" i="6"/>
  <c r="S233" i="6" s="1"/>
  <c r="U233" i="6"/>
  <c r="P233" i="6"/>
  <c r="J235" i="6" l="1"/>
  <c r="K235" i="6"/>
  <c r="L235" i="6" s="1"/>
  <c r="Q234" i="6"/>
  <c r="S234" i="6" s="1"/>
  <c r="U234" i="6"/>
  <c r="P234" i="6"/>
  <c r="J236" i="6" l="1"/>
  <c r="K236" i="6"/>
  <c r="L236" i="6" s="1"/>
  <c r="Q235" i="6"/>
  <c r="S235" i="6" s="1"/>
  <c r="U235" i="6"/>
  <c r="P235" i="6"/>
  <c r="K237" i="6" l="1"/>
  <c r="L237" i="6" s="1"/>
  <c r="U237" i="6" s="1"/>
  <c r="J237" i="6"/>
  <c r="Q236" i="6"/>
  <c r="S236" i="6" s="1"/>
  <c r="U236" i="6"/>
  <c r="P236" i="6"/>
  <c r="J238" i="6" l="1"/>
  <c r="K238" i="6"/>
  <c r="L238" i="6" s="1"/>
  <c r="Q237" i="6"/>
  <c r="S237" i="6" s="1"/>
  <c r="P237" i="6"/>
  <c r="J239" i="6" l="1"/>
  <c r="K239" i="6"/>
  <c r="L239" i="6" s="1"/>
  <c r="Q238" i="6"/>
  <c r="S238" i="6" s="1"/>
  <c r="U238" i="6"/>
  <c r="P238" i="6"/>
  <c r="J240" i="6" l="1"/>
  <c r="K240" i="6"/>
  <c r="L240" i="6" s="1"/>
  <c r="Q239" i="6"/>
  <c r="S239" i="6" s="1"/>
  <c r="U239" i="6"/>
  <c r="P239" i="6"/>
  <c r="J241" i="6" l="1"/>
  <c r="K241" i="6"/>
  <c r="L241" i="6" s="1"/>
  <c r="Q240" i="6"/>
  <c r="S240" i="6" s="1"/>
  <c r="U240" i="6"/>
  <c r="P240" i="6"/>
  <c r="J242" i="6" l="1"/>
  <c r="K242" i="6"/>
  <c r="L242" i="6" s="1"/>
  <c r="Q241" i="6"/>
  <c r="S241" i="6" s="1"/>
  <c r="U241" i="6"/>
  <c r="P241" i="6"/>
  <c r="J243" i="6" l="1"/>
  <c r="K243" i="6"/>
  <c r="L243" i="6" s="1"/>
  <c r="Q242" i="6"/>
  <c r="S242" i="6" s="1"/>
  <c r="U242" i="6"/>
  <c r="P242" i="6"/>
  <c r="J244" i="6" l="1"/>
  <c r="K244" i="6"/>
  <c r="L244" i="6" s="1"/>
  <c r="Q243" i="6"/>
  <c r="S243" i="6" s="1"/>
  <c r="U243" i="6"/>
  <c r="P243" i="6"/>
  <c r="K245" i="6" l="1"/>
  <c r="L245" i="6" s="1"/>
  <c r="J245" i="6"/>
  <c r="Q244" i="6"/>
  <c r="S244" i="6" s="1"/>
  <c r="U244" i="6"/>
  <c r="P244" i="6"/>
  <c r="J246" i="6" l="1"/>
  <c r="K246" i="6"/>
  <c r="L246" i="6" s="1"/>
  <c r="Q245" i="6"/>
  <c r="S245" i="6" s="1"/>
  <c r="U245" i="6"/>
  <c r="P245" i="6"/>
  <c r="J247" i="6" l="1"/>
  <c r="K247" i="6"/>
  <c r="L247" i="6" s="1"/>
  <c r="Q246" i="6"/>
  <c r="S246" i="6" s="1"/>
  <c r="U246" i="6"/>
  <c r="P246" i="6"/>
  <c r="J248" i="6" l="1"/>
  <c r="K248" i="6"/>
  <c r="L248" i="6" s="1"/>
  <c r="Q247" i="6"/>
  <c r="S247" i="6" s="1"/>
  <c r="U247" i="6"/>
  <c r="P247" i="6"/>
  <c r="J249" i="6" l="1"/>
  <c r="K249" i="6"/>
  <c r="L249" i="6" s="1"/>
  <c r="Q248" i="6"/>
  <c r="S248" i="6" s="1"/>
  <c r="U248" i="6"/>
  <c r="P248" i="6"/>
  <c r="J250" i="6" l="1"/>
  <c r="K250" i="6"/>
  <c r="L250" i="6" s="1"/>
  <c r="Q249" i="6"/>
  <c r="S249" i="6" s="1"/>
  <c r="U249" i="6"/>
  <c r="P249" i="6"/>
  <c r="J251" i="6" l="1"/>
  <c r="K251" i="6"/>
  <c r="L251" i="6" s="1"/>
  <c r="Q250" i="6"/>
  <c r="S250" i="6" s="1"/>
  <c r="U250" i="6"/>
  <c r="P250" i="6"/>
  <c r="J252" i="6" l="1"/>
  <c r="K252" i="6"/>
  <c r="L252" i="6" s="1"/>
  <c r="Q251" i="6"/>
  <c r="S251" i="6" s="1"/>
  <c r="U251" i="6"/>
  <c r="P251" i="6"/>
  <c r="J253" i="6" l="1"/>
  <c r="K253" i="6"/>
  <c r="L253" i="6" s="1"/>
  <c r="Q252" i="6"/>
  <c r="S252" i="6" s="1"/>
  <c r="U252" i="6"/>
  <c r="P252" i="6"/>
  <c r="J254" i="6" l="1"/>
  <c r="K254" i="6"/>
  <c r="L254" i="6" s="1"/>
  <c r="Q253" i="6"/>
  <c r="S253" i="6" s="1"/>
  <c r="U253" i="6"/>
  <c r="P253" i="6"/>
  <c r="J255" i="6" l="1"/>
  <c r="K255" i="6"/>
  <c r="L255" i="6" s="1"/>
  <c r="Q254" i="6"/>
  <c r="S254" i="6" s="1"/>
  <c r="U254" i="6"/>
  <c r="P254" i="6"/>
  <c r="J256" i="6" l="1"/>
  <c r="K256" i="6"/>
  <c r="L256" i="6" s="1"/>
  <c r="Q255" i="6"/>
  <c r="S255" i="6" s="1"/>
  <c r="U255" i="6"/>
  <c r="P255" i="6"/>
  <c r="J257" i="6" l="1"/>
  <c r="K257" i="6"/>
  <c r="L257" i="6" s="1"/>
  <c r="Q256" i="6"/>
  <c r="S256" i="6" s="1"/>
  <c r="U256" i="6"/>
  <c r="P256" i="6"/>
  <c r="J258" i="6" l="1"/>
  <c r="K258" i="6"/>
  <c r="L258" i="6" s="1"/>
  <c r="Q257" i="6"/>
  <c r="S257" i="6" s="1"/>
  <c r="U257" i="6"/>
  <c r="P257" i="6"/>
  <c r="J259" i="6" l="1"/>
  <c r="K259" i="6"/>
  <c r="L259" i="6" s="1"/>
  <c r="Q258" i="6"/>
  <c r="S258" i="6" s="1"/>
  <c r="U258" i="6"/>
  <c r="P258" i="6"/>
  <c r="J260" i="6" l="1"/>
  <c r="K260" i="6"/>
  <c r="L260" i="6" s="1"/>
  <c r="Q259" i="6"/>
  <c r="S259" i="6" s="1"/>
  <c r="U259" i="6"/>
  <c r="P259" i="6"/>
  <c r="J261" i="6" l="1"/>
  <c r="K261" i="6"/>
  <c r="L261" i="6" s="1"/>
  <c r="Q260" i="6"/>
  <c r="S260" i="6" s="1"/>
  <c r="U260" i="6"/>
  <c r="P260" i="6"/>
  <c r="J262" i="6" l="1"/>
  <c r="K262" i="6"/>
  <c r="L262" i="6" s="1"/>
  <c r="Q261" i="6"/>
  <c r="S261" i="6" s="1"/>
  <c r="U261" i="6"/>
  <c r="P261" i="6"/>
  <c r="J263" i="6" l="1"/>
  <c r="K263" i="6"/>
  <c r="L263" i="6" s="1"/>
  <c r="Q262" i="6"/>
  <c r="S262" i="6" s="1"/>
  <c r="U262" i="6"/>
  <c r="P262" i="6"/>
  <c r="J264" i="6" l="1"/>
  <c r="K264" i="6"/>
  <c r="L264" i="6" s="1"/>
  <c r="Q263" i="6"/>
  <c r="S263" i="6" s="1"/>
  <c r="U263" i="6"/>
  <c r="P263" i="6"/>
  <c r="J265" i="6" l="1"/>
  <c r="K265" i="6"/>
  <c r="L265" i="6" s="1"/>
  <c r="Q264" i="6"/>
  <c r="S264" i="6" s="1"/>
  <c r="U264" i="6"/>
  <c r="P264" i="6"/>
  <c r="J266" i="6" l="1"/>
  <c r="K266" i="6"/>
  <c r="L266" i="6" s="1"/>
  <c r="Q265" i="6"/>
  <c r="S265" i="6" s="1"/>
  <c r="U265" i="6"/>
  <c r="P265" i="6"/>
  <c r="J267" i="6" l="1"/>
  <c r="K267" i="6"/>
  <c r="L267" i="6" s="1"/>
  <c r="Q266" i="6"/>
  <c r="S266" i="6" s="1"/>
  <c r="U266" i="6"/>
  <c r="P266" i="6"/>
  <c r="J268" i="6" l="1"/>
  <c r="K268" i="6"/>
  <c r="L268" i="6" s="1"/>
  <c r="Q267" i="6"/>
  <c r="S267" i="6" s="1"/>
  <c r="U267" i="6"/>
  <c r="P267" i="6"/>
  <c r="J269" i="6" l="1"/>
  <c r="K269" i="6"/>
  <c r="L269" i="6" s="1"/>
  <c r="Q268" i="6"/>
  <c r="S268" i="6" s="1"/>
  <c r="U268" i="6"/>
  <c r="P268" i="6"/>
  <c r="J270" i="6" l="1"/>
  <c r="K270" i="6"/>
  <c r="L270" i="6" s="1"/>
  <c r="Q269" i="6"/>
  <c r="S269" i="6" s="1"/>
  <c r="U269" i="6"/>
  <c r="P269" i="6"/>
  <c r="J271" i="6" l="1"/>
  <c r="K271" i="6"/>
  <c r="L271" i="6" s="1"/>
  <c r="Q270" i="6"/>
  <c r="S270" i="6" s="1"/>
  <c r="U270" i="6"/>
  <c r="P270" i="6"/>
  <c r="J272" i="6" l="1"/>
  <c r="K272" i="6"/>
  <c r="L272" i="6" s="1"/>
  <c r="Q271" i="6"/>
  <c r="S271" i="6" s="1"/>
  <c r="U271" i="6"/>
  <c r="P271" i="6"/>
  <c r="J273" i="6" l="1"/>
  <c r="K273" i="6"/>
  <c r="L273" i="6" s="1"/>
  <c r="Q272" i="6"/>
  <c r="S272" i="6" s="1"/>
  <c r="U272" i="6"/>
  <c r="P272" i="6"/>
  <c r="J274" i="6" l="1"/>
  <c r="K274" i="6"/>
  <c r="L274" i="6" s="1"/>
  <c r="U274" i="6" s="1"/>
  <c r="Q273" i="6"/>
  <c r="S273" i="6" s="1"/>
  <c r="U273" i="6"/>
  <c r="P273" i="6"/>
  <c r="J275" i="6" l="1"/>
  <c r="K275" i="6"/>
  <c r="L275" i="6" s="1"/>
  <c r="Q274" i="6"/>
  <c r="S274" i="6" s="1"/>
  <c r="P274" i="6"/>
  <c r="J276" i="6" l="1"/>
  <c r="K276" i="6"/>
  <c r="L276" i="6" s="1"/>
  <c r="Q275" i="6"/>
  <c r="S275" i="6" s="1"/>
  <c r="U275" i="6"/>
  <c r="P275" i="6"/>
  <c r="J277" i="6" l="1"/>
  <c r="K277" i="6"/>
  <c r="L277" i="6" s="1"/>
  <c r="Q276" i="6"/>
  <c r="S276" i="6" s="1"/>
  <c r="U276" i="6"/>
  <c r="P276" i="6"/>
  <c r="J278" i="6" l="1"/>
  <c r="K278" i="6"/>
  <c r="L278" i="6" s="1"/>
  <c r="Q277" i="6"/>
  <c r="S277" i="6" s="1"/>
  <c r="U277" i="6"/>
  <c r="P277" i="6"/>
  <c r="J279" i="6" l="1"/>
  <c r="K279" i="6"/>
  <c r="L279" i="6" s="1"/>
  <c r="Q278" i="6"/>
  <c r="S278" i="6" s="1"/>
  <c r="U278" i="6"/>
  <c r="P278" i="6"/>
  <c r="J280" i="6" l="1"/>
  <c r="K280" i="6"/>
  <c r="L280" i="6" s="1"/>
  <c r="Q279" i="6"/>
  <c r="S279" i="6" s="1"/>
  <c r="U279" i="6"/>
  <c r="P279" i="6"/>
  <c r="J281" i="6" l="1"/>
  <c r="K281" i="6"/>
  <c r="L281" i="6" s="1"/>
  <c r="Q280" i="6"/>
  <c r="S280" i="6" s="1"/>
  <c r="U280" i="6"/>
  <c r="P280" i="6"/>
  <c r="J282" i="6" l="1"/>
  <c r="K282" i="6"/>
  <c r="L282" i="6" s="1"/>
  <c r="Q281" i="6"/>
  <c r="S281" i="6" s="1"/>
  <c r="U281" i="6"/>
  <c r="P281" i="6"/>
  <c r="J283" i="6" l="1"/>
  <c r="K283" i="6"/>
  <c r="L283" i="6" s="1"/>
  <c r="Q282" i="6"/>
  <c r="S282" i="6" s="1"/>
  <c r="U282" i="6"/>
  <c r="P282" i="6"/>
  <c r="J284" i="6" l="1"/>
  <c r="K284" i="6"/>
  <c r="L284" i="6" s="1"/>
  <c r="Q283" i="6"/>
  <c r="S283" i="6" s="1"/>
  <c r="U283" i="6"/>
  <c r="P283" i="6"/>
  <c r="J285" i="6" l="1"/>
  <c r="K285" i="6"/>
  <c r="L285" i="6" s="1"/>
  <c r="Q284" i="6"/>
  <c r="S284" i="6" s="1"/>
  <c r="U284" i="6"/>
  <c r="P284" i="6"/>
  <c r="J286" i="6" l="1"/>
  <c r="K286" i="6"/>
  <c r="L286" i="6" s="1"/>
  <c r="Q285" i="6"/>
  <c r="S285" i="6" s="1"/>
  <c r="U285" i="6"/>
  <c r="P285" i="6"/>
  <c r="J287" i="6" l="1"/>
  <c r="K287" i="6"/>
  <c r="L287" i="6" s="1"/>
  <c r="Q286" i="6"/>
  <c r="S286" i="6" s="1"/>
  <c r="U286" i="6"/>
  <c r="P286" i="6"/>
  <c r="J288" i="6" l="1"/>
  <c r="K288" i="6"/>
  <c r="L288" i="6" s="1"/>
  <c r="Q287" i="6"/>
  <c r="S287" i="6" s="1"/>
  <c r="U287" i="6"/>
  <c r="P287" i="6"/>
  <c r="J289" i="6" l="1"/>
  <c r="K289" i="6"/>
  <c r="L289" i="6" s="1"/>
  <c r="Q288" i="6"/>
  <c r="S288" i="6" s="1"/>
  <c r="U288" i="6"/>
  <c r="P288" i="6"/>
  <c r="J290" i="6" l="1"/>
  <c r="K290" i="6"/>
  <c r="L290" i="6" s="1"/>
  <c r="Q289" i="6"/>
  <c r="S289" i="6" s="1"/>
  <c r="U289" i="6"/>
  <c r="P289" i="6"/>
  <c r="J291" i="6" l="1"/>
  <c r="K291" i="6"/>
  <c r="L291" i="6" s="1"/>
  <c r="Q290" i="6"/>
  <c r="S290" i="6" s="1"/>
  <c r="U290" i="6"/>
  <c r="P290" i="6"/>
  <c r="J292" i="6" l="1"/>
  <c r="K292" i="6"/>
  <c r="L292" i="6" s="1"/>
  <c r="Q291" i="6"/>
  <c r="S291" i="6" s="1"/>
  <c r="U291" i="6"/>
  <c r="P291" i="6"/>
  <c r="J293" i="6" l="1"/>
  <c r="K293" i="6"/>
  <c r="L293" i="6" s="1"/>
  <c r="Q292" i="6"/>
  <c r="S292" i="6" s="1"/>
  <c r="U292" i="6"/>
  <c r="P292" i="6"/>
  <c r="J294" i="6" l="1"/>
  <c r="K294" i="6"/>
  <c r="L294" i="6" s="1"/>
  <c r="Q293" i="6"/>
  <c r="S293" i="6" s="1"/>
  <c r="U293" i="6"/>
  <c r="P293" i="6"/>
  <c r="J295" i="6" l="1"/>
  <c r="K295" i="6"/>
  <c r="L295" i="6" s="1"/>
  <c r="Q294" i="6"/>
  <c r="S294" i="6" s="1"/>
  <c r="U294" i="6"/>
  <c r="P294" i="6"/>
  <c r="J296" i="6" l="1"/>
  <c r="K296" i="6"/>
  <c r="L296" i="6" s="1"/>
  <c r="Q295" i="6"/>
  <c r="S295" i="6" s="1"/>
  <c r="U295" i="6"/>
  <c r="P295" i="6"/>
  <c r="J297" i="6" l="1"/>
  <c r="K297" i="6"/>
  <c r="L297" i="6" s="1"/>
  <c r="Q296" i="6"/>
  <c r="S296" i="6" s="1"/>
  <c r="U296" i="6"/>
  <c r="P296" i="6"/>
  <c r="J298" i="6" l="1"/>
  <c r="K298" i="6"/>
  <c r="L298" i="6" s="1"/>
  <c r="Q297" i="6"/>
  <c r="S297" i="6" s="1"/>
  <c r="U297" i="6"/>
  <c r="P297" i="6"/>
  <c r="J299" i="6" l="1"/>
  <c r="K299" i="6"/>
  <c r="L299" i="6" s="1"/>
  <c r="Q298" i="6"/>
  <c r="S298" i="6" s="1"/>
  <c r="U298" i="6"/>
  <c r="P298" i="6"/>
  <c r="J300" i="6" l="1"/>
  <c r="K300" i="6"/>
  <c r="L300" i="6" s="1"/>
  <c r="Q299" i="6"/>
  <c r="S299" i="6" s="1"/>
  <c r="U299" i="6"/>
  <c r="P299" i="6"/>
  <c r="J301" i="6" l="1"/>
  <c r="K301" i="6"/>
  <c r="L301" i="6" s="1"/>
  <c r="Q300" i="6"/>
  <c r="S300" i="6" s="1"/>
  <c r="U300" i="6"/>
  <c r="P300" i="6"/>
  <c r="J302" i="6" l="1"/>
  <c r="K302" i="6"/>
  <c r="L302" i="6" s="1"/>
  <c r="Q301" i="6"/>
  <c r="S301" i="6" s="1"/>
  <c r="U301" i="6"/>
  <c r="P301" i="6"/>
  <c r="J303" i="6" l="1"/>
  <c r="K303" i="6"/>
  <c r="L303" i="6" s="1"/>
  <c r="Q302" i="6"/>
  <c r="S302" i="6" s="1"/>
  <c r="U302" i="6"/>
  <c r="P302" i="6"/>
  <c r="J304" i="6" l="1"/>
  <c r="K304" i="6"/>
  <c r="L304" i="6" s="1"/>
  <c r="Q303" i="6"/>
  <c r="S303" i="6" s="1"/>
  <c r="U303" i="6"/>
  <c r="P303" i="6"/>
  <c r="J305" i="6" l="1"/>
  <c r="K305" i="6"/>
  <c r="L305" i="6" s="1"/>
  <c r="Q304" i="6"/>
  <c r="S304" i="6" s="1"/>
  <c r="U304" i="6"/>
  <c r="P304" i="6"/>
  <c r="J306" i="6" l="1"/>
  <c r="K306" i="6"/>
  <c r="L306" i="6" s="1"/>
  <c r="Q305" i="6"/>
  <c r="S305" i="6" s="1"/>
  <c r="U305" i="6"/>
  <c r="P305" i="6"/>
  <c r="J307" i="6" l="1"/>
  <c r="K307" i="6"/>
  <c r="L307" i="6" s="1"/>
  <c r="Q306" i="6"/>
  <c r="S306" i="6" s="1"/>
  <c r="U306" i="6"/>
  <c r="P306" i="6"/>
  <c r="J308" i="6" l="1"/>
  <c r="K308" i="6"/>
  <c r="L308" i="6" s="1"/>
  <c r="Q307" i="6"/>
  <c r="S307" i="6" s="1"/>
  <c r="U307" i="6"/>
  <c r="P307" i="6"/>
  <c r="J309" i="6" l="1"/>
  <c r="K309" i="6"/>
  <c r="L309" i="6" s="1"/>
  <c r="Q308" i="6"/>
  <c r="S308" i="6" s="1"/>
  <c r="U308" i="6"/>
  <c r="P308" i="6"/>
  <c r="J310" i="6" l="1"/>
  <c r="K310" i="6"/>
  <c r="L310" i="6" s="1"/>
  <c r="Q309" i="6"/>
  <c r="S309" i="6" s="1"/>
  <c r="U309" i="6"/>
  <c r="P309" i="6"/>
  <c r="J311" i="6" l="1"/>
  <c r="K311" i="6"/>
  <c r="L311" i="6" s="1"/>
  <c r="Q310" i="6"/>
  <c r="S310" i="6" s="1"/>
  <c r="U310" i="6"/>
  <c r="P310" i="6"/>
  <c r="J312" i="6" l="1"/>
  <c r="K312" i="6"/>
  <c r="L312" i="6" s="1"/>
  <c r="Q311" i="6"/>
  <c r="S311" i="6" s="1"/>
  <c r="U311" i="6"/>
  <c r="P311" i="6"/>
  <c r="J313" i="6" l="1"/>
  <c r="K313" i="6"/>
  <c r="L313" i="6" s="1"/>
  <c r="Q312" i="6"/>
  <c r="S312" i="6" s="1"/>
  <c r="U312" i="6"/>
  <c r="P312" i="6"/>
  <c r="J314" i="6" l="1"/>
  <c r="K314" i="6"/>
  <c r="L314" i="6" s="1"/>
  <c r="Q313" i="6"/>
  <c r="S313" i="6" s="1"/>
  <c r="U313" i="6"/>
  <c r="P313" i="6"/>
  <c r="J315" i="6" l="1"/>
  <c r="K315" i="6"/>
  <c r="L315" i="6" s="1"/>
  <c r="Q314" i="6"/>
  <c r="S314" i="6" s="1"/>
  <c r="U314" i="6"/>
  <c r="P314" i="6"/>
  <c r="J316" i="6" l="1"/>
  <c r="K316" i="6"/>
  <c r="L316" i="6" s="1"/>
  <c r="Q315" i="6"/>
  <c r="S315" i="6" s="1"/>
  <c r="U315" i="6"/>
  <c r="P315" i="6"/>
  <c r="J317" i="6" l="1"/>
  <c r="K317" i="6"/>
  <c r="L317" i="6" s="1"/>
  <c r="Q316" i="6"/>
  <c r="S316" i="6" s="1"/>
  <c r="U316" i="6"/>
  <c r="P316" i="6"/>
  <c r="J318" i="6" l="1"/>
  <c r="K318" i="6"/>
  <c r="L318" i="6" s="1"/>
  <c r="Q317" i="6"/>
  <c r="S317" i="6" s="1"/>
  <c r="U317" i="6"/>
  <c r="P317" i="6"/>
  <c r="J319" i="6" l="1"/>
  <c r="K319" i="6"/>
  <c r="L319" i="6" s="1"/>
  <c r="Q318" i="6"/>
  <c r="S318" i="6" s="1"/>
  <c r="U318" i="6"/>
  <c r="P318" i="6"/>
  <c r="J320" i="6" l="1"/>
  <c r="K320" i="6"/>
  <c r="L320" i="6" s="1"/>
  <c r="Q319" i="6"/>
  <c r="S319" i="6" s="1"/>
  <c r="U319" i="6"/>
  <c r="P319" i="6"/>
  <c r="J321" i="6" l="1"/>
  <c r="K321" i="6"/>
  <c r="L321" i="6" s="1"/>
  <c r="Q320" i="6"/>
  <c r="S320" i="6" s="1"/>
  <c r="U320" i="6"/>
  <c r="P320" i="6"/>
  <c r="J322" i="6" l="1"/>
  <c r="K322" i="6"/>
  <c r="L322" i="6" s="1"/>
  <c r="Q321" i="6"/>
  <c r="S321" i="6" s="1"/>
  <c r="U321" i="6"/>
  <c r="P321" i="6"/>
  <c r="J323" i="6" l="1"/>
  <c r="K323" i="6"/>
  <c r="L323" i="6" s="1"/>
  <c r="Q322" i="6"/>
  <c r="S322" i="6" s="1"/>
  <c r="U322" i="6"/>
  <c r="P322" i="6"/>
  <c r="J324" i="6" l="1"/>
  <c r="K324" i="6"/>
  <c r="L324" i="6" s="1"/>
  <c r="Q323" i="6"/>
  <c r="S323" i="6" s="1"/>
  <c r="U323" i="6"/>
  <c r="P323" i="6"/>
  <c r="J325" i="6" l="1"/>
  <c r="K325" i="6"/>
  <c r="L325" i="6" s="1"/>
  <c r="U325" i="6" s="1"/>
  <c r="Q324" i="6"/>
  <c r="S324" i="6" s="1"/>
  <c r="U324" i="6"/>
  <c r="P324" i="6"/>
  <c r="J326" i="6" l="1"/>
  <c r="K326" i="6"/>
  <c r="L326" i="6" s="1"/>
  <c r="Q325" i="6"/>
  <c r="S325" i="6" s="1"/>
  <c r="P325" i="6"/>
  <c r="J327" i="6" l="1"/>
  <c r="K327" i="6"/>
  <c r="L327" i="6" s="1"/>
  <c r="Q326" i="6"/>
  <c r="S326" i="6" s="1"/>
  <c r="U326" i="6"/>
  <c r="P326" i="6"/>
  <c r="J328" i="6" l="1"/>
  <c r="K328" i="6"/>
  <c r="L328" i="6" s="1"/>
  <c r="Q327" i="6"/>
  <c r="S327" i="6" s="1"/>
  <c r="U327" i="6"/>
  <c r="P327" i="6"/>
  <c r="J329" i="6" l="1"/>
  <c r="K329" i="6"/>
  <c r="L329" i="6" s="1"/>
  <c r="Q328" i="6"/>
  <c r="S328" i="6" s="1"/>
  <c r="U328" i="6"/>
  <c r="P328" i="6"/>
  <c r="J330" i="6" l="1"/>
  <c r="K330" i="6"/>
  <c r="L330" i="6" s="1"/>
  <c r="U330" i="6" s="1"/>
  <c r="Q329" i="6"/>
  <c r="S329" i="6" s="1"/>
  <c r="U329" i="6"/>
  <c r="P329" i="6"/>
  <c r="J331" i="6" l="1"/>
  <c r="K331" i="6"/>
  <c r="L331" i="6" s="1"/>
  <c r="U331" i="6" s="1"/>
  <c r="P330" i="6"/>
  <c r="Q330" i="6"/>
  <c r="S330" i="6" s="1"/>
  <c r="J332" i="6" l="1"/>
  <c r="K332" i="6"/>
  <c r="L332" i="6" s="1"/>
  <c r="P331" i="6"/>
  <c r="Q331" i="6"/>
  <c r="S331" i="6" s="1"/>
  <c r="J333" i="6" l="1"/>
  <c r="K333" i="6"/>
  <c r="L333" i="6" s="1"/>
  <c r="Q332" i="6"/>
  <c r="S332" i="6" s="1"/>
  <c r="U332" i="6"/>
  <c r="P332" i="6"/>
  <c r="J334" i="6" l="1"/>
  <c r="K334" i="6"/>
  <c r="L334" i="6" s="1"/>
  <c r="Q333" i="6"/>
  <c r="S333" i="6" s="1"/>
  <c r="U333" i="6"/>
  <c r="P333" i="6"/>
  <c r="J335" i="6" l="1"/>
  <c r="K335" i="6"/>
  <c r="L335" i="6" s="1"/>
  <c r="Q334" i="6"/>
  <c r="S334" i="6" s="1"/>
  <c r="U334" i="6"/>
  <c r="P334" i="6"/>
  <c r="J336" i="6" l="1"/>
  <c r="K336" i="6"/>
  <c r="L336" i="6" s="1"/>
  <c r="Q335" i="6"/>
  <c r="S335" i="6" s="1"/>
  <c r="U335" i="6"/>
  <c r="P335" i="6"/>
  <c r="J337" i="6" l="1"/>
  <c r="K337" i="6"/>
  <c r="L337" i="6" s="1"/>
  <c r="Q336" i="6"/>
  <c r="S336" i="6" s="1"/>
  <c r="U336" i="6"/>
  <c r="P336" i="6"/>
  <c r="J338" i="6" l="1"/>
  <c r="K338" i="6"/>
  <c r="L338" i="6" s="1"/>
  <c r="Q337" i="6"/>
  <c r="S337" i="6" s="1"/>
  <c r="U337" i="6"/>
  <c r="P337" i="6"/>
  <c r="J339" i="6" l="1"/>
  <c r="K339" i="6"/>
  <c r="L339" i="6" s="1"/>
  <c r="Q338" i="6"/>
  <c r="S338" i="6" s="1"/>
  <c r="U338" i="6"/>
  <c r="P338" i="6"/>
  <c r="J340" i="6" l="1"/>
  <c r="K340" i="6"/>
  <c r="L340" i="6" s="1"/>
  <c r="Q339" i="6"/>
  <c r="S339" i="6" s="1"/>
  <c r="U339" i="6"/>
  <c r="P339" i="6"/>
  <c r="J341" i="6" l="1"/>
  <c r="K341" i="6"/>
  <c r="L341" i="6" s="1"/>
  <c r="Q340" i="6"/>
  <c r="S340" i="6" s="1"/>
  <c r="U340" i="6"/>
  <c r="P340" i="6"/>
  <c r="J342" i="6" l="1"/>
  <c r="K343" i="6" s="1"/>
  <c r="K342" i="6"/>
  <c r="L342" i="6" s="1"/>
  <c r="Q341" i="6"/>
  <c r="S341" i="6" s="1"/>
  <c r="U341" i="6"/>
  <c r="P341" i="6"/>
  <c r="Q342" i="6" l="1"/>
  <c r="S342" i="6" s="1"/>
  <c r="U342" i="6"/>
  <c r="P342" i="6"/>
  <c r="J343" i="6"/>
  <c r="L343" i="6"/>
  <c r="J344" i="6" l="1"/>
  <c r="K344" i="6"/>
  <c r="L344" i="6" s="1"/>
  <c r="Q343" i="6"/>
  <c r="S343" i="6" s="1"/>
  <c r="U343" i="6"/>
  <c r="P343" i="6"/>
  <c r="J345" i="6" l="1"/>
  <c r="K345" i="6"/>
  <c r="L345" i="6" s="1"/>
  <c r="Q344" i="6"/>
  <c r="S344" i="6" s="1"/>
  <c r="U344" i="6"/>
  <c r="P344" i="6"/>
  <c r="J346" i="6" l="1"/>
  <c r="K346" i="6"/>
  <c r="L346" i="6" s="1"/>
  <c r="Q345" i="6"/>
  <c r="S345" i="6" s="1"/>
  <c r="U345" i="6"/>
  <c r="P345" i="6"/>
  <c r="J347" i="6" l="1"/>
  <c r="K347" i="6"/>
  <c r="L347" i="6" s="1"/>
  <c r="Q346" i="6"/>
  <c r="S346" i="6" s="1"/>
  <c r="U346" i="6"/>
  <c r="P346" i="6"/>
  <c r="J348" i="6" l="1"/>
  <c r="K348" i="6"/>
  <c r="L348" i="6" s="1"/>
  <c r="Q347" i="6"/>
  <c r="S347" i="6" s="1"/>
  <c r="U347" i="6"/>
  <c r="P347" i="6"/>
  <c r="J349" i="6" l="1"/>
  <c r="K349" i="6"/>
  <c r="L349" i="6" s="1"/>
  <c r="Q348" i="6"/>
  <c r="S348" i="6" s="1"/>
  <c r="U348" i="6"/>
  <c r="P348" i="6"/>
  <c r="J350" i="6" l="1"/>
  <c r="K350" i="6"/>
  <c r="L350" i="6" s="1"/>
  <c r="Q349" i="6"/>
  <c r="S349" i="6" s="1"/>
  <c r="U349" i="6"/>
  <c r="P349" i="6"/>
  <c r="J351" i="6" l="1"/>
  <c r="K351" i="6"/>
  <c r="L351" i="6" s="1"/>
  <c r="Q350" i="6"/>
  <c r="S350" i="6" s="1"/>
  <c r="U350" i="6"/>
  <c r="P350" i="6"/>
  <c r="J352" i="6" l="1"/>
  <c r="K352" i="6"/>
  <c r="L352" i="6" s="1"/>
  <c r="Q351" i="6"/>
  <c r="S351" i="6" s="1"/>
  <c r="U351" i="6"/>
  <c r="P351" i="6"/>
  <c r="J353" i="6" l="1"/>
  <c r="K353" i="6"/>
  <c r="L353" i="6" s="1"/>
  <c r="Q352" i="6"/>
  <c r="S352" i="6" s="1"/>
  <c r="U352" i="6"/>
  <c r="P352" i="6"/>
  <c r="J354" i="6" l="1"/>
  <c r="K354" i="6"/>
  <c r="L354" i="6" s="1"/>
  <c r="Q353" i="6"/>
  <c r="S353" i="6" s="1"/>
  <c r="U353" i="6"/>
  <c r="P353" i="6"/>
  <c r="J355" i="6" l="1"/>
  <c r="K355" i="6"/>
  <c r="L355" i="6" s="1"/>
  <c r="Q354" i="6"/>
  <c r="S354" i="6" s="1"/>
  <c r="U354" i="6"/>
  <c r="P354" i="6"/>
  <c r="J356" i="6" l="1"/>
  <c r="K356" i="6"/>
  <c r="L356" i="6" s="1"/>
  <c r="Q355" i="6"/>
  <c r="S355" i="6" s="1"/>
  <c r="U355" i="6"/>
  <c r="P355" i="6"/>
  <c r="J357" i="6" l="1"/>
  <c r="K357" i="6"/>
  <c r="L357" i="6" s="1"/>
  <c r="Q356" i="6"/>
  <c r="S356" i="6" s="1"/>
  <c r="U356" i="6"/>
  <c r="P356" i="6"/>
  <c r="J358" i="6" l="1"/>
  <c r="K358" i="6"/>
  <c r="L358" i="6" s="1"/>
  <c r="Q357" i="6"/>
  <c r="S357" i="6" s="1"/>
  <c r="U357" i="6"/>
  <c r="P357" i="6"/>
  <c r="J359" i="6" l="1"/>
  <c r="K359" i="6"/>
  <c r="L359" i="6" s="1"/>
  <c r="Q358" i="6"/>
  <c r="S358" i="6" s="1"/>
  <c r="U358" i="6"/>
  <c r="P358" i="6"/>
  <c r="J360" i="6" l="1"/>
  <c r="K360" i="6"/>
  <c r="L360" i="6" s="1"/>
  <c r="Q359" i="6"/>
  <c r="S359" i="6" s="1"/>
  <c r="U359" i="6"/>
  <c r="P359" i="6"/>
  <c r="J361" i="6" l="1"/>
  <c r="K361" i="6"/>
  <c r="L361" i="6" s="1"/>
  <c r="Q360" i="6"/>
  <c r="S360" i="6" s="1"/>
  <c r="U360" i="6"/>
  <c r="P360" i="6"/>
  <c r="J362" i="6" l="1"/>
  <c r="K362" i="6"/>
  <c r="L362" i="6" s="1"/>
  <c r="Q361" i="6"/>
  <c r="S361" i="6" s="1"/>
  <c r="U361" i="6"/>
  <c r="P361" i="6"/>
  <c r="J363" i="6" l="1"/>
  <c r="K363" i="6"/>
  <c r="L363" i="6" s="1"/>
  <c r="Q362" i="6"/>
  <c r="S362" i="6" s="1"/>
  <c r="U362" i="6"/>
  <c r="P362" i="6"/>
  <c r="J364" i="6" l="1"/>
  <c r="K364" i="6"/>
  <c r="L364" i="6" s="1"/>
  <c r="Q363" i="6"/>
  <c r="S363" i="6" s="1"/>
  <c r="U363" i="6"/>
  <c r="P363" i="6"/>
  <c r="J365" i="6" l="1"/>
  <c r="K365" i="6"/>
  <c r="L365" i="6" s="1"/>
  <c r="Q364" i="6"/>
  <c r="S364" i="6" s="1"/>
  <c r="U364" i="6"/>
  <c r="P364" i="6"/>
  <c r="J366" i="6" l="1"/>
  <c r="K366" i="6"/>
  <c r="L366" i="6" s="1"/>
  <c r="Q365" i="6"/>
  <c r="S365" i="6" s="1"/>
  <c r="U365" i="6"/>
  <c r="P365" i="6"/>
  <c r="J367" i="6" l="1"/>
  <c r="K367" i="6"/>
  <c r="L367" i="6" s="1"/>
  <c r="Q366" i="6"/>
  <c r="S366" i="6" s="1"/>
  <c r="U366" i="6"/>
  <c r="P366" i="6"/>
  <c r="J368" i="6" l="1"/>
  <c r="K368" i="6"/>
  <c r="L368" i="6" s="1"/>
  <c r="Q367" i="6"/>
  <c r="S367" i="6" s="1"/>
  <c r="U367" i="6"/>
  <c r="P367" i="6"/>
  <c r="J369" i="6" l="1"/>
  <c r="K369" i="6"/>
  <c r="L369" i="6" s="1"/>
  <c r="Q368" i="6"/>
  <c r="S368" i="6" s="1"/>
  <c r="U368" i="6"/>
  <c r="P368" i="6"/>
  <c r="J370" i="6" l="1"/>
  <c r="K370" i="6"/>
  <c r="L370" i="6" s="1"/>
  <c r="Q369" i="6"/>
  <c r="S369" i="6" s="1"/>
  <c r="U369" i="6"/>
  <c r="P369" i="6"/>
  <c r="J371" i="6" l="1"/>
  <c r="K371" i="6"/>
  <c r="L371" i="6" s="1"/>
  <c r="Q370" i="6"/>
  <c r="S370" i="6" s="1"/>
  <c r="U370" i="6"/>
  <c r="P370" i="6"/>
  <c r="J372" i="6" l="1"/>
  <c r="K372" i="6"/>
  <c r="L372" i="6" s="1"/>
  <c r="Q371" i="6"/>
  <c r="S371" i="6" s="1"/>
  <c r="U371" i="6"/>
  <c r="P371" i="6"/>
  <c r="Q372" i="6" l="1"/>
  <c r="S372" i="6" s="1"/>
  <c r="U372" i="6"/>
  <c r="P372" i="6"/>
</calcChain>
</file>

<file path=xl/sharedStrings.xml><?xml version="1.0" encoding="utf-8"?>
<sst xmlns="http://schemas.openxmlformats.org/spreadsheetml/2006/main" count="286" uniqueCount="148">
  <si>
    <t>Total/mois</t>
  </si>
  <si>
    <t>Qualité</t>
  </si>
  <si>
    <t>MS x MJME</t>
  </si>
  <si>
    <t>TOTAL</t>
  </si>
  <si>
    <t>PASSIVE</t>
  </si>
  <si>
    <t>ACTIVE</t>
  </si>
  <si>
    <t>ACTIVE MS</t>
  </si>
  <si>
    <t>MJ ME /jr</t>
  </si>
  <si>
    <t>/jour</t>
  </si>
  <si>
    <t>MJ ME</t>
  </si>
  <si>
    <t>Annuel</t>
  </si>
  <si>
    <t>Mois</t>
  </si>
  <si>
    <t>jrs/mois</t>
  </si>
  <si>
    <t>kg/MS/Ha/jr</t>
  </si>
  <si>
    <t>kg/MS/Ha</t>
  </si>
  <si>
    <t>64 Ha</t>
  </si>
  <si>
    <t>jan</t>
  </si>
  <si>
    <t>fev</t>
  </si>
  <si>
    <t xml:space="preserve">mars </t>
  </si>
  <si>
    <t>avril</t>
  </si>
  <si>
    <t>mai</t>
  </si>
  <si>
    <t>juin</t>
  </si>
  <si>
    <t>juillet</t>
  </si>
  <si>
    <t>aout</t>
  </si>
  <si>
    <t>sept</t>
  </si>
  <si>
    <t>oct</t>
  </si>
  <si>
    <t>nov</t>
  </si>
  <si>
    <t>dec</t>
  </si>
  <si>
    <t>Moy</t>
  </si>
  <si>
    <t>MJME/jr</t>
  </si>
  <si>
    <t>KgMS/day</t>
  </si>
  <si>
    <t>Total/jr</t>
  </si>
  <si>
    <t>Besoin brebis MJME/MS/an</t>
  </si>
  <si>
    <t>Gestion Des Courbes</t>
  </si>
  <si>
    <t>Courbe Passive</t>
  </si>
  <si>
    <t>Courbe Active</t>
  </si>
  <si>
    <t>Besoin Chaptel</t>
  </si>
  <si>
    <t>Courbe active</t>
  </si>
  <si>
    <t>Courbe besoin chaptel</t>
  </si>
  <si>
    <t>Nombre d'animaux</t>
  </si>
  <si>
    <t>Total nombre d'animaux/mois</t>
  </si>
  <si>
    <t>Courbe megajoule dispo(active)</t>
  </si>
  <si>
    <t>Courbe megajoule( Passive)</t>
  </si>
  <si>
    <t>Megajoule Passive</t>
  </si>
  <si>
    <t>Total MjME Passive/mois</t>
  </si>
  <si>
    <t>Qualité Passive</t>
  </si>
  <si>
    <t xml:space="preserve">Courbe étude POTENTIEL ET OBJECTIVE </t>
  </si>
  <si>
    <t>Courbe Active (Qualité en MJ ME /jr)</t>
  </si>
  <si>
    <t>Chaptel</t>
  </si>
  <si>
    <t>Activé</t>
  </si>
  <si>
    <t>Desactivé</t>
  </si>
  <si>
    <t>Type de Chaptel</t>
  </si>
  <si>
    <t>Nombre</t>
  </si>
  <si>
    <t>Type de Flore</t>
  </si>
  <si>
    <t>Forcage</t>
  </si>
  <si>
    <t>1/0</t>
  </si>
  <si>
    <t>MEGA active</t>
  </si>
  <si>
    <t>Passive</t>
  </si>
  <si>
    <t>Megajoule Actif</t>
  </si>
  <si>
    <t>Chaptel 2</t>
  </si>
  <si>
    <t>Coeff Passiv/active</t>
  </si>
  <si>
    <t>Dont Touch ( pour faire des test , changer les valeurs dans la base de donnés)</t>
  </si>
  <si>
    <t>(Tableau automatisé , Pour modification voir Page accueuil ou base de données)</t>
  </si>
  <si>
    <t>Permet d'activer ou desactivé les courbes directement ici</t>
  </si>
  <si>
    <t>A renseigné Page "accueuil"</t>
  </si>
  <si>
    <t>Mes grigri de devellopement je vais les effacer rapidement</t>
  </si>
  <si>
    <t>Modificateur de courbe , Dont touch</t>
  </si>
  <si>
    <t>Menu déroulant pour l'activation des differentes courbes</t>
  </si>
  <si>
    <t>Code couleur en fonction des Courbes</t>
  </si>
  <si>
    <t>Besoins MS/MJME</t>
  </si>
  <si>
    <t>Summer Dry</t>
  </si>
  <si>
    <t>Medium hill inbye</t>
  </si>
  <si>
    <t>HQ dairy pasture</t>
  </si>
  <si>
    <t>dairy 12mnthr</t>
  </si>
  <si>
    <t>beef finisher R2</t>
  </si>
  <si>
    <t>spring lmb Waireres</t>
  </si>
  <si>
    <t>Test</t>
  </si>
  <si>
    <t>test</t>
  </si>
  <si>
    <t>Courbe passive en kgMs/jr</t>
  </si>
  <si>
    <t>Megajoule Objectif</t>
  </si>
  <si>
    <t>% Objectif de la courbe</t>
  </si>
  <si>
    <t>Janvier</t>
  </si>
  <si>
    <t>Fevrier</t>
  </si>
  <si>
    <t>Mars</t>
  </si>
  <si>
    <t>Avril</t>
  </si>
  <si>
    <t>Mai</t>
  </si>
  <si>
    <t>Juin</t>
  </si>
  <si>
    <t>Juillet</t>
  </si>
  <si>
    <t>Août</t>
  </si>
  <si>
    <t>Septembre</t>
  </si>
  <si>
    <t>Octobre</t>
  </si>
  <si>
    <t>Novembre</t>
  </si>
  <si>
    <t>Décembre</t>
  </si>
  <si>
    <t>Besoin different</t>
  </si>
  <si>
    <t>Février</t>
  </si>
  <si>
    <t>Courbe Megajoule Objectif</t>
  </si>
  <si>
    <t>Différence de la Courbe objectif moins le Besoin</t>
  </si>
  <si>
    <t>Année</t>
  </si>
  <si>
    <t>Ecart</t>
  </si>
  <si>
    <t>Négatif</t>
  </si>
  <si>
    <t>Positif</t>
  </si>
  <si>
    <t>Pour les courbes , pas besoin de regardez cela</t>
  </si>
  <si>
    <t>Resultat</t>
  </si>
  <si>
    <t>Données prise feuilles calculs</t>
  </si>
  <si>
    <t>Pas touche !(Données prise tableurs au dessus)</t>
  </si>
  <si>
    <t>Pas Touche (Données prise sur le coté +calculs)</t>
  </si>
  <si>
    <t>Choix de different aspect</t>
  </si>
  <si>
    <t>Masquer</t>
  </si>
  <si>
    <t>Dec</t>
  </si>
  <si>
    <t>Groupe de production(Chiffre)</t>
  </si>
  <si>
    <t>Dont Touch</t>
  </si>
  <si>
    <t>Resultats</t>
  </si>
  <si>
    <t>Exemple</t>
  </si>
  <si>
    <t>Interprétation de la feuille</t>
  </si>
  <si>
    <t>IMPORTANT</t>
  </si>
  <si>
    <t>Périodes(Durée)</t>
  </si>
  <si>
    <t>Dont Touch( Resultats pris au dessus)</t>
  </si>
  <si>
    <t>Decoupage et rotation avec Dates et nombre de jours</t>
  </si>
  <si>
    <t>Courbe active (Pousse/jour)</t>
  </si>
  <si>
    <t>Calendrier</t>
  </si>
  <si>
    <t>Pousse/Jour</t>
  </si>
  <si>
    <t>Coupe haute</t>
  </si>
  <si>
    <t>Coupe basse</t>
  </si>
  <si>
    <t>Valeurs prise grace au base de donnée( Choisir page 1)</t>
  </si>
  <si>
    <t>Total pousse</t>
  </si>
  <si>
    <t>Compteur de jours de rotations</t>
  </si>
  <si>
    <t>Date des rotations</t>
  </si>
  <si>
    <t xml:space="preserve">A Remplir </t>
  </si>
  <si>
    <t>Ressource dispo</t>
  </si>
  <si>
    <t>Taille du chaptel</t>
  </si>
  <si>
    <t>Besoin par animal KgMS/day</t>
  </si>
  <si>
    <t>Besoin du chaptel par jour</t>
  </si>
  <si>
    <t>Moyenne du besoin par rota</t>
  </si>
  <si>
    <t>Besoin en Ha par tranche de 24</t>
  </si>
  <si>
    <t>Besoin Ha pour Chaque rotation au total</t>
  </si>
  <si>
    <t>Valeur la plus haute pour determiné les parcelles en HA</t>
  </si>
  <si>
    <t>Incrémentation mensuelle des coupes</t>
  </si>
  <si>
    <t>Coupe Basse</t>
  </si>
  <si>
    <t>Parcelles aire pour 24h en Ha</t>
  </si>
  <si>
    <t>A remplir avec + X ou -X</t>
  </si>
  <si>
    <t>Ne pas touchez</t>
  </si>
  <si>
    <t>Nombre de jour pour la rotation</t>
  </si>
  <si>
    <t>Besoin en Ha pour la rotation</t>
  </si>
  <si>
    <t>Dates des rotations</t>
  </si>
  <si>
    <t>Chaptel 2 KgMS/day</t>
  </si>
  <si>
    <t>Chaptel MJME/jr</t>
  </si>
  <si>
    <t>Nombre de jours pour une rotation</t>
  </si>
  <si>
    <t>Date Precise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</si>
</sst>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40C]d\-mmm;@"/>
  </numFmts>
  <fonts count="67" x14ac:knownFonts="1">
    <font>
      <sz val="11"/>
      <color theme="1"/>
      <name val="Calibri"/>
      <family val="2"/>
    </font>
    <font>
      <sz val="11"/>
      <color theme="1"/>
      <name val="Calibri"/>
      <family val="2"/>
      <scheme val="minor"/>
    </font>
    <font>
      <b/>
      <sz val="14"/>
      <name val="Arial"/>
      <family val="2"/>
    </font>
    <font>
      <sz val="10"/>
      <color rgb="FFFF0000"/>
      <name val="Arial"/>
      <family val="2"/>
    </font>
    <font>
      <b/>
      <sz val="10"/>
      <color rgb="FFFF0000"/>
      <name val="Arial"/>
      <family val="2"/>
    </font>
    <font>
      <b/>
      <sz val="10"/>
      <color rgb="FF0070C0"/>
      <name val="Arial"/>
      <family val="2"/>
    </font>
    <font>
      <b/>
      <sz val="10"/>
      <color rgb="FF00B050"/>
      <name val="Arial"/>
      <family val="2"/>
    </font>
    <font>
      <b/>
      <sz val="11"/>
      <name val="Arial"/>
      <family val="2"/>
    </font>
    <font>
      <b/>
      <sz val="9"/>
      <color rgb="FF0070C0"/>
      <name val="Arial"/>
      <family val="2"/>
    </font>
    <font>
      <sz val="10"/>
      <color rgb="FF0070C0"/>
      <name val="Arial"/>
      <family val="2"/>
    </font>
    <font>
      <sz val="10"/>
      <color rgb="FF00B050"/>
      <name val="Arial"/>
      <family val="2"/>
    </font>
    <font>
      <b/>
      <sz val="11"/>
      <color rgb="FFFF0000"/>
      <name val="Arial"/>
      <family val="2"/>
    </font>
    <font>
      <b/>
      <sz val="11"/>
      <color rgb="FF00B050"/>
      <name val="Arial"/>
      <family val="2"/>
    </font>
    <font>
      <b/>
      <sz val="11"/>
      <color rgb="FF0070C0"/>
      <name val="Arial"/>
      <family val="2"/>
    </font>
    <font>
      <b/>
      <sz val="10"/>
      <name val="Arial"/>
      <family val="2"/>
    </font>
    <font>
      <sz val="10"/>
      <name val="Arial"/>
      <family val="2"/>
    </font>
    <font>
      <b/>
      <sz val="10"/>
      <color rgb="FF7030A0"/>
      <name val="Arial"/>
      <family val="2"/>
    </font>
    <font>
      <b/>
      <sz val="11"/>
      <color rgb="FF7030A0"/>
      <name val="Arial"/>
      <family val="2"/>
    </font>
    <font>
      <b/>
      <sz val="12"/>
      <color rgb="FF00B050"/>
      <name val="Arial"/>
      <family val="2"/>
    </font>
    <font>
      <u/>
      <sz val="11"/>
      <color rgb="FF7030A0"/>
      <name val="Calibri"/>
      <family val="2"/>
    </font>
    <font>
      <b/>
      <u/>
      <sz val="12"/>
      <color rgb="FF7030A0"/>
      <name val="Calibri"/>
      <family val="2"/>
    </font>
    <font>
      <b/>
      <u/>
      <sz val="10"/>
      <color rgb="FF7030A0"/>
      <name val="Arial"/>
      <family val="2"/>
    </font>
    <font>
      <b/>
      <u/>
      <sz val="12"/>
      <color rgb="FF7030A0"/>
      <name val="Arial"/>
      <family val="2"/>
    </font>
    <font>
      <sz val="12"/>
      <color theme="1"/>
      <name val="Calibri"/>
      <family val="2"/>
    </font>
    <font>
      <u/>
      <sz val="16"/>
      <color theme="1"/>
      <name val="Calibri"/>
      <family val="2"/>
    </font>
    <font>
      <b/>
      <sz val="12"/>
      <color theme="1"/>
      <name val="Calibri"/>
      <family val="2"/>
    </font>
    <font>
      <b/>
      <sz val="10"/>
      <color rgb="FFFFC000"/>
      <name val="Arial"/>
      <family val="2"/>
    </font>
    <font>
      <sz val="10"/>
      <color rgb="FFFFC000"/>
      <name val="Arial"/>
      <family val="2"/>
    </font>
    <font>
      <b/>
      <sz val="11"/>
      <color rgb="FFFFC000"/>
      <name val="Arial"/>
      <family val="2"/>
    </font>
    <font>
      <b/>
      <sz val="9"/>
      <color rgb="FFFFC000"/>
      <name val="Arial"/>
      <family val="2"/>
    </font>
    <font>
      <b/>
      <sz val="10"/>
      <color theme="1"/>
      <name val="Arial"/>
      <family val="2"/>
    </font>
    <font>
      <b/>
      <sz val="9"/>
      <color theme="1"/>
      <name val="Arial"/>
      <family val="2"/>
    </font>
    <font>
      <sz val="10"/>
      <color theme="1"/>
      <name val="Arial"/>
      <family val="2"/>
    </font>
    <font>
      <sz val="11"/>
      <name val="Calibri"/>
      <family val="2"/>
    </font>
    <font>
      <sz val="11"/>
      <color theme="1"/>
      <name val="Arial"/>
      <family val="2"/>
    </font>
    <font>
      <b/>
      <sz val="11"/>
      <color theme="1"/>
      <name val="Arial"/>
      <family val="2"/>
    </font>
    <font>
      <sz val="11"/>
      <color theme="3"/>
      <name val="Calibri"/>
      <family val="2"/>
    </font>
    <font>
      <sz val="11"/>
      <color rgb="FFFF0000"/>
      <name val="Calibri"/>
      <family val="2"/>
    </font>
    <font>
      <sz val="14"/>
      <color theme="1"/>
      <name val="Calibri"/>
      <family val="2"/>
    </font>
    <font>
      <b/>
      <sz val="11"/>
      <color theme="1"/>
      <name val="Calibri"/>
      <family val="2"/>
    </font>
    <font>
      <sz val="12"/>
      <name val="Calibri"/>
      <family val="2"/>
    </font>
    <font>
      <u/>
      <sz val="12"/>
      <color theme="1"/>
      <name val="Calibri"/>
      <family val="2"/>
    </font>
    <font>
      <b/>
      <u/>
      <sz val="11"/>
      <color theme="1"/>
      <name val="Calibri"/>
      <family val="2"/>
    </font>
    <font>
      <b/>
      <sz val="14"/>
      <color theme="1"/>
      <name val="Calibri"/>
      <family val="2"/>
    </font>
    <font>
      <b/>
      <u/>
      <sz val="26"/>
      <color theme="1"/>
      <name val="Calibri"/>
      <family val="2"/>
    </font>
    <font>
      <sz val="9"/>
      <name val="Arial"/>
      <family val="2"/>
    </font>
    <font>
      <sz val="11"/>
      <color theme="1"/>
      <name val="Arial"/>
      <family val="2"/>
    </font>
    <font>
      <sz val="10"/>
      <name val="Arial"/>
      <family val="2"/>
    </font>
    <font>
      <sz val="11"/>
      <name val="Calibri"/>
      <family val="2"/>
    </font>
    <font>
      <sz val="11"/>
      <color rgb="FF92D050"/>
      <name val="Calibri"/>
      <family val="2"/>
    </font>
    <font>
      <sz val="11"/>
      <color theme="0" tint="-0.249977111117893"/>
      <name val="Calibri"/>
      <family val="2"/>
    </font>
    <font>
      <sz val="10"/>
      <color theme="1"/>
      <name val="Calibri"/>
      <family val="2"/>
    </font>
    <font>
      <b/>
      <i/>
      <sz val="11"/>
      <name val="Calibri"/>
      <family val="2"/>
    </font>
    <font>
      <b/>
      <i/>
      <u/>
      <sz val="11"/>
      <name val="Calibri"/>
      <family val="2"/>
    </font>
    <font>
      <sz val="16"/>
      <color theme="1"/>
      <name val="Calibri"/>
      <family val="2"/>
    </font>
    <font>
      <u/>
      <sz val="11"/>
      <color theme="1"/>
      <name val="Calibri"/>
      <family val="2"/>
    </font>
    <font>
      <sz val="11"/>
      <color rgb="FFFF0000"/>
      <name val="Calibri"/>
      <family val="2"/>
      <scheme val="minor"/>
    </font>
    <font>
      <sz val="9"/>
      <color rgb="FF111111"/>
      <name val="Courier New"/>
      <family val="3"/>
    </font>
    <font>
      <b/>
      <sz val="11"/>
      <color theme="0"/>
      <name val="Calibri"/>
      <family val="2"/>
    </font>
    <font>
      <sz val="11"/>
      <color theme="0"/>
      <name val="Calibri"/>
      <family val="2"/>
    </font>
    <font>
      <b/>
      <sz val="16"/>
      <color theme="1"/>
      <name val="Calibri"/>
      <family val="2"/>
    </font>
    <font>
      <b/>
      <i/>
      <u/>
      <sz val="11"/>
      <color theme="3" tint="-0.249977111117893"/>
      <name val="Calibri"/>
      <family val="2"/>
    </font>
    <font>
      <b/>
      <sz val="12"/>
      <name val="Calibri"/>
      <family val="2"/>
    </font>
    <font>
      <b/>
      <i/>
      <sz val="11"/>
      <color theme="1"/>
      <name val="Calibri"/>
      <family val="2"/>
    </font>
    <font>
      <b/>
      <i/>
      <u/>
      <sz val="12"/>
      <color theme="1"/>
      <name val="Calibri"/>
      <family val="2"/>
    </font>
    <font>
      <b/>
      <sz val="10"/>
      <color theme="1"/>
      <name val="Calibri"/>
      <family val="2"/>
    </font>
    <font>
      <sz val="11"/>
      <color theme="4"/>
      <name val="Calibri"/>
      <family val="2"/>
    </font>
  </fonts>
  <fills count="19">
    <fill>
      <patternFill patternType="none"/>
    </fill>
    <fill>
      <patternFill patternType="gray125"/>
    </fill>
    <fill>
      <patternFill patternType="solid">
        <fgColor rgb="FF92D050"/>
        <bgColor indexed="64"/>
      </patternFill>
    </fill>
    <fill>
      <patternFill patternType="solid">
        <fgColor rgb="FF00B050"/>
        <bgColor indexed="64"/>
      </patternFill>
    </fill>
    <fill>
      <patternFill patternType="solid">
        <fgColor theme="3" tint="0.39997558519241921"/>
        <bgColor indexed="64"/>
      </patternFill>
    </fill>
    <fill>
      <patternFill patternType="solid">
        <fgColor rgb="FFFF0000"/>
        <bgColor indexed="64"/>
      </patternFill>
    </fill>
    <fill>
      <patternFill patternType="solid">
        <fgColor rgb="FFFFC000"/>
        <bgColor indexed="64"/>
      </patternFill>
    </fill>
    <fill>
      <patternFill patternType="solid">
        <fgColor theme="0"/>
        <bgColor indexed="64"/>
      </patternFill>
    </fill>
    <fill>
      <patternFill patternType="solid">
        <fgColor rgb="FF0070C0"/>
        <bgColor indexed="64"/>
      </patternFill>
    </fill>
    <fill>
      <patternFill patternType="solid">
        <fgColor theme="9" tint="-0.249977111117893"/>
        <bgColor indexed="64"/>
      </patternFill>
    </fill>
    <fill>
      <patternFill patternType="solid">
        <fgColor theme="5"/>
        <bgColor indexed="64"/>
      </patternFill>
    </fill>
    <fill>
      <patternFill patternType="solid">
        <fgColor theme="2"/>
        <bgColor indexed="64"/>
      </patternFill>
    </fill>
    <fill>
      <patternFill patternType="solid">
        <fgColor theme="6" tint="-0.249977111117893"/>
        <bgColor indexed="64"/>
      </patternFill>
    </fill>
    <fill>
      <patternFill patternType="solid">
        <fgColor theme="7" tint="-0.249977111117893"/>
        <bgColor indexed="64"/>
      </patternFill>
    </fill>
    <fill>
      <patternFill patternType="solid">
        <fgColor theme="2" tint="-0.499984740745262"/>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5" tint="-0.249977111117893"/>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cellStyleXfs>
  <cellXfs count="374">
    <xf numFmtId="0" fontId="0" fillId="0" borderId="0" xfId="0"/>
    <xf numFmtId="0" fontId="2" fillId="0" borderId="0" xfId="0" applyFont="1"/>
    <xf numFmtId="0" fontId="25" fillId="2" borderId="0" xfId="0" applyFont="1" applyFill="1" applyAlignment="1">
      <alignment horizontal="center"/>
    </xf>
    <xf numFmtId="0" fontId="25" fillId="5" borderId="0" xfId="0" applyFont="1" applyFill="1" applyAlignment="1">
      <alignment horizontal="center"/>
    </xf>
    <xf numFmtId="0" fontId="25" fillId="3" borderId="0" xfId="0" applyFont="1" applyFill="1" applyAlignment="1">
      <alignment horizontal="center"/>
    </xf>
    <xf numFmtId="0" fontId="0" fillId="0" borderId="0" xfId="0" applyAlignment="1">
      <alignment horizontal="center"/>
    </xf>
    <xf numFmtId="0" fontId="0" fillId="0" borderId="0" xfId="0" applyAlignment="1">
      <alignment horizontal="center"/>
    </xf>
    <xf numFmtId="0" fontId="0" fillId="0" borderId="0" xfId="0" applyBorder="1"/>
    <xf numFmtId="0" fontId="0" fillId="0" borderId="1" xfId="0" applyBorder="1"/>
    <xf numFmtId="0" fontId="14" fillId="7" borderId="2" xfId="0" applyFont="1" applyFill="1" applyBorder="1" applyAlignment="1">
      <alignment horizontal="center"/>
    </xf>
    <xf numFmtId="0" fontId="14" fillId="7" borderId="3" xfId="0" applyFont="1" applyFill="1" applyBorder="1" applyAlignment="1">
      <alignment horizontal="center"/>
    </xf>
    <xf numFmtId="0" fontId="2" fillId="0" borderId="1" xfId="0" applyFont="1" applyBorder="1"/>
    <xf numFmtId="0" fontId="3" fillId="0" borderId="1" xfId="0" applyFont="1" applyBorder="1"/>
    <xf numFmtId="0" fontId="4" fillId="0" borderId="1" xfId="0" applyFont="1" applyBorder="1"/>
    <xf numFmtId="0" fontId="26" fillId="7" borderId="1" xfId="0" applyFont="1" applyFill="1" applyBorder="1" applyAlignment="1">
      <alignment horizontal="center"/>
    </xf>
    <xf numFmtId="0" fontId="5" fillId="0" borderId="1" xfId="0" applyFont="1" applyBorder="1" applyAlignment="1">
      <alignment horizontal="center"/>
    </xf>
    <xf numFmtId="0" fontId="6" fillId="0" borderId="1" xfId="0" applyFont="1" applyBorder="1"/>
    <xf numFmtId="0" fontId="26" fillId="0" borderId="1" xfId="0" applyFont="1" applyBorder="1"/>
    <xf numFmtId="0" fontId="6" fillId="0" borderId="1" xfId="0" applyFont="1" applyBorder="1" applyAlignment="1">
      <alignment horizontal="center"/>
    </xf>
    <xf numFmtId="0" fontId="7" fillId="0" borderId="1" xfId="0" applyFont="1" applyBorder="1" applyAlignment="1">
      <alignment horizontal="center"/>
    </xf>
    <xf numFmtId="0" fontId="29" fillId="7" borderId="1" xfId="0" applyFont="1" applyFill="1" applyBorder="1" applyAlignment="1">
      <alignment horizontal="center"/>
    </xf>
    <xf numFmtId="0" fontId="8" fillId="0" borderId="1" xfId="0" applyFont="1" applyBorder="1" applyAlignment="1">
      <alignment horizontal="center"/>
    </xf>
    <xf numFmtId="0" fontId="26" fillId="0" borderId="1" xfId="0" applyFont="1" applyBorder="1" applyAlignment="1">
      <alignment horizontal="center"/>
    </xf>
    <xf numFmtId="0" fontId="3" fillId="0" borderId="1" xfId="0" applyFont="1" applyBorder="1" applyAlignment="1">
      <alignment horizontal="center"/>
    </xf>
    <xf numFmtId="0" fontId="9" fillId="0" borderId="1" xfId="0" applyFont="1" applyBorder="1" applyAlignment="1">
      <alignment horizontal="center"/>
    </xf>
    <xf numFmtId="0" fontId="10" fillId="0" borderId="1" xfId="0" applyFont="1" applyBorder="1" applyAlignment="1">
      <alignment horizontal="center"/>
    </xf>
    <xf numFmtId="0" fontId="27" fillId="0" borderId="1" xfId="0" applyFont="1" applyBorder="1" applyAlignment="1">
      <alignment horizontal="center"/>
    </xf>
    <xf numFmtId="1" fontId="11" fillId="0" borderId="1" xfId="0" applyNumberFormat="1" applyFont="1" applyBorder="1" applyAlignment="1">
      <alignment horizontal="center"/>
    </xf>
    <xf numFmtId="1" fontId="12" fillId="0" borderId="1" xfId="0" applyNumberFormat="1" applyFont="1" applyBorder="1" applyAlignment="1">
      <alignment horizontal="center"/>
    </xf>
    <xf numFmtId="1" fontId="13" fillId="0" borderId="1" xfId="0" applyNumberFormat="1" applyFont="1" applyBorder="1" applyAlignment="1">
      <alignment horizontal="center"/>
    </xf>
    <xf numFmtId="0" fontId="4" fillId="3" borderId="1" xfId="0" applyFont="1" applyFill="1" applyBorder="1" applyAlignment="1">
      <alignment horizontal="center"/>
    </xf>
    <xf numFmtId="0" fontId="15" fillId="7" borderId="6" xfId="0" applyFont="1" applyFill="1" applyBorder="1"/>
    <xf numFmtId="0" fontId="31" fillId="7" borderId="1" xfId="0" applyFont="1" applyFill="1" applyBorder="1" applyAlignment="1">
      <alignment horizontal="center"/>
    </xf>
    <xf numFmtId="0" fontId="34" fillId="7" borderId="1" xfId="0" applyFont="1" applyFill="1" applyBorder="1"/>
    <xf numFmtId="0" fontId="30" fillId="7" borderId="1" xfId="0" applyFont="1" applyFill="1" applyBorder="1"/>
    <xf numFmtId="0" fontId="32" fillId="7" borderId="1" xfId="0" applyFont="1" applyFill="1" applyBorder="1" applyAlignment="1">
      <alignment horizontal="center"/>
    </xf>
    <xf numFmtId="0" fontId="37" fillId="7" borderId="1" xfId="0" applyFont="1" applyFill="1" applyBorder="1"/>
    <xf numFmtId="0" fontId="33" fillId="7" borderId="2" xfId="0" applyFont="1" applyFill="1" applyBorder="1"/>
    <xf numFmtId="0" fontId="33" fillId="7" borderId="6" xfId="0" applyFont="1" applyFill="1" applyBorder="1"/>
    <xf numFmtId="0" fontId="33" fillId="7" borderId="3" xfId="0" applyFont="1" applyFill="1" applyBorder="1"/>
    <xf numFmtId="0" fontId="38" fillId="2" borderId="0" xfId="0" applyFont="1" applyFill="1" applyAlignment="1">
      <alignment horizontal="center"/>
    </xf>
    <xf numFmtId="0" fontId="38" fillId="3" borderId="0" xfId="0" applyFont="1" applyFill="1" applyAlignment="1">
      <alignment horizontal="center"/>
    </xf>
    <xf numFmtId="0" fontId="38" fillId="6" borderId="0" xfId="0" applyFont="1" applyFill="1" applyAlignment="1">
      <alignment horizontal="center"/>
    </xf>
    <xf numFmtId="0" fontId="38" fillId="8" borderId="0" xfId="0" applyFont="1" applyFill="1" applyAlignment="1">
      <alignment horizontal="center"/>
    </xf>
    <xf numFmtId="0" fontId="38" fillId="5" borderId="0" xfId="0" applyFont="1" applyFill="1" applyAlignment="1">
      <alignment horizontal="center"/>
    </xf>
    <xf numFmtId="0" fontId="38" fillId="0" borderId="0" xfId="0" applyFont="1" applyAlignment="1">
      <alignment horizontal="center"/>
    </xf>
    <xf numFmtId="0" fontId="25" fillId="8" borderId="0" xfId="0" applyFont="1" applyFill="1" applyAlignment="1">
      <alignment horizontal="center"/>
    </xf>
    <xf numFmtId="0" fontId="39" fillId="6" borderId="0" xfId="0" applyFont="1" applyFill="1" applyAlignment="1">
      <alignment horizontal="center"/>
    </xf>
    <xf numFmtId="0" fontId="25" fillId="0" borderId="0" xfId="0" applyFont="1" applyAlignment="1">
      <alignment horizontal="center"/>
    </xf>
    <xf numFmtId="0" fontId="0" fillId="7" borderId="1" xfId="0" applyFill="1" applyBorder="1"/>
    <xf numFmtId="0" fontId="33" fillId="7" borderId="1" xfId="0" applyFont="1" applyFill="1" applyBorder="1"/>
    <xf numFmtId="0" fontId="0" fillId="7" borderId="6" xfId="0" applyFill="1" applyBorder="1"/>
    <xf numFmtId="0" fontId="39" fillId="2" borderId="1" xfId="0" applyFont="1" applyFill="1" applyBorder="1" applyAlignment="1">
      <alignment horizontal="center"/>
    </xf>
    <xf numFmtId="0" fontId="39" fillId="10" borderId="1" xfId="0" applyFont="1" applyFill="1" applyBorder="1" applyAlignment="1">
      <alignment horizontal="center"/>
    </xf>
    <xf numFmtId="0" fontId="46" fillId="7" borderId="0" xfId="0" applyFont="1" applyFill="1"/>
    <xf numFmtId="0" fontId="47" fillId="7" borderId="6" xfId="0" applyFont="1" applyFill="1" applyBorder="1"/>
    <xf numFmtId="0" fontId="48" fillId="7" borderId="6" xfId="0" applyFont="1" applyFill="1" applyBorder="1"/>
    <xf numFmtId="0" fontId="48" fillId="7" borderId="1" xfId="0" applyFont="1" applyFill="1" applyBorder="1"/>
    <xf numFmtId="0" fontId="46" fillId="7" borderId="1" xfId="0" applyFont="1" applyFill="1" applyBorder="1"/>
    <xf numFmtId="0" fontId="50" fillId="0" borderId="0" xfId="0" applyFont="1"/>
    <xf numFmtId="0" fontId="3" fillId="11" borderId="1" xfId="0" applyFont="1" applyFill="1" applyBorder="1" applyAlignment="1">
      <alignment horizontal="center"/>
    </xf>
    <xf numFmtId="0" fontId="4" fillId="2" borderId="1" xfId="0" applyFont="1" applyFill="1" applyBorder="1"/>
    <xf numFmtId="0" fontId="15" fillId="2" borderId="1" xfId="0" applyFont="1" applyFill="1" applyBorder="1"/>
    <xf numFmtId="0" fontId="14" fillId="3" borderId="1" xfId="0" applyFont="1" applyFill="1" applyBorder="1"/>
    <xf numFmtId="0" fontId="4" fillId="7" borderId="1" xfId="0" applyFont="1" applyFill="1" applyBorder="1" applyAlignment="1">
      <alignment horizontal="center"/>
    </xf>
    <xf numFmtId="0" fontId="15" fillId="7" borderId="1" xfId="0" applyFont="1" applyFill="1" applyBorder="1"/>
    <xf numFmtId="0" fontId="15" fillId="7" borderId="1" xfId="0" applyFont="1" applyFill="1" applyBorder="1" applyAlignment="1">
      <alignment horizontal="center"/>
    </xf>
    <xf numFmtId="0" fontId="9" fillId="11" borderId="0" xfId="0" applyFont="1" applyFill="1" applyAlignment="1">
      <alignment horizontal="center"/>
    </xf>
    <xf numFmtId="0" fontId="10" fillId="11" borderId="1" xfId="0" applyFont="1" applyFill="1" applyBorder="1" applyAlignment="1">
      <alignment horizontal="center"/>
    </xf>
    <xf numFmtId="0" fontId="9" fillId="11" borderId="1" xfId="0" applyFont="1" applyFill="1" applyBorder="1" applyAlignment="1">
      <alignment horizontal="center"/>
    </xf>
    <xf numFmtId="9" fontId="0" fillId="0" borderId="0" xfId="0" applyNumberFormat="1"/>
    <xf numFmtId="0" fontId="25" fillId="13" borderId="0" xfId="0" applyFont="1" applyFill="1" applyAlignment="1">
      <alignment horizontal="center"/>
    </xf>
    <xf numFmtId="0" fontId="38" fillId="13" borderId="0" xfId="0" applyFont="1" applyFill="1" applyAlignment="1">
      <alignment horizontal="center"/>
    </xf>
    <xf numFmtId="0" fontId="25" fillId="7" borderId="0" xfId="0" applyFont="1" applyFill="1" applyAlignment="1">
      <alignment horizontal="center"/>
    </xf>
    <xf numFmtId="0" fontId="25" fillId="15" borderId="0" xfId="0" applyFont="1" applyFill="1" applyAlignment="1">
      <alignment horizontal="center"/>
    </xf>
    <xf numFmtId="0" fontId="38" fillId="15" borderId="0" xfId="0" applyFont="1" applyFill="1" applyAlignment="1">
      <alignment horizontal="center"/>
    </xf>
    <xf numFmtId="1" fontId="0" fillId="0" borderId="1" xfId="0" applyNumberFormat="1" applyBorder="1"/>
    <xf numFmtId="1" fontId="0" fillId="0" borderId="1" xfId="0" applyNumberFormat="1" applyBorder="1" applyAlignment="1">
      <alignment horizontal="center"/>
    </xf>
    <xf numFmtId="1" fontId="0" fillId="0" borderId="0" xfId="0" applyNumberFormat="1" applyAlignment="1">
      <alignment horizontal="center"/>
    </xf>
    <xf numFmtId="1" fontId="4" fillId="0" borderId="1" xfId="0" applyNumberFormat="1" applyFont="1" applyBorder="1" applyAlignment="1">
      <alignment horizontal="center"/>
    </xf>
    <xf numFmtId="1" fontId="28" fillId="7" borderId="1" xfId="0" applyNumberFormat="1" applyFont="1" applyFill="1" applyBorder="1" applyAlignment="1">
      <alignment horizontal="center"/>
    </xf>
    <xf numFmtId="1" fontId="5" fillId="0" borderId="1" xfId="0" applyNumberFormat="1" applyFont="1" applyBorder="1" applyAlignment="1">
      <alignment horizontal="center"/>
    </xf>
    <xf numFmtId="1" fontId="28" fillId="0" borderId="1" xfId="0" applyNumberFormat="1" applyFont="1" applyBorder="1" applyAlignment="1">
      <alignment horizontal="center"/>
    </xf>
    <xf numFmtId="1" fontId="0" fillId="0" borderId="0" xfId="0" applyNumberFormat="1"/>
    <xf numFmtId="1" fontId="2" fillId="0" borderId="0" xfId="0" applyNumberFormat="1" applyFont="1"/>
    <xf numFmtId="1" fontId="0" fillId="0" borderId="0" xfId="0" applyNumberFormat="1" applyFill="1"/>
    <xf numFmtId="1" fontId="7" fillId="0" borderId="0" xfId="0" applyNumberFormat="1" applyFont="1" applyAlignment="1">
      <alignment horizontal="center"/>
    </xf>
    <xf numFmtId="1" fontId="14" fillId="0" borderId="0" xfId="0" applyNumberFormat="1" applyFont="1" applyAlignment="1">
      <alignment horizontal="center"/>
    </xf>
    <xf numFmtId="1" fontId="14" fillId="0" borderId="0" xfId="0" applyNumberFormat="1" applyFont="1" applyFill="1"/>
    <xf numFmtId="1" fontId="15" fillId="0" borderId="0" xfId="0" applyNumberFormat="1" applyFont="1"/>
    <xf numFmtId="1" fontId="15" fillId="0" borderId="0" xfId="0" applyNumberFormat="1" applyFont="1" applyAlignment="1">
      <alignment horizontal="center"/>
    </xf>
    <xf numFmtId="1" fontId="14" fillId="0" borderId="1" xfId="0" applyNumberFormat="1" applyFont="1" applyBorder="1" applyAlignment="1"/>
    <xf numFmtId="1" fontId="9" fillId="0" borderId="0" xfId="0" applyNumberFormat="1" applyFont="1" applyAlignment="1">
      <alignment horizontal="center"/>
    </xf>
    <xf numFmtId="1" fontId="17" fillId="0" borderId="0" xfId="0" applyNumberFormat="1" applyFont="1"/>
    <xf numFmtId="1" fontId="19" fillId="0" borderId="0" xfId="0" applyNumberFormat="1" applyFont="1"/>
    <xf numFmtId="1" fontId="20" fillId="0" borderId="0" xfId="0" applyNumberFormat="1" applyFont="1" applyAlignment="1">
      <alignment horizontal="center"/>
    </xf>
    <xf numFmtId="1" fontId="21" fillId="0" borderId="0" xfId="0" applyNumberFormat="1" applyFont="1" applyAlignment="1">
      <alignment horizontal="center"/>
    </xf>
    <xf numFmtId="1" fontId="22" fillId="0" borderId="0" xfId="0" applyNumberFormat="1" applyFont="1" applyAlignment="1">
      <alignment horizontal="center"/>
    </xf>
    <xf numFmtId="1" fontId="18" fillId="0" borderId="0" xfId="0" applyNumberFormat="1" applyFont="1" applyAlignment="1">
      <alignment horizontal="center"/>
    </xf>
    <xf numFmtId="1" fontId="39" fillId="2" borderId="13" xfId="0" applyNumberFormat="1" applyFont="1" applyFill="1" applyBorder="1" applyAlignment="1">
      <alignment horizontal="center"/>
    </xf>
    <xf numFmtId="1" fontId="39" fillId="3" borderId="13" xfId="0" applyNumberFormat="1" applyFont="1" applyFill="1" applyBorder="1" applyAlignment="1">
      <alignment horizontal="center"/>
    </xf>
    <xf numFmtId="1" fontId="39" fillId="6" borderId="13" xfId="0" applyNumberFormat="1" applyFont="1" applyFill="1" applyBorder="1" applyAlignment="1">
      <alignment horizontal="center"/>
    </xf>
    <xf numFmtId="1" fontId="39" fillId="8" borderId="13" xfId="0" applyNumberFormat="1" applyFont="1" applyFill="1" applyBorder="1" applyAlignment="1">
      <alignment horizontal="center"/>
    </xf>
    <xf numFmtId="1" fontId="39" fillId="5" borderId="13" xfId="0" applyNumberFormat="1" applyFont="1" applyFill="1" applyBorder="1" applyAlignment="1">
      <alignment horizontal="center"/>
    </xf>
    <xf numFmtId="1" fontId="39" fillId="13" borderId="13" xfId="0" applyNumberFormat="1" applyFont="1" applyFill="1" applyBorder="1" applyAlignment="1">
      <alignment horizontal="center"/>
    </xf>
    <xf numFmtId="1" fontId="39" fillId="15" borderId="14" xfId="0" applyNumberFormat="1" applyFont="1" applyFill="1" applyBorder="1" applyAlignment="1">
      <alignment horizontal="center"/>
    </xf>
    <xf numFmtId="1" fontId="39" fillId="2" borderId="0" xfId="0" applyNumberFormat="1" applyFont="1" applyFill="1" applyBorder="1" applyAlignment="1">
      <alignment horizontal="center"/>
    </xf>
    <xf numFmtId="1" fontId="39" fillId="3" borderId="0" xfId="0" applyNumberFormat="1" applyFont="1" applyFill="1" applyBorder="1" applyAlignment="1">
      <alignment horizontal="center"/>
    </xf>
    <xf numFmtId="1" fontId="39" fillId="6" borderId="0" xfId="0" applyNumberFormat="1" applyFont="1" applyFill="1" applyBorder="1" applyAlignment="1">
      <alignment horizontal="center"/>
    </xf>
    <xf numFmtId="1" fontId="39" fillId="8" borderId="0" xfId="0" applyNumberFormat="1" applyFont="1" applyFill="1" applyBorder="1" applyAlignment="1">
      <alignment horizontal="center"/>
    </xf>
    <xf numFmtId="1" fontId="39" fillId="5" borderId="0" xfId="0" applyNumberFormat="1" applyFont="1" applyFill="1" applyBorder="1" applyAlignment="1">
      <alignment horizontal="center"/>
    </xf>
    <xf numFmtId="1" fontId="39" fillId="13" borderId="0" xfId="0" applyNumberFormat="1" applyFont="1" applyFill="1" applyBorder="1" applyAlignment="1">
      <alignment horizontal="center"/>
    </xf>
    <xf numFmtId="1" fontId="39" fillId="15" borderId="16" xfId="0" applyNumberFormat="1" applyFont="1" applyFill="1" applyBorder="1" applyAlignment="1">
      <alignment horizontal="center"/>
    </xf>
    <xf numFmtId="1" fontId="39" fillId="2" borderId="18" xfId="0" applyNumberFormat="1" applyFont="1" applyFill="1" applyBorder="1" applyAlignment="1">
      <alignment horizontal="center"/>
    </xf>
    <xf numFmtId="1" fontId="39" fillId="3" borderId="18" xfId="0" applyNumberFormat="1" applyFont="1" applyFill="1" applyBorder="1" applyAlignment="1">
      <alignment horizontal="center"/>
    </xf>
    <xf numFmtId="1" fontId="39" fillId="6" borderId="18" xfId="0" applyNumberFormat="1" applyFont="1" applyFill="1" applyBorder="1" applyAlignment="1">
      <alignment horizontal="center"/>
    </xf>
    <xf numFmtId="1" fontId="39" fillId="8" borderId="18" xfId="0" applyNumberFormat="1" applyFont="1" applyFill="1" applyBorder="1" applyAlignment="1">
      <alignment horizontal="center"/>
    </xf>
    <xf numFmtId="1" fontId="39" fillId="5" borderId="18" xfId="0" applyNumberFormat="1" applyFont="1" applyFill="1" applyBorder="1" applyAlignment="1">
      <alignment horizontal="center"/>
    </xf>
    <xf numFmtId="1" fontId="39" fillId="13" borderId="18" xfId="0" applyNumberFormat="1" applyFont="1" applyFill="1" applyBorder="1" applyAlignment="1">
      <alignment horizontal="center"/>
    </xf>
    <xf numFmtId="1" fontId="39" fillId="15" borderId="19" xfId="0" applyNumberFormat="1" applyFont="1" applyFill="1" applyBorder="1" applyAlignment="1">
      <alignment horizontal="center"/>
    </xf>
    <xf numFmtId="0" fontId="51" fillId="0" borderId="0" xfId="0" applyFont="1"/>
    <xf numFmtId="164" fontId="3" fillId="0" borderId="0" xfId="0" applyNumberFormat="1" applyFont="1" applyAlignment="1">
      <alignment horizontal="center"/>
    </xf>
    <xf numFmtId="164" fontId="14" fillId="7" borderId="1" xfId="0" applyNumberFormat="1" applyFont="1" applyFill="1" applyBorder="1" applyAlignment="1">
      <alignment horizontal="center"/>
    </xf>
    <xf numFmtId="164" fontId="27" fillId="7" borderId="1" xfId="0" applyNumberFormat="1" applyFont="1" applyFill="1" applyBorder="1" applyAlignment="1">
      <alignment horizontal="center"/>
    </xf>
    <xf numFmtId="164" fontId="9" fillId="0" borderId="1" xfId="0" applyNumberFormat="1" applyFont="1" applyBorder="1" applyAlignment="1">
      <alignment horizontal="center"/>
    </xf>
    <xf numFmtId="164" fontId="10" fillId="0" borderId="1" xfId="0" applyNumberFormat="1" applyFont="1" applyBorder="1" applyAlignment="1">
      <alignment horizontal="center"/>
    </xf>
    <xf numFmtId="164" fontId="30" fillId="6" borderId="1" xfId="0" applyNumberFormat="1" applyFont="1" applyFill="1" applyBorder="1" applyAlignment="1">
      <alignment horizontal="center"/>
    </xf>
    <xf numFmtId="164" fontId="30" fillId="8" borderId="1" xfId="0" applyNumberFormat="1" applyFont="1" applyFill="1" applyBorder="1" applyAlignment="1">
      <alignment horizontal="center"/>
    </xf>
    <xf numFmtId="164" fontId="14" fillId="2" borderId="1" xfId="0" applyNumberFormat="1" applyFont="1" applyFill="1" applyBorder="1" applyAlignment="1">
      <alignment horizontal="center"/>
    </xf>
    <xf numFmtId="164" fontId="14" fillId="3" borderId="1" xfId="0" applyNumberFormat="1" applyFont="1" applyFill="1" applyBorder="1" applyAlignment="1">
      <alignment horizontal="center"/>
    </xf>
    <xf numFmtId="164" fontId="16" fillId="0" borderId="0" xfId="0" applyNumberFormat="1" applyFont="1"/>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1" fontId="39" fillId="13" borderId="12" xfId="0" applyNumberFormat="1" applyFont="1" applyFill="1" applyBorder="1" applyAlignment="1">
      <alignment horizontal="center"/>
    </xf>
    <xf numFmtId="1" fontId="39" fillId="13" borderId="15" xfId="0" applyNumberFormat="1" applyFont="1" applyFill="1" applyBorder="1" applyAlignment="1">
      <alignment horizontal="center"/>
    </xf>
    <xf numFmtId="1" fontId="39" fillId="13" borderId="17" xfId="0" applyNumberFormat="1" applyFont="1" applyFill="1" applyBorder="1" applyAlignment="1">
      <alignment horizontal="center"/>
    </xf>
    <xf numFmtId="0" fontId="25" fillId="2" borderId="12" xfId="0" applyFont="1" applyFill="1" applyBorder="1" applyAlignment="1">
      <alignment horizontal="center"/>
    </xf>
    <xf numFmtId="0" fontId="25" fillId="3" borderId="13" xfId="0" applyFont="1" applyFill="1" applyBorder="1" applyAlignment="1">
      <alignment horizontal="center"/>
    </xf>
    <xf numFmtId="0" fontId="39" fillId="6" borderId="13" xfId="0" applyFont="1" applyFill="1" applyBorder="1" applyAlignment="1">
      <alignment horizontal="center"/>
    </xf>
    <xf numFmtId="0" fontId="25" fillId="8" borderId="13" xfId="0" applyFont="1" applyFill="1" applyBorder="1" applyAlignment="1">
      <alignment horizontal="center"/>
    </xf>
    <xf numFmtId="0" fontId="25" fillId="5" borderId="13" xfId="0" applyFont="1" applyFill="1" applyBorder="1" applyAlignment="1">
      <alignment horizontal="center"/>
    </xf>
    <xf numFmtId="0" fontId="25" fillId="13" borderId="13" xfId="0" applyFont="1" applyFill="1" applyBorder="1" applyAlignment="1">
      <alignment horizontal="center"/>
    </xf>
    <xf numFmtId="0" fontId="25" fillId="15" borderId="14" xfId="0" applyFont="1" applyFill="1" applyBorder="1" applyAlignment="1">
      <alignment horizontal="center"/>
    </xf>
    <xf numFmtId="1" fontId="39" fillId="2" borderId="15" xfId="0" applyNumberFormat="1" applyFont="1" applyFill="1" applyBorder="1" applyAlignment="1">
      <alignment horizontal="center"/>
    </xf>
    <xf numFmtId="0" fontId="0" fillId="9" borderId="17" xfId="0" applyFill="1" applyBorder="1" applyAlignment="1">
      <alignment horizontal="center"/>
    </xf>
    <xf numFmtId="0" fontId="0" fillId="9" borderId="18" xfId="0" applyFill="1" applyBorder="1" applyAlignment="1">
      <alignment horizontal="center"/>
    </xf>
    <xf numFmtId="0" fontId="0" fillId="9" borderId="19" xfId="0" applyFill="1" applyBorder="1" applyAlignment="1">
      <alignment horizontal="center"/>
    </xf>
    <xf numFmtId="0" fontId="53" fillId="5" borderId="20" xfId="0" applyFont="1" applyFill="1" applyBorder="1" applyAlignment="1">
      <alignment horizontal="center"/>
    </xf>
    <xf numFmtId="0" fontId="53" fillId="5" borderId="21" xfId="0" applyFont="1" applyFill="1" applyBorder="1" applyAlignment="1">
      <alignment horizontal="center"/>
    </xf>
    <xf numFmtId="0" fontId="53" fillId="5" borderId="22" xfId="0" applyFont="1" applyFill="1" applyBorder="1" applyAlignment="1">
      <alignment horizontal="center"/>
    </xf>
    <xf numFmtId="1" fontId="55" fillId="0" borderId="0" xfId="0" applyNumberFormat="1" applyFont="1" applyAlignment="1">
      <alignment horizontal="center"/>
    </xf>
    <xf numFmtId="0" fontId="52" fillId="0" borderId="20" xfId="0" applyFont="1" applyBorder="1" applyAlignment="1">
      <alignment horizontal="center"/>
    </xf>
    <xf numFmtId="0" fontId="52" fillId="0" borderId="21" xfId="0" applyFont="1" applyBorder="1" applyAlignment="1">
      <alignment horizontal="center"/>
    </xf>
    <xf numFmtId="0" fontId="52" fillId="0" borderId="22" xfId="0" applyFont="1"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11" xfId="0" applyBorder="1"/>
    <xf numFmtId="0" fontId="39" fillId="3" borderId="25" xfId="0" applyFont="1" applyFill="1" applyBorder="1" applyAlignment="1">
      <alignment horizontal="center"/>
    </xf>
    <xf numFmtId="0" fontId="39" fillId="3" borderId="25" xfId="0" applyNumberFormat="1" applyFont="1" applyFill="1" applyBorder="1" applyAlignment="1">
      <alignment horizontal="center"/>
    </xf>
    <xf numFmtId="0" fontId="39" fillId="13" borderId="1" xfId="0" applyFont="1" applyFill="1" applyBorder="1" applyAlignment="1">
      <alignment horizontal="center"/>
    </xf>
    <xf numFmtId="1" fontId="39" fillId="13" borderId="1" xfId="0" applyNumberFormat="1" applyFont="1" applyFill="1" applyBorder="1" applyAlignment="1">
      <alignment horizontal="center"/>
    </xf>
    <xf numFmtId="0" fontId="39" fillId="15" borderId="13" xfId="0" applyFont="1" applyFill="1" applyBorder="1" applyAlignment="1">
      <alignment horizontal="center"/>
    </xf>
    <xf numFmtId="0" fontId="39" fillId="4" borderId="14" xfId="0" applyFont="1" applyFill="1" applyBorder="1" applyAlignment="1">
      <alignment horizontal="center"/>
    </xf>
    <xf numFmtId="1" fontId="39" fillId="15" borderId="0" xfId="0" applyNumberFormat="1" applyFont="1" applyFill="1" applyBorder="1" applyAlignment="1">
      <alignment horizontal="center"/>
    </xf>
    <xf numFmtId="1" fontId="39" fillId="4" borderId="16" xfId="0" applyNumberFormat="1" applyFont="1" applyFill="1" applyBorder="1" applyAlignment="1">
      <alignment horizontal="center"/>
    </xf>
    <xf numFmtId="1" fontId="39" fillId="15" borderId="18" xfId="0" applyNumberFormat="1" applyFont="1" applyFill="1" applyBorder="1" applyAlignment="1">
      <alignment horizontal="center"/>
    </xf>
    <xf numFmtId="1" fontId="39" fillId="4" borderId="19" xfId="0" applyNumberFormat="1" applyFont="1" applyFill="1" applyBorder="1" applyAlignment="1">
      <alignment horizontal="center"/>
    </xf>
    <xf numFmtId="0" fontId="25" fillId="0" borderId="26" xfId="0" applyFont="1" applyBorder="1" applyAlignment="1">
      <alignment horizontal="center"/>
    </xf>
    <xf numFmtId="0" fontId="25" fillId="15" borderId="12" xfId="0" applyFont="1" applyFill="1" applyBorder="1" applyAlignment="1">
      <alignment horizontal="center"/>
    </xf>
    <xf numFmtId="0" fontId="25" fillId="15" borderId="15" xfId="0" applyFont="1" applyFill="1" applyBorder="1" applyAlignment="1">
      <alignment horizontal="center"/>
    </xf>
    <xf numFmtId="0" fontId="0" fillId="15" borderId="16" xfId="0" applyFill="1" applyBorder="1" applyAlignment="1">
      <alignment horizontal="center"/>
    </xf>
    <xf numFmtId="0" fontId="25" fillId="15" borderId="17" xfId="0" applyFont="1" applyFill="1" applyBorder="1" applyAlignment="1">
      <alignment horizontal="center"/>
    </xf>
    <xf numFmtId="0" fontId="0" fillId="15" borderId="19" xfId="0" applyFill="1" applyBorder="1" applyAlignment="1">
      <alignment horizontal="center"/>
    </xf>
    <xf numFmtId="49" fontId="0" fillId="0" borderId="20" xfId="0" applyNumberFormat="1" applyBorder="1" applyAlignment="1">
      <alignment horizontal="center"/>
    </xf>
    <xf numFmtId="49" fontId="0" fillId="0" borderId="23" xfId="0" applyNumberFormat="1" applyBorder="1" applyAlignment="1">
      <alignment horizontal="center"/>
    </xf>
    <xf numFmtId="49" fontId="0" fillId="0" borderId="21" xfId="0" applyNumberFormat="1" applyBorder="1" applyAlignment="1">
      <alignment horizontal="center"/>
    </xf>
    <xf numFmtId="49" fontId="0" fillId="0" borderId="22" xfId="0" applyNumberFormat="1" applyBorder="1" applyAlignment="1">
      <alignment horizontal="center"/>
    </xf>
    <xf numFmtId="49" fontId="0" fillId="0" borderId="24" xfId="0" applyNumberFormat="1" applyBorder="1" applyAlignment="1">
      <alignment horizontal="center"/>
    </xf>
    <xf numFmtId="0" fontId="57" fillId="0" borderId="0" xfId="0" applyFont="1"/>
    <xf numFmtId="0" fontId="56" fillId="7" borderId="0" xfId="0" applyFont="1" applyFill="1" applyAlignment="1">
      <alignment horizontal="center"/>
    </xf>
    <xf numFmtId="49" fontId="59" fillId="7" borderId="29" xfId="0" applyNumberFormat="1" applyFont="1" applyFill="1" applyBorder="1" applyAlignment="1">
      <alignment horizontal="center"/>
    </xf>
    <xf numFmtId="0" fontId="39" fillId="16" borderId="30" xfId="0" applyFont="1" applyFill="1" applyBorder="1" applyAlignment="1">
      <alignment horizontal="center"/>
    </xf>
    <xf numFmtId="0" fontId="39" fillId="16" borderId="29" xfId="0" applyFont="1" applyFill="1" applyBorder="1" applyAlignment="1">
      <alignment horizontal="center"/>
    </xf>
    <xf numFmtId="0" fontId="43" fillId="0" borderId="0" xfId="0" applyFont="1" applyAlignment="1">
      <alignment horizontal="center" vertical="center"/>
    </xf>
    <xf numFmtId="0" fontId="25" fillId="7" borderId="0" xfId="0" applyFont="1" applyFill="1" applyBorder="1" applyAlignment="1">
      <alignment horizontal="center"/>
    </xf>
    <xf numFmtId="1" fontId="25" fillId="7" borderId="0" xfId="0" applyNumberFormat="1" applyFont="1" applyFill="1" applyBorder="1" applyAlignment="1">
      <alignment horizontal="center"/>
    </xf>
    <xf numFmtId="0" fontId="58" fillId="7" borderId="0" xfId="0" applyFont="1" applyFill="1" applyBorder="1" applyAlignment="1">
      <alignment horizontal="center"/>
    </xf>
    <xf numFmtId="1" fontId="59" fillId="0" borderId="0" xfId="0" applyNumberFormat="1" applyFont="1" applyBorder="1" applyAlignment="1">
      <alignment horizontal="center"/>
    </xf>
    <xf numFmtId="0" fontId="39" fillId="16" borderId="31" xfId="0" applyFont="1" applyFill="1" applyBorder="1" applyAlignment="1">
      <alignment horizontal="center"/>
    </xf>
    <xf numFmtId="1" fontId="58" fillId="7" borderId="12" xfId="0" applyNumberFormat="1" applyFont="1" applyFill="1" applyBorder="1" applyAlignment="1"/>
    <xf numFmtId="1" fontId="58" fillId="7" borderId="13" xfId="0" applyNumberFormat="1" applyFont="1" applyFill="1" applyBorder="1" applyAlignment="1"/>
    <xf numFmtId="1" fontId="61" fillId="7" borderId="0" xfId="0" applyNumberFormat="1" applyFont="1" applyFill="1" applyBorder="1" applyAlignment="1">
      <alignment vertical="center" wrapText="1"/>
    </xf>
    <xf numFmtId="0" fontId="59" fillId="7" borderId="0" xfId="0" applyFont="1" applyFill="1"/>
    <xf numFmtId="0" fontId="0" fillId="0" borderId="0" xfId="0"/>
    <xf numFmtId="0" fontId="39" fillId="0" borderId="15" xfId="0" applyFont="1" applyBorder="1" applyAlignment="1">
      <alignment horizontal="center"/>
    </xf>
    <xf numFmtId="0" fontId="39" fillId="0" borderId="17" xfId="0" applyFont="1" applyBorder="1" applyAlignment="1">
      <alignment horizontal="center"/>
    </xf>
    <xf numFmtId="0" fontId="39" fillId="18" borderId="15" xfId="0" applyFont="1" applyFill="1" applyBorder="1" applyAlignment="1">
      <alignment horizontal="center"/>
    </xf>
    <xf numFmtId="0" fontId="30" fillId="7" borderId="1" xfId="0" applyFont="1" applyFill="1" applyBorder="1" applyAlignment="1">
      <alignment horizontal="center"/>
    </xf>
    <xf numFmtId="1" fontId="0" fillId="7" borderId="0" xfId="0" applyNumberFormat="1" applyFill="1"/>
    <xf numFmtId="0" fontId="0" fillId="7" borderId="0" xfId="0" applyFill="1"/>
    <xf numFmtId="0" fontId="0" fillId="0" borderId="0" xfId="0" pivotButton="1"/>
    <xf numFmtId="0" fontId="0" fillId="0" borderId="0" xfId="0" applyAlignment="1">
      <alignment horizontal="left"/>
    </xf>
    <xf numFmtId="0" fontId="39" fillId="0" borderId="13" xfId="0" applyFont="1" applyBorder="1" applyAlignment="1">
      <alignment horizontal="center"/>
    </xf>
    <xf numFmtId="165" fontId="39" fillId="0" borderId="0" xfId="0" applyNumberFormat="1" applyFont="1" applyBorder="1" applyAlignment="1">
      <alignment horizontal="center"/>
    </xf>
    <xf numFmtId="165" fontId="39" fillId="0" borderId="15" xfId="0" applyNumberFormat="1" applyFont="1" applyBorder="1" applyAlignment="1">
      <alignment horizontal="center"/>
    </xf>
    <xf numFmtId="1" fontId="39" fillId="0" borderId="0" xfId="0" applyNumberFormat="1" applyFont="1" applyBorder="1" applyAlignment="1">
      <alignment horizontal="center"/>
    </xf>
    <xf numFmtId="165" fontId="39" fillId="0" borderId="17" xfId="0" applyNumberFormat="1" applyFont="1" applyBorder="1" applyAlignment="1">
      <alignment horizontal="center"/>
    </xf>
    <xf numFmtId="1" fontId="39" fillId="0" borderId="18" xfId="0" applyNumberFormat="1" applyFont="1" applyBorder="1" applyAlignment="1">
      <alignment horizontal="center"/>
    </xf>
    <xf numFmtId="165" fontId="39" fillId="0" borderId="18" xfId="0" applyNumberFormat="1" applyFont="1" applyBorder="1" applyAlignment="1">
      <alignment horizontal="center"/>
    </xf>
    <xf numFmtId="0" fontId="39" fillId="0" borderId="18" xfId="0" applyFont="1" applyBorder="1" applyAlignment="1">
      <alignment horizontal="center"/>
    </xf>
    <xf numFmtId="0" fontId="0" fillId="0" borderId="15" xfId="0" applyBorder="1" applyAlignment="1">
      <alignment horizontal="center" vertical="center"/>
    </xf>
    <xf numFmtId="0" fontId="39" fillId="0" borderId="0" xfId="0" applyFont="1" applyBorder="1" applyAlignment="1">
      <alignment horizontal="center"/>
    </xf>
    <xf numFmtId="0" fontId="0" fillId="0" borderId="0" xfId="0"/>
    <xf numFmtId="0" fontId="39" fillId="18" borderId="27" xfId="0" applyFont="1" applyFill="1" applyBorder="1" applyAlignment="1">
      <alignment horizontal="center" vertical="center"/>
    </xf>
    <xf numFmtId="0" fontId="0" fillId="16" borderId="0" xfId="0" applyFill="1" applyBorder="1" applyAlignment="1">
      <alignment horizontal="center" vertical="center"/>
    </xf>
    <xf numFmtId="0" fontId="0" fillId="12" borderId="16" xfId="0" applyFill="1" applyBorder="1" applyAlignment="1">
      <alignment horizontal="center" vertical="center"/>
    </xf>
    <xf numFmtId="0" fontId="65" fillId="5" borderId="15" xfId="0" applyFont="1" applyFill="1" applyBorder="1" applyAlignment="1">
      <alignment horizontal="center" vertical="center"/>
    </xf>
    <xf numFmtId="0" fontId="65" fillId="5" borderId="17" xfId="0" applyFont="1" applyFill="1" applyBorder="1" applyAlignment="1">
      <alignment horizontal="center" vertical="center"/>
    </xf>
    <xf numFmtId="0" fontId="0" fillId="16" borderId="18" xfId="0" applyFill="1" applyBorder="1" applyAlignment="1">
      <alignment horizontal="center" vertical="center"/>
    </xf>
    <xf numFmtId="0" fontId="0" fillId="12" borderId="19" xfId="0" applyFill="1" applyBorder="1" applyAlignment="1">
      <alignment horizontal="center" vertical="center"/>
    </xf>
    <xf numFmtId="0" fontId="64" fillId="12" borderId="12" xfId="0" applyFont="1" applyFill="1" applyBorder="1" applyAlignment="1">
      <alignment horizontal="center"/>
    </xf>
    <xf numFmtId="0" fontId="39" fillId="12" borderId="14" xfId="0" applyFont="1" applyFill="1" applyBorder="1" applyAlignment="1">
      <alignment horizontal="center"/>
    </xf>
    <xf numFmtId="0" fontId="64" fillId="16" borderId="15" xfId="0" applyFont="1" applyFill="1" applyBorder="1" applyAlignment="1">
      <alignment horizontal="center"/>
    </xf>
    <xf numFmtId="0" fontId="39" fillId="16" borderId="16" xfId="0" applyFont="1" applyFill="1" applyBorder="1" applyAlignment="1">
      <alignment horizontal="center"/>
    </xf>
    <xf numFmtId="0" fontId="39" fillId="3" borderId="17" xfId="0" applyFont="1" applyFill="1" applyBorder="1" applyAlignment="1">
      <alignment horizontal="center"/>
    </xf>
    <xf numFmtId="0" fontId="39" fillId="3" borderId="19" xfId="0" applyFont="1" applyFill="1" applyBorder="1" applyAlignment="1">
      <alignment horizontal="center"/>
    </xf>
    <xf numFmtId="0" fontId="39" fillId="16" borderId="0" xfId="0" applyFont="1" applyFill="1" applyBorder="1" applyAlignment="1">
      <alignment horizontal="center" vertical="center"/>
    </xf>
    <xf numFmtId="0" fontId="39" fillId="12" borderId="0" xfId="0" applyFont="1" applyFill="1" applyBorder="1" applyAlignment="1">
      <alignment horizontal="center" vertical="center"/>
    </xf>
    <xf numFmtId="0" fontId="39" fillId="16" borderId="18" xfId="0" applyFont="1" applyFill="1" applyBorder="1" applyAlignment="1">
      <alignment horizontal="center" vertical="center"/>
    </xf>
    <xf numFmtId="0" fontId="39" fillId="12" borderId="18" xfId="0" applyFont="1" applyFill="1" applyBorder="1" applyAlignment="1">
      <alignment horizontal="center" vertical="center"/>
    </xf>
    <xf numFmtId="14" fontId="59" fillId="0" borderId="0" xfId="0" applyNumberFormat="1" applyFont="1"/>
    <xf numFmtId="14" fontId="0" fillId="0" borderId="0" xfId="0" applyNumberFormat="1" applyAlignment="1">
      <alignment horizontal="center"/>
    </xf>
    <xf numFmtId="0" fontId="0" fillId="0" borderId="0" xfId="0" applyBorder="1"/>
    <xf numFmtId="14" fontId="0" fillId="0" borderId="0" xfId="0" applyNumberFormat="1" applyBorder="1" applyAlignment="1">
      <alignment horizontal="left"/>
    </xf>
    <xf numFmtId="0" fontId="39" fillId="0" borderId="7" xfId="0" applyFont="1" applyBorder="1" applyAlignment="1">
      <alignment horizontal="center"/>
    </xf>
    <xf numFmtId="0" fontId="0" fillId="0" borderId="0" xfId="0" applyAlignment="1">
      <alignment horizontal="center" vertical="center" wrapText="1"/>
    </xf>
    <xf numFmtId="0" fontId="53" fillId="17" borderId="3" xfId="0" applyFont="1" applyFill="1" applyBorder="1" applyAlignment="1">
      <alignment horizontal="center"/>
    </xf>
    <xf numFmtId="0" fontId="53" fillId="17" borderId="7" xfId="0" applyFont="1" applyFill="1" applyBorder="1" applyAlignment="1">
      <alignment horizontal="center"/>
    </xf>
    <xf numFmtId="0" fontId="23" fillId="13" borderId="0" xfId="0" applyFont="1" applyFill="1" applyAlignment="1">
      <alignment horizontal="center"/>
    </xf>
    <xf numFmtId="0" fontId="23" fillId="15" borderId="0" xfId="0" applyFont="1" applyFill="1" applyAlignment="1">
      <alignment horizontal="center"/>
    </xf>
    <xf numFmtId="10" fontId="62" fillId="17" borderId="1" xfId="0" applyNumberFormat="1" applyFont="1" applyFill="1" applyBorder="1" applyAlignment="1">
      <alignment horizontal="center"/>
    </xf>
    <xf numFmtId="0" fontId="23" fillId="5" borderId="0" xfId="0" applyFont="1" applyFill="1" applyAlignment="1">
      <alignment horizontal="center"/>
    </xf>
    <xf numFmtId="0" fontId="24" fillId="0" borderId="0" xfId="0" applyFont="1" applyAlignment="1">
      <alignment horizontal="center"/>
    </xf>
    <xf numFmtId="0" fontId="23" fillId="2" borderId="0" xfId="0" applyFont="1" applyFill="1" applyAlignment="1">
      <alignment horizontal="center"/>
    </xf>
    <xf numFmtId="0" fontId="23" fillId="3" borderId="0" xfId="0" applyFont="1" applyFill="1" applyAlignment="1">
      <alignment horizontal="center"/>
    </xf>
    <xf numFmtId="0" fontId="23" fillId="6" borderId="0" xfId="0" applyFont="1" applyFill="1" applyAlignment="1">
      <alignment horizontal="center"/>
    </xf>
    <xf numFmtId="0" fontId="40" fillId="4" borderId="0" xfId="0" applyFont="1" applyFill="1" applyAlignment="1">
      <alignment horizontal="center"/>
    </xf>
    <xf numFmtId="0" fontId="41" fillId="0" borderId="0" xfId="0" applyFont="1" applyAlignment="1">
      <alignment horizontal="center"/>
    </xf>
    <xf numFmtId="0" fontId="60" fillId="0" borderId="0" xfId="0" applyFont="1" applyAlignment="1">
      <alignment horizontal="center" vertical="center"/>
    </xf>
    <xf numFmtId="0" fontId="50" fillId="0" borderId="0" xfId="0" applyFont="1" applyAlignment="1">
      <alignment horizontal="center"/>
    </xf>
    <xf numFmtId="0" fontId="43" fillId="0" borderId="0" xfId="0" applyFont="1" applyAlignment="1">
      <alignment horizontal="center"/>
    </xf>
    <xf numFmtId="1" fontId="35" fillId="5" borderId="0" xfId="0" applyNumberFormat="1" applyFont="1" applyFill="1" applyAlignment="1">
      <alignment horizontal="center"/>
    </xf>
    <xf numFmtId="1" fontId="14" fillId="0" borderId="5" xfId="0" applyNumberFormat="1" applyFont="1" applyBorder="1" applyAlignment="1">
      <alignment horizontal="center"/>
    </xf>
    <xf numFmtId="1" fontId="14" fillId="0" borderId="10" xfId="0" applyNumberFormat="1" applyFont="1" applyBorder="1" applyAlignment="1">
      <alignment horizontal="center"/>
    </xf>
    <xf numFmtId="1" fontId="14" fillId="0" borderId="4" xfId="0" applyNumberFormat="1" applyFont="1" applyBorder="1" applyAlignment="1">
      <alignment horizontal="center"/>
    </xf>
    <xf numFmtId="0" fontId="39" fillId="0" borderId="0" xfId="0" applyFont="1" applyAlignment="1">
      <alignment horizontal="center"/>
    </xf>
    <xf numFmtId="0" fontId="54" fillId="0" borderId="0" xfId="0" applyFont="1" applyAlignment="1">
      <alignment horizontal="center"/>
    </xf>
    <xf numFmtId="0" fontId="44" fillId="0" borderId="0" xfId="0" applyFont="1" applyAlignment="1">
      <alignment horizontal="center"/>
    </xf>
    <xf numFmtId="1" fontId="45" fillId="0" borderId="0" xfId="0" applyNumberFormat="1" applyFont="1" applyAlignment="1">
      <alignment horizontal="center"/>
    </xf>
    <xf numFmtId="1" fontId="45" fillId="0" borderId="8" xfId="0" applyNumberFormat="1" applyFont="1" applyBorder="1" applyAlignment="1">
      <alignment horizontal="center"/>
    </xf>
    <xf numFmtId="1" fontId="42" fillId="0" borderId="9" xfId="0" applyNumberFormat="1" applyFont="1" applyBorder="1" applyAlignment="1">
      <alignment horizontal="center"/>
    </xf>
    <xf numFmtId="1" fontId="25" fillId="0" borderId="7" xfId="0" applyNumberFormat="1" applyFont="1" applyBorder="1" applyAlignment="1">
      <alignment horizontal="center"/>
    </xf>
    <xf numFmtId="0" fontId="42" fillId="0" borderId="7" xfId="0" applyFont="1" applyBorder="1" applyAlignment="1">
      <alignment horizontal="center"/>
    </xf>
    <xf numFmtId="0" fontId="25" fillId="0" borderId="7" xfId="0" applyFont="1" applyBorder="1" applyAlignment="1">
      <alignment horizontal="center"/>
    </xf>
    <xf numFmtId="0" fontId="38" fillId="0" borderId="0" xfId="0" applyFont="1" applyAlignment="1">
      <alignment horizontal="center"/>
    </xf>
    <xf numFmtId="0" fontId="43" fillId="0" borderId="0" xfId="0" applyFont="1" applyAlignment="1">
      <alignment horizontal="center" vertical="center"/>
    </xf>
    <xf numFmtId="1" fontId="25" fillId="12" borderId="26" xfId="0" applyNumberFormat="1" applyFont="1" applyFill="1" applyBorder="1" applyAlignment="1">
      <alignment horizontal="center"/>
    </xf>
    <xf numFmtId="1" fontId="25" fillId="12" borderId="27" xfId="0" applyNumberFormat="1" applyFont="1" applyFill="1" applyBorder="1" applyAlignment="1">
      <alignment horizontal="center"/>
    </xf>
    <xf numFmtId="0" fontId="25" fillId="0" borderId="18" xfId="0" applyFont="1" applyBorder="1" applyAlignment="1">
      <alignment horizontal="center"/>
    </xf>
    <xf numFmtId="0" fontId="39" fillId="14" borderId="13" xfId="0" applyFont="1" applyFill="1" applyBorder="1" applyAlignment="1">
      <alignment horizontal="center"/>
    </xf>
    <xf numFmtId="0" fontId="39" fillId="14" borderId="14" xfId="0" applyFont="1" applyFill="1" applyBorder="1" applyAlignment="1">
      <alignment horizontal="center"/>
    </xf>
    <xf numFmtId="1" fontId="39" fillId="14" borderId="0" xfId="0" applyNumberFormat="1" applyFont="1" applyFill="1" applyBorder="1" applyAlignment="1">
      <alignment horizontal="center"/>
    </xf>
    <xf numFmtId="1" fontId="39" fillId="14" borderId="16" xfId="0" applyNumberFormat="1" applyFont="1" applyFill="1" applyBorder="1" applyAlignment="1">
      <alignment horizontal="center"/>
    </xf>
    <xf numFmtId="0" fontId="39" fillId="16" borderId="12" xfId="0" applyFont="1" applyFill="1" applyBorder="1" applyAlignment="1">
      <alignment horizontal="center"/>
    </xf>
    <xf numFmtId="0" fontId="39" fillId="16" borderId="14" xfId="0" applyFont="1" applyFill="1" applyBorder="1" applyAlignment="1">
      <alignment horizontal="center"/>
    </xf>
    <xf numFmtId="1" fontId="39" fillId="16" borderId="15" xfId="0" applyNumberFormat="1" applyFont="1" applyFill="1" applyBorder="1" applyAlignment="1">
      <alignment horizontal="center"/>
    </xf>
    <xf numFmtId="1" fontId="39" fillId="16" borderId="16" xfId="0" applyNumberFormat="1" applyFont="1" applyFill="1" applyBorder="1" applyAlignment="1">
      <alignment horizontal="center"/>
    </xf>
    <xf numFmtId="1" fontId="39" fillId="17" borderId="15" xfId="0" applyNumberFormat="1" applyFont="1" applyFill="1" applyBorder="1" applyAlignment="1">
      <alignment horizontal="center"/>
    </xf>
    <xf numFmtId="1" fontId="39" fillId="17" borderId="0" xfId="0" applyNumberFormat="1" applyFont="1" applyFill="1" applyBorder="1" applyAlignment="1">
      <alignment horizontal="center"/>
    </xf>
    <xf numFmtId="0" fontId="39" fillId="17" borderId="12" xfId="0" applyFont="1" applyFill="1" applyBorder="1" applyAlignment="1">
      <alignment horizontal="center"/>
    </xf>
    <xf numFmtId="0" fontId="39" fillId="17" borderId="13" xfId="0" applyFont="1" applyFill="1" applyBorder="1" applyAlignment="1">
      <alignment horizontal="center"/>
    </xf>
    <xf numFmtId="0" fontId="39" fillId="0" borderId="18" xfId="0" applyFont="1" applyBorder="1" applyAlignment="1">
      <alignment horizontal="center"/>
    </xf>
    <xf numFmtId="1" fontId="25" fillId="0" borderId="28" xfId="0" applyNumberFormat="1" applyFont="1" applyBorder="1" applyAlignment="1">
      <alignment horizontal="center"/>
    </xf>
    <xf numFmtId="1" fontId="25" fillId="0" borderId="27" xfId="0" applyNumberFormat="1" applyFont="1" applyBorder="1" applyAlignment="1">
      <alignment horizontal="center"/>
    </xf>
    <xf numFmtId="0" fontId="39" fillId="0" borderId="32" xfId="0" applyFont="1" applyBorder="1" applyAlignment="1">
      <alignment horizontal="center"/>
    </xf>
    <xf numFmtId="0" fontId="39" fillId="0" borderId="34" xfId="0" applyFont="1" applyBorder="1" applyAlignment="1">
      <alignment horizontal="center"/>
    </xf>
    <xf numFmtId="0" fontId="23" fillId="0" borderId="33" xfId="0" applyFont="1" applyBorder="1" applyAlignment="1">
      <alignment horizontal="center"/>
    </xf>
    <xf numFmtId="0" fontId="23" fillId="0" borderId="32" xfId="0" applyFont="1" applyBorder="1" applyAlignment="1">
      <alignment horizontal="center"/>
    </xf>
    <xf numFmtId="1" fontId="58" fillId="7" borderId="17" xfId="0" applyNumberFormat="1" applyFont="1" applyFill="1" applyBorder="1" applyAlignment="1">
      <alignment horizontal="center"/>
    </xf>
    <xf numFmtId="1" fontId="58" fillId="7" borderId="19" xfId="0" applyNumberFormat="1" applyFont="1" applyFill="1" applyBorder="1" applyAlignment="1">
      <alignment horizontal="center"/>
    </xf>
    <xf numFmtId="1" fontId="39" fillId="17" borderId="17" xfId="0" applyNumberFormat="1" applyFont="1" applyFill="1" applyBorder="1" applyAlignment="1">
      <alignment horizontal="center"/>
    </xf>
    <xf numFmtId="1" fontId="39" fillId="17" borderId="18" xfId="0" applyNumberFormat="1" applyFont="1" applyFill="1" applyBorder="1" applyAlignment="1">
      <alignment horizontal="center"/>
    </xf>
    <xf numFmtId="1" fontId="39" fillId="16" borderId="17" xfId="0" applyNumberFormat="1" applyFont="1" applyFill="1" applyBorder="1" applyAlignment="1">
      <alignment horizontal="center"/>
    </xf>
    <xf numFmtId="1" fontId="39" fillId="16" borderId="19" xfId="0" applyNumberFormat="1" applyFont="1" applyFill="1" applyBorder="1" applyAlignment="1">
      <alignment horizontal="center"/>
    </xf>
    <xf numFmtId="0" fontId="39" fillId="0" borderId="0" xfId="0" applyFont="1" applyBorder="1" applyAlignment="1">
      <alignment horizontal="center"/>
    </xf>
    <xf numFmtId="0" fontId="0" fillId="0" borderId="15" xfId="0" applyBorder="1" applyAlignment="1">
      <alignment horizontal="center" vertical="center"/>
    </xf>
    <xf numFmtId="0" fontId="0" fillId="0" borderId="16" xfId="0" applyBorder="1" applyAlignment="1">
      <alignment horizontal="center" vertical="center"/>
    </xf>
    <xf numFmtId="0" fontId="39" fillId="18" borderId="12" xfId="0" applyFont="1" applyFill="1" applyBorder="1" applyAlignment="1">
      <alignment horizontal="center" vertical="center" wrapText="1"/>
    </xf>
    <xf numFmtId="0" fontId="39" fillId="18" borderId="15" xfId="0" applyFont="1" applyFill="1" applyBorder="1" applyAlignment="1">
      <alignment horizontal="center" vertical="center" wrapText="1"/>
    </xf>
    <xf numFmtId="164" fontId="4" fillId="0" borderId="0" xfId="0" applyNumberFormat="1" applyFont="1" applyBorder="1" applyAlignment="1">
      <alignment horizontal="center"/>
    </xf>
    <xf numFmtId="164" fontId="4" fillId="0" borderId="18" xfId="0" applyNumberFormat="1" applyFont="1" applyBorder="1" applyAlignment="1">
      <alignment horizontal="center"/>
    </xf>
    <xf numFmtId="1" fontId="14" fillId="0" borderId="13" xfId="0" applyNumberFormat="1" applyFont="1" applyBorder="1" applyAlignment="1">
      <alignment horizontal="center" vertical="center" wrapText="1"/>
    </xf>
    <xf numFmtId="1" fontId="14" fillId="0" borderId="0" xfId="0" applyNumberFormat="1" applyFont="1" applyBorder="1" applyAlignment="1">
      <alignment horizontal="center" vertical="center" wrapText="1"/>
    </xf>
    <xf numFmtId="0" fontId="39" fillId="18" borderId="13" xfId="0" applyFont="1" applyFill="1" applyBorder="1" applyAlignment="1">
      <alignment horizontal="center" vertical="center" wrapText="1"/>
    </xf>
    <xf numFmtId="0" fontId="39" fillId="18" borderId="14" xfId="0" applyFont="1" applyFill="1" applyBorder="1" applyAlignment="1">
      <alignment horizontal="center" vertical="center" wrapText="1"/>
    </xf>
    <xf numFmtId="0" fontId="39" fillId="18" borderId="0" xfId="0" applyFont="1" applyFill="1" applyBorder="1" applyAlignment="1">
      <alignment horizontal="center" vertical="center" wrapText="1"/>
    </xf>
    <xf numFmtId="0" fontId="39" fillId="18" borderId="16" xfId="0" applyFont="1" applyFill="1" applyBorder="1" applyAlignment="1">
      <alignment horizontal="center" vertical="center" wrapText="1"/>
    </xf>
    <xf numFmtId="0" fontId="39" fillId="18" borderId="0" xfId="0" applyFont="1" applyFill="1" applyBorder="1" applyAlignment="1">
      <alignment horizontal="center"/>
    </xf>
    <xf numFmtId="0" fontId="39" fillId="18" borderId="16" xfId="0" applyFont="1" applyFill="1" applyBorder="1" applyAlignment="1">
      <alignment horizontal="center"/>
    </xf>
    <xf numFmtId="0" fontId="63" fillId="0" borderId="0" xfId="0" applyFont="1" applyAlignment="1">
      <alignment horizontal="center"/>
    </xf>
    <xf numFmtId="0" fontId="39" fillId="3" borderId="0" xfId="0" applyFont="1" applyFill="1" applyBorder="1" applyAlignment="1">
      <alignment horizontal="center"/>
    </xf>
    <xf numFmtId="1" fontId="39" fillId="3" borderId="0" xfId="0" applyNumberFormat="1" applyFont="1" applyFill="1" applyBorder="1" applyAlignment="1">
      <alignment horizontal="center"/>
    </xf>
    <xf numFmtId="0" fontId="0" fillId="0" borderId="0" xfId="0"/>
    <xf numFmtId="0" fontId="39" fillId="0" borderId="13" xfId="0" applyFont="1" applyBorder="1" applyAlignment="1">
      <alignment horizontal="center" wrapText="1"/>
    </xf>
    <xf numFmtId="0" fontId="39" fillId="0" borderId="0" xfId="0" applyFont="1" applyBorder="1" applyAlignment="1">
      <alignment horizontal="center" wrapText="1"/>
    </xf>
    <xf numFmtId="0" fontId="39" fillId="0" borderId="13" xfId="0" applyFont="1" applyBorder="1" applyAlignment="1">
      <alignment horizontal="center" vertical="center" wrapText="1"/>
    </xf>
    <xf numFmtId="0" fontId="39" fillId="0" borderId="0" xfId="0" applyFont="1" applyBorder="1" applyAlignment="1">
      <alignment horizontal="center" vertical="center" wrapText="1"/>
    </xf>
    <xf numFmtId="0" fontId="39" fillId="0" borderId="13" xfId="0" applyFont="1" applyBorder="1" applyAlignment="1">
      <alignment horizontal="center" vertical="center"/>
    </xf>
    <xf numFmtId="0" fontId="39" fillId="0" borderId="0" xfId="0" applyFont="1" applyBorder="1" applyAlignment="1">
      <alignment horizontal="center" vertical="center"/>
    </xf>
    <xf numFmtId="0" fontId="39" fillId="0" borderId="12" xfId="0" applyFont="1" applyBorder="1" applyAlignment="1">
      <alignment horizontal="center" vertical="center"/>
    </xf>
    <xf numFmtId="0" fontId="39" fillId="0" borderId="15" xfId="0" applyFont="1" applyBorder="1" applyAlignment="1">
      <alignment horizontal="center" vertical="center"/>
    </xf>
    <xf numFmtId="0" fontId="39" fillId="18" borderId="18" xfId="0" applyFont="1" applyFill="1" applyBorder="1" applyAlignment="1">
      <alignment horizontal="center"/>
    </xf>
    <xf numFmtId="0" fontId="39" fillId="18" borderId="19" xfId="0" applyFont="1" applyFill="1" applyBorder="1" applyAlignment="1">
      <alignment horizontal="center"/>
    </xf>
    <xf numFmtId="0" fontId="39" fillId="0" borderId="0" xfId="0" applyNumberFormat="1" applyFont="1" applyBorder="1" applyAlignment="1">
      <alignment horizontal="center"/>
    </xf>
    <xf numFmtId="0" fontId="39" fillId="0" borderId="18" xfId="0" applyFont="1" applyBorder="1" applyAlignment="1">
      <alignment horizontal="center" vertical="center"/>
    </xf>
    <xf numFmtId="0" fontId="39" fillId="0" borderId="18" xfId="0" applyNumberFormat="1" applyFont="1" applyBorder="1" applyAlignment="1">
      <alignment horizontal="center"/>
    </xf>
    <xf numFmtId="0" fontId="39" fillId="0" borderId="16" xfId="0" applyFont="1" applyBorder="1" applyAlignment="1">
      <alignment horizontal="center"/>
    </xf>
    <xf numFmtId="0" fontId="39" fillId="0" borderId="14" xfId="0" applyFont="1" applyBorder="1" applyAlignment="1">
      <alignment horizontal="center" vertical="center" wrapText="1"/>
    </xf>
    <xf numFmtId="0" fontId="39" fillId="0" borderId="16" xfId="0" applyFont="1" applyBorder="1" applyAlignment="1">
      <alignment horizontal="center" vertical="center" wrapText="1"/>
    </xf>
    <xf numFmtId="0" fontId="39" fillId="0" borderId="19" xfId="0" applyFont="1" applyBorder="1" applyAlignment="1">
      <alignment horizontal="center"/>
    </xf>
    <xf numFmtId="0" fontId="0" fillId="0" borderId="0" xfId="0" applyBorder="1"/>
    <xf numFmtId="0" fontId="0" fillId="0" borderId="0" xfId="0" applyBorder="1" applyAlignment="1">
      <alignment horizontal="center" vertical="center"/>
    </xf>
    <xf numFmtId="0" fontId="0" fillId="0" borderId="0" xfId="0" applyBorder="1" applyAlignment="1">
      <alignment horizontal="center" vertical="center" wrapText="1"/>
    </xf>
    <xf numFmtId="0" fontId="39" fillId="18" borderId="26" xfId="0" applyFont="1" applyFill="1" applyBorder="1" applyAlignment="1">
      <alignment horizontal="center" vertical="center"/>
    </xf>
    <xf numFmtId="0" fontId="39" fillId="18" borderId="28" xfId="0" applyFont="1" applyFill="1" applyBorder="1" applyAlignment="1">
      <alignment horizontal="center" vertical="center"/>
    </xf>
    <xf numFmtId="0" fontId="65" fillId="12" borderId="12" xfId="0" applyFont="1" applyFill="1" applyBorder="1" applyAlignment="1">
      <alignment horizontal="center" wrapText="1"/>
    </xf>
    <xf numFmtId="0" fontId="65" fillId="12" borderId="17" xfId="0" applyFont="1" applyFill="1" applyBorder="1" applyAlignment="1">
      <alignment horizontal="center" wrapText="1"/>
    </xf>
    <xf numFmtId="2" fontId="39" fillId="12" borderId="14" xfId="0" applyNumberFormat="1" applyFont="1" applyFill="1" applyBorder="1" applyAlignment="1">
      <alignment horizontal="center" vertical="center"/>
    </xf>
    <xf numFmtId="2" fontId="39" fillId="12" borderId="19" xfId="0" applyNumberFormat="1" applyFont="1" applyFill="1" applyBorder="1" applyAlignment="1">
      <alignment horizontal="center" vertic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25" fillId="0" borderId="0" xfId="0" applyFont="1" applyAlignment="1">
      <alignment horizontal="center" vertical="center" wrapText="1"/>
    </xf>
    <xf numFmtId="0" fontId="36" fillId="0" borderId="1" xfId="0" applyFont="1" applyBorder="1" applyAlignment="1">
      <alignment horizontal="center"/>
    </xf>
    <xf numFmtId="0" fontId="66" fillId="0" borderId="1" xfId="0" applyFont="1" applyBorder="1" applyAlignment="1">
      <alignment horizontal="center"/>
    </xf>
    <xf numFmtId="0" fontId="49" fillId="0" borderId="1" xfId="0" applyFont="1" applyBorder="1" applyAlignment="1">
      <alignment horizontal="center"/>
    </xf>
    <xf numFmtId="0" fontId="37" fillId="0" borderId="1" xfId="0" applyFont="1" applyBorder="1" applyAlignment="1">
      <alignment horizontal="center"/>
    </xf>
    <xf numFmtId="0" fontId="1" fillId="0" borderId="0" xfId="1"/>
    <xf numFmtId="14" fontId="1" fillId="7" borderId="12" xfId="1" applyNumberFormat="1" applyFill="1" applyBorder="1"/>
    <xf numFmtId="0" fontId="1" fillId="7" borderId="13" xfId="1" applyFill="1" applyBorder="1" applyAlignment="1">
      <alignment horizontal="center" vertical="center" wrapText="1"/>
    </xf>
    <xf numFmtId="0" fontId="1" fillId="7" borderId="14" xfId="1" applyFill="1" applyBorder="1" applyAlignment="1">
      <alignment horizontal="center" vertical="center" wrapText="1"/>
    </xf>
    <xf numFmtId="0" fontId="1" fillId="7" borderId="0" xfId="1" applyFill="1" applyBorder="1" applyAlignment="1">
      <alignment horizontal="center" vertical="center" wrapText="1"/>
    </xf>
    <xf numFmtId="0" fontId="1" fillId="7" borderId="16" xfId="1" applyFill="1" applyBorder="1" applyAlignment="1">
      <alignment horizontal="center" vertical="center" wrapText="1"/>
    </xf>
    <xf numFmtId="0" fontId="39" fillId="0" borderId="0" xfId="1" applyFont="1" applyBorder="1" applyAlignment="1">
      <alignment horizontal="center"/>
    </xf>
    <xf numFmtId="0" fontId="39" fillId="0" borderId="16" xfId="1" applyFont="1" applyBorder="1" applyAlignment="1">
      <alignment horizontal="center"/>
    </xf>
    <xf numFmtId="0" fontId="39" fillId="4" borderId="0" xfId="1" applyFont="1" applyFill="1" applyBorder="1" applyAlignment="1">
      <alignment horizontal="center"/>
    </xf>
    <xf numFmtId="0" fontId="39" fillId="4" borderId="16" xfId="1" applyFont="1" applyFill="1" applyBorder="1" applyAlignment="1">
      <alignment horizontal="center"/>
    </xf>
    <xf numFmtId="0" fontId="1" fillId="4" borderId="0" xfId="1" applyFill="1"/>
    <xf numFmtId="16" fontId="1" fillId="0" borderId="0" xfId="1" applyNumberFormat="1"/>
    <xf numFmtId="16" fontId="1" fillId="4" borderId="0" xfId="1" applyNumberFormat="1" applyFill="1"/>
    <xf numFmtId="0" fontId="1" fillId="0" borderId="1" xfId="1" applyBorder="1"/>
    <xf numFmtId="0" fontId="1" fillId="4" borderId="1" xfId="1" applyFill="1" applyBorder="1"/>
    <xf numFmtId="14" fontId="1" fillId="0" borderId="1" xfId="1" applyNumberFormat="1" applyBorder="1"/>
    <xf numFmtId="14" fontId="1" fillId="4" borderId="1" xfId="1" applyNumberFormat="1" applyFill="1" applyBorder="1" applyAlignment="1">
      <alignment horizontal="center"/>
    </xf>
    <xf numFmtId="14" fontId="1" fillId="0" borderId="1" xfId="1" applyNumberFormat="1" applyBorder="1" applyAlignment="1">
      <alignment horizontal="center"/>
    </xf>
  </cellXfs>
  <cellStyles count="2">
    <cellStyle name="Normal" xfId="0" builtinId="0"/>
    <cellStyle name="Normal 2" xfId="1"/>
  </cellStyles>
  <dxfs count="72">
    <dxf>
      <numFmt numFmtId="2" formatCode="0.00"/>
    </dxf>
    <dxf>
      <numFmt numFmtId="165" formatCode="[$-40C]d\-mmm;@"/>
    </dxf>
    <dxf>
      <alignment horizontal="center" readingOrder="0"/>
    </dxf>
    <dxf>
      <numFmt numFmtId="2" formatCode="0.00"/>
    </dxf>
    <dxf>
      <numFmt numFmtId="165" formatCode="[$-40C]d\-mmm;@"/>
    </dxf>
    <dxf>
      <alignment horizontal="center" readingOrder="0"/>
    </dxf>
    <dxf>
      <numFmt numFmtId="19" formatCode="dd/mm/yyyy"/>
    </dxf>
    <dxf>
      <font>
        <sz val="11"/>
      </font>
    </dxf>
    <dxf>
      <font>
        <b/>
      </font>
    </dxf>
    <dxf>
      <font>
        <b val="0"/>
      </font>
    </dxf>
    <dxf>
      <font>
        <b/>
      </font>
    </dxf>
    <dxf>
      <fill>
        <patternFill>
          <bgColor theme="0"/>
        </patternFill>
      </fill>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rder>
    </dxf>
    <dxf>
      <border>
        <left style="medium">
          <color indexed="64"/>
        </left>
        <right style="medium">
          <color indexed="64"/>
        </right>
        <top style="medium">
          <color indexed="64"/>
        </top>
      </border>
    </dxf>
    <dxf>
      <border>
        <left style="medium">
          <color indexed="64"/>
        </left>
        <right style="medium">
          <color indexed="64"/>
        </right>
        <top style="medium">
          <color indexed="64"/>
        </top>
      </border>
    </dxf>
    <dxf>
      <border>
        <left/>
        <right/>
        <top/>
        <horizontal/>
      </border>
    </dxf>
    <dxf>
      <border>
        <left/>
        <right/>
        <top/>
        <horizontal/>
      </border>
    </dxf>
    <dxf>
      <border>
        <left/>
        <right/>
        <top/>
        <horizontal/>
      </border>
    </dxf>
    <dxf>
      <border>
        <left style="medium">
          <color indexed="64"/>
        </left>
        <top style="medium">
          <color indexed="64"/>
        </top>
      </border>
    </dxf>
    <dxf>
      <border>
        <left style="medium">
          <color indexed="64"/>
        </left>
        <top style="medium">
          <color indexed="64"/>
        </top>
      </border>
    </dxf>
    <dxf>
      <border>
        <left style="medium">
          <color indexed="64"/>
        </left>
        <top style="medium">
          <color indexed="64"/>
        </top>
      </border>
    </dxf>
    <dxf>
      <border>
        <left/>
        <top/>
      </border>
    </dxf>
    <dxf>
      <border>
        <left/>
        <top/>
      </border>
    </dxf>
    <dxf>
      <border>
        <left/>
        <top/>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ill>
        <patternFill patternType="solid">
          <bgColor theme="3" tint="0.39997558519241921"/>
        </patternFill>
      </fill>
    </dxf>
    <dxf>
      <fill>
        <patternFill patternType="solid">
          <bgColor theme="3" tint="0.39997558519241921"/>
        </patternFill>
      </fill>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dxf>
    <dxf>
      <font>
        <strike val="0"/>
        <outline val="0"/>
        <shadow val="0"/>
        <u val="none"/>
        <vertAlign val="baseline"/>
        <sz val="11"/>
        <color auto="1"/>
        <name val="Calibri"/>
        <scheme val="none"/>
      </font>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FF0000"/>
        <name val="Calibri"/>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FF0000"/>
        <name val="Calibri"/>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FF0000"/>
        <name val="Calibri"/>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none"/>
      </font>
      <fill>
        <patternFill patternType="solid">
          <fgColor indexed="64"/>
          <bgColor theme="0"/>
        </patternFill>
      </fill>
      <border diagonalUp="0" diagonalDown="0" outline="0">
        <left style="thin">
          <color indexed="64"/>
        </left>
        <right style="thin">
          <color indexed="64"/>
        </right>
        <top/>
        <bottom/>
      </border>
    </dxf>
    <dxf>
      <font>
        <strike val="0"/>
        <outline val="0"/>
        <shadow val="0"/>
        <u val="none"/>
        <vertAlign val="baseline"/>
        <color theme="1"/>
        <name val="Arial"/>
        <scheme val="none"/>
      </font>
      <fill>
        <patternFill>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color theme="1"/>
        <name val="Arial"/>
        <scheme val="none"/>
      </font>
      <fill>
        <patternFill>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scheme val="none"/>
      </font>
      <fill>
        <patternFill>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color theme="1"/>
        <name val="Arial"/>
        <scheme val="none"/>
      </font>
      <fill>
        <patternFill>
          <fgColor indexed="64"/>
          <bgColor theme="0"/>
        </patternFill>
      </fill>
    </dxf>
    <dxf>
      <border>
        <bottom style="thin">
          <color indexed="64"/>
        </bottom>
      </border>
    </dxf>
    <dxf>
      <font>
        <strike val="0"/>
        <outline val="0"/>
        <shadow val="0"/>
        <u val="none"/>
        <vertAlign val="baseline"/>
        <sz val="10"/>
        <color auto="1"/>
        <name val="Arial"/>
        <scheme val="none"/>
      </font>
      <fill>
        <patternFill>
          <fgColor indexed="64"/>
          <bgColor theme="0"/>
        </patternFill>
      </fill>
      <border diagonalUp="0" diagonalDown="0" outline="0">
        <left style="thin">
          <color indexed="64"/>
        </left>
        <right style="thin">
          <color indexed="64"/>
        </right>
        <top/>
        <bottom/>
      </border>
    </dxf>
    <dxf>
      <font>
        <strike val="0"/>
        <outline val="0"/>
        <shadow val="0"/>
        <u val="none"/>
        <vertAlign val="baseline"/>
        <color theme="1"/>
        <name val="Arial"/>
        <scheme val="none"/>
      </font>
      <fill>
        <patternFill>
          <fgColor indexed="64"/>
          <bgColor theme="0"/>
        </patternFill>
      </fill>
    </dxf>
    <dxf>
      <font>
        <strike val="0"/>
        <outline val="0"/>
        <shadow val="0"/>
        <u val="none"/>
        <vertAlign val="baseline"/>
        <color theme="1"/>
        <name val="Arial"/>
        <scheme val="none"/>
      </font>
      <fill>
        <patternFill>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scheme val="none"/>
      </font>
      <fill>
        <patternFill>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color theme="1"/>
        <name val="Arial"/>
        <scheme val="none"/>
      </font>
      <fill>
        <patternFill>
          <fgColor indexed="64"/>
          <bgColor theme="0"/>
        </patternFill>
      </fill>
    </dxf>
    <dxf>
      <border>
        <bottom style="thin">
          <color indexed="64"/>
        </bottom>
      </border>
    </dxf>
    <dxf>
      <font>
        <strike val="0"/>
        <outline val="0"/>
        <shadow val="0"/>
        <u val="none"/>
        <vertAlign val="baseline"/>
        <sz val="10"/>
        <color auto="1"/>
        <name val="Arial"/>
        <scheme val="none"/>
      </font>
      <fill>
        <patternFill>
          <fgColor indexed="64"/>
          <bgColor theme="0"/>
        </patternFill>
      </fill>
      <border diagonalUp="0" diagonalDown="0" outline="0">
        <left style="thin">
          <color indexed="64"/>
        </left>
        <right style="thin">
          <color indexed="64"/>
        </right>
        <top/>
        <bottom/>
      </border>
    </dxf>
    <dxf>
      <alignment horizontal="center" readingOrder="0"/>
    </dxf>
    <dxf>
      <numFmt numFmtId="165" formatCode="[$-40C]d\-mmm;@"/>
    </dxf>
    <dxf>
      <numFmt numFmtId="2" formatCode="0.0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9"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Courbes 18 mois</a:t>
            </a:r>
          </a:p>
          <a:p>
            <a:pPr>
              <a:defRPr/>
            </a:pPr>
            <a:endParaRPr lang="fr-FR"/>
          </a:p>
          <a:p>
            <a:pPr>
              <a:defRPr/>
            </a:pP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'Calcul Et Courbes '!$P$47</c:f>
              <c:strCache>
                <c:ptCount val="1"/>
                <c:pt idx="0">
                  <c:v>Courbe Passive</c:v>
                </c:pt>
              </c:strCache>
            </c:strRef>
          </c:tx>
          <c:spPr>
            <a:ln w="28575" cap="rnd">
              <a:solidFill>
                <a:srgbClr val="92D05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'!$P$48:$P$65</c:f>
              <c:numCache>
                <c:formatCode>0</c:formatCode>
                <c:ptCount val="18"/>
                <c:pt idx="0">
                  <c:v>620</c:v>
                </c:pt>
                <c:pt idx="1">
                  <c:v>300</c:v>
                </c:pt>
                <c:pt idx="2">
                  <c:v>93</c:v>
                </c:pt>
                <c:pt idx="3">
                  <c:v>62</c:v>
                </c:pt>
                <c:pt idx="4">
                  <c:v>203</c:v>
                </c:pt>
                <c:pt idx="5">
                  <c:v>465</c:v>
                </c:pt>
                <c:pt idx="6">
                  <c:v>900</c:v>
                </c:pt>
                <c:pt idx="7">
                  <c:v>2015</c:v>
                </c:pt>
                <c:pt idx="8">
                  <c:v>1800</c:v>
                </c:pt>
                <c:pt idx="9">
                  <c:v>1395</c:v>
                </c:pt>
                <c:pt idx="10">
                  <c:v>713</c:v>
                </c:pt>
                <c:pt idx="11">
                  <c:v>900</c:v>
                </c:pt>
                <c:pt idx="12">
                  <c:v>620</c:v>
                </c:pt>
                <c:pt idx="13">
                  <c:v>300</c:v>
                </c:pt>
                <c:pt idx="14">
                  <c:v>93</c:v>
                </c:pt>
                <c:pt idx="15">
                  <c:v>62</c:v>
                </c:pt>
                <c:pt idx="16">
                  <c:v>203</c:v>
                </c:pt>
                <c:pt idx="17">
                  <c:v>465</c:v>
                </c:pt>
              </c:numCache>
            </c:numRef>
          </c:val>
          <c:smooth val="0"/>
          <c:extLst>
            <c:ext xmlns:c16="http://schemas.microsoft.com/office/drawing/2014/chart" uri="{C3380CC4-5D6E-409C-BE32-E72D297353CC}">
              <c16:uniqueId val="{00000000-4727-4880-8339-00FE7E9048AB}"/>
            </c:ext>
          </c:extLst>
        </c:ser>
        <c:ser>
          <c:idx val="1"/>
          <c:order val="1"/>
          <c:tx>
            <c:strRef>
              <c:f>'Calcul Et Courbes '!$Q$47</c:f>
              <c:strCache>
                <c:ptCount val="1"/>
                <c:pt idx="0">
                  <c:v>Courbe active</c:v>
                </c:pt>
              </c:strCache>
            </c:strRef>
          </c:tx>
          <c:spPr>
            <a:ln w="28575" cap="rnd">
              <a:solidFill>
                <a:srgbClr val="00B05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'!$Q$48:$Q$65</c:f>
              <c:numCache>
                <c:formatCode>0</c:formatCode>
                <c:ptCount val="18"/>
                <c:pt idx="0">
                  <c:v>806</c:v>
                </c:pt>
                <c:pt idx="1">
                  <c:v>390</c:v>
                </c:pt>
                <c:pt idx="2">
                  <c:v>120.9</c:v>
                </c:pt>
                <c:pt idx="3">
                  <c:v>80.600000000000009</c:v>
                </c:pt>
                <c:pt idx="4">
                  <c:v>263.90000000000003</c:v>
                </c:pt>
                <c:pt idx="5">
                  <c:v>604.5</c:v>
                </c:pt>
                <c:pt idx="6">
                  <c:v>1170</c:v>
                </c:pt>
                <c:pt idx="7">
                  <c:v>2619.5</c:v>
                </c:pt>
                <c:pt idx="8">
                  <c:v>2340</c:v>
                </c:pt>
                <c:pt idx="9">
                  <c:v>1813.5</c:v>
                </c:pt>
                <c:pt idx="10">
                  <c:v>926.9</c:v>
                </c:pt>
                <c:pt idx="11">
                  <c:v>1170</c:v>
                </c:pt>
                <c:pt idx="12">
                  <c:v>806</c:v>
                </c:pt>
                <c:pt idx="13">
                  <c:v>390</c:v>
                </c:pt>
                <c:pt idx="14">
                  <c:v>120.9</c:v>
                </c:pt>
                <c:pt idx="15">
                  <c:v>80.600000000000009</c:v>
                </c:pt>
                <c:pt idx="16">
                  <c:v>263.90000000000003</c:v>
                </c:pt>
                <c:pt idx="17">
                  <c:v>604.5</c:v>
                </c:pt>
              </c:numCache>
            </c:numRef>
          </c:val>
          <c:smooth val="0"/>
          <c:extLst>
            <c:ext xmlns:c16="http://schemas.microsoft.com/office/drawing/2014/chart" uri="{C3380CC4-5D6E-409C-BE32-E72D297353CC}">
              <c16:uniqueId val="{00000001-4727-4880-8339-00FE7E9048AB}"/>
            </c:ext>
          </c:extLst>
        </c:ser>
        <c:dLbls>
          <c:showLegendKey val="0"/>
          <c:showVal val="0"/>
          <c:showCatName val="0"/>
          <c:showSerName val="0"/>
          <c:showPercent val="0"/>
          <c:showBubbleSize val="0"/>
        </c:dLbls>
        <c:marker val="1"/>
        <c:smooth val="0"/>
        <c:axId val="1747336720"/>
        <c:axId val="1747335888"/>
      </c:lineChart>
      <c:lineChart>
        <c:grouping val="standard"/>
        <c:varyColors val="0"/>
        <c:ser>
          <c:idx val="2"/>
          <c:order val="2"/>
          <c:tx>
            <c:strRef>
              <c:f>'Calcul Et Courbes '!$R$47</c:f>
              <c:strCache>
                <c:ptCount val="1"/>
                <c:pt idx="0">
                  <c:v>Courbe megajoule( Passive)</c:v>
                </c:pt>
              </c:strCache>
            </c:strRef>
          </c:tx>
          <c:spPr>
            <a:ln w="28575" cap="rnd">
              <a:solidFill>
                <a:srgbClr val="FFC00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'!$R$48:$R$65</c:f>
              <c:numCache>
                <c:formatCode>0</c:formatCode>
                <c:ptCount val="18"/>
                <c:pt idx="0">
                  <c:v>6200</c:v>
                </c:pt>
                <c:pt idx="1">
                  <c:v>2454.5454545454545</c:v>
                </c:pt>
                <c:pt idx="2">
                  <c:v>591.81818181818176</c:v>
                </c:pt>
                <c:pt idx="3">
                  <c:v>394.5454545454545</c:v>
                </c:pt>
                <c:pt idx="4">
                  <c:v>1476.3636363636363</c:v>
                </c:pt>
                <c:pt idx="5">
                  <c:v>4227.272727272727</c:v>
                </c:pt>
                <c:pt idx="6">
                  <c:v>8590.9090909090919</c:v>
                </c:pt>
                <c:pt idx="7">
                  <c:v>21981.81818181818</c:v>
                </c:pt>
                <c:pt idx="8">
                  <c:v>18000</c:v>
                </c:pt>
                <c:pt idx="9">
                  <c:v>11413.636363636364</c:v>
                </c:pt>
                <c:pt idx="10">
                  <c:v>3889.0909090909086</c:v>
                </c:pt>
                <c:pt idx="11">
                  <c:v>8181.8181818181811</c:v>
                </c:pt>
                <c:pt idx="12">
                  <c:v>6200</c:v>
                </c:pt>
                <c:pt idx="13">
                  <c:v>2454.5454545454545</c:v>
                </c:pt>
                <c:pt idx="14">
                  <c:v>591.81818181818176</c:v>
                </c:pt>
                <c:pt idx="15">
                  <c:v>394.5454545454545</c:v>
                </c:pt>
                <c:pt idx="16">
                  <c:v>1476.3636363636363</c:v>
                </c:pt>
                <c:pt idx="17">
                  <c:v>4227.272727272727</c:v>
                </c:pt>
              </c:numCache>
            </c:numRef>
          </c:val>
          <c:smooth val="0"/>
          <c:extLst>
            <c:ext xmlns:c16="http://schemas.microsoft.com/office/drawing/2014/chart" uri="{C3380CC4-5D6E-409C-BE32-E72D297353CC}">
              <c16:uniqueId val="{00000002-4727-4880-8339-00FE7E9048AB}"/>
            </c:ext>
          </c:extLst>
        </c:ser>
        <c:ser>
          <c:idx val="3"/>
          <c:order val="3"/>
          <c:tx>
            <c:strRef>
              <c:f>'Calcul Et Courbes '!$S$47</c:f>
              <c:strCache>
                <c:ptCount val="1"/>
                <c:pt idx="0">
                  <c:v>Courbe megajoule dispo(active)</c:v>
                </c:pt>
              </c:strCache>
            </c:strRef>
          </c:tx>
          <c:spPr>
            <a:ln w="28575" cap="rnd">
              <a:solidFill>
                <a:schemeClr val="tx2"/>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'!$S$48:$S$65</c:f>
              <c:numCache>
                <c:formatCode>0</c:formatCode>
                <c:ptCount val="18"/>
                <c:pt idx="0">
                  <c:v>8866</c:v>
                </c:pt>
                <c:pt idx="1">
                  <c:v>3510</c:v>
                </c:pt>
                <c:pt idx="2">
                  <c:v>846.30000000000018</c:v>
                </c:pt>
                <c:pt idx="3">
                  <c:v>564.19999999999993</c:v>
                </c:pt>
                <c:pt idx="4">
                  <c:v>2111.1999999999998</c:v>
                </c:pt>
                <c:pt idx="5">
                  <c:v>6045</c:v>
                </c:pt>
                <c:pt idx="6">
                  <c:v>12285</c:v>
                </c:pt>
                <c:pt idx="7">
                  <c:v>31434</c:v>
                </c:pt>
                <c:pt idx="8">
                  <c:v>25740</c:v>
                </c:pt>
                <c:pt idx="9">
                  <c:v>16321.5</c:v>
                </c:pt>
                <c:pt idx="10">
                  <c:v>5561.4000000000005</c:v>
                </c:pt>
                <c:pt idx="11">
                  <c:v>11700</c:v>
                </c:pt>
                <c:pt idx="12">
                  <c:v>8866</c:v>
                </c:pt>
                <c:pt idx="13">
                  <c:v>3510</c:v>
                </c:pt>
                <c:pt idx="14">
                  <c:v>846.30000000000018</c:v>
                </c:pt>
                <c:pt idx="15">
                  <c:v>564.19999999999993</c:v>
                </c:pt>
                <c:pt idx="16">
                  <c:v>2111.1999999999998</c:v>
                </c:pt>
                <c:pt idx="17">
                  <c:v>6045</c:v>
                </c:pt>
              </c:numCache>
            </c:numRef>
          </c:val>
          <c:smooth val="0"/>
          <c:extLst>
            <c:ext xmlns:c16="http://schemas.microsoft.com/office/drawing/2014/chart" uri="{C3380CC4-5D6E-409C-BE32-E72D297353CC}">
              <c16:uniqueId val="{00000003-4727-4880-8339-00FE7E9048AB}"/>
            </c:ext>
          </c:extLst>
        </c:ser>
        <c:ser>
          <c:idx val="4"/>
          <c:order val="4"/>
          <c:tx>
            <c:strRef>
              <c:f>'Calcul Et Courbes '!$T$47</c:f>
              <c:strCache>
                <c:ptCount val="1"/>
                <c:pt idx="0">
                  <c:v>Courbe besoin chaptel</c:v>
                </c:pt>
              </c:strCache>
            </c:strRef>
          </c:tx>
          <c:spPr>
            <a:ln w="28575" cap="rnd">
              <a:solidFill>
                <a:srgbClr val="FF000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'!$T$48:$T$65</c:f>
              <c:numCache>
                <c:formatCode>0</c:formatCode>
                <c:ptCount val="18"/>
                <c:pt idx="0">
                  <c:v>4296.6000000000004</c:v>
                </c:pt>
                <c:pt idx="1">
                  <c:v>3360</c:v>
                </c:pt>
                <c:pt idx="2">
                  <c:v>2929.5</c:v>
                </c:pt>
                <c:pt idx="3">
                  <c:v>3255</c:v>
                </c:pt>
                <c:pt idx="4">
                  <c:v>5582.5</c:v>
                </c:pt>
                <c:pt idx="5">
                  <c:v>6683.5999999999995</c:v>
                </c:pt>
                <c:pt idx="6">
                  <c:v>11340</c:v>
                </c:pt>
                <c:pt idx="7">
                  <c:v>15624</c:v>
                </c:pt>
                <c:pt idx="8">
                  <c:v>12600</c:v>
                </c:pt>
                <c:pt idx="9">
                  <c:v>3255</c:v>
                </c:pt>
                <c:pt idx="10">
                  <c:v>2929.5</c:v>
                </c:pt>
                <c:pt idx="11">
                  <c:v>3780</c:v>
                </c:pt>
                <c:pt idx="12">
                  <c:v>4296.6000000000004</c:v>
                </c:pt>
                <c:pt idx="13">
                  <c:v>3360</c:v>
                </c:pt>
                <c:pt idx="14">
                  <c:v>2929.5</c:v>
                </c:pt>
                <c:pt idx="15">
                  <c:v>3255</c:v>
                </c:pt>
                <c:pt idx="16">
                  <c:v>5582.5</c:v>
                </c:pt>
                <c:pt idx="17">
                  <c:v>6683.5999999999995</c:v>
                </c:pt>
              </c:numCache>
            </c:numRef>
          </c:val>
          <c:smooth val="0"/>
          <c:extLst>
            <c:ext xmlns:c16="http://schemas.microsoft.com/office/drawing/2014/chart" uri="{C3380CC4-5D6E-409C-BE32-E72D297353CC}">
              <c16:uniqueId val="{00000004-4727-4880-8339-00FE7E9048AB}"/>
            </c:ext>
          </c:extLst>
        </c:ser>
        <c:ser>
          <c:idx val="5"/>
          <c:order val="5"/>
          <c:tx>
            <c:strRef>
              <c:f>'Calcul Et Courbes '!$U$47</c:f>
              <c:strCache>
                <c:ptCount val="1"/>
                <c:pt idx="0">
                  <c:v>Courbe Megajoule Objectif</c:v>
                </c:pt>
              </c:strCache>
            </c:strRef>
          </c:tx>
          <c:spPr>
            <a:ln w="28575" cap="rnd">
              <a:solidFill>
                <a:schemeClr val="accent4">
                  <a:lumMod val="75000"/>
                </a:schemeClr>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'!$U$48:$U$65</c:f>
              <c:numCache>
                <c:formatCode>0</c:formatCode>
                <c:ptCount val="18"/>
                <c:pt idx="0">
                  <c:v>7092.8</c:v>
                </c:pt>
                <c:pt idx="1">
                  <c:v>2808</c:v>
                </c:pt>
                <c:pt idx="2">
                  <c:v>677.04000000000019</c:v>
                </c:pt>
                <c:pt idx="3">
                  <c:v>451.35999999999996</c:v>
                </c:pt>
                <c:pt idx="4">
                  <c:v>1688.96</c:v>
                </c:pt>
                <c:pt idx="5">
                  <c:v>4836</c:v>
                </c:pt>
                <c:pt idx="6">
                  <c:v>9828</c:v>
                </c:pt>
                <c:pt idx="7">
                  <c:v>25147.200000000001</c:v>
                </c:pt>
                <c:pt idx="8">
                  <c:v>20592</c:v>
                </c:pt>
                <c:pt idx="9">
                  <c:v>13057.2</c:v>
                </c:pt>
                <c:pt idx="10">
                  <c:v>4449.1200000000008</c:v>
                </c:pt>
                <c:pt idx="11">
                  <c:v>9360</c:v>
                </c:pt>
                <c:pt idx="12">
                  <c:v>7092.8</c:v>
                </c:pt>
                <c:pt idx="13">
                  <c:v>2808</c:v>
                </c:pt>
                <c:pt idx="14">
                  <c:v>677.04000000000019</c:v>
                </c:pt>
                <c:pt idx="15">
                  <c:v>451.35999999999996</c:v>
                </c:pt>
                <c:pt idx="16">
                  <c:v>1688.96</c:v>
                </c:pt>
                <c:pt idx="17">
                  <c:v>4836</c:v>
                </c:pt>
              </c:numCache>
            </c:numRef>
          </c:val>
          <c:smooth val="0"/>
          <c:extLst>
            <c:ext xmlns:c16="http://schemas.microsoft.com/office/drawing/2014/chart" uri="{C3380CC4-5D6E-409C-BE32-E72D297353CC}">
              <c16:uniqueId val="{00000005-4727-4880-8339-00FE7E9048AB}"/>
            </c:ext>
          </c:extLst>
        </c:ser>
        <c:ser>
          <c:idx val="6"/>
          <c:order val="6"/>
          <c:tx>
            <c:strRef>
              <c:f>'Calcul Et Courbes '!$V$47</c:f>
              <c:strCache>
                <c:ptCount val="1"/>
                <c:pt idx="0">
                  <c:v>Besoin different</c:v>
                </c:pt>
              </c:strCache>
            </c:strRef>
          </c:tx>
          <c:spPr>
            <a:ln w="28575" cap="rnd">
              <a:solidFill>
                <a:schemeClr val="accent2">
                  <a:lumMod val="60000"/>
                  <a:lumOff val="40000"/>
                </a:schemeClr>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'!$V$48:$V$65</c:f>
              <c:numCache>
                <c:formatCode>0</c:formatCode>
                <c:ptCount val="18"/>
                <c:pt idx="0">
                  <c:v>1227.6000000000001</c:v>
                </c:pt>
                <c:pt idx="1">
                  <c:v>960</c:v>
                </c:pt>
                <c:pt idx="2">
                  <c:v>418.5</c:v>
                </c:pt>
                <c:pt idx="3">
                  <c:v>465</c:v>
                </c:pt>
                <c:pt idx="4">
                  <c:v>1595</c:v>
                </c:pt>
                <c:pt idx="5">
                  <c:v>2864.3999999999996</c:v>
                </c:pt>
                <c:pt idx="6">
                  <c:v>6480</c:v>
                </c:pt>
                <c:pt idx="7">
                  <c:v>8928</c:v>
                </c:pt>
                <c:pt idx="8">
                  <c:v>7200</c:v>
                </c:pt>
                <c:pt idx="9">
                  <c:v>2790</c:v>
                </c:pt>
                <c:pt idx="10">
                  <c:v>2092.5</c:v>
                </c:pt>
                <c:pt idx="11">
                  <c:v>2160</c:v>
                </c:pt>
                <c:pt idx="12">
                  <c:v>1227.6000000000001</c:v>
                </c:pt>
                <c:pt idx="13">
                  <c:v>960</c:v>
                </c:pt>
                <c:pt idx="14">
                  <c:v>418.5</c:v>
                </c:pt>
                <c:pt idx="15">
                  <c:v>465</c:v>
                </c:pt>
                <c:pt idx="16">
                  <c:v>1595</c:v>
                </c:pt>
                <c:pt idx="17">
                  <c:v>2864.3999999999996</c:v>
                </c:pt>
              </c:numCache>
            </c:numRef>
          </c:val>
          <c:smooth val="0"/>
          <c:extLst>
            <c:ext xmlns:c16="http://schemas.microsoft.com/office/drawing/2014/chart" uri="{C3380CC4-5D6E-409C-BE32-E72D297353CC}">
              <c16:uniqueId val="{00000006-4727-4880-8339-00FE7E9048AB}"/>
            </c:ext>
          </c:extLst>
        </c:ser>
        <c:dLbls>
          <c:showLegendKey val="0"/>
          <c:showVal val="0"/>
          <c:showCatName val="0"/>
          <c:showSerName val="0"/>
          <c:showPercent val="0"/>
          <c:showBubbleSize val="0"/>
        </c:dLbls>
        <c:marker val="1"/>
        <c:smooth val="0"/>
        <c:axId val="1964353264"/>
        <c:axId val="1964364080"/>
      </c:lineChart>
      <c:catAx>
        <c:axId val="1747336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47335888"/>
        <c:crosses val="autoZero"/>
        <c:auto val="1"/>
        <c:lblAlgn val="ctr"/>
        <c:lblOffset val="100"/>
        <c:noMultiLvlLbl val="0"/>
      </c:catAx>
      <c:valAx>
        <c:axId val="17473358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47336720"/>
        <c:crosses val="autoZero"/>
        <c:crossBetween val="between"/>
      </c:valAx>
      <c:valAx>
        <c:axId val="1964364080"/>
        <c:scaling>
          <c:logBase val="10"/>
          <c:orientation val="minMax"/>
          <c:min val="100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964353264"/>
        <c:crosses val="max"/>
        <c:crossBetween val="between"/>
      </c:valAx>
      <c:catAx>
        <c:axId val="1964353264"/>
        <c:scaling>
          <c:orientation val="minMax"/>
        </c:scaling>
        <c:delete val="1"/>
        <c:axPos val="b"/>
        <c:numFmt formatCode="General" sourceLinked="1"/>
        <c:majorTickMark val="out"/>
        <c:minorTickMark val="none"/>
        <c:tickLblPos val="nextTo"/>
        <c:crossAx val="196436408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Courbes</a:t>
            </a:r>
          </a:p>
          <a:p>
            <a:pPr>
              <a:defRPr/>
            </a:pP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'Calcul Et Courbes '!$P$47</c:f>
              <c:strCache>
                <c:ptCount val="1"/>
                <c:pt idx="0">
                  <c:v>Courbe Passive</c:v>
                </c:pt>
              </c:strCache>
            </c:strRef>
          </c:tx>
          <c:spPr>
            <a:ln w="28575" cap="rnd">
              <a:solidFill>
                <a:srgbClr val="92D05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'!$P$48:$P$65</c:f>
              <c:numCache>
                <c:formatCode>0</c:formatCode>
                <c:ptCount val="18"/>
                <c:pt idx="0">
                  <c:v>620</c:v>
                </c:pt>
                <c:pt idx="1">
                  <c:v>300</c:v>
                </c:pt>
                <c:pt idx="2">
                  <c:v>93</c:v>
                </c:pt>
                <c:pt idx="3">
                  <c:v>62</c:v>
                </c:pt>
                <c:pt idx="4">
                  <c:v>203</c:v>
                </c:pt>
                <c:pt idx="5">
                  <c:v>465</c:v>
                </c:pt>
                <c:pt idx="6">
                  <c:v>900</c:v>
                </c:pt>
                <c:pt idx="7">
                  <c:v>2015</c:v>
                </c:pt>
                <c:pt idx="8">
                  <c:v>1800</c:v>
                </c:pt>
                <c:pt idx="9">
                  <c:v>1395</c:v>
                </c:pt>
                <c:pt idx="10">
                  <c:v>713</c:v>
                </c:pt>
                <c:pt idx="11">
                  <c:v>900</c:v>
                </c:pt>
                <c:pt idx="12">
                  <c:v>620</c:v>
                </c:pt>
                <c:pt idx="13">
                  <c:v>300</c:v>
                </c:pt>
                <c:pt idx="14">
                  <c:v>93</c:v>
                </c:pt>
                <c:pt idx="15">
                  <c:v>62</c:v>
                </c:pt>
                <c:pt idx="16">
                  <c:v>203</c:v>
                </c:pt>
                <c:pt idx="17">
                  <c:v>465</c:v>
                </c:pt>
              </c:numCache>
            </c:numRef>
          </c:val>
          <c:smooth val="1"/>
          <c:extLst>
            <c:ext xmlns:c16="http://schemas.microsoft.com/office/drawing/2014/chart" uri="{C3380CC4-5D6E-409C-BE32-E72D297353CC}">
              <c16:uniqueId val="{00000000-F067-467B-92D9-9324C94403B5}"/>
            </c:ext>
          </c:extLst>
        </c:ser>
        <c:ser>
          <c:idx val="1"/>
          <c:order val="1"/>
          <c:tx>
            <c:strRef>
              <c:f>'Calcul Et Courbes '!$Q$47</c:f>
              <c:strCache>
                <c:ptCount val="1"/>
                <c:pt idx="0">
                  <c:v>Courbe active</c:v>
                </c:pt>
              </c:strCache>
            </c:strRef>
          </c:tx>
          <c:spPr>
            <a:ln w="28575" cap="rnd">
              <a:solidFill>
                <a:srgbClr val="00B05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'!$Q$48:$Q$65</c:f>
              <c:numCache>
                <c:formatCode>0</c:formatCode>
                <c:ptCount val="18"/>
                <c:pt idx="0">
                  <c:v>806</c:v>
                </c:pt>
                <c:pt idx="1">
                  <c:v>390</c:v>
                </c:pt>
                <c:pt idx="2">
                  <c:v>120.9</c:v>
                </c:pt>
                <c:pt idx="3">
                  <c:v>80.600000000000009</c:v>
                </c:pt>
                <c:pt idx="4">
                  <c:v>263.90000000000003</c:v>
                </c:pt>
                <c:pt idx="5">
                  <c:v>604.5</c:v>
                </c:pt>
                <c:pt idx="6">
                  <c:v>1170</c:v>
                </c:pt>
                <c:pt idx="7">
                  <c:v>2619.5</c:v>
                </c:pt>
                <c:pt idx="8">
                  <c:v>2340</c:v>
                </c:pt>
                <c:pt idx="9">
                  <c:v>1813.5</c:v>
                </c:pt>
                <c:pt idx="10">
                  <c:v>926.9</c:v>
                </c:pt>
                <c:pt idx="11">
                  <c:v>1170</c:v>
                </c:pt>
                <c:pt idx="12">
                  <c:v>806</c:v>
                </c:pt>
                <c:pt idx="13">
                  <c:v>390</c:v>
                </c:pt>
                <c:pt idx="14">
                  <c:v>120.9</c:v>
                </c:pt>
                <c:pt idx="15">
                  <c:v>80.600000000000009</c:v>
                </c:pt>
                <c:pt idx="16">
                  <c:v>263.90000000000003</c:v>
                </c:pt>
                <c:pt idx="17">
                  <c:v>604.5</c:v>
                </c:pt>
              </c:numCache>
            </c:numRef>
          </c:val>
          <c:smooth val="1"/>
          <c:extLst>
            <c:ext xmlns:c16="http://schemas.microsoft.com/office/drawing/2014/chart" uri="{C3380CC4-5D6E-409C-BE32-E72D297353CC}">
              <c16:uniqueId val="{00000001-F067-467B-92D9-9324C94403B5}"/>
            </c:ext>
          </c:extLst>
        </c:ser>
        <c:dLbls>
          <c:showLegendKey val="0"/>
          <c:showVal val="0"/>
          <c:showCatName val="0"/>
          <c:showSerName val="0"/>
          <c:showPercent val="0"/>
          <c:showBubbleSize val="0"/>
        </c:dLbls>
        <c:marker val="1"/>
        <c:smooth val="0"/>
        <c:axId val="1747336720"/>
        <c:axId val="1747335888"/>
      </c:lineChart>
      <c:lineChart>
        <c:grouping val="standard"/>
        <c:varyColors val="0"/>
        <c:ser>
          <c:idx val="2"/>
          <c:order val="2"/>
          <c:tx>
            <c:strRef>
              <c:f>'Calcul Et Courbes '!$R$47</c:f>
              <c:strCache>
                <c:ptCount val="1"/>
                <c:pt idx="0">
                  <c:v>Courbe megajoule( Passive)</c:v>
                </c:pt>
              </c:strCache>
            </c:strRef>
          </c:tx>
          <c:spPr>
            <a:ln w="28575" cap="rnd">
              <a:solidFill>
                <a:srgbClr val="FFC00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'!$R$48:$R$65</c:f>
              <c:numCache>
                <c:formatCode>0</c:formatCode>
                <c:ptCount val="18"/>
                <c:pt idx="0">
                  <c:v>6200</c:v>
                </c:pt>
                <c:pt idx="1">
                  <c:v>2454.5454545454545</c:v>
                </c:pt>
                <c:pt idx="2">
                  <c:v>591.81818181818176</c:v>
                </c:pt>
                <c:pt idx="3">
                  <c:v>394.5454545454545</c:v>
                </c:pt>
                <c:pt idx="4">
                  <c:v>1476.3636363636363</c:v>
                </c:pt>
                <c:pt idx="5">
                  <c:v>4227.272727272727</c:v>
                </c:pt>
                <c:pt idx="6">
                  <c:v>8590.9090909090919</c:v>
                </c:pt>
                <c:pt idx="7">
                  <c:v>21981.81818181818</c:v>
                </c:pt>
                <c:pt idx="8">
                  <c:v>18000</c:v>
                </c:pt>
                <c:pt idx="9">
                  <c:v>11413.636363636364</c:v>
                </c:pt>
                <c:pt idx="10">
                  <c:v>3889.0909090909086</c:v>
                </c:pt>
                <c:pt idx="11">
                  <c:v>8181.8181818181811</c:v>
                </c:pt>
                <c:pt idx="12">
                  <c:v>6200</c:v>
                </c:pt>
                <c:pt idx="13">
                  <c:v>2454.5454545454545</c:v>
                </c:pt>
                <c:pt idx="14">
                  <c:v>591.81818181818176</c:v>
                </c:pt>
                <c:pt idx="15">
                  <c:v>394.5454545454545</c:v>
                </c:pt>
                <c:pt idx="16">
                  <c:v>1476.3636363636363</c:v>
                </c:pt>
                <c:pt idx="17">
                  <c:v>4227.272727272727</c:v>
                </c:pt>
              </c:numCache>
            </c:numRef>
          </c:val>
          <c:smooth val="1"/>
          <c:extLst>
            <c:ext xmlns:c16="http://schemas.microsoft.com/office/drawing/2014/chart" uri="{C3380CC4-5D6E-409C-BE32-E72D297353CC}">
              <c16:uniqueId val="{00000002-F067-467B-92D9-9324C94403B5}"/>
            </c:ext>
          </c:extLst>
        </c:ser>
        <c:ser>
          <c:idx val="3"/>
          <c:order val="3"/>
          <c:tx>
            <c:strRef>
              <c:f>'Calcul Et Courbes '!$S$47</c:f>
              <c:strCache>
                <c:ptCount val="1"/>
                <c:pt idx="0">
                  <c:v>Courbe megajoule dispo(active)</c:v>
                </c:pt>
              </c:strCache>
            </c:strRef>
          </c:tx>
          <c:spPr>
            <a:ln w="28575" cap="rnd">
              <a:solidFill>
                <a:schemeClr val="tx2"/>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'!$S$48:$S$65</c:f>
              <c:numCache>
                <c:formatCode>0</c:formatCode>
                <c:ptCount val="18"/>
                <c:pt idx="0">
                  <c:v>8866</c:v>
                </c:pt>
                <c:pt idx="1">
                  <c:v>3510</c:v>
                </c:pt>
                <c:pt idx="2">
                  <c:v>846.30000000000018</c:v>
                </c:pt>
                <c:pt idx="3">
                  <c:v>564.19999999999993</c:v>
                </c:pt>
                <c:pt idx="4">
                  <c:v>2111.1999999999998</c:v>
                </c:pt>
                <c:pt idx="5">
                  <c:v>6045</c:v>
                </c:pt>
                <c:pt idx="6">
                  <c:v>12285</c:v>
                </c:pt>
                <c:pt idx="7">
                  <c:v>31434</c:v>
                </c:pt>
                <c:pt idx="8">
                  <c:v>25740</c:v>
                </c:pt>
                <c:pt idx="9">
                  <c:v>16321.5</c:v>
                </c:pt>
                <c:pt idx="10">
                  <c:v>5561.4000000000005</c:v>
                </c:pt>
                <c:pt idx="11">
                  <c:v>11700</c:v>
                </c:pt>
                <c:pt idx="12">
                  <c:v>8866</c:v>
                </c:pt>
                <c:pt idx="13">
                  <c:v>3510</c:v>
                </c:pt>
                <c:pt idx="14">
                  <c:v>846.30000000000018</c:v>
                </c:pt>
                <c:pt idx="15">
                  <c:v>564.19999999999993</c:v>
                </c:pt>
                <c:pt idx="16">
                  <c:v>2111.1999999999998</c:v>
                </c:pt>
                <c:pt idx="17">
                  <c:v>6045</c:v>
                </c:pt>
              </c:numCache>
            </c:numRef>
          </c:val>
          <c:smooth val="1"/>
          <c:extLst>
            <c:ext xmlns:c16="http://schemas.microsoft.com/office/drawing/2014/chart" uri="{C3380CC4-5D6E-409C-BE32-E72D297353CC}">
              <c16:uniqueId val="{00000003-F067-467B-92D9-9324C94403B5}"/>
            </c:ext>
          </c:extLst>
        </c:ser>
        <c:ser>
          <c:idx val="4"/>
          <c:order val="4"/>
          <c:tx>
            <c:strRef>
              <c:f>'Calcul Et Courbes '!$T$47</c:f>
              <c:strCache>
                <c:ptCount val="1"/>
                <c:pt idx="0">
                  <c:v>Courbe besoin chaptel</c:v>
                </c:pt>
              </c:strCache>
            </c:strRef>
          </c:tx>
          <c:spPr>
            <a:ln w="28575" cap="rnd">
              <a:solidFill>
                <a:srgbClr val="FF000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'!$T$48:$T$65</c:f>
              <c:numCache>
                <c:formatCode>0</c:formatCode>
                <c:ptCount val="18"/>
                <c:pt idx="0">
                  <c:v>4296.6000000000004</c:v>
                </c:pt>
                <c:pt idx="1">
                  <c:v>3360</c:v>
                </c:pt>
                <c:pt idx="2">
                  <c:v>2929.5</c:v>
                </c:pt>
                <c:pt idx="3">
                  <c:v>3255</c:v>
                </c:pt>
                <c:pt idx="4">
                  <c:v>5582.5</c:v>
                </c:pt>
                <c:pt idx="5">
                  <c:v>6683.5999999999995</c:v>
                </c:pt>
                <c:pt idx="6">
                  <c:v>11340</c:v>
                </c:pt>
                <c:pt idx="7">
                  <c:v>15624</c:v>
                </c:pt>
                <c:pt idx="8">
                  <c:v>12600</c:v>
                </c:pt>
                <c:pt idx="9">
                  <c:v>3255</c:v>
                </c:pt>
                <c:pt idx="10">
                  <c:v>2929.5</c:v>
                </c:pt>
                <c:pt idx="11">
                  <c:v>3780</c:v>
                </c:pt>
                <c:pt idx="12">
                  <c:v>4296.6000000000004</c:v>
                </c:pt>
                <c:pt idx="13">
                  <c:v>3360</c:v>
                </c:pt>
                <c:pt idx="14">
                  <c:v>2929.5</c:v>
                </c:pt>
                <c:pt idx="15">
                  <c:v>3255</c:v>
                </c:pt>
                <c:pt idx="16">
                  <c:v>5582.5</c:v>
                </c:pt>
                <c:pt idx="17">
                  <c:v>6683.5999999999995</c:v>
                </c:pt>
              </c:numCache>
            </c:numRef>
          </c:val>
          <c:smooth val="1"/>
          <c:extLst>
            <c:ext xmlns:c16="http://schemas.microsoft.com/office/drawing/2014/chart" uri="{C3380CC4-5D6E-409C-BE32-E72D297353CC}">
              <c16:uniqueId val="{00000004-F067-467B-92D9-9324C94403B5}"/>
            </c:ext>
          </c:extLst>
        </c:ser>
        <c:ser>
          <c:idx val="5"/>
          <c:order val="5"/>
          <c:tx>
            <c:strRef>
              <c:f>'Calcul Et Courbes '!$U$47</c:f>
              <c:strCache>
                <c:ptCount val="1"/>
                <c:pt idx="0">
                  <c:v>Courbe Megajoule Objectif</c:v>
                </c:pt>
              </c:strCache>
            </c:strRef>
          </c:tx>
          <c:spPr>
            <a:ln w="28575" cap="rnd">
              <a:solidFill>
                <a:schemeClr val="accent4">
                  <a:lumMod val="75000"/>
                </a:schemeClr>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'!$U$48:$U$65</c:f>
              <c:numCache>
                <c:formatCode>0</c:formatCode>
                <c:ptCount val="18"/>
                <c:pt idx="0">
                  <c:v>7092.8</c:v>
                </c:pt>
                <c:pt idx="1">
                  <c:v>2808</c:v>
                </c:pt>
                <c:pt idx="2">
                  <c:v>677.04000000000019</c:v>
                </c:pt>
                <c:pt idx="3">
                  <c:v>451.35999999999996</c:v>
                </c:pt>
                <c:pt idx="4">
                  <c:v>1688.96</c:v>
                </c:pt>
                <c:pt idx="5">
                  <c:v>4836</c:v>
                </c:pt>
                <c:pt idx="6">
                  <c:v>9828</c:v>
                </c:pt>
                <c:pt idx="7">
                  <c:v>25147.200000000001</c:v>
                </c:pt>
                <c:pt idx="8">
                  <c:v>20592</c:v>
                </c:pt>
                <c:pt idx="9">
                  <c:v>13057.2</c:v>
                </c:pt>
                <c:pt idx="10">
                  <c:v>4449.1200000000008</c:v>
                </c:pt>
                <c:pt idx="11">
                  <c:v>9360</c:v>
                </c:pt>
                <c:pt idx="12">
                  <c:v>7092.8</c:v>
                </c:pt>
                <c:pt idx="13">
                  <c:v>2808</c:v>
                </c:pt>
                <c:pt idx="14">
                  <c:v>677.04000000000019</c:v>
                </c:pt>
                <c:pt idx="15">
                  <c:v>451.35999999999996</c:v>
                </c:pt>
                <c:pt idx="16">
                  <c:v>1688.96</c:v>
                </c:pt>
                <c:pt idx="17">
                  <c:v>4836</c:v>
                </c:pt>
              </c:numCache>
            </c:numRef>
          </c:val>
          <c:smooth val="1"/>
          <c:extLst>
            <c:ext xmlns:c16="http://schemas.microsoft.com/office/drawing/2014/chart" uri="{C3380CC4-5D6E-409C-BE32-E72D297353CC}">
              <c16:uniqueId val="{00000005-F067-467B-92D9-9324C94403B5}"/>
            </c:ext>
          </c:extLst>
        </c:ser>
        <c:ser>
          <c:idx val="6"/>
          <c:order val="6"/>
          <c:tx>
            <c:strRef>
              <c:f>'Calcul Et Courbes '!$V$47</c:f>
              <c:strCache>
                <c:ptCount val="1"/>
                <c:pt idx="0">
                  <c:v>Besoin different</c:v>
                </c:pt>
              </c:strCache>
            </c:strRef>
          </c:tx>
          <c:spPr>
            <a:ln w="28575" cap="rnd">
              <a:solidFill>
                <a:schemeClr val="accent2">
                  <a:lumMod val="60000"/>
                  <a:lumOff val="40000"/>
                </a:schemeClr>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'!$V$48:$V$65</c:f>
              <c:numCache>
                <c:formatCode>0</c:formatCode>
                <c:ptCount val="18"/>
                <c:pt idx="0">
                  <c:v>1227.6000000000001</c:v>
                </c:pt>
                <c:pt idx="1">
                  <c:v>960</c:v>
                </c:pt>
                <c:pt idx="2">
                  <c:v>418.5</c:v>
                </c:pt>
                <c:pt idx="3">
                  <c:v>465</c:v>
                </c:pt>
                <c:pt idx="4">
                  <c:v>1595</c:v>
                </c:pt>
                <c:pt idx="5">
                  <c:v>2864.3999999999996</c:v>
                </c:pt>
                <c:pt idx="6">
                  <c:v>6480</c:v>
                </c:pt>
                <c:pt idx="7">
                  <c:v>8928</c:v>
                </c:pt>
                <c:pt idx="8">
                  <c:v>7200</c:v>
                </c:pt>
                <c:pt idx="9">
                  <c:v>2790</c:v>
                </c:pt>
                <c:pt idx="10">
                  <c:v>2092.5</c:v>
                </c:pt>
                <c:pt idx="11">
                  <c:v>2160</c:v>
                </c:pt>
                <c:pt idx="12">
                  <c:v>1227.6000000000001</c:v>
                </c:pt>
                <c:pt idx="13">
                  <c:v>960</c:v>
                </c:pt>
                <c:pt idx="14">
                  <c:v>418.5</c:v>
                </c:pt>
                <c:pt idx="15">
                  <c:v>465</c:v>
                </c:pt>
                <c:pt idx="16">
                  <c:v>1595</c:v>
                </c:pt>
                <c:pt idx="17">
                  <c:v>2864.3999999999996</c:v>
                </c:pt>
              </c:numCache>
            </c:numRef>
          </c:val>
          <c:smooth val="1"/>
          <c:extLst>
            <c:ext xmlns:c16="http://schemas.microsoft.com/office/drawing/2014/chart" uri="{C3380CC4-5D6E-409C-BE32-E72D297353CC}">
              <c16:uniqueId val="{00000006-F067-467B-92D9-9324C94403B5}"/>
            </c:ext>
          </c:extLst>
        </c:ser>
        <c:dLbls>
          <c:showLegendKey val="0"/>
          <c:showVal val="0"/>
          <c:showCatName val="0"/>
          <c:showSerName val="0"/>
          <c:showPercent val="0"/>
          <c:showBubbleSize val="0"/>
        </c:dLbls>
        <c:marker val="1"/>
        <c:smooth val="0"/>
        <c:axId val="1964353264"/>
        <c:axId val="1964364080"/>
      </c:lineChart>
      <c:catAx>
        <c:axId val="1747336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47335888"/>
        <c:crosses val="autoZero"/>
        <c:auto val="1"/>
        <c:lblAlgn val="ctr"/>
        <c:lblOffset val="100"/>
        <c:noMultiLvlLbl val="0"/>
      </c:catAx>
      <c:valAx>
        <c:axId val="17473358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47336720"/>
        <c:crosses val="autoZero"/>
        <c:crossBetween val="between"/>
      </c:valAx>
      <c:valAx>
        <c:axId val="1964364080"/>
        <c:scaling>
          <c:logBase val="10"/>
          <c:orientation val="minMax"/>
          <c:min val="100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964353264"/>
        <c:crosses val="max"/>
        <c:crossBetween val="between"/>
      </c:valAx>
      <c:catAx>
        <c:axId val="1964353264"/>
        <c:scaling>
          <c:orientation val="minMax"/>
        </c:scaling>
        <c:delete val="1"/>
        <c:axPos val="b"/>
        <c:numFmt formatCode="General" sourceLinked="1"/>
        <c:majorTickMark val="out"/>
        <c:minorTickMark val="none"/>
        <c:tickLblPos val="nextTo"/>
        <c:crossAx val="1964364080"/>
        <c:crosses val="autoZero"/>
        <c:auto val="1"/>
        <c:lblAlgn val="ctr"/>
        <c:lblOffset val="100"/>
        <c:noMultiLvlLbl val="0"/>
      </c:catAx>
      <c:spPr>
        <a:noFill/>
        <a:ln>
          <a:solidFill>
            <a:srgbClr val="00B050"/>
          </a:solid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Courbes</a:t>
            </a:r>
            <a:r>
              <a:rPr lang="fr-FR" baseline="0"/>
              <a:t> 12 mois</a:t>
            </a:r>
          </a:p>
          <a:p>
            <a:pPr>
              <a:defRPr/>
            </a:pP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'Calcul Et Courbes '!$O$6</c:f>
              <c:strCache>
                <c:ptCount val="1"/>
                <c:pt idx="0">
                  <c:v>Courbe Passive</c:v>
                </c:pt>
              </c:strCache>
            </c:strRef>
          </c:tx>
          <c:spPr>
            <a:ln w="28575" cap="rnd">
              <a:solidFill>
                <a:schemeClr val="accent3">
                  <a:lumMod val="75000"/>
                </a:schemeClr>
              </a:solidFill>
              <a:round/>
            </a:ln>
            <a:effectLst/>
          </c:spPr>
          <c:marker>
            <c:symbol val="none"/>
          </c:marker>
          <c:val>
            <c:numRef>
              <c:f>'Calcul Et Courbes '!$O$7:$O$18</c:f>
              <c:numCache>
                <c:formatCode>0</c:formatCode>
                <c:ptCount val="12"/>
                <c:pt idx="0">
                  <c:v>62</c:v>
                </c:pt>
                <c:pt idx="1">
                  <c:v>203</c:v>
                </c:pt>
                <c:pt idx="2">
                  <c:v>465</c:v>
                </c:pt>
                <c:pt idx="3">
                  <c:v>900</c:v>
                </c:pt>
                <c:pt idx="4">
                  <c:v>2015</c:v>
                </c:pt>
                <c:pt idx="5">
                  <c:v>1800</c:v>
                </c:pt>
                <c:pt idx="6">
                  <c:v>1395</c:v>
                </c:pt>
                <c:pt idx="7">
                  <c:v>713</c:v>
                </c:pt>
                <c:pt idx="8">
                  <c:v>900</c:v>
                </c:pt>
                <c:pt idx="9">
                  <c:v>620</c:v>
                </c:pt>
                <c:pt idx="10">
                  <c:v>300</c:v>
                </c:pt>
                <c:pt idx="11">
                  <c:v>93</c:v>
                </c:pt>
              </c:numCache>
            </c:numRef>
          </c:val>
          <c:smooth val="0"/>
          <c:extLst>
            <c:ext xmlns:c16="http://schemas.microsoft.com/office/drawing/2014/chart" uri="{C3380CC4-5D6E-409C-BE32-E72D297353CC}">
              <c16:uniqueId val="{00000000-FF33-4531-B749-5CA43A587562}"/>
            </c:ext>
          </c:extLst>
        </c:ser>
        <c:ser>
          <c:idx val="1"/>
          <c:order val="1"/>
          <c:tx>
            <c:strRef>
              <c:f>'Calcul Et Courbes '!$P$6</c:f>
              <c:strCache>
                <c:ptCount val="1"/>
                <c:pt idx="0">
                  <c:v>Courbe active</c:v>
                </c:pt>
              </c:strCache>
            </c:strRef>
          </c:tx>
          <c:spPr>
            <a:ln w="28575" cap="rnd">
              <a:solidFill>
                <a:srgbClr val="00B050"/>
              </a:solidFill>
              <a:round/>
            </a:ln>
            <a:effectLst/>
          </c:spPr>
          <c:marker>
            <c:symbol val="none"/>
          </c:marker>
          <c:val>
            <c:numRef>
              <c:f>'Calcul Et Courbes '!$P$7:$P$18</c:f>
              <c:numCache>
                <c:formatCode>0</c:formatCode>
                <c:ptCount val="12"/>
                <c:pt idx="0">
                  <c:v>80.600000000000009</c:v>
                </c:pt>
                <c:pt idx="1">
                  <c:v>263.90000000000003</c:v>
                </c:pt>
                <c:pt idx="2">
                  <c:v>604.5</c:v>
                </c:pt>
                <c:pt idx="3">
                  <c:v>1170</c:v>
                </c:pt>
                <c:pt idx="4">
                  <c:v>2619.5</c:v>
                </c:pt>
                <c:pt idx="5">
                  <c:v>2340</c:v>
                </c:pt>
                <c:pt idx="6">
                  <c:v>1813.5</c:v>
                </c:pt>
                <c:pt idx="7">
                  <c:v>926.9</c:v>
                </c:pt>
                <c:pt idx="8">
                  <c:v>1170</c:v>
                </c:pt>
                <c:pt idx="9">
                  <c:v>806</c:v>
                </c:pt>
                <c:pt idx="10">
                  <c:v>390</c:v>
                </c:pt>
                <c:pt idx="11">
                  <c:v>120.9</c:v>
                </c:pt>
              </c:numCache>
            </c:numRef>
          </c:val>
          <c:smooth val="0"/>
          <c:extLst>
            <c:ext xmlns:c16="http://schemas.microsoft.com/office/drawing/2014/chart" uri="{C3380CC4-5D6E-409C-BE32-E72D297353CC}">
              <c16:uniqueId val="{00000001-FF33-4531-B749-5CA43A587562}"/>
            </c:ext>
          </c:extLst>
        </c:ser>
        <c:dLbls>
          <c:showLegendKey val="0"/>
          <c:showVal val="0"/>
          <c:showCatName val="0"/>
          <c:showSerName val="0"/>
          <c:showPercent val="0"/>
          <c:showBubbleSize val="0"/>
        </c:dLbls>
        <c:marker val="1"/>
        <c:smooth val="0"/>
        <c:axId val="1590312240"/>
        <c:axId val="1590310160"/>
      </c:lineChart>
      <c:lineChart>
        <c:grouping val="standard"/>
        <c:varyColors val="0"/>
        <c:ser>
          <c:idx val="2"/>
          <c:order val="2"/>
          <c:tx>
            <c:strRef>
              <c:f>'Calcul Et Courbes '!$Q$6</c:f>
              <c:strCache>
                <c:ptCount val="1"/>
                <c:pt idx="0">
                  <c:v>Courbe megajoule( Passive)</c:v>
                </c:pt>
              </c:strCache>
            </c:strRef>
          </c:tx>
          <c:spPr>
            <a:ln w="28575" cap="rnd">
              <a:solidFill>
                <a:srgbClr val="FFC000"/>
              </a:solidFill>
              <a:round/>
            </a:ln>
            <a:effectLst/>
          </c:spPr>
          <c:marker>
            <c:symbol val="none"/>
          </c:marker>
          <c:val>
            <c:numRef>
              <c:f>'Calcul Et Courbes '!$Q$7:$Q$18</c:f>
              <c:numCache>
                <c:formatCode>0</c:formatCode>
                <c:ptCount val="12"/>
                <c:pt idx="0">
                  <c:v>394.5454545454545</c:v>
                </c:pt>
                <c:pt idx="1">
                  <c:v>1476.3636363636363</c:v>
                </c:pt>
                <c:pt idx="2">
                  <c:v>4227.272727272727</c:v>
                </c:pt>
                <c:pt idx="3">
                  <c:v>8590.9090909090919</c:v>
                </c:pt>
                <c:pt idx="4">
                  <c:v>21981.81818181818</c:v>
                </c:pt>
                <c:pt idx="5">
                  <c:v>18000</c:v>
                </c:pt>
                <c:pt idx="6">
                  <c:v>11413.636363636364</c:v>
                </c:pt>
                <c:pt idx="7">
                  <c:v>3889.0909090909086</c:v>
                </c:pt>
                <c:pt idx="8">
                  <c:v>8181.8181818181811</c:v>
                </c:pt>
                <c:pt idx="9">
                  <c:v>6200</c:v>
                </c:pt>
                <c:pt idx="10">
                  <c:v>2454.5454545454545</c:v>
                </c:pt>
                <c:pt idx="11">
                  <c:v>591.81818181818176</c:v>
                </c:pt>
              </c:numCache>
            </c:numRef>
          </c:val>
          <c:smooth val="0"/>
          <c:extLst>
            <c:ext xmlns:c16="http://schemas.microsoft.com/office/drawing/2014/chart" uri="{C3380CC4-5D6E-409C-BE32-E72D297353CC}">
              <c16:uniqueId val="{00000002-FF33-4531-B749-5CA43A587562}"/>
            </c:ext>
          </c:extLst>
        </c:ser>
        <c:ser>
          <c:idx val="3"/>
          <c:order val="3"/>
          <c:tx>
            <c:strRef>
              <c:f>'Calcul Et Courbes '!$R$6</c:f>
              <c:strCache>
                <c:ptCount val="1"/>
                <c:pt idx="0">
                  <c:v>Courbe megajoule dispo(active)</c:v>
                </c:pt>
              </c:strCache>
            </c:strRef>
          </c:tx>
          <c:spPr>
            <a:ln w="28575" cap="rnd">
              <a:solidFill>
                <a:schemeClr val="tx2"/>
              </a:solidFill>
              <a:round/>
            </a:ln>
            <a:effectLst/>
          </c:spPr>
          <c:marker>
            <c:symbol val="none"/>
          </c:marker>
          <c:val>
            <c:numRef>
              <c:f>'Calcul Et Courbes '!$R$7:$R$18</c:f>
              <c:numCache>
                <c:formatCode>0</c:formatCode>
                <c:ptCount val="12"/>
                <c:pt idx="0">
                  <c:v>564.19999999999993</c:v>
                </c:pt>
                <c:pt idx="1">
                  <c:v>2111.1999999999998</c:v>
                </c:pt>
                <c:pt idx="2">
                  <c:v>6045</c:v>
                </c:pt>
                <c:pt idx="3">
                  <c:v>12285</c:v>
                </c:pt>
                <c:pt idx="4">
                  <c:v>31434</c:v>
                </c:pt>
                <c:pt idx="5">
                  <c:v>25740</c:v>
                </c:pt>
                <c:pt idx="6">
                  <c:v>16321.5</c:v>
                </c:pt>
                <c:pt idx="7">
                  <c:v>5561.4000000000005</c:v>
                </c:pt>
                <c:pt idx="8">
                  <c:v>11700</c:v>
                </c:pt>
                <c:pt idx="9">
                  <c:v>8866</c:v>
                </c:pt>
                <c:pt idx="10">
                  <c:v>3510</c:v>
                </c:pt>
                <c:pt idx="11">
                  <c:v>846.30000000000018</c:v>
                </c:pt>
              </c:numCache>
            </c:numRef>
          </c:val>
          <c:smooth val="0"/>
          <c:extLst>
            <c:ext xmlns:c16="http://schemas.microsoft.com/office/drawing/2014/chart" uri="{C3380CC4-5D6E-409C-BE32-E72D297353CC}">
              <c16:uniqueId val="{00000003-FF33-4531-B749-5CA43A587562}"/>
            </c:ext>
          </c:extLst>
        </c:ser>
        <c:ser>
          <c:idx val="4"/>
          <c:order val="4"/>
          <c:tx>
            <c:strRef>
              <c:f>'Calcul Et Courbes '!$S$6</c:f>
              <c:strCache>
                <c:ptCount val="1"/>
                <c:pt idx="0">
                  <c:v>Courbe besoin chaptel</c:v>
                </c:pt>
              </c:strCache>
            </c:strRef>
          </c:tx>
          <c:spPr>
            <a:ln w="28575" cap="rnd">
              <a:solidFill>
                <a:srgbClr val="FF0000"/>
              </a:solidFill>
              <a:round/>
            </a:ln>
            <a:effectLst/>
          </c:spPr>
          <c:marker>
            <c:symbol val="none"/>
          </c:marker>
          <c:val>
            <c:numRef>
              <c:f>'Calcul Et Courbes '!$S$7:$S$18</c:f>
              <c:numCache>
                <c:formatCode>0</c:formatCode>
                <c:ptCount val="12"/>
                <c:pt idx="0">
                  <c:v>3255</c:v>
                </c:pt>
                <c:pt idx="1">
                  <c:v>5582.5</c:v>
                </c:pt>
                <c:pt idx="2">
                  <c:v>6683.5999999999995</c:v>
                </c:pt>
                <c:pt idx="3">
                  <c:v>11340</c:v>
                </c:pt>
                <c:pt idx="4">
                  <c:v>15624</c:v>
                </c:pt>
                <c:pt idx="5">
                  <c:v>12600</c:v>
                </c:pt>
                <c:pt idx="6">
                  <c:v>3255</c:v>
                </c:pt>
                <c:pt idx="7">
                  <c:v>2929.5</c:v>
                </c:pt>
                <c:pt idx="8">
                  <c:v>3780</c:v>
                </c:pt>
                <c:pt idx="9">
                  <c:v>4296.6000000000004</c:v>
                </c:pt>
                <c:pt idx="10">
                  <c:v>3360</c:v>
                </c:pt>
                <c:pt idx="11">
                  <c:v>2929.5</c:v>
                </c:pt>
              </c:numCache>
            </c:numRef>
          </c:val>
          <c:smooth val="0"/>
          <c:extLst>
            <c:ext xmlns:c16="http://schemas.microsoft.com/office/drawing/2014/chart" uri="{C3380CC4-5D6E-409C-BE32-E72D297353CC}">
              <c16:uniqueId val="{00000004-FF33-4531-B749-5CA43A587562}"/>
            </c:ext>
          </c:extLst>
        </c:ser>
        <c:ser>
          <c:idx val="5"/>
          <c:order val="5"/>
          <c:tx>
            <c:strRef>
              <c:f>'Calcul Et Courbes '!$T$6</c:f>
              <c:strCache>
                <c:ptCount val="1"/>
                <c:pt idx="0">
                  <c:v>Courbe Megajoule Objectif</c:v>
                </c:pt>
              </c:strCache>
            </c:strRef>
          </c:tx>
          <c:spPr>
            <a:ln w="28575" cap="rnd">
              <a:solidFill>
                <a:srgbClr val="7030A0"/>
              </a:solidFill>
              <a:round/>
            </a:ln>
            <a:effectLst/>
          </c:spPr>
          <c:marker>
            <c:symbol val="none"/>
          </c:marker>
          <c:val>
            <c:numRef>
              <c:f>'Calcul Et Courbes '!$T$7:$T$18</c:f>
              <c:numCache>
                <c:formatCode>0</c:formatCode>
                <c:ptCount val="12"/>
                <c:pt idx="0">
                  <c:v>451.35999999999996</c:v>
                </c:pt>
                <c:pt idx="1">
                  <c:v>1688.96</c:v>
                </c:pt>
                <c:pt idx="2">
                  <c:v>4836</c:v>
                </c:pt>
                <c:pt idx="3">
                  <c:v>9828</c:v>
                </c:pt>
                <c:pt idx="4">
                  <c:v>25147.200000000001</c:v>
                </c:pt>
                <c:pt idx="5">
                  <c:v>20592</c:v>
                </c:pt>
                <c:pt idx="6">
                  <c:v>13057.2</c:v>
                </c:pt>
                <c:pt idx="7">
                  <c:v>4449.1200000000008</c:v>
                </c:pt>
                <c:pt idx="8">
                  <c:v>9360</c:v>
                </c:pt>
                <c:pt idx="9">
                  <c:v>7092.8</c:v>
                </c:pt>
                <c:pt idx="10">
                  <c:v>2808</c:v>
                </c:pt>
                <c:pt idx="11">
                  <c:v>677.04000000000019</c:v>
                </c:pt>
              </c:numCache>
            </c:numRef>
          </c:val>
          <c:smooth val="0"/>
          <c:extLst>
            <c:ext xmlns:c16="http://schemas.microsoft.com/office/drawing/2014/chart" uri="{C3380CC4-5D6E-409C-BE32-E72D297353CC}">
              <c16:uniqueId val="{00000005-FF33-4531-B749-5CA43A587562}"/>
            </c:ext>
          </c:extLst>
        </c:ser>
        <c:ser>
          <c:idx val="6"/>
          <c:order val="6"/>
          <c:tx>
            <c:strRef>
              <c:f>'Calcul Et Courbes '!$U$6</c:f>
              <c:strCache>
                <c:ptCount val="1"/>
                <c:pt idx="0">
                  <c:v>Besoin different</c:v>
                </c:pt>
              </c:strCache>
            </c:strRef>
          </c:tx>
          <c:spPr>
            <a:ln w="28575" cap="rnd">
              <a:solidFill>
                <a:schemeClr val="accent2">
                  <a:lumMod val="60000"/>
                  <a:lumOff val="40000"/>
                </a:schemeClr>
              </a:solidFill>
              <a:round/>
            </a:ln>
            <a:effectLst/>
          </c:spPr>
          <c:marker>
            <c:symbol val="none"/>
          </c:marker>
          <c:val>
            <c:numRef>
              <c:f>'Calcul Et Courbes '!$U$7:$U$18</c:f>
              <c:numCache>
                <c:formatCode>0</c:formatCode>
                <c:ptCount val="12"/>
                <c:pt idx="0">
                  <c:v>465</c:v>
                </c:pt>
                <c:pt idx="1">
                  <c:v>1595</c:v>
                </c:pt>
                <c:pt idx="2">
                  <c:v>2864.3999999999996</c:v>
                </c:pt>
                <c:pt idx="3">
                  <c:v>6480</c:v>
                </c:pt>
                <c:pt idx="4">
                  <c:v>8928</c:v>
                </c:pt>
                <c:pt idx="5">
                  <c:v>7200</c:v>
                </c:pt>
                <c:pt idx="6">
                  <c:v>2790</c:v>
                </c:pt>
                <c:pt idx="7">
                  <c:v>2092.5</c:v>
                </c:pt>
                <c:pt idx="8">
                  <c:v>2160</c:v>
                </c:pt>
                <c:pt idx="9">
                  <c:v>1227.6000000000001</c:v>
                </c:pt>
                <c:pt idx="10">
                  <c:v>960</c:v>
                </c:pt>
                <c:pt idx="11">
                  <c:v>418.5</c:v>
                </c:pt>
              </c:numCache>
            </c:numRef>
          </c:val>
          <c:smooth val="0"/>
          <c:extLst>
            <c:ext xmlns:c16="http://schemas.microsoft.com/office/drawing/2014/chart" uri="{C3380CC4-5D6E-409C-BE32-E72D297353CC}">
              <c16:uniqueId val="{00000006-FF33-4531-B749-5CA43A587562}"/>
            </c:ext>
          </c:extLst>
        </c:ser>
        <c:dLbls>
          <c:showLegendKey val="0"/>
          <c:showVal val="0"/>
          <c:showCatName val="0"/>
          <c:showSerName val="0"/>
          <c:showPercent val="0"/>
          <c:showBubbleSize val="0"/>
        </c:dLbls>
        <c:marker val="1"/>
        <c:smooth val="0"/>
        <c:axId val="1649346304"/>
        <c:axId val="1590311408"/>
      </c:lineChart>
      <c:catAx>
        <c:axId val="15903122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90310160"/>
        <c:crosses val="autoZero"/>
        <c:auto val="1"/>
        <c:lblAlgn val="ctr"/>
        <c:lblOffset val="100"/>
        <c:noMultiLvlLbl val="0"/>
      </c:catAx>
      <c:valAx>
        <c:axId val="1590310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90312240"/>
        <c:crosses val="autoZero"/>
        <c:crossBetween val="between"/>
      </c:valAx>
      <c:valAx>
        <c:axId val="1590311408"/>
        <c:scaling>
          <c:logBase val="10"/>
          <c:orientation val="minMax"/>
          <c:max val="100000"/>
          <c:min val="100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49346304"/>
        <c:crosses val="max"/>
        <c:crossBetween val="between"/>
      </c:valAx>
      <c:catAx>
        <c:axId val="1649346304"/>
        <c:scaling>
          <c:orientation val="minMax"/>
        </c:scaling>
        <c:delete val="1"/>
        <c:axPos val="b"/>
        <c:majorTickMark val="out"/>
        <c:minorTickMark val="none"/>
        <c:tickLblPos val="nextTo"/>
        <c:crossAx val="159031140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Courbes</a:t>
            </a:r>
            <a:r>
              <a:rPr lang="fr-FR" baseline="0"/>
              <a:t> 12 mois</a:t>
            </a:r>
          </a:p>
          <a:p>
            <a:pPr>
              <a:defRPr/>
            </a:pP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'Calcul Et Courbes '!$O$6</c:f>
              <c:strCache>
                <c:ptCount val="1"/>
                <c:pt idx="0">
                  <c:v>Courbe Passive</c:v>
                </c:pt>
              </c:strCache>
            </c:strRef>
          </c:tx>
          <c:spPr>
            <a:ln w="28575" cap="rnd">
              <a:solidFill>
                <a:schemeClr val="accent3">
                  <a:lumMod val="75000"/>
                </a:schemeClr>
              </a:solidFill>
              <a:round/>
            </a:ln>
            <a:effectLst/>
          </c:spPr>
          <c:marker>
            <c:symbol val="none"/>
          </c:marker>
          <c:val>
            <c:numRef>
              <c:f>'Calcul Et Courbes '!$O$7:$O$18</c:f>
              <c:numCache>
                <c:formatCode>0</c:formatCode>
                <c:ptCount val="12"/>
                <c:pt idx="0">
                  <c:v>62</c:v>
                </c:pt>
                <c:pt idx="1">
                  <c:v>203</c:v>
                </c:pt>
                <c:pt idx="2">
                  <c:v>465</c:v>
                </c:pt>
                <c:pt idx="3">
                  <c:v>900</c:v>
                </c:pt>
                <c:pt idx="4">
                  <c:v>2015</c:v>
                </c:pt>
                <c:pt idx="5">
                  <c:v>1800</c:v>
                </c:pt>
                <c:pt idx="6">
                  <c:v>1395</c:v>
                </c:pt>
                <c:pt idx="7">
                  <c:v>713</c:v>
                </c:pt>
                <c:pt idx="8">
                  <c:v>900</c:v>
                </c:pt>
                <c:pt idx="9">
                  <c:v>620</c:v>
                </c:pt>
                <c:pt idx="10">
                  <c:v>300</c:v>
                </c:pt>
                <c:pt idx="11">
                  <c:v>93</c:v>
                </c:pt>
              </c:numCache>
            </c:numRef>
          </c:val>
          <c:smooth val="1"/>
          <c:extLst>
            <c:ext xmlns:c16="http://schemas.microsoft.com/office/drawing/2014/chart" uri="{C3380CC4-5D6E-409C-BE32-E72D297353CC}">
              <c16:uniqueId val="{00000000-C0F8-4DC9-9510-93E2F5FBA286}"/>
            </c:ext>
          </c:extLst>
        </c:ser>
        <c:ser>
          <c:idx val="1"/>
          <c:order val="1"/>
          <c:tx>
            <c:strRef>
              <c:f>'Calcul Et Courbes '!$P$6</c:f>
              <c:strCache>
                <c:ptCount val="1"/>
                <c:pt idx="0">
                  <c:v>Courbe active</c:v>
                </c:pt>
              </c:strCache>
            </c:strRef>
          </c:tx>
          <c:spPr>
            <a:ln w="28575" cap="rnd">
              <a:solidFill>
                <a:srgbClr val="00B050"/>
              </a:solidFill>
              <a:round/>
            </a:ln>
            <a:effectLst/>
          </c:spPr>
          <c:marker>
            <c:symbol val="none"/>
          </c:marker>
          <c:val>
            <c:numRef>
              <c:f>'Calcul Et Courbes '!$P$7:$P$18</c:f>
              <c:numCache>
                <c:formatCode>0</c:formatCode>
                <c:ptCount val="12"/>
                <c:pt idx="0">
                  <c:v>80.600000000000009</c:v>
                </c:pt>
                <c:pt idx="1">
                  <c:v>263.90000000000003</c:v>
                </c:pt>
                <c:pt idx="2">
                  <c:v>604.5</c:v>
                </c:pt>
                <c:pt idx="3">
                  <c:v>1170</c:v>
                </c:pt>
                <c:pt idx="4">
                  <c:v>2619.5</c:v>
                </c:pt>
                <c:pt idx="5">
                  <c:v>2340</c:v>
                </c:pt>
                <c:pt idx="6">
                  <c:v>1813.5</c:v>
                </c:pt>
                <c:pt idx="7">
                  <c:v>926.9</c:v>
                </c:pt>
                <c:pt idx="8">
                  <c:v>1170</c:v>
                </c:pt>
                <c:pt idx="9">
                  <c:v>806</c:v>
                </c:pt>
                <c:pt idx="10">
                  <c:v>390</c:v>
                </c:pt>
                <c:pt idx="11">
                  <c:v>120.9</c:v>
                </c:pt>
              </c:numCache>
            </c:numRef>
          </c:val>
          <c:smooth val="1"/>
          <c:extLst>
            <c:ext xmlns:c16="http://schemas.microsoft.com/office/drawing/2014/chart" uri="{C3380CC4-5D6E-409C-BE32-E72D297353CC}">
              <c16:uniqueId val="{00000001-C0F8-4DC9-9510-93E2F5FBA286}"/>
            </c:ext>
          </c:extLst>
        </c:ser>
        <c:dLbls>
          <c:showLegendKey val="0"/>
          <c:showVal val="0"/>
          <c:showCatName val="0"/>
          <c:showSerName val="0"/>
          <c:showPercent val="0"/>
          <c:showBubbleSize val="0"/>
        </c:dLbls>
        <c:marker val="1"/>
        <c:smooth val="0"/>
        <c:axId val="1590312240"/>
        <c:axId val="1590310160"/>
      </c:lineChart>
      <c:lineChart>
        <c:grouping val="standard"/>
        <c:varyColors val="0"/>
        <c:ser>
          <c:idx val="2"/>
          <c:order val="2"/>
          <c:tx>
            <c:strRef>
              <c:f>'Calcul Et Courbes '!$Q$6</c:f>
              <c:strCache>
                <c:ptCount val="1"/>
                <c:pt idx="0">
                  <c:v>Courbe megajoule( Passive)</c:v>
                </c:pt>
              </c:strCache>
            </c:strRef>
          </c:tx>
          <c:spPr>
            <a:ln w="28575" cap="rnd">
              <a:solidFill>
                <a:srgbClr val="FFC000"/>
              </a:solidFill>
              <a:round/>
            </a:ln>
            <a:effectLst/>
          </c:spPr>
          <c:marker>
            <c:symbol val="none"/>
          </c:marker>
          <c:val>
            <c:numRef>
              <c:f>'Calcul Et Courbes '!$Q$7:$Q$18</c:f>
              <c:numCache>
                <c:formatCode>0</c:formatCode>
                <c:ptCount val="12"/>
                <c:pt idx="0">
                  <c:v>394.5454545454545</c:v>
                </c:pt>
                <c:pt idx="1">
                  <c:v>1476.3636363636363</c:v>
                </c:pt>
                <c:pt idx="2">
                  <c:v>4227.272727272727</c:v>
                </c:pt>
                <c:pt idx="3">
                  <c:v>8590.9090909090919</c:v>
                </c:pt>
                <c:pt idx="4">
                  <c:v>21981.81818181818</c:v>
                </c:pt>
                <c:pt idx="5">
                  <c:v>18000</c:v>
                </c:pt>
                <c:pt idx="6">
                  <c:v>11413.636363636364</c:v>
                </c:pt>
                <c:pt idx="7">
                  <c:v>3889.0909090909086</c:v>
                </c:pt>
                <c:pt idx="8">
                  <c:v>8181.8181818181811</c:v>
                </c:pt>
                <c:pt idx="9">
                  <c:v>6200</c:v>
                </c:pt>
                <c:pt idx="10">
                  <c:v>2454.5454545454545</c:v>
                </c:pt>
                <c:pt idx="11">
                  <c:v>591.81818181818176</c:v>
                </c:pt>
              </c:numCache>
            </c:numRef>
          </c:val>
          <c:smooth val="1"/>
          <c:extLst>
            <c:ext xmlns:c16="http://schemas.microsoft.com/office/drawing/2014/chart" uri="{C3380CC4-5D6E-409C-BE32-E72D297353CC}">
              <c16:uniqueId val="{00000002-C0F8-4DC9-9510-93E2F5FBA286}"/>
            </c:ext>
          </c:extLst>
        </c:ser>
        <c:ser>
          <c:idx val="3"/>
          <c:order val="3"/>
          <c:tx>
            <c:strRef>
              <c:f>'Calcul Et Courbes '!$R$6</c:f>
              <c:strCache>
                <c:ptCount val="1"/>
                <c:pt idx="0">
                  <c:v>Courbe megajoule dispo(active)</c:v>
                </c:pt>
              </c:strCache>
            </c:strRef>
          </c:tx>
          <c:spPr>
            <a:ln w="28575" cap="rnd">
              <a:solidFill>
                <a:schemeClr val="tx2"/>
              </a:solidFill>
              <a:round/>
            </a:ln>
            <a:effectLst/>
          </c:spPr>
          <c:marker>
            <c:symbol val="none"/>
          </c:marker>
          <c:val>
            <c:numRef>
              <c:f>'Calcul Et Courbes '!$R$7:$R$18</c:f>
              <c:numCache>
                <c:formatCode>0</c:formatCode>
                <c:ptCount val="12"/>
                <c:pt idx="0">
                  <c:v>564.19999999999993</c:v>
                </c:pt>
                <c:pt idx="1">
                  <c:v>2111.1999999999998</c:v>
                </c:pt>
                <c:pt idx="2">
                  <c:v>6045</c:v>
                </c:pt>
                <c:pt idx="3">
                  <c:v>12285</c:v>
                </c:pt>
                <c:pt idx="4">
                  <c:v>31434</c:v>
                </c:pt>
                <c:pt idx="5">
                  <c:v>25740</c:v>
                </c:pt>
                <c:pt idx="6">
                  <c:v>16321.5</c:v>
                </c:pt>
                <c:pt idx="7">
                  <c:v>5561.4000000000005</c:v>
                </c:pt>
                <c:pt idx="8">
                  <c:v>11700</c:v>
                </c:pt>
                <c:pt idx="9">
                  <c:v>8866</c:v>
                </c:pt>
                <c:pt idx="10">
                  <c:v>3510</c:v>
                </c:pt>
                <c:pt idx="11">
                  <c:v>846.30000000000018</c:v>
                </c:pt>
              </c:numCache>
            </c:numRef>
          </c:val>
          <c:smooth val="1"/>
          <c:extLst>
            <c:ext xmlns:c16="http://schemas.microsoft.com/office/drawing/2014/chart" uri="{C3380CC4-5D6E-409C-BE32-E72D297353CC}">
              <c16:uniqueId val="{00000003-C0F8-4DC9-9510-93E2F5FBA286}"/>
            </c:ext>
          </c:extLst>
        </c:ser>
        <c:ser>
          <c:idx val="4"/>
          <c:order val="4"/>
          <c:tx>
            <c:strRef>
              <c:f>'Calcul Et Courbes '!$S$6</c:f>
              <c:strCache>
                <c:ptCount val="1"/>
                <c:pt idx="0">
                  <c:v>Courbe besoin chaptel</c:v>
                </c:pt>
              </c:strCache>
            </c:strRef>
          </c:tx>
          <c:spPr>
            <a:ln w="28575" cap="rnd">
              <a:solidFill>
                <a:srgbClr val="FF0000"/>
              </a:solidFill>
              <a:round/>
            </a:ln>
            <a:effectLst/>
          </c:spPr>
          <c:marker>
            <c:symbol val="none"/>
          </c:marker>
          <c:val>
            <c:numRef>
              <c:f>'Calcul Et Courbes '!$S$7:$S$18</c:f>
              <c:numCache>
                <c:formatCode>0</c:formatCode>
                <c:ptCount val="12"/>
                <c:pt idx="0">
                  <c:v>3255</c:v>
                </c:pt>
                <c:pt idx="1">
                  <c:v>5582.5</c:v>
                </c:pt>
                <c:pt idx="2">
                  <c:v>6683.5999999999995</c:v>
                </c:pt>
                <c:pt idx="3">
                  <c:v>11340</c:v>
                </c:pt>
                <c:pt idx="4">
                  <c:v>15624</c:v>
                </c:pt>
                <c:pt idx="5">
                  <c:v>12600</c:v>
                </c:pt>
                <c:pt idx="6">
                  <c:v>3255</c:v>
                </c:pt>
                <c:pt idx="7">
                  <c:v>2929.5</c:v>
                </c:pt>
                <c:pt idx="8">
                  <c:v>3780</c:v>
                </c:pt>
                <c:pt idx="9">
                  <c:v>4296.6000000000004</c:v>
                </c:pt>
                <c:pt idx="10">
                  <c:v>3360</c:v>
                </c:pt>
                <c:pt idx="11">
                  <c:v>2929.5</c:v>
                </c:pt>
              </c:numCache>
            </c:numRef>
          </c:val>
          <c:smooth val="1"/>
          <c:extLst>
            <c:ext xmlns:c16="http://schemas.microsoft.com/office/drawing/2014/chart" uri="{C3380CC4-5D6E-409C-BE32-E72D297353CC}">
              <c16:uniqueId val="{00000004-C0F8-4DC9-9510-93E2F5FBA286}"/>
            </c:ext>
          </c:extLst>
        </c:ser>
        <c:ser>
          <c:idx val="5"/>
          <c:order val="5"/>
          <c:tx>
            <c:strRef>
              <c:f>'Calcul Et Courbes '!$T$6</c:f>
              <c:strCache>
                <c:ptCount val="1"/>
                <c:pt idx="0">
                  <c:v>Courbe Megajoule Objectif</c:v>
                </c:pt>
              </c:strCache>
            </c:strRef>
          </c:tx>
          <c:spPr>
            <a:ln w="28575" cap="rnd">
              <a:solidFill>
                <a:srgbClr val="7030A0"/>
              </a:solidFill>
              <a:round/>
            </a:ln>
            <a:effectLst/>
          </c:spPr>
          <c:marker>
            <c:symbol val="none"/>
          </c:marker>
          <c:val>
            <c:numRef>
              <c:f>'Calcul Et Courbes '!$T$7:$T$18</c:f>
              <c:numCache>
                <c:formatCode>0</c:formatCode>
                <c:ptCount val="12"/>
                <c:pt idx="0">
                  <c:v>451.35999999999996</c:v>
                </c:pt>
                <c:pt idx="1">
                  <c:v>1688.96</c:v>
                </c:pt>
                <c:pt idx="2">
                  <c:v>4836</c:v>
                </c:pt>
                <c:pt idx="3">
                  <c:v>9828</c:v>
                </c:pt>
                <c:pt idx="4">
                  <c:v>25147.200000000001</c:v>
                </c:pt>
                <c:pt idx="5">
                  <c:v>20592</c:v>
                </c:pt>
                <c:pt idx="6">
                  <c:v>13057.2</c:v>
                </c:pt>
                <c:pt idx="7">
                  <c:v>4449.1200000000008</c:v>
                </c:pt>
                <c:pt idx="8">
                  <c:v>9360</c:v>
                </c:pt>
                <c:pt idx="9">
                  <c:v>7092.8</c:v>
                </c:pt>
                <c:pt idx="10">
                  <c:v>2808</c:v>
                </c:pt>
                <c:pt idx="11">
                  <c:v>677.04000000000019</c:v>
                </c:pt>
              </c:numCache>
            </c:numRef>
          </c:val>
          <c:smooth val="1"/>
          <c:extLst>
            <c:ext xmlns:c16="http://schemas.microsoft.com/office/drawing/2014/chart" uri="{C3380CC4-5D6E-409C-BE32-E72D297353CC}">
              <c16:uniqueId val="{00000005-C0F8-4DC9-9510-93E2F5FBA286}"/>
            </c:ext>
          </c:extLst>
        </c:ser>
        <c:ser>
          <c:idx val="6"/>
          <c:order val="6"/>
          <c:tx>
            <c:strRef>
              <c:f>'Calcul Et Courbes '!$U$6</c:f>
              <c:strCache>
                <c:ptCount val="1"/>
                <c:pt idx="0">
                  <c:v>Besoin different</c:v>
                </c:pt>
              </c:strCache>
            </c:strRef>
          </c:tx>
          <c:spPr>
            <a:ln w="28575" cap="rnd">
              <a:solidFill>
                <a:schemeClr val="accent2">
                  <a:lumMod val="60000"/>
                  <a:lumOff val="40000"/>
                </a:schemeClr>
              </a:solidFill>
              <a:round/>
            </a:ln>
            <a:effectLst/>
          </c:spPr>
          <c:marker>
            <c:symbol val="none"/>
          </c:marker>
          <c:val>
            <c:numRef>
              <c:f>'Calcul Et Courbes '!$U$7:$U$18</c:f>
              <c:numCache>
                <c:formatCode>0</c:formatCode>
                <c:ptCount val="12"/>
                <c:pt idx="0">
                  <c:v>465</c:v>
                </c:pt>
                <c:pt idx="1">
                  <c:v>1595</c:v>
                </c:pt>
                <c:pt idx="2">
                  <c:v>2864.3999999999996</c:v>
                </c:pt>
                <c:pt idx="3">
                  <c:v>6480</c:v>
                </c:pt>
                <c:pt idx="4">
                  <c:v>8928</c:v>
                </c:pt>
                <c:pt idx="5">
                  <c:v>7200</c:v>
                </c:pt>
                <c:pt idx="6">
                  <c:v>2790</c:v>
                </c:pt>
                <c:pt idx="7">
                  <c:v>2092.5</c:v>
                </c:pt>
                <c:pt idx="8">
                  <c:v>2160</c:v>
                </c:pt>
                <c:pt idx="9">
                  <c:v>1227.6000000000001</c:v>
                </c:pt>
                <c:pt idx="10">
                  <c:v>960</c:v>
                </c:pt>
                <c:pt idx="11">
                  <c:v>418.5</c:v>
                </c:pt>
              </c:numCache>
            </c:numRef>
          </c:val>
          <c:smooth val="1"/>
          <c:extLst>
            <c:ext xmlns:c16="http://schemas.microsoft.com/office/drawing/2014/chart" uri="{C3380CC4-5D6E-409C-BE32-E72D297353CC}">
              <c16:uniqueId val="{00000006-C0F8-4DC9-9510-93E2F5FBA286}"/>
            </c:ext>
          </c:extLst>
        </c:ser>
        <c:dLbls>
          <c:showLegendKey val="0"/>
          <c:showVal val="0"/>
          <c:showCatName val="0"/>
          <c:showSerName val="0"/>
          <c:showPercent val="0"/>
          <c:showBubbleSize val="0"/>
        </c:dLbls>
        <c:marker val="1"/>
        <c:smooth val="0"/>
        <c:axId val="1649346304"/>
        <c:axId val="1590311408"/>
      </c:lineChart>
      <c:catAx>
        <c:axId val="15903122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90310160"/>
        <c:crosses val="autoZero"/>
        <c:auto val="1"/>
        <c:lblAlgn val="ctr"/>
        <c:lblOffset val="100"/>
        <c:noMultiLvlLbl val="0"/>
      </c:catAx>
      <c:valAx>
        <c:axId val="1590310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90312240"/>
        <c:crosses val="autoZero"/>
        <c:crossBetween val="between"/>
      </c:valAx>
      <c:valAx>
        <c:axId val="1590311408"/>
        <c:scaling>
          <c:logBase val="10"/>
          <c:orientation val="minMax"/>
          <c:max val="100000"/>
          <c:min val="100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49346304"/>
        <c:crosses val="max"/>
        <c:crossBetween val="between"/>
      </c:valAx>
      <c:catAx>
        <c:axId val="1649346304"/>
        <c:scaling>
          <c:orientation val="minMax"/>
        </c:scaling>
        <c:delete val="1"/>
        <c:axPos val="b"/>
        <c:majorTickMark val="out"/>
        <c:minorTickMark val="none"/>
        <c:tickLblPos val="nextTo"/>
        <c:crossAx val="159031140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Courbes</a:t>
            </a:r>
            <a:r>
              <a:rPr lang="fr-FR" baseline="0"/>
              <a:t> 12 mois</a:t>
            </a:r>
          </a:p>
          <a:p>
            <a:pPr>
              <a:defRPr/>
            </a:pP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'Calcul Et Courbes '!$O$6</c:f>
              <c:strCache>
                <c:ptCount val="1"/>
                <c:pt idx="0">
                  <c:v>Courbe Passive</c:v>
                </c:pt>
              </c:strCache>
            </c:strRef>
          </c:tx>
          <c:spPr>
            <a:ln w="28575" cap="rnd">
              <a:solidFill>
                <a:schemeClr val="accent3">
                  <a:lumMod val="75000"/>
                </a:schemeClr>
              </a:solidFill>
              <a:round/>
            </a:ln>
            <a:effectLst/>
          </c:spPr>
          <c:marker>
            <c:symbol val="none"/>
          </c:marker>
          <c:val>
            <c:numRef>
              <c:f>'Calcul Et Courbes '!$O$7:$O$18</c:f>
              <c:numCache>
                <c:formatCode>0</c:formatCode>
                <c:ptCount val="12"/>
                <c:pt idx="0">
                  <c:v>62</c:v>
                </c:pt>
                <c:pt idx="1">
                  <c:v>203</c:v>
                </c:pt>
                <c:pt idx="2">
                  <c:v>465</c:v>
                </c:pt>
                <c:pt idx="3">
                  <c:v>900</c:v>
                </c:pt>
                <c:pt idx="4">
                  <c:v>2015</c:v>
                </c:pt>
                <c:pt idx="5">
                  <c:v>1800</c:v>
                </c:pt>
                <c:pt idx="6">
                  <c:v>1395</c:v>
                </c:pt>
                <c:pt idx="7">
                  <c:v>713</c:v>
                </c:pt>
                <c:pt idx="8">
                  <c:v>900</c:v>
                </c:pt>
                <c:pt idx="9">
                  <c:v>620</c:v>
                </c:pt>
                <c:pt idx="10">
                  <c:v>300</c:v>
                </c:pt>
                <c:pt idx="11">
                  <c:v>93</c:v>
                </c:pt>
              </c:numCache>
            </c:numRef>
          </c:val>
          <c:smooth val="0"/>
          <c:extLst>
            <c:ext xmlns:c16="http://schemas.microsoft.com/office/drawing/2014/chart" uri="{C3380CC4-5D6E-409C-BE32-E72D297353CC}">
              <c16:uniqueId val="{00000000-69B4-4FF6-92F6-8450F84F3824}"/>
            </c:ext>
          </c:extLst>
        </c:ser>
        <c:ser>
          <c:idx val="1"/>
          <c:order val="1"/>
          <c:tx>
            <c:strRef>
              <c:f>'Calcul Et Courbes '!$P$6</c:f>
              <c:strCache>
                <c:ptCount val="1"/>
                <c:pt idx="0">
                  <c:v>Courbe active</c:v>
                </c:pt>
              </c:strCache>
            </c:strRef>
          </c:tx>
          <c:spPr>
            <a:ln w="28575" cap="rnd">
              <a:solidFill>
                <a:srgbClr val="00B050"/>
              </a:solidFill>
              <a:round/>
            </a:ln>
            <a:effectLst/>
          </c:spPr>
          <c:marker>
            <c:symbol val="none"/>
          </c:marker>
          <c:val>
            <c:numRef>
              <c:f>'Calcul Et Courbes '!$P$7:$P$18</c:f>
              <c:numCache>
                <c:formatCode>0</c:formatCode>
                <c:ptCount val="12"/>
                <c:pt idx="0">
                  <c:v>80.600000000000009</c:v>
                </c:pt>
                <c:pt idx="1">
                  <c:v>263.90000000000003</c:v>
                </c:pt>
                <c:pt idx="2">
                  <c:v>604.5</c:v>
                </c:pt>
                <c:pt idx="3">
                  <c:v>1170</c:v>
                </c:pt>
                <c:pt idx="4">
                  <c:v>2619.5</c:v>
                </c:pt>
                <c:pt idx="5">
                  <c:v>2340</c:v>
                </c:pt>
                <c:pt idx="6">
                  <c:v>1813.5</c:v>
                </c:pt>
                <c:pt idx="7">
                  <c:v>926.9</c:v>
                </c:pt>
                <c:pt idx="8">
                  <c:v>1170</c:v>
                </c:pt>
                <c:pt idx="9">
                  <c:v>806</c:v>
                </c:pt>
                <c:pt idx="10">
                  <c:v>390</c:v>
                </c:pt>
                <c:pt idx="11">
                  <c:v>120.9</c:v>
                </c:pt>
              </c:numCache>
            </c:numRef>
          </c:val>
          <c:smooth val="0"/>
          <c:extLst>
            <c:ext xmlns:c16="http://schemas.microsoft.com/office/drawing/2014/chart" uri="{C3380CC4-5D6E-409C-BE32-E72D297353CC}">
              <c16:uniqueId val="{00000001-69B4-4FF6-92F6-8450F84F3824}"/>
            </c:ext>
          </c:extLst>
        </c:ser>
        <c:dLbls>
          <c:showLegendKey val="0"/>
          <c:showVal val="0"/>
          <c:showCatName val="0"/>
          <c:showSerName val="0"/>
          <c:showPercent val="0"/>
          <c:showBubbleSize val="0"/>
        </c:dLbls>
        <c:marker val="1"/>
        <c:smooth val="0"/>
        <c:axId val="1590312240"/>
        <c:axId val="1590310160"/>
      </c:lineChart>
      <c:lineChart>
        <c:grouping val="standard"/>
        <c:varyColors val="0"/>
        <c:ser>
          <c:idx val="2"/>
          <c:order val="2"/>
          <c:tx>
            <c:strRef>
              <c:f>'Calcul Et Courbes '!$Q$6</c:f>
              <c:strCache>
                <c:ptCount val="1"/>
                <c:pt idx="0">
                  <c:v>Courbe megajoule( Passive)</c:v>
                </c:pt>
              </c:strCache>
            </c:strRef>
          </c:tx>
          <c:spPr>
            <a:ln w="28575" cap="rnd">
              <a:solidFill>
                <a:srgbClr val="FFC000"/>
              </a:solidFill>
              <a:round/>
            </a:ln>
            <a:effectLst/>
          </c:spPr>
          <c:marker>
            <c:symbol val="none"/>
          </c:marker>
          <c:val>
            <c:numRef>
              <c:f>'Calcul Et Courbes '!$Q$7:$Q$18</c:f>
              <c:numCache>
                <c:formatCode>0</c:formatCode>
                <c:ptCount val="12"/>
                <c:pt idx="0">
                  <c:v>394.5454545454545</c:v>
                </c:pt>
                <c:pt idx="1">
                  <c:v>1476.3636363636363</c:v>
                </c:pt>
                <c:pt idx="2">
                  <c:v>4227.272727272727</c:v>
                </c:pt>
                <c:pt idx="3">
                  <c:v>8590.9090909090919</c:v>
                </c:pt>
                <c:pt idx="4">
                  <c:v>21981.81818181818</c:v>
                </c:pt>
                <c:pt idx="5">
                  <c:v>18000</c:v>
                </c:pt>
                <c:pt idx="6">
                  <c:v>11413.636363636364</c:v>
                </c:pt>
                <c:pt idx="7">
                  <c:v>3889.0909090909086</c:v>
                </c:pt>
                <c:pt idx="8">
                  <c:v>8181.8181818181811</c:v>
                </c:pt>
                <c:pt idx="9">
                  <c:v>6200</c:v>
                </c:pt>
                <c:pt idx="10">
                  <c:v>2454.5454545454545</c:v>
                </c:pt>
                <c:pt idx="11">
                  <c:v>591.81818181818176</c:v>
                </c:pt>
              </c:numCache>
            </c:numRef>
          </c:val>
          <c:smooth val="0"/>
          <c:extLst>
            <c:ext xmlns:c16="http://schemas.microsoft.com/office/drawing/2014/chart" uri="{C3380CC4-5D6E-409C-BE32-E72D297353CC}">
              <c16:uniqueId val="{00000002-69B4-4FF6-92F6-8450F84F3824}"/>
            </c:ext>
          </c:extLst>
        </c:ser>
        <c:ser>
          <c:idx val="3"/>
          <c:order val="3"/>
          <c:tx>
            <c:strRef>
              <c:f>'Calcul Et Courbes '!$R$6</c:f>
              <c:strCache>
                <c:ptCount val="1"/>
                <c:pt idx="0">
                  <c:v>Courbe megajoule dispo(active)</c:v>
                </c:pt>
              </c:strCache>
            </c:strRef>
          </c:tx>
          <c:spPr>
            <a:ln w="28575" cap="rnd">
              <a:solidFill>
                <a:schemeClr val="tx2"/>
              </a:solidFill>
              <a:round/>
            </a:ln>
            <a:effectLst/>
          </c:spPr>
          <c:marker>
            <c:symbol val="none"/>
          </c:marker>
          <c:val>
            <c:numRef>
              <c:f>'Calcul Et Courbes '!$R$7:$R$18</c:f>
              <c:numCache>
                <c:formatCode>0</c:formatCode>
                <c:ptCount val="12"/>
                <c:pt idx="0">
                  <c:v>564.19999999999993</c:v>
                </c:pt>
                <c:pt idx="1">
                  <c:v>2111.1999999999998</c:v>
                </c:pt>
                <c:pt idx="2">
                  <c:v>6045</c:v>
                </c:pt>
                <c:pt idx="3">
                  <c:v>12285</c:v>
                </c:pt>
                <c:pt idx="4">
                  <c:v>31434</c:v>
                </c:pt>
                <c:pt idx="5">
                  <c:v>25740</c:v>
                </c:pt>
                <c:pt idx="6">
                  <c:v>16321.5</c:v>
                </c:pt>
                <c:pt idx="7">
                  <c:v>5561.4000000000005</c:v>
                </c:pt>
                <c:pt idx="8">
                  <c:v>11700</c:v>
                </c:pt>
                <c:pt idx="9">
                  <c:v>8866</c:v>
                </c:pt>
                <c:pt idx="10">
                  <c:v>3510</c:v>
                </c:pt>
                <c:pt idx="11">
                  <c:v>846.30000000000018</c:v>
                </c:pt>
              </c:numCache>
            </c:numRef>
          </c:val>
          <c:smooth val="0"/>
          <c:extLst>
            <c:ext xmlns:c16="http://schemas.microsoft.com/office/drawing/2014/chart" uri="{C3380CC4-5D6E-409C-BE32-E72D297353CC}">
              <c16:uniqueId val="{00000003-69B4-4FF6-92F6-8450F84F3824}"/>
            </c:ext>
          </c:extLst>
        </c:ser>
        <c:ser>
          <c:idx val="4"/>
          <c:order val="4"/>
          <c:tx>
            <c:strRef>
              <c:f>'Calcul Et Courbes '!$S$6</c:f>
              <c:strCache>
                <c:ptCount val="1"/>
                <c:pt idx="0">
                  <c:v>Courbe besoin chaptel</c:v>
                </c:pt>
              </c:strCache>
            </c:strRef>
          </c:tx>
          <c:spPr>
            <a:ln w="28575" cap="rnd">
              <a:solidFill>
                <a:srgbClr val="FF0000"/>
              </a:solidFill>
              <a:round/>
            </a:ln>
            <a:effectLst/>
          </c:spPr>
          <c:marker>
            <c:symbol val="none"/>
          </c:marker>
          <c:val>
            <c:numRef>
              <c:f>'Calcul Et Courbes '!$S$7:$S$18</c:f>
              <c:numCache>
                <c:formatCode>0</c:formatCode>
                <c:ptCount val="12"/>
                <c:pt idx="0">
                  <c:v>3255</c:v>
                </c:pt>
                <c:pt idx="1">
                  <c:v>5582.5</c:v>
                </c:pt>
                <c:pt idx="2">
                  <c:v>6683.5999999999995</c:v>
                </c:pt>
                <c:pt idx="3">
                  <c:v>11340</c:v>
                </c:pt>
                <c:pt idx="4">
                  <c:v>15624</c:v>
                </c:pt>
                <c:pt idx="5">
                  <c:v>12600</c:v>
                </c:pt>
                <c:pt idx="6">
                  <c:v>3255</c:v>
                </c:pt>
                <c:pt idx="7">
                  <c:v>2929.5</c:v>
                </c:pt>
                <c:pt idx="8">
                  <c:v>3780</c:v>
                </c:pt>
                <c:pt idx="9">
                  <c:v>4296.6000000000004</c:v>
                </c:pt>
                <c:pt idx="10">
                  <c:v>3360</c:v>
                </c:pt>
                <c:pt idx="11">
                  <c:v>2929.5</c:v>
                </c:pt>
              </c:numCache>
            </c:numRef>
          </c:val>
          <c:smooth val="0"/>
          <c:extLst>
            <c:ext xmlns:c16="http://schemas.microsoft.com/office/drawing/2014/chart" uri="{C3380CC4-5D6E-409C-BE32-E72D297353CC}">
              <c16:uniqueId val="{00000004-69B4-4FF6-92F6-8450F84F3824}"/>
            </c:ext>
          </c:extLst>
        </c:ser>
        <c:ser>
          <c:idx val="5"/>
          <c:order val="5"/>
          <c:tx>
            <c:strRef>
              <c:f>'Calcul Et Courbes '!$T$6</c:f>
              <c:strCache>
                <c:ptCount val="1"/>
                <c:pt idx="0">
                  <c:v>Courbe Megajoule Objectif</c:v>
                </c:pt>
              </c:strCache>
            </c:strRef>
          </c:tx>
          <c:spPr>
            <a:ln w="28575" cap="rnd">
              <a:solidFill>
                <a:srgbClr val="7030A0"/>
              </a:solidFill>
              <a:round/>
            </a:ln>
            <a:effectLst/>
          </c:spPr>
          <c:marker>
            <c:symbol val="none"/>
          </c:marker>
          <c:val>
            <c:numRef>
              <c:f>'Calcul Et Courbes '!$T$7:$T$18</c:f>
              <c:numCache>
                <c:formatCode>0</c:formatCode>
                <c:ptCount val="12"/>
                <c:pt idx="0">
                  <c:v>451.35999999999996</c:v>
                </c:pt>
                <c:pt idx="1">
                  <c:v>1688.96</c:v>
                </c:pt>
                <c:pt idx="2">
                  <c:v>4836</c:v>
                </c:pt>
                <c:pt idx="3">
                  <c:v>9828</c:v>
                </c:pt>
                <c:pt idx="4">
                  <c:v>25147.200000000001</c:v>
                </c:pt>
                <c:pt idx="5">
                  <c:v>20592</c:v>
                </c:pt>
                <c:pt idx="6">
                  <c:v>13057.2</c:v>
                </c:pt>
                <c:pt idx="7">
                  <c:v>4449.1200000000008</c:v>
                </c:pt>
                <c:pt idx="8">
                  <c:v>9360</c:v>
                </c:pt>
                <c:pt idx="9">
                  <c:v>7092.8</c:v>
                </c:pt>
                <c:pt idx="10">
                  <c:v>2808</c:v>
                </c:pt>
                <c:pt idx="11">
                  <c:v>677.04000000000019</c:v>
                </c:pt>
              </c:numCache>
            </c:numRef>
          </c:val>
          <c:smooth val="0"/>
          <c:extLst>
            <c:ext xmlns:c16="http://schemas.microsoft.com/office/drawing/2014/chart" uri="{C3380CC4-5D6E-409C-BE32-E72D297353CC}">
              <c16:uniqueId val="{00000005-69B4-4FF6-92F6-8450F84F3824}"/>
            </c:ext>
          </c:extLst>
        </c:ser>
        <c:ser>
          <c:idx val="6"/>
          <c:order val="6"/>
          <c:tx>
            <c:strRef>
              <c:f>'Calcul Et Courbes '!$U$6</c:f>
              <c:strCache>
                <c:ptCount val="1"/>
                <c:pt idx="0">
                  <c:v>Besoin different</c:v>
                </c:pt>
              </c:strCache>
            </c:strRef>
          </c:tx>
          <c:spPr>
            <a:ln w="28575" cap="rnd">
              <a:solidFill>
                <a:schemeClr val="accent2">
                  <a:lumMod val="60000"/>
                  <a:lumOff val="40000"/>
                </a:schemeClr>
              </a:solidFill>
              <a:round/>
            </a:ln>
            <a:effectLst/>
          </c:spPr>
          <c:marker>
            <c:symbol val="none"/>
          </c:marker>
          <c:val>
            <c:numRef>
              <c:f>'Calcul Et Courbes '!$U$7:$U$18</c:f>
              <c:numCache>
                <c:formatCode>0</c:formatCode>
                <c:ptCount val="12"/>
                <c:pt idx="0">
                  <c:v>465</c:v>
                </c:pt>
                <c:pt idx="1">
                  <c:v>1595</c:v>
                </c:pt>
                <c:pt idx="2">
                  <c:v>2864.3999999999996</c:v>
                </c:pt>
                <c:pt idx="3">
                  <c:v>6480</c:v>
                </c:pt>
                <c:pt idx="4">
                  <c:v>8928</c:v>
                </c:pt>
                <c:pt idx="5">
                  <c:v>7200</c:v>
                </c:pt>
                <c:pt idx="6">
                  <c:v>2790</c:v>
                </c:pt>
                <c:pt idx="7">
                  <c:v>2092.5</c:v>
                </c:pt>
                <c:pt idx="8">
                  <c:v>2160</c:v>
                </c:pt>
                <c:pt idx="9">
                  <c:v>1227.6000000000001</c:v>
                </c:pt>
                <c:pt idx="10">
                  <c:v>960</c:v>
                </c:pt>
                <c:pt idx="11">
                  <c:v>418.5</c:v>
                </c:pt>
              </c:numCache>
            </c:numRef>
          </c:val>
          <c:smooth val="0"/>
          <c:extLst>
            <c:ext xmlns:c16="http://schemas.microsoft.com/office/drawing/2014/chart" uri="{C3380CC4-5D6E-409C-BE32-E72D297353CC}">
              <c16:uniqueId val="{00000006-69B4-4FF6-92F6-8450F84F3824}"/>
            </c:ext>
          </c:extLst>
        </c:ser>
        <c:dLbls>
          <c:showLegendKey val="0"/>
          <c:showVal val="0"/>
          <c:showCatName val="0"/>
          <c:showSerName val="0"/>
          <c:showPercent val="0"/>
          <c:showBubbleSize val="0"/>
        </c:dLbls>
        <c:marker val="1"/>
        <c:smooth val="0"/>
        <c:axId val="1649346304"/>
        <c:axId val="1590311408"/>
      </c:lineChart>
      <c:catAx>
        <c:axId val="15903122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90310160"/>
        <c:crosses val="autoZero"/>
        <c:auto val="1"/>
        <c:lblAlgn val="ctr"/>
        <c:lblOffset val="100"/>
        <c:noMultiLvlLbl val="0"/>
      </c:catAx>
      <c:valAx>
        <c:axId val="1590310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90312240"/>
        <c:crosses val="autoZero"/>
        <c:crossBetween val="between"/>
      </c:valAx>
      <c:valAx>
        <c:axId val="1590311408"/>
        <c:scaling>
          <c:logBase val="10"/>
          <c:orientation val="minMax"/>
          <c:max val="100000"/>
          <c:min val="100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49346304"/>
        <c:crosses val="max"/>
        <c:crossBetween val="between"/>
      </c:valAx>
      <c:catAx>
        <c:axId val="1649346304"/>
        <c:scaling>
          <c:orientation val="minMax"/>
        </c:scaling>
        <c:delete val="1"/>
        <c:axPos val="b"/>
        <c:majorTickMark val="out"/>
        <c:minorTickMark val="none"/>
        <c:tickLblPos val="nextTo"/>
        <c:crossAx val="159031140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Courbes</a:t>
            </a:r>
          </a:p>
          <a:p>
            <a:pPr>
              <a:defRPr/>
            </a:pPr>
            <a:r>
              <a:rPr lang="fr-FR"/>
              <a:t> 18 mois</a:t>
            </a:r>
          </a:p>
          <a:p>
            <a:pPr>
              <a:defRPr/>
            </a:pP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'Calcul Et Courbes '!$P$47</c:f>
              <c:strCache>
                <c:ptCount val="1"/>
                <c:pt idx="0">
                  <c:v>Courbe Passive</c:v>
                </c:pt>
              </c:strCache>
            </c:strRef>
          </c:tx>
          <c:spPr>
            <a:ln w="28575" cap="rnd">
              <a:solidFill>
                <a:srgbClr val="92D05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'!$P$48:$P$65</c:f>
              <c:numCache>
                <c:formatCode>0</c:formatCode>
                <c:ptCount val="18"/>
                <c:pt idx="0">
                  <c:v>620</c:v>
                </c:pt>
                <c:pt idx="1">
                  <c:v>300</c:v>
                </c:pt>
                <c:pt idx="2">
                  <c:v>93</c:v>
                </c:pt>
                <c:pt idx="3">
                  <c:v>62</c:v>
                </c:pt>
                <c:pt idx="4">
                  <c:v>203</c:v>
                </c:pt>
                <c:pt idx="5">
                  <c:v>465</c:v>
                </c:pt>
                <c:pt idx="6">
                  <c:v>900</c:v>
                </c:pt>
                <c:pt idx="7">
                  <c:v>2015</c:v>
                </c:pt>
                <c:pt idx="8">
                  <c:v>1800</c:v>
                </c:pt>
                <c:pt idx="9">
                  <c:v>1395</c:v>
                </c:pt>
                <c:pt idx="10">
                  <c:v>713</c:v>
                </c:pt>
                <c:pt idx="11">
                  <c:v>900</c:v>
                </c:pt>
                <c:pt idx="12">
                  <c:v>620</c:v>
                </c:pt>
                <c:pt idx="13">
                  <c:v>300</c:v>
                </c:pt>
                <c:pt idx="14">
                  <c:v>93</c:v>
                </c:pt>
                <c:pt idx="15">
                  <c:v>62</c:v>
                </c:pt>
                <c:pt idx="16">
                  <c:v>203</c:v>
                </c:pt>
                <c:pt idx="17">
                  <c:v>465</c:v>
                </c:pt>
              </c:numCache>
            </c:numRef>
          </c:val>
          <c:smooth val="0"/>
          <c:extLst>
            <c:ext xmlns:c16="http://schemas.microsoft.com/office/drawing/2014/chart" uri="{C3380CC4-5D6E-409C-BE32-E72D297353CC}">
              <c16:uniqueId val="{00000000-F43E-42B5-9988-457AF769D526}"/>
            </c:ext>
          </c:extLst>
        </c:ser>
        <c:ser>
          <c:idx val="1"/>
          <c:order val="1"/>
          <c:tx>
            <c:strRef>
              <c:f>'Calcul Et Courbes '!$Q$47</c:f>
              <c:strCache>
                <c:ptCount val="1"/>
                <c:pt idx="0">
                  <c:v>Courbe active</c:v>
                </c:pt>
              </c:strCache>
            </c:strRef>
          </c:tx>
          <c:spPr>
            <a:ln w="28575" cap="rnd">
              <a:solidFill>
                <a:srgbClr val="00B05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'!$Q$48:$Q$65</c:f>
              <c:numCache>
                <c:formatCode>0</c:formatCode>
                <c:ptCount val="18"/>
                <c:pt idx="0">
                  <c:v>806</c:v>
                </c:pt>
                <c:pt idx="1">
                  <c:v>390</c:v>
                </c:pt>
                <c:pt idx="2">
                  <c:v>120.9</c:v>
                </c:pt>
                <c:pt idx="3">
                  <c:v>80.600000000000009</c:v>
                </c:pt>
                <c:pt idx="4">
                  <c:v>263.90000000000003</c:v>
                </c:pt>
                <c:pt idx="5">
                  <c:v>604.5</c:v>
                </c:pt>
                <c:pt idx="6">
                  <c:v>1170</c:v>
                </c:pt>
                <c:pt idx="7">
                  <c:v>2619.5</c:v>
                </c:pt>
                <c:pt idx="8">
                  <c:v>2340</c:v>
                </c:pt>
                <c:pt idx="9">
                  <c:v>1813.5</c:v>
                </c:pt>
                <c:pt idx="10">
                  <c:v>926.9</c:v>
                </c:pt>
                <c:pt idx="11">
                  <c:v>1170</c:v>
                </c:pt>
                <c:pt idx="12">
                  <c:v>806</c:v>
                </c:pt>
                <c:pt idx="13">
                  <c:v>390</c:v>
                </c:pt>
                <c:pt idx="14">
                  <c:v>120.9</c:v>
                </c:pt>
                <c:pt idx="15">
                  <c:v>80.600000000000009</c:v>
                </c:pt>
                <c:pt idx="16">
                  <c:v>263.90000000000003</c:v>
                </c:pt>
                <c:pt idx="17">
                  <c:v>604.5</c:v>
                </c:pt>
              </c:numCache>
            </c:numRef>
          </c:val>
          <c:smooth val="0"/>
          <c:extLst>
            <c:ext xmlns:c16="http://schemas.microsoft.com/office/drawing/2014/chart" uri="{C3380CC4-5D6E-409C-BE32-E72D297353CC}">
              <c16:uniqueId val="{00000001-F43E-42B5-9988-457AF769D526}"/>
            </c:ext>
          </c:extLst>
        </c:ser>
        <c:dLbls>
          <c:showLegendKey val="0"/>
          <c:showVal val="0"/>
          <c:showCatName val="0"/>
          <c:showSerName val="0"/>
          <c:showPercent val="0"/>
          <c:showBubbleSize val="0"/>
        </c:dLbls>
        <c:marker val="1"/>
        <c:smooth val="0"/>
        <c:axId val="1747336720"/>
        <c:axId val="1747335888"/>
      </c:lineChart>
      <c:lineChart>
        <c:grouping val="standard"/>
        <c:varyColors val="0"/>
        <c:ser>
          <c:idx val="2"/>
          <c:order val="2"/>
          <c:tx>
            <c:strRef>
              <c:f>'Calcul Et Courbes '!$R$47</c:f>
              <c:strCache>
                <c:ptCount val="1"/>
                <c:pt idx="0">
                  <c:v>Courbe megajoule( Passive)</c:v>
                </c:pt>
              </c:strCache>
            </c:strRef>
          </c:tx>
          <c:spPr>
            <a:ln w="28575" cap="rnd">
              <a:solidFill>
                <a:srgbClr val="FFC00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'!$R$48:$R$65</c:f>
              <c:numCache>
                <c:formatCode>0</c:formatCode>
                <c:ptCount val="18"/>
                <c:pt idx="0">
                  <c:v>6200</c:v>
                </c:pt>
                <c:pt idx="1">
                  <c:v>2454.5454545454545</c:v>
                </c:pt>
                <c:pt idx="2">
                  <c:v>591.81818181818176</c:v>
                </c:pt>
                <c:pt idx="3">
                  <c:v>394.5454545454545</c:v>
                </c:pt>
                <c:pt idx="4">
                  <c:v>1476.3636363636363</c:v>
                </c:pt>
                <c:pt idx="5">
                  <c:v>4227.272727272727</c:v>
                </c:pt>
                <c:pt idx="6">
                  <c:v>8590.9090909090919</c:v>
                </c:pt>
                <c:pt idx="7">
                  <c:v>21981.81818181818</c:v>
                </c:pt>
                <c:pt idx="8">
                  <c:v>18000</c:v>
                </c:pt>
                <c:pt idx="9">
                  <c:v>11413.636363636364</c:v>
                </c:pt>
                <c:pt idx="10">
                  <c:v>3889.0909090909086</c:v>
                </c:pt>
                <c:pt idx="11">
                  <c:v>8181.8181818181811</c:v>
                </c:pt>
                <c:pt idx="12">
                  <c:v>6200</c:v>
                </c:pt>
                <c:pt idx="13">
                  <c:v>2454.5454545454545</c:v>
                </c:pt>
                <c:pt idx="14">
                  <c:v>591.81818181818176</c:v>
                </c:pt>
                <c:pt idx="15">
                  <c:v>394.5454545454545</c:v>
                </c:pt>
                <c:pt idx="16">
                  <c:v>1476.3636363636363</c:v>
                </c:pt>
                <c:pt idx="17">
                  <c:v>4227.272727272727</c:v>
                </c:pt>
              </c:numCache>
            </c:numRef>
          </c:val>
          <c:smooth val="0"/>
          <c:extLst>
            <c:ext xmlns:c16="http://schemas.microsoft.com/office/drawing/2014/chart" uri="{C3380CC4-5D6E-409C-BE32-E72D297353CC}">
              <c16:uniqueId val="{00000002-F43E-42B5-9988-457AF769D526}"/>
            </c:ext>
          </c:extLst>
        </c:ser>
        <c:ser>
          <c:idx val="3"/>
          <c:order val="3"/>
          <c:tx>
            <c:strRef>
              <c:f>'Calcul Et Courbes '!$S$47</c:f>
              <c:strCache>
                <c:ptCount val="1"/>
                <c:pt idx="0">
                  <c:v>Courbe megajoule dispo(active)</c:v>
                </c:pt>
              </c:strCache>
            </c:strRef>
          </c:tx>
          <c:spPr>
            <a:ln w="28575" cap="rnd">
              <a:solidFill>
                <a:schemeClr val="tx2"/>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'!$S$48:$S$65</c:f>
              <c:numCache>
                <c:formatCode>0</c:formatCode>
                <c:ptCount val="18"/>
                <c:pt idx="0">
                  <c:v>8866</c:v>
                </c:pt>
                <c:pt idx="1">
                  <c:v>3510</c:v>
                </c:pt>
                <c:pt idx="2">
                  <c:v>846.30000000000018</c:v>
                </c:pt>
                <c:pt idx="3">
                  <c:v>564.19999999999993</c:v>
                </c:pt>
                <c:pt idx="4">
                  <c:v>2111.1999999999998</c:v>
                </c:pt>
                <c:pt idx="5">
                  <c:v>6045</c:v>
                </c:pt>
                <c:pt idx="6">
                  <c:v>12285</c:v>
                </c:pt>
                <c:pt idx="7">
                  <c:v>31434</c:v>
                </c:pt>
                <c:pt idx="8">
                  <c:v>25740</c:v>
                </c:pt>
                <c:pt idx="9">
                  <c:v>16321.5</c:v>
                </c:pt>
                <c:pt idx="10">
                  <c:v>5561.4000000000005</c:v>
                </c:pt>
                <c:pt idx="11">
                  <c:v>11700</c:v>
                </c:pt>
                <c:pt idx="12">
                  <c:v>8866</c:v>
                </c:pt>
                <c:pt idx="13">
                  <c:v>3510</c:v>
                </c:pt>
                <c:pt idx="14">
                  <c:v>846.30000000000018</c:v>
                </c:pt>
                <c:pt idx="15">
                  <c:v>564.19999999999993</c:v>
                </c:pt>
                <c:pt idx="16">
                  <c:v>2111.1999999999998</c:v>
                </c:pt>
                <c:pt idx="17">
                  <c:v>6045</c:v>
                </c:pt>
              </c:numCache>
            </c:numRef>
          </c:val>
          <c:smooth val="0"/>
          <c:extLst>
            <c:ext xmlns:c16="http://schemas.microsoft.com/office/drawing/2014/chart" uri="{C3380CC4-5D6E-409C-BE32-E72D297353CC}">
              <c16:uniqueId val="{00000003-F43E-42B5-9988-457AF769D526}"/>
            </c:ext>
          </c:extLst>
        </c:ser>
        <c:ser>
          <c:idx val="4"/>
          <c:order val="4"/>
          <c:tx>
            <c:strRef>
              <c:f>'Calcul Et Courbes '!$T$47</c:f>
              <c:strCache>
                <c:ptCount val="1"/>
                <c:pt idx="0">
                  <c:v>Courbe besoin chaptel</c:v>
                </c:pt>
              </c:strCache>
            </c:strRef>
          </c:tx>
          <c:spPr>
            <a:ln w="28575" cap="rnd">
              <a:solidFill>
                <a:srgbClr val="FF0000"/>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'!$T$48:$T$65</c:f>
              <c:numCache>
                <c:formatCode>0</c:formatCode>
                <c:ptCount val="18"/>
                <c:pt idx="0">
                  <c:v>4296.6000000000004</c:v>
                </c:pt>
                <c:pt idx="1">
                  <c:v>3360</c:v>
                </c:pt>
                <c:pt idx="2">
                  <c:v>2929.5</c:v>
                </c:pt>
                <c:pt idx="3">
                  <c:v>3255</c:v>
                </c:pt>
                <c:pt idx="4">
                  <c:v>5582.5</c:v>
                </c:pt>
                <c:pt idx="5">
                  <c:v>6683.5999999999995</c:v>
                </c:pt>
                <c:pt idx="6">
                  <c:v>11340</c:v>
                </c:pt>
                <c:pt idx="7">
                  <c:v>15624</c:v>
                </c:pt>
                <c:pt idx="8">
                  <c:v>12600</c:v>
                </c:pt>
                <c:pt idx="9">
                  <c:v>3255</c:v>
                </c:pt>
                <c:pt idx="10">
                  <c:v>2929.5</c:v>
                </c:pt>
                <c:pt idx="11">
                  <c:v>3780</c:v>
                </c:pt>
                <c:pt idx="12">
                  <c:v>4296.6000000000004</c:v>
                </c:pt>
                <c:pt idx="13">
                  <c:v>3360</c:v>
                </c:pt>
                <c:pt idx="14">
                  <c:v>2929.5</c:v>
                </c:pt>
                <c:pt idx="15">
                  <c:v>3255</c:v>
                </c:pt>
                <c:pt idx="16">
                  <c:v>5582.5</c:v>
                </c:pt>
                <c:pt idx="17">
                  <c:v>6683.5999999999995</c:v>
                </c:pt>
              </c:numCache>
            </c:numRef>
          </c:val>
          <c:smooth val="0"/>
          <c:extLst>
            <c:ext xmlns:c16="http://schemas.microsoft.com/office/drawing/2014/chart" uri="{C3380CC4-5D6E-409C-BE32-E72D297353CC}">
              <c16:uniqueId val="{00000004-F43E-42B5-9988-457AF769D526}"/>
            </c:ext>
          </c:extLst>
        </c:ser>
        <c:ser>
          <c:idx val="5"/>
          <c:order val="5"/>
          <c:tx>
            <c:strRef>
              <c:f>'Calcul Et Courbes '!$U$47</c:f>
              <c:strCache>
                <c:ptCount val="1"/>
                <c:pt idx="0">
                  <c:v>Courbe Megajoule Objectif</c:v>
                </c:pt>
              </c:strCache>
            </c:strRef>
          </c:tx>
          <c:spPr>
            <a:ln w="28575" cap="rnd">
              <a:solidFill>
                <a:schemeClr val="accent4">
                  <a:lumMod val="75000"/>
                </a:schemeClr>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'!$U$48:$U$65</c:f>
              <c:numCache>
                <c:formatCode>0</c:formatCode>
                <c:ptCount val="18"/>
                <c:pt idx="0">
                  <c:v>7092.8</c:v>
                </c:pt>
                <c:pt idx="1">
                  <c:v>2808</c:v>
                </c:pt>
                <c:pt idx="2">
                  <c:v>677.04000000000019</c:v>
                </c:pt>
                <c:pt idx="3">
                  <c:v>451.35999999999996</c:v>
                </c:pt>
                <c:pt idx="4">
                  <c:v>1688.96</c:v>
                </c:pt>
                <c:pt idx="5">
                  <c:v>4836</c:v>
                </c:pt>
                <c:pt idx="6">
                  <c:v>9828</c:v>
                </c:pt>
                <c:pt idx="7">
                  <c:v>25147.200000000001</c:v>
                </c:pt>
                <c:pt idx="8">
                  <c:v>20592</c:v>
                </c:pt>
                <c:pt idx="9">
                  <c:v>13057.2</c:v>
                </c:pt>
                <c:pt idx="10">
                  <c:v>4449.1200000000008</c:v>
                </c:pt>
                <c:pt idx="11">
                  <c:v>9360</c:v>
                </c:pt>
                <c:pt idx="12">
                  <c:v>7092.8</c:v>
                </c:pt>
                <c:pt idx="13">
                  <c:v>2808</c:v>
                </c:pt>
                <c:pt idx="14">
                  <c:v>677.04000000000019</c:v>
                </c:pt>
                <c:pt idx="15">
                  <c:v>451.35999999999996</c:v>
                </c:pt>
                <c:pt idx="16">
                  <c:v>1688.96</c:v>
                </c:pt>
                <c:pt idx="17">
                  <c:v>4836</c:v>
                </c:pt>
              </c:numCache>
            </c:numRef>
          </c:val>
          <c:smooth val="0"/>
          <c:extLst>
            <c:ext xmlns:c16="http://schemas.microsoft.com/office/drawing/2014/chart" uri="{C3380CC4-5D6E-409C-BE32-E72D297353CC}">
              <c16:uniqueId val="{00000005-F43E-42B5-9988-457AF769D526}"/>
            </c:ext>
          </c:extLst>
        </c:ser>
        <c:ser>
          <c:idx val="6"/>
          <c:order val="6"/>
          <c:tx>
            <c:strRef>
              <c:f>'Calcul Et Courbes '!$V$47</c:f>
              <c:strCache>
                <c:ptCount val="1"/>
                <c:pt idx="0">
                  <c:v>Besoin different</c:v>
                </c:pt>
              </c:strCache>
            </c:strRef>
          </c:tx>
          <c:spPr>
            <a:ln w="28575" cap="rnd">
              <a:solidFill>
                <a:schemeClr val="accent2">
                  <a:lumMod val="60000"/>
                  <a:lumOff val="40000"/>
                </a:schemeClr>
              </a:solidFill>
              <a:round/>
            </a:ln>
            <a:effectLst/>
          </c:spPr>
          <c:marker>
            <c:symbol val="none"/>
          </c:marker>
          <c:cat>
            <c:strRef>
              <c:f>'Calcul Et Courbes '!$O$48:$O$65</c:f>
              <c:strCache>
                <c:ptCount val="18"/>
                <c:pt idx="0">
                  <c:v>Octobre</c:v>
                </c:pt>
                <c:pt idx="1">
                  <c:v>Novembre</c:v>
                </c:pt>
                <c:pt idx="2">
                  <c:v>Décembre</c:v>
                </c:pt>
                <c:pt idx="3">
                  <c:v>Janvier</c:v>
                </c:pt>
                <c:pt idx="4">
                  <c:v>Février</c:v>
                </c:pt>
                <c:pt idx="5">
                  <c:v>Mars</c:v>
                </c:pt>
                <c:pt idx="6">
                  <c:v>Avril</c:v>
                </c:pt>
                <c:pt idx="7">
                  <c:v>Mai</c:v>
                </c:pt>
                <c:pt idx="8">
                  <c:v>Juin</c:v>
                </c:pt>
                <c:pt idx="9">
                  <c:v>Juillet</c:v>
                </c:pt>
                <c:pt idx="10">
                  <c:v>Août</c:v>
                </c:pt>
                <c:pt idx="11">
                  <c:v>Septembre</c:v>
                </c:pt>
                <c:pt idx="12">
                  <c:v>Octobre</c:v>
                </c:pt>
                <c:pt idx="13">
                  <c:v>Novembre</c:v>
                </c:pt>
                <c:pt idx="14">
                  <c:v>Décembre</c:v>
                </c:pt>
                <c:pt idx="15">
                  <c:v>Janvier</c:v>
                </c:pt>
                <c:pt idx="16">
                  <c:v>Février</c:v>
                </c:pt>
                <c:pt idx="17">
                  <c:v>Mars</c:v>
                </c:pt>
              </c:strCache>
            </c:strRef>
          </c:cat>
          <c:val>
            <c:numRef>
              <c:f>'Calcul Et Courbes '!$V$48:$V$65</c:f>
              <c:numCache>
                <c:formatCode>0</c:formatCode>
                <c:ptCount val="18"/>
                <c:pt idx="0">
                  <c:v>1227.6000000000001</c:v>
                </c:pt>
                <c:pt idx="1">
                  <c:v>960</c:v>
                </c:pt>
                <c:pt idx="2">
                  <c:v>418.5</c:v>
                </c:pt>
                <c:pt idx="3">
                  <c:v>465</c:v>
                </c:pt>
                <c:pt idx="4">
                  <c:v>1595</c:v>
                </c:pt>
                <c:pt idx="5">
                  <c:v>2864.3999999999996</c:v>
                </c:pt>
                <c:pt idx="6">
                  <c:v>6480</c:v>
                </c:pt>
                <c:pt idx="7">
                  <c:v>8928</c:v>
                </c:pt>
                <c:pt idx="8">
                  <c:v>7200</c:v>
                </c:pt>
                <c:pt idx="9">
                  <c:v>2790</c:v>
                </c:pt>
                <c:pt idx="10">
                  <c:v>2092.5</c:v>
                </c:pt>
                <c:pt idx="11">
                  <c:v>2160</c:v>
                </c:pt>
                <c:pt idx="12">
                  <c:v>1227.6000000000001</c:v>
                </c:pt>
                <c:pt idx="13">
                  <c:v>960</c:v>
                </c:pt>
                <c:pt idx="14">
                  <c:v>418.5</c:v>
                </c:pt>
                <c:pt idx="15">
                  <c:v>465</c:v>
                </c:pt>
                <c:pt idx="16">
                  <c:v>1595</c:v>
                </c:pt>
                <c:pt idx="17">
                  <c:v>2864.3999999999996</c:v>
                </c:pt>
              </c:numCache>
            </c:numRef>
          </c:val>
          <c:smooth val="0"/>
          <c:extLst>
            <c:ext xmlns:c16="http://schemas.microsoft.com/office/drawing/2014/chart" uri="{C3380CC4-5D6E-409C-BE32-E72D297353CC}">
              <c16:uniqueId val="{00000006-F43E-42B5-9988-457AF769D526}"/>
            </c:ext>
          </c:extLst>
        </c:ser>
        <c:dLbls>
          <c:showLegendKey val="0"/>
          <c:showVal val="0"/>
          <c:showCatName val="0"/>
          <c:showSerName val="0"/>
          <c:showPercent val="0"/>
          <c:showBubbleSize val="0"/>
        </c:dLbls>
        <c:marker val="1"/>
        <c:smooth val="0"/>
        <c:axId val="1964353264"/>
        <c:axId val="1964364080"/>
      </c:lineChart>
      <c:catAx>
        <c:axId val="1747336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47335888"/>
        <c:crosses val="autoZero"/>
        <c:auto val="1"/>
        <c:lblAlgn val="ctr"/>
        <c:lblOffset val="100"/>
        <c:noMultiLvlLbl val="0"/>
      </c:catAx>
      <c:valAx>
        <c:axId val="17473358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47336720"/>
        <c:crosses val="autoZero"/>
        <c:crossBetween val="between"/>
      </c:valAx>
      <c:valAx>
        <c:axId val="1964364080"/>
        <c:scaling>
          <c:logBase val="10"/>
          <c:orientation val="minMax"/>
          <c:min val="100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964353264"/>
        <c:crosses val="max"/>
        <c:crossBetween val="between"/>
      </c:valAx>
      <c:catAx>
        <c:axId val="1964353264"/>
        <c:scaling>
          <c:orientation val="minMax"/>
        </c:scaling>
        <c:delete val="1"/>
        <c:axPos val="b"/>
        <c:numFmt formatCode="General" sourceLinked="1"/>
        <c:majorTickMark val="out"/>
        <c:minorTickMark val="none"/>
        <c:tickLblPos val="nextTo"/>
        <c:crossAx val="196436408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Megajoule</a:t>
            </a:r>
            <a:r>
              <a:rPr lang="fr-FR" baseline="0"/>
              <a:t> Objectif Et Besoin</a:t>
            </a:r>
          </a:p>
          <a:p>
            <a:pPr>
              <a:defRPr/>
            </a:pPr>
            <a:endParaRPr lang="fr-FR"/>
          </a:p>
        </c:rich>
      </c:tx>
      <c:layout>
        <c:manualLayout>
          <c:xMode val="edge"/>
          <c:yMode val="edge"/>
          <c:x val="0.23659925368178161"/>
          <c:y val="3.463203463203463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'Diffentre Besoin et dispo'!$C$3</c:f>
              <c:strCache>
                <c:ptCount val="1"/>
                <c:pt idx="0">
                  <c:v>Courbe Megajoule Objectif</c:v>
                </c:pt>
              </c:strCache>
            </c:strRef>
          </c:tx>
          <c:spPr>
            <a:ln w="28575" cap="rnd" cmpd="sng">
              <a:solidFill>
                <a:schemeClr val="accent4">
                  <a:lumMod val="75000"/>
                </a:schemeClr>
              </a:solidFill>
              <a:round/>
            </a:ln>
            <a:effectLst/>
          </c:spPr>
          <c:marker>
            <c:symbol val="none"/>
          </c:marker>
          <c:cat>
            <c:strRef>
              <c:f>'Diffentre Besoin et dispo'!$B$4:$B$15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'Diffentre Besoin et dispo'!$C$4:$C$15</c:f>
              <c:numCache>
                <c:formatCode>0</c:formatCode>
                <c:ptCount val="12"/>
                <c:pt idx="0">
                  <c:v>451.35999999999996</c:v>
                </c:pt>
                <c:pt idx="1">
                  <c:v>1688.96</c:v>
                </c:pt>
                <c:pt idx="2">
                  <c:v>4836</c:v>
                </c:pt>
                <c:pt idx="3">
                  <c:v>9828</c:v>
                </c:pt>
                <c:pt idx="4">
                  <c:v>25147.200000000001</c:v>
                </c:pt>
                <c:pt idx="5">
                  <c:v>20592</c:v>
                </c:pt>
                <c:pt idx="6">
                  <c:v>13057.2</c:v>
                </c:pt>
                <c:pt idx="7">
                  <c:v>4449.1200000000008</c:v>
                </c:pt>
                <c:pt idx="8">
                  <c:v>9360</c:v>
                </c:pt>
                <c:pt idx="9">
                  <c:v>7092.8</c:v>
                </c:pt>
                <c:pt idx="10">
                  <c:v>2808</c:v>
                </c:pt>
                <c:pt idx="11">
                  <c:v>677.04000000000019</c:v>
                </c:pt>
              </c:numCache>
            </c:numRef>
          </c:val>
          <c:smooth val="0"/>
          <c:extLst>
            <c:ext xmlns:c16="http://schemas.microsoft.com/office/drawing/2014/chart" uri="{C3380CC4-5D6E-409C-BE32-E72D297353CC}">
              <c16:uniqueId val="{00000000-7937-4A46-9F89-6804C592632F}"/>
            </c:ext>
          </c:extLst>
        </c:ser>
        <c:ser>
          <c:idx val="1"/>
          <c:order val="1"/>
          <c:tx>
            <c:strRef>
              <c:f>'Diffentre Besoin et dispo'!$D$3</c:f>
              <c:strCache>
                <c:ptCount val="1"/>
                <c:pt idx="0">
                  <c:v>Courbe besoin chaptel</c:v>
                </c:pt>
              </c:strCache>
            </c:strRef>
          </c:tx>
          <c:spPr>
            <a:ln w="28575" cap="rnd">
              <a:solidFill>
                <a:srgbClr val="FF0000"/>
              </a:solidFill>
              <a:round/>
            </a:ln>
            <a:effectLst/>
          </c:spPr>
          <c:marker>
            <c:symbol val="none"/>
          </c:marker>
          <c:cat>
            <c:strRef>
              <c:f>'Diffentre Besoin et dispo'!$B$4:$B$15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'Diffentre Besoin et dispo'!$D$4:$D$15</c:f>
              <c:numCache>
                <c:formatCode>0</c:formatCode>
                <c:ptCount val="12"/>
                <c:pt idx="0">
                  <c:v>3255</c:v>
                </c:pt>
                <c:pt idx="1">
                  <c:v>5582.5</c:v>
                </c:pt>
                <c:pt idx="2">
                  <c:v>6683.5999999999995</c:v>
                </c:pt>
                <c:pt idx="3">
                  <c:v>11340</c:v>
                </c:pt>
                <c:pt idx="4">
                  <c:v>15624</c:v>
                </c:pt>
                <c:pt idx="5">
                  <c:v>12600</c:v>
                </c:pt>
                <c:pt idx="6">
                  <c:v>3255</c:v>
                </c:pt>
                <c:pt idx="7">
                  <c:v>2929.5</c:v>
                </c:pt>
                <c:pt idx="8">
                  <c:v>3780</c:v>
                </c:pt>
                <c:pt idx="9">
                  <c:v>4296.6000000000004</c:v>
                </c:pt>
                <c:pt idx="10">
                  <c:v>3360</c:v>
                </c:pt>
                <c:pt idx="11">
                  <c:v>2929.5</c:v>
                </c:pt>
              </c:numCache>
            </c:numRef>
          </c:val>
          <c:smooth val="0"/>
          <c:extLst>
            <c:ext xmlns:c16="http://schemas.microsoft.com/office/drawing/2014/chart" uri="{C3380CC4-5D6E-409C-BE32-E72D297353CC}">
              <c16:uniqueId val="{00000001-7937-4A46-9F89-6804C592632F}"/>
            </c:ext>
          </c:extLst>
        </c:ser>
        <c:dLbls>
          <c:showLegendKey val="0"/>
          <c:showVal val="0"/>
          <c:showCatName val="0"/>
          <c:showSerName val="0"/>
          <c:showPercent val="0"/>
          <c:showBubbleSize val="0"/>
        </c:dLbls>
        <c:smooth val="0"/>
        <c:axId val="862126751"/>
        <c:axId val="862127167"/>
      </c:lineChart>
      <c:catAx>
        <c:axId val="8621267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62127167"/>
        <c:crosses val="autoZero"/>
        <c:auto val="1"/>
        <c:lblAlgn val="ctr"/>
        <c:lblOffset val="100"/>
        <c:noMultiLvlLbl val="0"/>
      </c:catAx>
      <c:valAx>
        <c:axId val="8621271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6212675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Représentation</a:t>
            </a:r>
            <a:r>
              <a:rPr lang="fr-FR" baseline="0"/>
              <a:t> des aires</a:t>
            </a:r>
          </a:p>
          <a:p>
            <a:pPr>
              <a:defRPr/>
            </a:pPr>
            <a:endParaRPr lang="fr-FR" baseline="0"/>
          </a:p>
          <a:p>
            <a:pPr>
              <a:defRPr/>
            </a:pP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areaChart>
        <c:grouping val="stacked"/>
        <c:varyColors val="0"/>
        <c:ser>
          <c:idx val="0"/>
          <c:order val="0"/>
          <c:tx>
            <c:strRef>
              <c:f>'Diffentre Besoin et dispo'!$C$3</c:f>
              <c:strCache>
                <c:ptCount val="1"/>
                <c:pt idx="0">
                  <c:v>Courbe Megajoule Objectif</c:v>
                </c:pt>
              </c:strCache>
            </c:strRef>
          </c:tx>
          <c:spPr>
            <a:noFill/>
            <a:ln>
              <a:noFill/>
            </a:ln>
            <a:effectLst/>
          </c:spPr>
          <c:cat>
            <c:strRef>
              <c:f>'Diffentre Besoin et dispo'!$B$4:$B$15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'Diffentre Besoin et dispo'!$C$4:$C$15</c:f>
              <c:numCache>
                <c:formatCode>0</c:formatCode>
                <c:ptCount val="12"/>
                <c:pt idx="0">
                  <c:v>451.35999999999996</c:v>
                </c:pt>
                <c:pt idx="1">
                  <c:v>1688.96</c:v>
                </c:pt>
                <c:pt idx="2">
                  <c:v>4836</c:v>
                </c:pt>
                <c:pt idx="3">
                  <c:v>9828</c:v>
                </c:pt>
                <c:pt idx="4">
                  <c:v>25147.200000000001</c:v>
                </c:pt>
                <c:pt idx="5">
                  <c:v>20592</c:v>
                </c:pt>
                <c:pt idx="6">
                  <c:v>13057.2</c:v>
                </c:pt>
                <c:pt idx="7">
                  <c:v>4449.1200000000008</c:v>
                </c:pt>
                <c:pt idx="8">
                  <c:v>9360</c:v>
                </c:pt>
                <c:pt idx="9">
                  <c:v>7092.8</c:v>
                </c:pt>
                <c:pt idx="10">
                  <c:v>2808</c:v>
                </c:pt>
                <c:pt idx="11">
                  <c:v>677.04000000000019</c:v>
                </c:pt>
              </c:numCache>
            </c:numRef>
          </c:val>
          <c:extLst>
            <c:ext xmlns:c16="http://schemas.microsoft.com/office/drawing/2014/chart" uri="{C3380CC4-5D6E-409C-BE32-E72D297353CC}">
              <c16:uniqueId val="{00000000-F27C-47EB-B17B-FA3CFFE81A0F}"/>
            </c:ext>
          </c:extLst>
        </c:ser>
        <c:ser>
          <c:idx val="2"/>
          <c:order val="2"/>
          <c:tx>
            <c:v>neg</c:v>
          </c:tx>
          <c:spPr>
            <a:solidFill>
              <a:schemeClr val="accent1"/>
            </a:solidFill>
            <a:ln w="25400">
              <a:noFill/>
            </a:ln>
            <a:effectLst/>
          </c:spPr>
          <c:val>
            <c:numRef>
              <c:f>'Diffentre Besoin et dispo'!$G$4:$G$15</c:f>
              <c:numCache>
                <c:formatCode>0</c:formatCode>
                <c:ptCount val="12"/>
                <c:pt idx="0">
                  <c:v>0</c:v>
                </c:pt>
                <c:pt idx="1">
                  <c:v>0</c:v>
                </c:pt>
                <c:pt idx="2">
                  <c:v>0</c:v>
                </c:pt>
                <c:pt idx="3">
                  <c:v>0</c:v>
                </c:pt>
                <c:pt idx="4">
                  <c:v>-9523.2000000000007</c:v>
                </c:pt>
                <c:pt idx="5">
                  <c:v>-7992</c:v>
                </c:pt>
                <c:pt idx="6">
                  <c:v>-9802.2000000000007</c:v>
                </c:pt>
                <c:pt idx="7">
                  <c:v>-1519.6200000000008</c:v>
                </c:pt>
                <c:pt idx="8">
                  <c:v>-5580</c:v>
                </c:pt>
                <c:pt idx="9">
                  <c:v>-2796.2</c:v>
                </c:pt>
                <c:pt idx="10">
                  <c:v>0</c:v>
                </c:pt>
                <c:pt idx="11">
                  <c:v>0</c:v>
                </c:pt>
              </c:numCache>
            </c:numRef>
          </c:val>
          <c:extLst>
            <c:ext xmlns:c16="http://schemas.microsoft.com/office/drawing/2014/chart" uri="{C3380CC4-5D6E-409C-BE32-E72D297353CC}">
              <c16:uniqueId val="{00000005-F27C-47EB-B17B-FA3CFFE81A0F}"/>
            </c:ext>
          </c:extLst>
        </c:ser>
        <c:ser>
          <c:idx val="3"/>
          <c:order val="3"/>
          <c:tx>
            <c:v>pos</c:v>
          </c:tx>
          <c:spPr>
            <a:solidFill>
              <a:schemeClr val="accent2">
                <a:lumMod val="60000"/>
                <a:lumOff val="40000"/>
              </a:schemeClr>
            </a:solidFill>
            <a:ln w="25400">
              <a:noFill/>
            </a:ln>
            <a:effectLst/>
          </c:spPr>
          <c:val>
            <c:numRef>
              <c:f>'Diffentre Besoin et dispo'!$H$4:$H$15</c:f>
              <c:numCache>
                <c:formatCode>0</c:formatCode>
                <c:ptCount val="12"/>
                <c:pt idx="0">
                  <c:v>2803.64</c:v>
                </c:pt>
                <c:pt idx="1">
                  <c:v>3893.54</c:v>
                </c:pt>
                <c:pt idx="2">
                  <c:v>1847.5999999999995</c:v>
                </c:pt>
                <c:pt idx="3">
                  <c:v>1512</c:v>
                </c:pt>
                <c:pt idx="4">
                  <c:v>0</c:v>
                </c:pt>
                <c:pt idx="5">
                  <c:v>0</c:v>
                </c:pt>
                <c:pt idx="6">
                  <c:v>0</c:v>
                </c:pt>
                <c:pt idx="7">
                  <c:v>0</c:v>
                </c:pt>
                <c:pt idx="8">
                  <c:v>0</c:v>
                </c:pt>
                <c:pt idx="9">
                  <c:v>0</c:v>
                </c:pt>
                <c:pt idx="10">
                  <c:v>552</c:v>
                </c:pt>
                <c:pt idx="11">
                  <c:v>2252.46</c:v>
                </c:pt>
              </c:numCache>
            </c:numRef>
          </c:val>
          <c:extLst>
            <c:ext xmlns:c16="http://schemas.microsoft.com/office/drawing/2014/chart" uri="{C3380CC4-5D6E-409C-BE32-E72D297353CC}">
              <c16:uniqueId val="{00000006-F27C-47EB-B17B-FA3CFFE81A0F}"/>
            </c:ext>
          </c:extLst>
        </c:ser>
        <c:dLbls>
          <c:showLegendKey val="0"/>
          <c:showVal val="0"/>
          <c:showCatName val="0"/>
          <c:showSerName val="0"/>
          <c:showPercent val="0"/>
          <c:showBubbleSize val="0"/>
        </c:dLbls>
        <c:axId val="1005209455"/>
        <c:axId val="1005202799"/>
      </c:areaChart>
      <c:lineChart>
        <c:grouping val="standard"/>
        <c:varyColors val="0"/>
        <c:ser>
          <c:idx val="1"/>
          <c:order val="1"/>
          <c:tx>
            <c:strRef>
              <c:f>'Diffentre Besoin et dispo'!$D$3</c:f>
              <c:strCache>
                <c:ptCount val="1"/>
                <c:pt idx="0">
                  <c:v>Courbe besoin chaptel</c:v>
                </c:pt>
              </c:strCache>
            </c:strRef>
          </c:tx>
          <c:spPr>
            <a:ln w="57150" cap="rnd">
              <a:solidFill>
                <a:srgbClr val="FF0000"/>
              </a:solidFill>
              <a:round/>
            </a:ln>
            <a:effectLst/>
          </c:spPr>
          <c:marker>
            <c:symbol val="none"/>
          </c:marker>
          <c:cat>
            <c:strRef>
              <c:f>'Diffentre Besoin et dispo'!$B$4:$B$15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'Diffentre Besoin et dispo'!$D$4:$D$15</c:f>
              <c:numCache>
                <c:formatCode>0</c:formatCode>
                <c:ptCount val="12"/>
                <c:pt idx="0">
                  <c:v>3255</c:v>
                </c:pt>
                <c:pt idx="1">
                  <c:v>5582.5</c:v>
                </c:pt>
                <c:pt idx="2">
                  <c:v>6683.5999999999995</c:v>
                </c:pt>
                <c:pt idx="3">
                  <c:v>11340</c:v>
                </c:pt>
                <c:pt idx="4">
                  <c:v>15624</c:v>
                </c:pt>
                <c:pt idx="5">
                  <c:v>12600</c:v>
                </c:pt>
                <c:pt idx="6">
                  <c:v>3255</c:v>
                </c:pt>
                <c:pt idx="7">
                  <c:v>2929.5</c:v>
                </c:pt>
                <c:pt idx="8">
                  <c:v>3780</c:v>
                </c:pt>
                <c:pt idx="9">
                  <c:v>4296.6000000000004</c:v>
                </c:pt>
                <c:pt idx="10">
                  <c:v>3360</c:v>
                </c:pt>
                <c:pt idx="11">
                  <c:v>2929.5</c:v>
                </c:pt>
              </c:numCache>
            </c:numRef>
          </c:val>
          <c:smooth val="0"/>
          <c:extLst>
            <c:ext xmlns:c16="http://schemas.microsoft.com/office/drawing/2014/chart" uri="{C3380CC4-5D6E-409C-BE32-E72D297353CC}">
              <c16:uniqueId val="{00000001-F27C-47EB-B17B-FA3CFFE81A0F}"/>
            </c:ext>
          </c:extLst>
        </c:ser>
        <c:ser>
          <c:idx val="4"/>
          <c:order val="4"/>
          <c:tx>
            <c:strRef>
              <c:f>'Diffentre Besoin et dispo'!$C$3</c:f>
              <c:strCache>
                <c:ptCount val="1"/>
                <c:pt idx="0">
                  <c:v>Courbe Megajoule Objectif</c:v>
                </c:pt>
              </c:strCache>
            </c:strRef>
          </c:tx>
          <c:spPr>
            <a:ln w="47625" cap="rnd">
              <a:solidFill>
                <a:schemeClr val="accent4">
                  <a:lumMod val="75000"/>
                </a:schemeClr>
              </a:solidFill>
              <a:round/>
            </a:ln>
            <a:effectLst/>
          </c:spPr>
          <c:marker>
            <c:symbol val="none"/>
          </c:marker>
          <c:val>
            <c:numRef>
              <c:f>'Diffentre Besoin et dispo'!$C$4:$C$15</c:f>
              <c:numCache>
                <c:formatCode>0</c:formatCode>
                <c:ptCount val="12"/>
                <c:pt idx="0">
                  <c:v>451.35999999999996</c:v>
                </c:pt>
                <c:pt idx="1">
                  <c:v>1688.96</c:v>
                </c:pt>
                <c:pt idx="2">
                  <c:v>4836</c:v>
                </c:pt>
                <c:pt idx="3">
                  <c:v>9828</c:v>
                </c:pt>
                <c:pt idx="4">
                  <c:v>25147.200000000001</c:v>
                </c:pt>
                <c:pt idx="5">
                  <c:v>20592</c:v>
                </c:pt>
                <c:pt idx="6">
                  <c:v>13057.2</c:v>
                </c:pt>
                <c:pt idx="7">
                  <c:v>4449.1200000000008</c:v>
                </c:pt>
                <c:pt idx="8">
                  <c:v>9360</c:v>
                </c:pt>
                <c:pt idx="9">
                  <c:v>7092.8</c:v>
                </c:pt>
                <c:pt idx="10">
                  <c:v>2808</c:v>
                </c:pt>
                <c:pt idx="11">
                  <c:v>677.04000000000019</c:v>
                </c:pt>
              </c:numCache>
            </c:numRef>
          </c:val>
          <c:smooth val="0"/>
          <c:extLst>
            <c:ext xmlns:c16="http://schemas.microsoft.com/office/drawing/2014/chart" uri="{C3380CC4-5D6E-409C-BE32-E72D297353CC}">
              <c16:uniqueId val="{00000007-F27C-47EB-B17B-FA3CFFE81A0F}"/>
            </c:ext>
          </c:extLst>
        </c:ser>
        <c:dLbls>
          <c:showLegendKey val="0"/>
          <c:showVal val="0"/>
          <c:showCatName val="0"/>
          <c:showSerName val="0"/>
          <c:showPercent val="0"/>
          <c:showBubbleSize val="0"/>
        </c:dLbls>
        <c:marker val="1"/>
        <c:smooth val="0"/>
        <c:axId val="1005209455"/>
        <c:axId val="1005202799"/>
      </c:lineChart>
      <c:catAx>
        <c:axId val="1005209455"/>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5202799"/>
        <c:crosses val="autoZero"/>
        <c:auto val="1"/>
        <c:lblAlgn val="ctr"/>
        <c:lblOffset val="100"/>
        <c:noMultiLvlLbl val="0"/>
      </c:catAx>
      <c:valAx>
        <c:axId val="10052027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5209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JPG"/><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6</xdr:col>
      <xdr:colOff>657225</xdr:colOff>
      <xdr:row>2</xdr:row>
      <xdr:rowOff>76200</xdr:rowOff>
    </xdr:from>
    <xdr:to>
      <xdr:col>9</xdr:col>
      <xdr:colOff>676275</xdr:colOff>
      <xdr:row>16</xdr:row>
      <xdr:rowOff>66675</xdr:rowOff>
    </xdr:to>
    <xdr:sp macro="" textlink="">
      <xdr:nvSpPr>
        <xdr:cNvPr id="2" name="ZoneTexte 1"/>
        <xdr:cNvSpPr txBox="1"/>
      </xdr:nvSpPr>
      <xdr:spPr>
        <a:xfrm>
          <a:off x="5229225" y="466725"/>
          <a:ext cx="2305050"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dynamique qui me renvoie des dates!</a:t>
          </a:r>
        </a:p>
        <a:p>
          <a:endParaRPr lang="fr-FR" sz="1100"/>
        </a:p>
        <a:p>
          <a:r>
            <a:rPr lang="fr-FR" sz="1100"/>
            <a:t>j'aimerais</a:t>
          </a:r>
          <a:r>
            <a:rPr lang="fr-FR" sz="1100" baseline="0"/>
            <a:t> savoir si c'est possible de l'avoir sous la forme d'en dessous</a:t>
          </a:r>
        </a:p>
        <a:p>
          <a:endParaRPr lang="fr-FR" sz="1100" baseline="0"/>
        </a:p>
        <a:p>
          <a:r>
            <a:rPr lang="fr-FR" sz="1100" baseline="0"/>
            <a:t>et si on rentre une date par exemple le 5 juillet le tableau n'affiche que -30 et +30 jours autours</a:t>
          </a:r>
        </a:p>
        <a:p>
          <a:endParaRPr lang="fr-FR" sz="1100" baseline="0"/>
        </a:p>
        <a:p>
          <a:r>
            <a:rPr lang="fr-FR" sz="1100" baseline="0"/>
            <a:t>(couleur grise)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278946</xdr:colOff>
      <xdr:row>6</xdr:row>
      <xdr:rowOff>130629</xdr:rowOff>
    </xdr:from>
    <xdr:to>
      <xdr:col>9</xdr:col>
      <xdr:colOff>602796</xdr:colOff>
      <xdr:row>10</xdr:row>
      <xdr:rowOff>36739</xdr:rowOff>
    </xdr:to>
    <xdr:sp macro="" textlink="">
      <xdr:nvSpPr>
        <xdr:cNvPr id="2" name="ZoneTexte 1"/>
        <xdr:cNvSpPr txBox="1"/>
      </xdr:nvSpPr>
      <xdr:spPr>
        <a:xfrm>
          <a:off x="6660696" y="1423308"/>
          <a:ext cx="2609850" cy="7089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u="none">
              <a:latin typeface="Neo Sans Std" panose="020B0804030504040204" pitchFamily="34" charset="0"/>
            </a:rPr>
            <a:t>Pour voir les tableurs ainsi que les resultats sous forme numérales , feuille</a:t>
          </a:r>
          <a:r>
            <a:rPr lang="fr-FR" sz="1100" b="0" u="none" baseline="0">
              <a:latin typeface="Neo Sans Std" panose="020B0804030504040204" pitchFamily="34" charset="0"/>
            </a:rPr>
            <a:t> "Calcul"</a:t>
          </a:r>
        </a:p>
      </xdr:txBody>
    </xdr:sp>
    <xdr:clientData/>
  </xdr:twoCellAnchor>
  <xdr:twoCellAnchor>
    <xdr:from>
      <xdr:col>0</xdr:col>
      <xdr:colOff>217714</xdr:colOff>
      <xdr:row>10</xdr:row>
      <xdr:rowOff>54428</xdr:rowOff>
    </xdr:from>
    <xdr:to>
      <xdr:col>2</xdr:col>
      <xdr:colOff>149678</xdr:colOff>
      <xdr:row>15</xdr:row>
      <xdr:rowOff>136071</xdr:rowOff>
    </xdr:to>
    <xdr:sp macro="" textlink="">
      <xdr:nvSpPr>
        <xdr:cNvPr id="5" name="ZoneTexte 4"/>
        <xdr:cNvSpPr txBox="1"/>
      </xdr:nvSpPr>
      <xdr:spPr>
        <a:xfrm>
          <a:off x="217714" y="2122714"/>
          <a:ext cx="2286000" cy="10341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Courbe</a:t>
          </a:r>
          <a:r>
            <a:rPr lang="fr-FR" sz="1100" baseline="0"/>
            <a:t> Test , Besoin chaptel ou on peut changer le nombre tous les mois</a:t>
          </a:r>
        </a:p>
        <a:p>
          <a:endParaRPr lang="fr-FR" sz="1100"/>
        </a:p>
      </xdr:txBody>
    </xdr:sp>
    <xdr:clientData/>
  </xdr:twoCellAnchor>
  <xdr:twoCellAnchor>
    <xdr:from>
      <xdr:col>2</xdr:col>
      <xdr:colOff>340178</xdr:colOff>
      <xdr:row>11</xdr:row>
      <xdr:rowOff>13607</xdr:rowOff>
    </xdr:from>
    <xdr:to>
      <xdr:col>16</xdr:col>
      <xdr:colOff>40821</xdr:colOff>
      <xdr:row>42</xdr:row>
      <xdr:rowOff>137816</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285750</xdr:colOff>
      <xdr:row>44</xdr:row>
      <xdr:rowOff>122464</xdr:rowOff>
    </xdr:from>
    <xdr:to>
      <xdr:col>15</xdr:col>
      <xdr:colOff>748393</xdr:colOff>
      <xdr:row>77</xdr:row>
      <xdr:rowOff>42566</xdr:rowOff>
    </xdr:to>
    <xdr:graphicFrame macro="">
      <xdr:nvGraphicFramePr>
        <xdr:cNvPr id="8"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163285</xdr:colOff>
      <xdr:row>11</xdr:row>
      <xdr:rowOff>40821</xdr:rowOff>
    </xdr:from>
    <xdr:to>
      <xdr:col>31</xdr:col>
      <xdr:colOff>108856</xdr:colOff>
      <xdr:row>43</xdr:row>
      <xdr:rowOff>27215</xdr:rowOff>
    </xdr:to>
    <xdr:graphicFrame macro="">
      <xdr:nvGraphicFramePr>
        <xdr:cNvPr id="9" name="Graphique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163286</xdr:colOff>
      <xdr:row>44</xdr:row>
      <xdr:rowOff>149679</xdr:rowOff>
    </xdr:from>
    <xdr:to>
      <xdr:col>31</xdr:col>
      <xdr:colOff>108857</xdr:colOff>
      <xdr:row>77</xdr:row>
      <xdr:rowOff>122466</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14</xdr:col>
      <xdr:colOff>610577</xdr:colOff>
      <xdr:row>22</xdr:row>
      <xdr:rowOff>69361</xdr:rowOff>
    </xdr:from>
    <xdr:to>
      <xdr:col>20</xdr:col>
      <xdr:colOff>293077</xdr:colOff>
      <xdr:row>42</xdr:row>
      <xdr:rowOff>158750</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170961</xdr:colOff>
      <xdr:row>66</xdr:row>
      <xdr:rowOff>183173</xdr:rowOff>
    </xdr:from>
    <xdr:to>
      <xdr:col>22</xdr:col>
      <xdr:colOff>97691</xdr:colOff>
      <xdr:row>107</xdr:row>
      <xdr:rowOff>134327</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85482</xdr:colOff>
      <xdr:row>46</xdr:row>
      <xdr:rowOff>24423</xdr:rowOff>
    </xdr:from>
    <xdr:to>
      <xdr:col>13</xdr:col>
      <xdr:colOff>818174</xdr:colOff>
      <xdr:row>63</xdr:row>
      <xdr:rowOff>109904</xdr:rowOff>
    </xdr:to>
    <xdr:sp macro="" textlink="">
      <xdr:nvSpPr>
        <xdr:cNvPr id="6" name="ZoneTexte 5"/>
        <xdr:cNvSpPr txBox="1"/>
      </xdr:nvSpPr>
      <xdr:spPr>
        <a:xfrm>
          <a:off x="4628174" y="9292981"/>
          <a:ext cx="6032500" cy="34192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a:t>Tableurs et Courbes</a:t>
          </a:r>
          <a:r>
            <a:rPr lang="fr-FR" sz="2000" baseline="0"/>
            <a:t> 18 mois</a:t>
          </a:r>
        </a:p>
        <a:p>
          <a:pPr algn="ctr"/>
          <a:r>
            <a:rPr lang="fr-FR" sz="2000" baseline="0"/>
            <a:t>(cela cache mes mes calculs inutile a affiché)</a:t>
          </a:r>
          <a:endParaRPr lang="fr-FR" sz="18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104775</xdr:rowOff>
    </xdr:from>
    <xdr:to>
      <xdr:col>0</xdr:col>
      <xdr:colOff>981075</xdr:colOff>
      <xdr:row>10</xdr:row>
      <xdr:rowOff>180975</xdr:rowOff>
    </xdr:to>
    <xdr:sp macro="" textlink="">
      <xdr:nvSpPr>
        <xdr:cNvPr id="3" name="ZoneTexte 2"/>
        <xdr:cNvSpPr txBox="1"/>
      </xdr:nvSpPr>
      <xdr:spPr>
        <a:xfrm>
          <a:off x="0" y="695325"/>
          <a:ext cx="981075" cy="142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400" b="1">
              <a:solidFill>
                <a:srgbClr val="FF0000"/>
              </a:solidFill>
            </a:rPr>
            <a:t>Important</a:t>
          </a:r>
          <a:r>
            <a:rPr lang="fr-FR" sz="1100"/>
            <a:t> </a:t>
          </a:r>
          <a:r>
            <a:rPr lang="fr-FR" sz="1100" baseline="0"/>
            <a:t> laissez toutes les courbes activé a la 1er pages</a:t>
          </a:r>
          <a:endParaRPr lang="fr-FR" sz="1100"/>
        </a:p>
      </xdr:txBody>
    </xdr:sp>
    <xdr:clientData/>
  </xdr:twoCellAnchor>
  <xdr:twoCellAnchor>
    <xdr:from>
      <xdr:col>2</xdr:col>
      <xdr:colOff>66675</xdr:colOff>
      <xdr:row>34</xdr:row>
      <xdr:rowOff>76200</xdr:rowOff>
    </xdr:from>
    <xdr:to>
      <xdr:col>3</xdr:col>
      <xdr:colOff>876300</xdr:colOff>
      <xdr:row>39</xdr:row>
      <xdr:rowOff>38100</xdr:rowOff>
    </xdr:to>
    <xdr:sp macro="" textlink="">
      <xdr:nvSpPr>
        <xdr:cNvPr id="4" name="ZoneTexte 3"/>
        <xdr:cNvSpPr txBox="1"/>
      </xdr:nvSpPr>
      <xdr:spPr>
        <a:xfrm>
          <a:off x="1895475" y="6657975"/>
          <a:ext cx="2543175" cy="91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1100"/>
            <a:t>Grossiérement</a:t>
          </a:r>
          <a:r>
            <a:rPr lang="fr-FR" sz="1100" baseline="0"/>
            <a:t> , On observe que certains mois , on produit plus qu'on a besoin et certains mois on produit pas assez par rapport au besoin, </a:t>
          </a:r>
          <a:r>
            <a:rPr lang="fr-FR" sz="1100">
              <a:solidFill>
                <a:schemeClr val="dk1"/>
              </a:solidFill>
              <a:effectLst/>
              <a:latin typeface="+mn-lt"/>
              <a:ea typeface="+mn-ea"/>
              <a:cs typeface="+mn-cs"/>
            </a:rPr>
            <a:t>Sur l'année on produit donc plus que ce qu'on  a besoin ou mois en fonction du résultats</a:t>
          </a:r>
          <a:endParaRPr lang="fr-FR">
            <a:effectLst/>
          </a:endParaRPr>
        </a:p>
        <a:p>
          <a:endParaRPr lang="fr-FR" sz="1100" baseline="0"/>
        </a:p>
        <a:p>
          <a:endParaRPr lang="fr-FR" sz="1100"/>
        </a:p>
      </xdr:txBody>
    </xdr:sp>
    <xdr:clientData/>
  </xdr:twoCellAnchor>
  <xdr:twoCellAnchor>
    <xdr:from>
      <xdr:col>8</xdr:col>
      <xdr:colOff>66674</xdr:colOff>
      <xdr:row>2</xdr:row>
      <xdr:rowOff>180975</xdr:rowOff>
    </xdr:from>
    <xdr:to>
      <xdr:col>12</xdr:col>
      <xdr:colOff>419099</xdr:colOff>
      <xdr:row>15</xdr:row>
      <xdr:rowOff>104774</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52386</xdr:colOff>
      <xdr:row>15</xdr:row>
      <xdr:rowOff>171450</xdr:rowOff>
    </xdr:from>
    <xdr:to>
      <xdr:col>16</xdr:col>
      <xdr:colOff>171449</xdr:colOff>
      <xdr:row>34</xdr:row>
      <xdr:rowOff>47625</xdr:rowOff>
    </xdr:to>
    <xdr:graphicFrame macro="">
      <xdr:nvGraphicFramePr>
        <xdr:cNvPr id="13" name="Graphique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609600</xdr:colOff>
      <xdr:row>32</xdr:row>
      <xdr:rowOff>95250</xdr:rowOff>
    </xdr:from>
    <xdr:to>
      <xdr:col>15</xdr:col>
      <xdr:colOff>609600</xdr:colOff>
      <xdr:row>40</xdr:row>
      <xdr:rowOff>171450</xdr:rowOff>
    </xdr:to>
    <xdr:sp macro="" textlink="">
      <xdr:nvSpPr>
        <xdr:cNvPr id="14" name="ZoneTexte 13"/>
        <xdr:cNvSpPr txBox="1"/>
      </xdr:nvSpPr>
      <xdr:spPr>
        <a:xfrm>
          <a:off x="9572625" y="6457950"/>
          <a:ext cx="6096000"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chemeClr val="tx2">
                  <a:lumMod val="60000"/>
                  <a:lumOff val="40000"/>
                </a:schemeClr>
              </a:solidFill>
            </a:rPr>
            <a:t>En Bleu , L'aire</a:t>
          </a:r>
          <a:r>
            <a:rPr lang="fr-FR" sz="1600" baseline="0">
              <a:solidFill>
                <a:schemeClr val="tx2">
                  <a:lumMod val="60000"/>
                  <a:lumOff val="40000"/>
                </a:schemeClr>
              </a:solidFill>
            </a:rPr>
            <a:t> de "On a plus de production que de besoin "</a:t>
          </a:r>
        </a:p>
        <a:p>
          <a:pPr algn="ctr"/>
          <a:r>
            <a:rPr lang="fr-FR" sz="1600">
              <a:solidFill>
                <a:schemeClr val="accent2">
                  <a:lumMod val="60000"/>
                  <a:lumOff val="40000"/>
                </a:schemeClr>
              </a:solidFill>
            </a:rPr>
            <a:t>En Rose</a:t>
          </a:r>
          <a:r>
            <a:rPr lang="fr-FR" sz="1600" baseline="0">
              <a:solidFill>
                <a:schemeClr val="accent2">
                  <a:lumMod val="60000"/>
                  <a:lumOff val="40000"/>
                </a:schemeClr>
              </a:solidFill>
            </a:rPr>
            <a:t> Clair , L'aire de "On a pas assez de Production par rapport au Besoin du chaptel"</a:t>
          </a:r>
          <a:endParaRPr lang="fr-FR" sz="1600">
            <a:solidFill>
              <a:schemeClr val="accent2">
                <a:lumMod val="60000"/>
                <a:lumOff val="40000"/>
              </a:schemeClr>
            </a:solidFill>
          </a:endParaRPr>
        </a:p>
      </xdr:txBody>
    </xdr:sp>
    <xdr:clientData/>
  </xdr:twoCellAnchor>
  <xdr:twoCellAnchor>
    <xdr:from>
      <xdr:col>4</xdr:col>
      <xdr:colOff>857250</xdr:colOff>
      <xdr:row>34</xdr:row>
      <xdr:rowOff>66675</xdr:rowOff>
    </xdr:from>
    <xdr:to>
      <xdr:col>6</xdr:col>
      <xdr:colOff>1009650</xdr:colOff>
      <xdr:row>40</xdr:row>
      <xdr:rowOff>114300</xdr:rowOff>
    </xdr:to>
    <xdr:sp macro="" textlink="">
      <xdr:nvSpPr>
        <xdr:cNvPr id="2" name="ZoneTexte 1"/>
        <xdr:cNvSpPr txBox="1"/>
      </xdr:nvSpPr>
      <xdr:spPr>
        <a:xfrm>
          <a:off x="6438900" y="6829425"/>
          <a:ext cx="2047875"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 Observe donc</a:t>
          </a:r>
          <a:r>
            <a:rPr lang="fr-FR" sz="1100" baseline="0"/>
            <a:t> qu'il y a X periode ou le ratio Besoin - production est présent au cours d'une année cela nous donnes les periodes et les resultats de ceux-ci</a:t>
          </a:r>
          <a:endParaRPr lang="fr-FR" sz="1100"/>
        </a:p>
      </xdr:txBody>
    </xdr:sp>
    <xdr:clientData/>
  </xdr:twoCellAnchor>
  <xdr:twoCellAnchor>
    <xdr:from>
      <xdr:col>4</xdr:col>
      <xdr:colOff>438150</xdr:colOff>
      <xdr:row>34</xdr:row>
      <xdr:rowOff>0</xdr:rowOff>
    </xdr:from>
    <xdr:to>
      <xdr:col>4</xdr:col>
      <xdr:colOff>714375</xdr:colOff>
      <xdr:row>37</xdr:row>
      <xdr:rowOff>76200</xdr:rowOff>
    </xdr:to>
    <xdr:sp macro="" textlink="">
      <xdr:nvSpPr>
        <xdr:cNvPr id="6" name="Flèche vers le haut 5"/>
        <xdr:cNvSpPr/>
      </xdr:nvSpPr>
      <xdr:spPr>
        <a:xfrm>
          <a:off x="6019800" y="6762750"/>
          <a:ext cx="276225" cy="647700"/>
        </a:xfrm>
        <a:prstGeom prst="up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0</xdr:col>
      <xdr:colOff>971550</xdr:colOff>
      <xdr:row>46</xdr:row>
      <xdr:rowOff>114300</xdr:rowOff>
    </xdr:from>
    <xdr:to>
      <xdr:col>7</xdr:col>
      <xdr:colOff>104775</xdr:colOff>
      <xdr:row>65</xdr:row>
      <xdr:rowOff>47625</xdr:rowOff>
    </xdr:to>
    <xdr:pic>
      <xdr:nvPicPr>
        <xdr:cNvPr id="9" name="Image 8"/>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71550" y="9163050"/>
          <a:ext cx="8096250" cy="3552825"/>
        </a:xfrm>
        <a:prstGeom prst="rect">
          <a:avLst/>
        </a:prstGeom>
      </xdr:spPr>
    </xdr:pic>
    <xdr:clientData/>
  </xdr:twoCellAnchor>
  <xdr:twoCellAnchor>
    <xdr:from>
      <xdr:col>7</xdr:col>
      <xdr:colOff>581025</xdr:colOff>
      <xdr:row>49</xdr:row>
      <xdr:rowOff>9525</xdr:rowOff>
    </xdr:from>
    <xdr:to>
      <xdr:col>12</xdr:col>
      <xdr:colOff>114300</xdr:colOff>
      <xdr:row>60</xdr:row>
      <xdr:rowOff>180975</xdr:rowOff>
    </xdr:to>
    <xdr:sp macro="" textlink="">
      <xdr:nvSpPr>
        <xdr:cNvPr id="10" name="ZoneTexte 9"/>
        <xdr:cNvSpPr txBox="1"/>
      </xdr:nvSpPr>
      <xdr:spPr>
        <a:xfrm>
          <a:off x="9544050" y="9620250"/>
          <a:ext cx="3343275" cy="226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a:t>
          </a:r>
          <a:r>
            <a:rPr lang="fr-FR" sz="1100" baseline="0"/>
            <a:t> Observe 3 groupes types dans l'année</a:t>
          </a:r>
        </a:p>
        <a:p>
          <a:endParaRPr lang="fr-FR" sz="1100" baseline="0"/>
        </a:p>
        <a:p>
          <a:r>
            <a:rPr lang="fr-FR" sz="1100" baseline="0"/>
            <a:t>-De janvier a avril la flore ne produit pas assez par rapport a nos besoins pour le chaptel</a:t>
          </a:r>
        </a:p>
        <a:p>
          <a:r>
            <a:rPr lang="fr-FR" sz="1100" baseline="0"/>
            <a:t>-De Mai a Octobre la flore produit beaucoup plus que ce qu'on a besoin</a:t>
          </a:r>
        </a:p>
        <a:p>
          <a:r>
            <a:rPr lang="fr-FR" sz="1100"/>
            <a:t>-Novembre</a:t>
          </a:r>
          <a:r>
            <a:rPr lang="fr-FR" sz="1100" baseline="0"/>
            <a:t> a Decembre , La flore ne produit pas Assez</a:t>
          </a:r>
        </a:p>
        <a:p>
          <a:endParaRPr lang="fr-FR" sz="1100" baseline="0"/>
        </a:p>
        <a:p>
          <a:r>
            <a:rPr lang="fr-FR" sz="1100" baseline="0"/>
            <a:t>Sur l'année sans compté la qualité , la flore produit 24352 en plus , donc c'est ok</a:t>
          </a:r>
        </a:p>
        <a:p>
          <a:endParaRPr lang="fr-FR" sz="1100"/>
        </a:p>
      </xdr:txBody>
    </xdr:sp>
    <xdr:clientData/>
  </xdr:twoCellAnchor>
  <xdr:twoCellAnchor>
    <xdr:from>
      <xdr:col>5</xdr:col>
      <xdr:colOff>676275</xdr:colOff>
      <xdr:row>42</xdr:row>
      <xdr:rowOff>0</xdr:rowOff>
    </xdr:from>
    <xdr:to>
      <xdr:col>6</xdr:col>
      <xdr:colOff>266700</xdr:colOff>
      <xdr:row>47</xdr:row>
      <xdr:rowOff>114300</xdr:rowOff>
    </xdr:to>
    <xdr:sp macro="" textlink="">
      <xdr:nvSpPr>
        <xdr:cNvPr id="11" name="Flèche vers le bas 10"/>
        <xdr:cNvSpPr/>
      </xdr:nvSpPr>
      <xdr:spPr>
        <a:xfrm>
          <a:off x="7391400" y="8286750"/>
          <a:ext cx="352425" cy="1066800"/>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21</xdr:col>
      <xdr:colOff>1290205</xdr:colOff>
      <xdr:row>1</xdr:row>
      <xdr:rowOff>77933</xdr:rowOff>
    </xdr:from>
    <xdr:to>
      <xdr:col>22</xdr:col>
      <xdr:colOff>1350819</xdr:colOff>
      <xdr:row>3</xdr:row>
      <xdr:rowOff>173183</xdr:rowOff>
    </xdr:to>
    <xdr:sp macro="" textlink="">
      <xdr:nvSpPr>
        <xdr:cNvPr id="3" name="ZoneTexte 2"/>
        <xdr:cNvSpPr txBox="1"/>
      </xdr:nvSpPr>
      <xdr:spPr>
        <a:xfrm>
          <a:off x="11707091" y="268433"/>
          <a:ext cx="1567296"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Actualisez</a:t>
          </a:r>
          <a:r>
            <a:rPr lang="fr-FR" sz="1100" baseline="0"/>
            <a:t> si changement de valeur</a:t>
          </a:r>
          <a:endParaRPr lang="fr-FR" sz="1100"/>
        </a:p>
      </xdr:txBody>
    </xdr:sp>
    <xdr:clientData/>
  </xdr:twoCellAnchor>
  <xdr:twoCellAnchor>
    <xdr:from>
      <xdr:col>5</xdr:col>
      <xdr:colOff>69273</xdr:colOff>
      <xdr:row>23</xdr:row>
      <xdr:rowOff>121227</xdr:rowOff>
    </xdr:from>
    <xdr:to>
      <xdr:col>6</xdr:col>
      <xdr:colOff>580158</xdr:colOff>
      <xdr:row>27</xdr:row>
      <xdr:rowOff>181841</xdr:rowOff>
    </xdr:to>
    <xdr:sp macro="" textlink="">
      <xdr:nvSpPr>
        <xdr:cNvPr id="4" name="ZoneTexte 3"/>
        <xdr:cNvSpPr txBox="1"/>
      </xdr:nvSpPr>
      <xdr:spPr>
        <a:xfrm>
          <a:off x="4372841" y="4554682"/>
          <a:ext cx="1272885" cy="8312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Tout automatique , remplir Base de donnée et 1ere page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276225</xdr:colOff>
      <xdr:row>20</xdr:row>
      <xdr:rowOff>171450</xdr:rowOff>
    </xdr:from>
    <xdr:to>
      <xdr:col>6</xdr:col>
      <xdr:colOff>676275</xdr:colOff>
      <xdr:row>24</xdr:row>
      <xdr:rowOff>133350</xdr:rowOff>
    </xdr:to>
    <xdr:sp macro="" textlink="">
      <xdr:nvSpPr>
        <xdr:cNvPr id="2" name="ZoneTexte 1"/>
        <xdr:cNvSpPr txBox="1"/>
      </xdr:nvSpPr>
      <xdr:spPr>
        <a:xfrm>
          <a:off x="5324475" y="3981450"/>
          <a:ext cx="16383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C'est ici pour modifié les valueur</a:t>
          </a:r>
          <a:r>
            <a:rPr lang="fr-FR" sz="1100" baseline="0"/>
            <a:t> pour les rotations</a:t>
          </a:r>
        </a:p>
        <a:p>
          <a:endParaRPr lang="fr-FR" sz="1100"/>
        </a:p>
      </xdr:txBody>
    </xdr:sp>
    <xdr:clientData/>
  </xdr:twoCellAnchor>
  <xdr:twoCellAnchor>
    <xdr:from>
      <xdr:col>12</xdr:col>
      <xdr:colOff>200025</xdr:colOff>
      <xdr:row>21</xdr:row>
      <xdr:rowOff>142875</xdr:rowOff>
    </xdr:from>
    <xdr:to>
      <xdr:col>14</xdr:col>
      <xdr:colOff>314325</xdr:colOff>
      <xdr:row>25</xdr:row>
      <xdr:rowOff>104775</xdr:rowOff>
    </xdr:to>
    <xdr:sp macro="" textlink="">
      <xdr:nvSpPr>
        <xdr:cNvPr id="3" name="ZoneTexte 2"/>
        <xdr:cNvSpPr txBox="1"/>
      </xdr:nvSpPr>
      <xdr:spPr>
        <a:xfrm>
          <a:off x="13277850" y="4143375"/>
          <a:ext cx="16383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C'est ici pour modifié les valueur</a:t>
          </a:r>
          <a:r>
            <a:rPr lang="fr-FR" sz="1100" baseline="0"/>
            <a:t> pour les rotations</a:t>
          </a:r>
        </a:p>
        <a:p>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Thérèse" refreshedDate="42536.374195254626" createdVersion="6" refreshedVersion="6" minRefreshableVersion="3" recordCount="367">
  <cacheSource type="worksheet">
    <worksheetSource ref="K5:K372" sheet="Decoupage et Rotation"/>
  </cacheSource>
  <cacheFields count="1">
    <cacheField name="Date des rotations" numFmtId="0">
      <sharedItems containsDate="1" containsBlank="1" containsMixedTypes="1" minDate="2016-03-04T00:00:00" maxDate="2016-12-31T00:00:00" count="104">
        <m/>
        <s v=""/>
        <d v="2016-04-10T00:00:00"/>
        <d v="2016-05-07T00:00:00"/>
        <d v="2016-05-23T00:00:00"/>
        <d v="2016-06-09T00:00:00"/>
        <d v="2016-06-26T00:00:00"/>
        <d v="2016-07-17T00:00:00"/>
        <d v="2016-08-17T00:00:00"/>
        <d v="2016-09-23T00:00:00"/>
        <d v="2016-11-18T00:00:00"/>
        <d v="2016-07-22T00:00:00" u="1"/>
        <d v="2016-09-13T00:00:00" u="1"/>
        <d v="2016-05-05T00:00:00" u="1"/>
        <d v="2016-04-19T00:00:00" u="1"/>
        <d v="2016-06-10T00:00:00" u="1"/>
        <d v="2016-05-24T00:00:00" u="1"/>
        <d v="2016-07-15T00:00:00" u="1"/>
        <d v="2016-06-29T00:00:00" u="1"/>
        <d v="2016-08-20T00:00:00" u="1"/>
        <d v="2016-04-12T00:00:00" u="1"/>
        <d v="2016-06-03T00:00:00" u="1"/>
        <d v="2016-09-25T00:00:00" u="1"/>
        <d v="2016-07-08T00:00:00" u="1"/>
        <d v="2016-04-05T00:00:00" u="1"/>
        <d v="2016-07-27T00:00:00" u="1"/>
        <d v="2016-03-19T00:00:00" u="1"/>
        <d v="2016-05-10T00:00:00" u="1"/>
        <d v="2016-10-23T00:00:00" u="1"/>
        <d v="2016-08-06T00:00:00" u="1"/>
        <d v="2016-07-20T00:00:00" u="1"/>
        <d v="2016-09-11T00:00:00" u="1"/>
        <d v="2016-12-07T00:00:00" u="1"/>
        <d v="2016-04-17T00:00:00" u="1"/>
        <d v="2016-09-30T00:00:00" u="1"/>
        <d v="2016-07-13T00:00:00" u="1"/>
        <d v="2016-03-24T00:00:00" u="1"/>
        <d v="2016-05-15T00:00:00" u="1"/>
        <d v="2016-07-06T00:00:00" u="1"/>
        <d v="2016-04-03T00:00:00" u="1"/>
        <d v="2016-05-08T00:00:00" u="1"/>
        <d v="2016-05-27T00:00:00" u="1"/>
        <d v="2016-07-18T00:00:00" u="1"/>
        <d v="2016-05-01T00:00:00" u="1"/>
        <d v="2016-03-29T00:00:00" u="1"/>
        <d v="2016-05-20T00:00:00" u="1"/>
        <d v="2016-07-11T00:00:00" u="1"/>
        <d v="2016-09-02T00:00:00" u="1"/>
        <d v="2016-06-25T00:00:00" u="1"/>
        <d v="2016-08-16T00:00:00" u="1"/>
        <d v="2016-10-07T00:00:00" u="1"/>
        <d v="2016-04-08T00:00:00" u="1"/>
        <d v="2016-07-30T00:00:00" u="1"/>
        <d v="2016-05-13T00:00:00" u="1"/>
        <d v="2016-06-18T00:00:00" u="1"/>
        <d v="2016-07-23T00:00:00" u="1"/>
        <d v="2016-09-14T00:00:00" u="1"/>
        <d v="2016-10-19T00:00:00" u="1"/>
        <d v="2016-06-11T00:00:00" u="1"/>
        <d v="2016-05-25T00:00:00" u="1"/>
        <d v="2016-09-07T00:00:00" u="1"/>
        <d v="2016-10-12T00:00:00" u="1"/>
        <d v="2016-09-26T00:00:00" u="1"/>
        <d v="2016-05-18T00:00:00" u="1"/>
        <d v="2016-06-23T00:00:00" u="1"/>
        <d v="2016-05-11T00:00:00" u="1"/>
        <d v="2016-07-02T00:00:00" u="1"/>
        <d v="2016-05-30T00:00:00" u="1"/>
        <d v="2016-09-12T00:00:00" u="1"/>
        <d v="2016-05-04T00:00:00" u="1"/>
        <d v="2016-10-17T00:00:00" u="1"/>
        <d v="2016-04-18T00:00:00" u="1"/>
        <d v="2016-11-22T00:00:00" u="1"/>
        <d v="2016-09-05T00:00:00" u="1"/>
        <d v="2016-06-02T00:00:00" u="1"/>
        <d v="2016-09-24T00:00:00" u="1"/>
        <d v="2016-11-15T00:00:00" u="1"/>
        <d v="2016-03-25T00:00:00" u="1"/>
        <d v="2016-05-16T00:00:00" u="1"/>
        <d v="2016-07-07T00:00:00" u="1"/>
        <d v="2016-04-30T00:00:00" u="1"/>
        <d v="2016-08-12T00:00:00" u="1"/>
        <d v="2016-10-03T00:00:00" u="1"/>
        <d v="2016-05-09T00:00:00" u="1"/>
        <d v="2016-08-31T00:00:00" u="1"/>
        <d v="2016-04-23T00:00:00" u="1"/>
        <d v="2016-06-14T00:00:00" u="1"/>
        <d v="2016-07-19T00:00:00" u="1"/>
        <d v="2016-05-02T00:00:00" u="1"/>
        <d v="2016-11-20T00:00:00" u="1"/>
        <d v="2016-03-04T00:00:00" u="1"/>
        <d v="2016-05-14T00:00:00" u="1"/>
        <d v="2016-04-28T00:00:00" u="1"/>
        <d v="2016-08-10T00:00:00" u="1"/>
        <d v="2016-04-02T00:00:00" u="1"/>
        <d v="2016-10-20T00:00:00" u="1"/>
        <d v="2016-12-30T00:00:00" u="1"/>
        <d v="2016-06-05T00:00:00" u="1"/>
        <d v="2016-05-19T00:00:00" u="1"/>
        <d v="2016-06-24T00:00:00" u="1"/>
        <d v="2016-08-15T00:00:00" u="1"/>
        <d v="2016-07-03T00:00:00" u="1"/>
        <d v="2016-10-25T00:00:00" u="1"/>
        <d v="2016-06-17T00:00:0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7">
  <r>
    <x v="0"/>
  </r>
  <r>
    <x v="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4"/>
  </r>
  <r>
    <x v="1"/>
  </r>
  <r>
    <x v="1"/>
  </r>
  <r>
    <x v="1"/>
  </r>
  <r>
    <x v="1"/>
  </r>
  <r>
    <x v="1"/>
  </r>
  <r>
    <x v="1"/>
  </r>
  <r>
    <x v="1"/>
  </r>
  <r>
    <x v="1"/>
  </r>
  <r>
    <x v="1"/>
  </r>
  <r>
    <x v="1"/>
  </r>
  <r>
    <x v="1"/>
  </r>
  <r>
    <x v="1"/>
  </r>
  <r>
    <x v="1"/>
  </r>
  <r>
    <x v="1"/>
  </r>
  <r>
    <x v="1"/>
  </r>
  <r>
    <x v="1"/>
  </r>
  <r>
    <x v="5"/>
  </r>
  <r>
    <x v="1"/>
  </r>
  <r>
    <x v="1"/>
  </r>
  <r>
    <x v="1"/>
  </r>
  <r>
    <x v="1"/>
  </r>
  <r>
    <x v="1"/>
  </r>
  <r>
    <x v="1"/>
  </r>
  <r>
    <x v="1"/>
  </r>
  <r>
    <x v="1"/>
  </r>
  <r>
    <x v="1"/>
  </r>
  <r>
    <x v="1"/>
  </r>
  <r>
    <x v="1"/>
  </r>
  <r>
    <x v="1"/>
  </r>
  <r>
    <x v="1"/>
  </r>
  <r>
    <x v="1"/>
  </r>
  <r>
    <x v="1"/>
  </r>
  <r>
    <x v="1"/>
  </r>
  <r>
    <x v="6"/>
  </r>
  <r>
    <x v="1"/>
  </r>
  <r>
    <x v="1"/>
  </r>
  <r>
    <x v="1"/>
  </r>
  <r>
    <x v="1"/>
  </r>
  <r>
    <x v="1"/>
  </r>
  <r>
    <x v="1"/>
  </r>
  <r>
    <x v="1"/>
  </r>
  <r>
    <x v="1"/>
  </r>
  <r>
    <x v="1"/>
  </r>
  <r>
    <x v="1"/>
  </r>
  <r>
    <x v="1"/>
  </r>
  <r>
    <x v="1"/>
  </r>
  <r>
    <x v="1"/>
  </r>
  <r>
    <x v="1"/>
  </r>
  <r>
    <x v="1"/>
  </r>
  <r>
    <x v="1"/>
  </r>
  <r>
    <x v="1"/>
  </r>
  <r>
    <x v="1"/>
  </r>
  <r>
    <x v="1"/>
  </r>
  <r>
    <x v="1"/>
  </r>
  <r>
    <x v="7"/>
  </r>
  <r>
    <x v="1"/>
  </r>
  <r>
    <x v="1"/>
  </r>
  <r>
    <x v="1"/>
  </r>
  <r>
    <x v="1"/>
  </r>
  <r>
    <x v="1"/>
  </r>
  <r>
    <x v="1"/>
  </r>
  <r>
    <x v="1"/>
  </r>
  <r>
    <x v="1"/>
  </r>
  <r>
    <x v="1"/>
  </r>
  <r>
    <x v="1"/>
  </r>
  <r>
    <x v="1"/>
  </r>
  <r>
    <x v="1"/>
  </r>
  <r>
    <x v="1"/>
  </r>
  <r>
    <x v="1"/>
  </r>
  <r>
    <x v="1"/>
  </r>
  <r>
    <x v="1"/>
  </r>
  <r>
    <x v="1"/>
  </r>
  <r>
    <x v="1"/>
  </r>
  <r>
    <x v="1"/>
  </r>
  <r>
    <x v="1"/>
  </r>
  <r>
    <x v="1"/>
  </r>
  <r>
    <x v="1"/>
  </r>
  <r>
    <x v="1"/>
  </r>
  <r>
    <x v="1"/>
  </r>
  <r>
    <x v="1"/>
  </r>
  <r>
    <x v="1"/>
  </r>
  <r>
    <x v="1"/>
  </r>
  <r>
    <x v="1"/>
  </r>
  <r>
    <x v="1"/>
  </r>
  <r>
    <x v="1"/>
  </r>
  <r>
    <x v="8"/>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9"/>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rowGrandTotals="0" colGrandTotals="0" itemPrintTitles="1" createdVersion="6" indent="0" outline="1" outlineData="1" multipleFieldFilters="0" rowHeaderCaption="Dates des rotations">
  <location ref="D4:D13" firstHeaderRow="1" firstDataRow="1" firstDataCol="1"/>
  <pivotFields count="1">
    <pivotField axis="axisRow" showAll="0" sortType="ascending">
      <items count="105">
        <item x="1"/>
        <item m="1" x="90"/>
        <item m="1" x="26"/>
        <item m="1" x="36"/>
        <item m="1" x="77"/>
        <item m="1" x="44"/>
        <item m="1" x="94"/>
        <item m="1" x="39"/>
        <item m="1" x="24"/>
        <item m="1" x="51"/>
        <item x="2"/>
        <item m="1" x="20"/>
        <item m="1" x="33"/>
        <item m="1" x="71"/>
        <item m="1" x="14"/>
        <item m="1" x="85"/>
        <item m="1" x="92"/>
        <item m="1" x="80"/>
        <item m="1" x="43"/>
        <item m="1" x="88"/>
        <item m="1" x="69"/>
        <item m="1" x="13"/>
        <item x="3"/>
        <item m="1" x="40"/>
        <item m="1" x="83"/>
        <item m="1" x="27"/>
        <item m="1" x="65"/>
        <item m="1" x="53"/>
        <item m="1" x="91"/>
        <item m="1" x="37"/>
        <item m="1" x="78"/>
        <item m="1" x="63"/>
        <item m="1" x="98"/>
        <item m="1" x="45"/>
        <item x="4"/>
        <item m="1" x="16"/>
        <item m="1" x="59"/>
        <item m="1" x="41"/>
        <item m="1" x="67"/>
        <item m="1" x="74"/>
        <item m="1" x="21"/>
        <item m="1" x="97"/>
        <item x="5"/>
        <item m="1" x="15"/>
        <item m="1" x="58"/>
        <item m="1" x="86"/>
        <item m="1" x="103"/>
        <item m="1" x="54"/>
        <item m="1" x="64"/>
        <item m="1" x="99"/>
        <item m="1" x="48"/>
        <item x="6"/>
        <item m="1" x="18"/>
        <item m="1" x="66"/>
        <item m="1" x="101"/>
        <item m="1" x="38"/>
        <item m="1" x="79"/>
        <item m="1" x="23"/>
        <item m="1" x="46"/>
        <item m="1" x="35"/>
        <item m="1" x="17"/>
        <item x="7"/>
        <item m="1" x="42"/>
        <item m="1" x="87"/>
        <item m="1" x="30"/>
        <item m="1" x="11"/>
        <item m="1" x="55"/>
        <item m="1" x="25"/>
        <item m="1" x="52"/>
        <item m="1" x="29"/>
        <item m="1" x="93"/>
        <item m="1" x="81"/>
        <item m="1" x="100"/>
        <item m="1" x="49"/>
        <item x="8"/>
        <item m="1" x="19"/>
        <item m="1" x="84"/>
        <item m="1" x="47"/>
        <item m="1" x="73"/>
        <item m="1" x="60"/>
        <item m="1" x="31"/>
        <item m="1" x="68"/>
        <item m="1" x="12"/>
        <item m="1" x="56"/>
        <item x="9"/>
        <item m="1" x="75"/>
        <item m="1" x="22"/>
        <item m="1" x="62"/>
        <item m="1" x="34"/>
        <item m="1" x="82"/>
        <item m="1" x="50"/>
        <item m="1" x="61"/>
        <item m="1" x="70"/>
        <item m="1" x="57"/>
        <item m="1" x="95"/>
        <item m="1" x="28"/>
        <item m="1" x="102"/>
        <item m="1" x="76"/>
        <item x="10"/>
        <item m="1" x="89"/>
        <item m="1" x="72"/>
        <item m="1" x="32"/>
        <item m="1" x="96"/>
        <item x="0"/>
        <item t="default"/>
      </items>
    </pivotField>
  </pivotFields>
  <rowFields count="1">
    <field x="0"/>
  </rowFields>
  <rowItems count="9">
    <i>
      <x v="10"/>
    </i>
    <i>
      <x v="22"/>
    </i>
    <i>
      <x v="34"/>
    </i>
    <i>
      <x v="42"/>
    </i>
    <i>
      <x v="51"/>
    </i>
    <i>
      <x v="61"/>
    </i>
    <i>
      <x v="74"/>
    </i>
    <i>
      <x v="84"/>
    </i>
    <i>
      <x v="98"/>
    </i>
  </rowItems>
  <colItems count="1">
    <i/>
  </colItems>
  <formats count="3">
    <format dxfId="0">
      <pivotArea dataOnly="0" labelOnly="1" fieldPosition="0">
        <references count="1">
          <reference field="0" count="10">
            <x v="8"/>
            <x v="19"/>
            <x v="30"/>
            <x v="38"/>
            <x v="45"/>
            <x v="52"/>
            <x v="62"/>
            <x v="71"/>
            <x v="83"/>
            <x v="93"/>
          </reference>
        </references>
      </pivotArea>
    </format>
    <format dxfId="1">
      <pivotArea dataOnly="0" labelOnly="1" fieldPosition="0">
        <references count="1">
          <reference field="0" count="10">
            <x v="8"/>
            <x v="19"/>
            <x v="30"/>
            <x v="38"/>
            <x v="45"/>
            <x v="52"/>
            <x v="62"/>
            <x v="71"/>
            <x v="83"/>
            <x v="93"/>
          </reference>
        </references>
      </pivotArea>
    </format>
    <format dxfId="2">
      <pivotArea dataOnly="0" labelOnly="1" fieldPosition="0">
        <references count="1">
          <reference field="0" count="0"/>
        </references>
      </pivotArea>
    </format>
  </formats>
  <pivotTableStyleInfo name="PivotStyleLight16" showRowHeaders="1" showColHeaders="1" showRowStripes="0" showColStripes="0" showLastColumn="1"/>
  <filters count="1">
    <filter fld="0" type="captionGreaterThan" evalOrder="-1" id="1" stringValue1="0">
      <autoFilter ref="A1">
        <filterColumn colId="0">
          <customFilters>
            <customFilter operator="greaterThan" val="0"/>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5" cacheId="0" applyNumberFormats="0" applyBorderFormats="0" applyFontFormats="0" applyPatternFormats="0" applyAlignmentFormats="0" applyWidthHeightFormats="1" dataCaption="Valeurs" updatedVersion="6" minRefreshableVersion="3" useAutoFormatting="1" rowGrandTotals="0" colGrandTotals="0" itemPrintTitles="1" createdVersion="6" indent="0" outline="1" outlineData="1" multipleFieldFilters="0" rowHeaderCaption="Dates des rotations">
  <location ref="W5:W14" firstHeaderRow="1" firstDataRow="1" firstDataCol="1"/>
  <pivotFields count="1">
    <pivotField axis="axisRow" showAll="0" sortType="ascending">
      <items count="105">
        <item x="1"/>
        <item m="1" x="90"/>
        <item m="1" x="26"/>
        <item m="1" x="36"/>
        <item m="1" x="77"/>
        <item m="1" x="44"/>
        <item m="1" x="94"/>
        <item m="1" x="39"/>
        <item m="1" x="24"/>
        <item m="1" x="51"/>
        <item x="2"/>
        <item m="1" x="20"/>
        <item m="1" x="33"/>
        <item m="1" x="71"/>
        <item m="1" x="14"/>
        <item m="1" x="85"/>
        <item m="1" x="92"/>
        <item m="1" x="80"/>
        <item m="1" x="43"/>
        <item m="1" x="88"/>
        <item m="1" x="69"/>
        <item m="1" x="13"/>
        <item x="3"/>
        <item m="1" x="40"/>
        <item m="1" x="83"/>
        <item m="1" x="27"/>
        <item m="1" x="65"/>
        <item m="1" x="53"/>
        <item m="1" x="91"/>
        <item m="1" x="37"/>
        <item m="1" x="78"/>
        <item m="1" x="63"/>
        <item m="1" x="98"/>
        <item m="1" x="45"/>
        <item x="4"/>
        <item m="1" x="16"/>
        <item m="1" x="59"/>
        <item m="1" x="41"/>
        <item m="1" x="67"/>
        <item m="1" x="74"/>
        <item m="1" x="21"/>
        <item m="1" x="97"/>
        <item x="5"/>
        <item m="1" x="15"/>
        <item m="1" x="58"/>
        <item m="1" x="86"/>
        <item m="1" x="103"/>
        <item m="1" x="54"/>
        <item m="1" x="64"/>
        <item m="1" x="99"/>
        <item m="1" x="48"/>
        <item x="6"/>
        <item m="1" x="18"/>
        <item m="1" x="66"/>
        <item m="1" x="101"/>
        <item m="1" x="38"/>
        <item m="1" x="79"/>
        <item m="1" x="23"/>
        <item m="1" x="46"/>
        <item m="1" x="35"/>
        <item m="1" x="17"/>
        <item x="7"/>
        <item m="1" x="42"/>
        <item m="1" x="87"/>
        <item m="1" x="30"/>
        <item m="1" x="11"/>
        <item m="1" x="55"/>
        <item m="1" x="25"/>
        <item m="1" x="52"/>
        <item m="1" x="29"/>
        <item m="1" x="93"/>
        <item m="1" x="81"/>
        <item m="1" x="100"/>
        <item m="1" x="49"/>
        <item x="8"/>
        <item m="1" x="19"/>
        <item m="1" x="84"/>
        <item m="1" x="47"/>
        <item m="1" x="73"/>
        <item m="1" x="60"/>
        <item m="1" x="31"/>
        <item m="1" x="68"/>
        <item m="1" x="12"/>
        <item m="1" x="56"/>
        <item x="9"/>
        <item m="1" x="75"/>
        <item m="1" x="22"/>
        <item m="1" x="62"/>
        <item m="1" x="34"/>
        <item m="1" x="82"/>
        <item m="1" x="50"/>
        <item m="1" x="61"/>
        <item m="1" x="70"/>
        <item m="1" x="57"/>
        <item m="1" x="95"/>
        <item m="1" x="28"/>
        <item m="1" x="102"/>
        <item m="1" x="76"/>
        <item x="10"/>
        <item m="1" x="89"/>
        <item m="1" x="72"/>
        <item m="1" x="32"/>
        <item m="1" x="96"/>
        <item x="0"/>
        <item t="default"/>
      </items>
    </pivotField>
  </pivotFields>
  <rowFields count="1">
    <field x="0"/>
  </rowFields>
  <rowItems count="9">
    <i>
      <x v="10"/>
    </i>
    <i>
      <x v="22"/>
    </i>
    <i>
      <x v="34"/>
    </i>
    <i>
      <x v="42"/>
    </i>
    <i>
      <x v="51"/>
    </i>
    <i>
      <x v="61"/>
    </i>
    <i>
      <x v="74"/>
    </i>
    <i>
      <x v="84"/>
    </i>
    <i>
      <x v="98"/>
    </i>
  </rowItems>
  <colItems count="1">
    <i/>
  </colItems>
  <formats count="3">
    <format dxfId="67">
      <pivotArea dataOnly="0" labelOnly="1" fieldPosition="0">
        <references count="1">
          <reference field="0" count="10">
            <x v="8"/>
            <x v="19"/>
            <x v="30"/>
            <x v="38"/>
            <x v="45"/>
            <x v="52"/>
            <x v="62"/>
            <x v="71"/>
            <x v="83"/>
            <x v="93"/>
          </reference>
        </references>
      </pivotArea>
    </format>
    <format dxfId="66">
      <pivotArea dataOnly="0" labelOnly="1" fieldPosition="0">
        <references count="1">
          <reference field="0" count="10">
            <x v="8"/>
            <x v="19"/>
            <x v="30"/>
            <x v="38"/>
            <x v="45"/>
            <x v="52"/>
            <x v="62"/>
            <x v="71"/>
            <x v="83"/>
            <x v="93"/>
          </reference>
        </references>
      </pivotArea>
    </format>
    <format dxfId="65">
      <pivotArea dataOnly="0" labelOnly="1" fieldPosition="0">
        <references count="1">
          <reference field="0" count="0"/>
        </references>
      </pivotArea>
    </format>
  </formats>
  <pivotTableStyleInfo name="PivotStyleLight16" showRowHeaders="1" showColHeaders="1" showRowStripes="0" showColStripes="0" showLastColumn="1"/>
  <filters count="1">
    <filter fld="0" type="captionGreaterThan" evalOrder="-1" id="1" stringValue1="0">
      <autoFilter ref="A1">
        <filterColumn colId="0">
          <customFilters>
            <customFilter operator="greaterThan" val="0"/>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4" name="Tableau4" displayName="Tableau4" ref="Y19:Z20" totalsRowShown="0" headerRowDxfId="71" dataDxfId="70">
  <autoFilter ref="Y19:Z20"/>
  <tableColumns count="2">
    <tableColumn id="1" name="Activé" dataDxfId="69"/>
    <tableColumn id="2" name="Desactivé" dataDxfId="68"/>
  </tableColumns>
  <tableStyleInfo name="TableStyleMedium9" showFirstColumn="0" showLastColumn="0" showRowStripes="1" showColumnStripes="0"/>
</table>
</file>

<file path=xl/tables/table2.xml><?xml version="1.0" encoding="utf-8"?>
<table xmlns="http://schemas.openxmlformats.org/spreadsheetml/2006/main" id="1" name="Tableau1" displayName="Tableau1" ref="B3:E17" totalsRowShown="0" headerRowDxfId="64" dataDxfId="62" headerRowBorderDxfId="63" tableBorderDxfId="61" totalsRowBorderDxfId="60">
  <autoFilter ref="B3:E17"/>
  <tableColumns count="4">
    <tableColumn id="1" name="Summer Dry" dataDxfId="59"/>
    <tableColumn id="2" name="Medium hill inbye" dataDxfId="58"/>
    <tableColumn id="3" name="HQ dairy pasture" dataDxfId="57"/>
    <tableColumn id="4" name="Test" dataDxfId="56"/>
  </tableColumns>
  <tableStyleInfo name="TableStyleMedium9" showFirstColumn="0" showLastColumn="0" showRowStripes="1" showColumnStripes="0"/>
</table>
</file>

<file path=xl/tables/table3.xml><?xml version="1.0" encoding="utf-8"?>
<table xmlns="http://schemas.openxmlformats.org/spreadsheetml/2006/main" id="2" name="Tableau13" displayName="Tableau13" ref="B20:E34" totalsRowShown="0" headerRowDxfId="55" dataDxfId="53" headerRowBorderDxfId="54" tableBorderDxfId="52" totalsRowBorderDxfId="51">
  <autoFilter ref="B20:E34"/>
  <tableColumns count="4">
    <tableColumn id="1" name="Summer Dry" dataDxfId="50"/>
    <tableColumn id="2" name="Medium hill inbye" dataDxfId="49"/>
    <tableColumn id="3" name="HQ dairy pasture" dataDxfId="48"/>
    <tableColumn id="4" name="Test" dataDxfId="47"/>
  </tableColumns>
  <tableStyleInfo name="TableStyleMedium9" showFirstColumn="0" showLastColumn="0" showRowStripes="1" showColumnStripes="0"/>
</table>
</file>

<file path=xl/tables/table4.xml><?xml version="1.0" encoding="utf-8"?>
<table xmlns="http://schemas.openxmlformats.org/spreadsheetml/2006/main" id="3" name="Tableau3" displayName="Tableau3" ref="I3:L17" totalsRowShown="0" headerRowDxfId="46" dataDxfId="44" headerRowBorderDxfId="45" tableBorderDxfId="43" totalsRowBorderDxfId="42">
  <autoFilter ref="I3:L17"/>
  <tableColumns count="4">
    <tableColumn id="1" name="dairy 12mnthr" dataDxfId="41"/>
    <tableColumn id="2" name="beef finisher R2" dataDxfId="40"/>
    <tableColumn id="3" name="spring lmb Waireres" dataDxfId="39"/>
    <tableColumn id="4" name="test" dataDxfId="38"/>
  </tableColumns>
  <tableStyleInfo name="TableStyleMedium9" showFirstColumn="0" showLastColumn="0" showRowStripes="1" showColumnStripes="0"/>
</table>
</file>

<file path=xl/tables/table5.xml><?xml version="1.0" encoding="utf-8"?>
<table xmlns="http://schemas.openxmlformats.org/spreadsheetml/2006/main" id="5" name="Tableau5" displayName="Tableau5" ref="I20:L34" totalsRowShown="0" headerRowDxfId="37" dataDxfId="36">
  <autoFilter ref="I20:L34"/>
  <tableColumns count="4">
    <tableColumn id="1" name="dairy 12mnthr" dataDxfId="35"/>
    <tableColumn id="2" name="beef finisher R2" dataDxfId="34"/>
    <tableColumn id="3" name="spring lmb Waireres" dataDxfId="33"/>
    <tableColumn id="4" name="Test" dataDxfId="32"/>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O27"/>
  <sheetViews>
    <sheetView tabSelected="1" workbookViewId="0">
      <selection activeCell="E16" sqref="E16"/>
    </sheetView>
  </sheetViews>
  <sheetFormatPr baseColWidth="10" defaultRowHeight="15" x14ac:dyDescent="0.25"/>
  <cols>
    <col min="1" max="16384" width="11.42578125" style="356"/>
  </cols>
  <sheetData>
    <row r="2" spans="4:14" ht="15.75" thickBot="1" x14ac:dyDescent="0.3"/>
    <row r="3" spans="4:14" x14ac:dyDescent="0.25">
      <c r="D3" s="357">
        <v>42370</v>
      </c>
      <c r="E3" s="358" t="s">
        <v>146</v>
      </c>
      <c r="F3" s="359"/>
    </row>
    <row r="4" spans="4:14" x14ac:dyDescent="0.25">
      <c r="D4" s="201" t="s">
        <v>143</v>
      </c>
      <c r="E4" s="360"/>
      <c r="F4" s="361"/>
    </row>
    <row r="5" spans="4:14" x14ac:dyDescent="0.25">
      <c r="D5" s="232">
        <v>42470</v>
      </c>
      <c r="E5" s="362">
        <f>D5-$D$3</f>
        <v>100</v>
      </c>
      <c r="F5" s="363"/>
    </row>
    <row r="6" spans="4:14" x14ac:dyDescent="0.25">
      <c r="D6" s="232">
        <v>42497</v>
      </c>
      <c r="E6" s="362">
        <f>D6-D5</f>
        <v>27</v>
      </c>
      <c r="F6" s="363"/>
    </row>
    <row r="7" spans="4:14" x14ac:dyDescent="0.25">
      <c r="D7" s="232">
        <v>42513</v>
      </c>
      <c r="E7" s="362">
        <f t="shared" ref="E7:E13" si="0">D7-D6</f>
        <v>16</v>
      </c>
      <c r="F7" s="363"/>
    </row>
    <row r="8" spans="4:14" x14ac:dyDescent="0.25">
      <c r="D8" s="232">
        <v>42530</v>
      </c>
      <c r="E8" s="364">
        <f t="shared" si="0"/>
        <v>17</v>
      </c>
      <c r="F8" s="365"/>
      <c r="M8" s="366" t="s">
        <v>147</v>
      </c>
    </row>
    <row r="9" spans="4:14" x14ac:dyDescent="0.25">
      <c r="D9" s="232">
        <v>42547</v>
      </c>
      <c r="E9" s="364">
        <f t="shared" si="0"/>
        <v>17</v>
      </c>
      <c r="F9" s="365"/>
      <c r="L9" s="367">
        <f>M9-30</f>
        <v>42526</v>
      </c>
      <c r="M9" s="368">
        <v>42556</v>
      </c>
      <c r="N9" s="367">
        <f>M9+30</f>
        <v>42586</v>
      </c>
    </row>
    <row r="10" spans="4:14" x14ac:dyDescent="0.25">
      <c r="D10" s="232">
        <v>42568</v>
      </c>
      <c r="E10" s="364">
        <f t="shared" si="0"/>
        <v>21</v>
      </c>
      <c r="F10" s="365"/>
    </row>
    <row r="11" spans="4:14" x14ac:dyDescent="0.25">
      <c r="D11" s="232">
        <v>42599</v>
      </c>
      <c r="E11" s="364">
        <f t="shared" si="0"/>
        <v>31</v>
      </c>
      <c r="F11" s="365"/>
    </row>
    <row r="12" spans="4:14" x14ac:dyDescent="0.25">
      <c r="D12" s="232">
        <v>42636</v>
      </c>
      <c r="E12" s="362">
        <f t="shared" si="0"/>
        <v>37</v>
      </c>
      <c r="F12" s="363"/>
    </row>
    <row r="13" spans="4:14" x14ac:dyDescent="0.25">
      <c r="D13" s="232">
        <v>42692</v>
      </c>
      <c r="E13" s="362">
        <f t="shared" si="0"/>
        <v>56</v>
      </c>
      <c r="F13" s="363"/>
    </row>
    <row r="23" spans="4:15" x14ac:dyDescent="0.25">
      <c r="D23" s="369" t="s">
        <v>81</v>
      </c>
      <c r="E23" s="369" t="s">
        <v>82</v>
      </c>
      <c r="F23" s="369" t="s">
        <v>83</v>
      </c>
      <c r="G23" s="369" t="s">
        <v>84</v>
      </c>
      <c r="H23" s="369" t="s">
        <v>85</v>
      </c>
      <c r="I23" s="370" t="s">
        <v>86</v>
      </c>
      <c r="J23" s="370" t="s">
        <v>87</v>
      </c>
      <c r="K23" s="370" t="s">
        <v>88</v>
      </c>
      <c r="L23" s="369" t="s">
        <v>89</v>
      </c>
      <c r="M23" s="369" t="s">
        <v>90</v>
      </c>
      <c r="N23" s="369" t="s">
        <v>91</v>
      </c>
      <c r="O23" s="369" t="s">
        <v>92</v>
      </c>
    </row>
    <row r="24" spans="4:15" x14ac:dyDescent="0.25">
      <c r="D24" s="369"/>
      <c r="E24" s="369"/>
      <c r="F24" s="369"/>
      <c r="G24" s="371">
        <v>42470</v>
      </c>
      <c r="H24" s="371">
        <v>42497</v>
      </c>
      <c r="I24" s="372">
        <v>42530</v>
      </c>
      <c r="J24" s="372">
        <v>42568</v>
      </c>
      <c r="K24" s="372">
        <v>42599</v>
      </c>
      <c r="L24" s="373">
        <v>42636</v>
      </c>
      <c r="M24" s="369"/>
      <c r="N24" s="373">
        <v>42692</v>
      </c>
      <c r="O24" s="369"/>
    </row>
    <row r="25" spans="4:15" x14ac:dyDescent="0.25">
      <c r="D25" s="369"/>
      <c r="E25" s="369"/>
      <c r="F25" s="369"/>
      <c r="G25" s="369"/>
      <c r="H25" s="371">
        <v>42513</v>
      </c>
      <c r="I25" s="372">
        <v>42547</v>
      </c>
      <c r="J25" s="370"/>
      <c r="K25" s="370"/>
      <c r="L25" s="369"/>
      <c r="M25" s="369"/>
      <c r="N25" s="369"/>
      <c r="O25" s="369"/>
    </row>
    <row r="26" spans="4:15" x14ac:dyDescent="0.25">
      <c r="D26" s="369"/>
      <c r="E26" s="369"/>
      <c r="F26" s="369"/>
      <c r="G26" s="369"/>
      <c r="H26" s="369"/>
      <c r="I26" s="370"/>
      <c r="J26" s="370"/>
      <c r="K26" s="370"/>
      <c r="L26" s="369"/>
      <c r="M26" s="369"/>
      <c r="N26" s="369"/>
      <c r="O26" s="369"/>
    </row>
    <row r="27" spans="4:15" x14ac:dyDescent="0.25">
      <c r="D27" s="369"/>
      <c r="E27" s="369"/>
      <c r="F27" s="369"/>
      <c r="G27" s="369"/>
      <c r="H27" s="369"/>
      <c r="I27" s="370"/>
      <c r="J27" s="370"/>
      <c r="K27" s="370"/>
      <c r="L27" s="369"/>
      <c r="M27" s="369"/>
      <c r="N27" s="369"/>
      <c r="O27" s="369"/>
    </row>
  </sheetData>
  <mergeCells count="10">
    <mergeCell ref="E10:F10"/>
    <mergeCell ref="E11:F11"/>
    <mergeCell ref="E12:F12"/>
    <mergeCell ref="E13:F13"/>
    <mergeCell ref="E3:F4"/>
    <mergeCell ref="E5:F5"/>
    <mergeCell ref="E6:F6"/>
    <mergeCell ref="E7:F7"/>
    <mergeCell ref="E8:F8"/>
    <mergeCell ref="E9:F9"/>
  </mergeCell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30"/>
  <sheetViews>
    <sheetView zoomScale="40" zoomScaleNormal="40" workbookViewId="0">
      <selection activeCell="C6" sqref="C6"/>
    </sheetView>
  </sheetViews>
  <sheetFormatPr baseColWidth="10" defaultRowHeight="15" x14ac:dyDescent="0.25"/>
  <cols>
    <col min="1" max="1" width="12.42578125" customWidth="1"/>
    <col min="2" max="2" width="22.85546875" customWidth="1"/>
    <col min="3" max="3" width="26.140625" customWidth="1"/>
  </cols>
  <sheetData>
    <row r="1" spans="2:18" ht="21" x14ac:dyDescent="0.35">
      <c r="B1" s="235" t="s">
        <v>106</v>
      </c>
      <c r="C1" s="235"/>
      <c r="H1" s="249" t="s">
        <v>114</v>
      </c>
      <c r="I1" s="249"/>
      <c r="J1" s="249"/>
      <c r="K1" s="249"/>
      <c r="L1" s="249"/>
      <c r="N1" s="243" t="s">
        <v>33</v>
      </c>
      <c r="O1" s="243"/>
      <c r="P1" s="243"/>
    </row>
    <row r="2" spans="2:18" ht="15.75" x14ac:dyDescent="0.25">
      <c r="B2" s="53" t="s">
        <v>51</v>
      </c>
      <c r="C2" s="53" t="s">
        <v>77</v>
      </c>
      <c r="H2" s="236" t="str">
        <f>IF('Diffentre Besoin et dispo'!C32&gt;0,"La production de la flore est plus importante que votre Besoin  cela est cohérent"," Votres besoin est plus important que la production de la flore avec ces paramètres, cela n'est donc pas cohérent")</f>
        <v>La production de la flore est plus importante que votre Besoin  cela est cohérent</v>
      </c>
      <c r="I2" s="236"/>
      <c r="J2" s="236"/>
      <c r="K2" s="236"/>
      <c r="L2" s="236"/>
      <c r="M2" s="248" t="s">
        <v>67</v>
      </c>
      <c r="N2" s="248"/>
      <c r="O2" s="248"/>
      <c r="P2" s="248"/>
      <c r="Q2" s="248"/>
      <c r="R2" s="248"/>
    </row>
    <row r="3" spans="2:18" ht="15.75" x14ac:dyDescent="0.25">
      <c r="B3" s="53" t="s">
        <v>52</v>
      </c>
      <c r="C3" s="53">
        <v>7</v>
      </c>
      <c r="H3" s="236"/>
      <c r="I3" s="236"/>
      <c r="J3" s="236"/>
      <c r="K3" s="236"/>
      <c r="L3" s="236"/>
      <c r="N3" s="244" t="s">
        <v>34</v>
      </c>
      <c r="O3" s="244"/>
      <c r="P3" s="48" t="s">
        <v>49</v>
      </c>
    </row>
    <row r="4" spans="2:18" ht="15.75" x14ac:dyDescent="0.25">
      <c r="B4" s="52" t="s">
        <v>53</v>
      </c>
      <c r="C4" s="52" t="s">
        <v>76</v>
      </c>
      <c r="D4" s="193"/>
      <c r="E4" s="193"/>
      <c r="F4" s="193"/>
      <c r="H4" s="236"/>
      <c r="I4" s="236"/>
      <c r="J4" s="236"/>
      <c r="K4" s="236"/>
      <c r="L4" s="236"/>
      <c r="N4" s="245" t="s">
        <v>35</v>
      </c>
      <c r="O4" s="245"/>
      <c r="P4" s="48" t="s">
        <v>49</v>
      </c>
    </row>
    <row r="5" spans="2:18" ht="15.75" x14ac:dyDescent="0.25">
      <c r="B5" s="158" t="s">
        <v>60</v>
      </c>
      <c r="C5" s="159">
        <v>1.3</v>
      </c>
      <c r="D5" s="237" t="s">
        <v>110</v>
      </c>
      <c r="E5" s="238"/>
      <c r="F5" s="193"/>
      <c r="H5" s="236"/>
      <c r="I5" s="236"/>
      <c r="J5" s="236"/>
      <c r="K5" s="236"/>
      <c r="L5" s="236"/>
      <c r="N5" s="246" t="s">
        <v>43</v>
      </c>
      <c r="O5" s="246"/>
      <c r="P5" s="48" t="s">
        <v>49</v>
      </c>
    </row>
    <row r="6" spans="2:18" ht="15.75" x14ac:dyDescent="0.25">
      <c r="B6" s="160" t="s">
        <v>80</v>
      </c>
      <c r="C6" s="161">
        <v>80</v>
      </c>
      <c r="D6" s="241">
        <f>C6%</f>
        <v>0.8</v>
      </c>
      <c r="E6" s="241"/>
      <c r="F6" s="193"/>
      <c r="H6" s="236"/>
      <c r="I6" s="236"/>
      <c r="J6" s="236"/>
      <c r="K6" s="236"/>
      <c r="L6" s="236"/>
      <c r="N6" s="247" t="s">
        <v>58</v>
      </c>
      <c r="O6" s="247"/>
      <c r="P6" s="48" t="s">
        <v>49</v>
      </c>
    </row>
    <row r="7" spans="2:18" ht="15.75" x14ac:dyDescent="0.25">
      <c r="C7" s="70"/>
      <c r="D7" s="193"/>
      <c r="E7" s="193"/>
      <c r="F7" s="193"/>
      <c r="N7" s="242" t="s">
        <v>36</v>
      </c>
      <c r="O7" s="242"/>
      <c r="P7" s="48" t="s">
        <v>49</v>
      </c>
    </row>
    <row r="8" spans="2:18" ht="15.75" x14ac:dyDescent="0.25">
      <c r="N8" s="239" t="s">
        <v>79</v>
      </c>
      <c r="O8" s="239"/>
      <c r="P8" s="73" t="s">
        <v>49</v>
      </c>
    </row>
    <row r="9" spans="2:18" ht="15.75" x14ac:dyDescent="0.25">
      <c r="N9" s="240" t="s">
        <v>93</v>
      </c>
      <c r="O9" s="240"/>
      <c r="P9" s="48" t="s">
        <v>49</v>
      </c>
    </row>
    <row r="10" spans="2:18" x14ac:dyDescent="0.25">
      <c r="N10" s="120"/>
      <c r="O10" s="120"/>
    </row>
    <row r="17" spans="1:2" ht="15.75" thickBot="1" x14ac:dyDescent="0.3"/>
    <row r="18" spans="1:2" ht="15.75" x14ac:dyDescent="0.25">
      <c r="A18" s="169" t="s">
        <v>11</v>
      </c>
      <c r="B18" s="143" t="s">
        <v>39</v>
      </c>
    </row>
    <row r="19" spans="1:2" ht="15.75" x14ac:dyDescent="0.25">
      <c r="A19" s="170" t="s">
        <v>81</v>
      </c>
      <c r="B19" s="171">
        <v>1</v>
      </c>
    </row>
    <row r="20" spans="1:2" ht="15.75" x14ac:dyDescent="0.25">
      <c r="A20" s="170" t="s">
        <v>82</v>
      </c>
      <c r="B20" s="171">
        <v>2</v>
      </c>
    </row>
    <row r="21" spans="1:2" ht="15.75" x14ac:dyDescent="0.25">
      <c r="A21" s="170" t="s">
        <v>83</v>
      </c>
      <c r="B21" s="171">
        <v>3</v>
      </c>
    </row>
    <row r="22" spans="1:2" ht="15.75" x14ac:dyDescent="0.25">
      <c r="A22" s="170" t="s">
        <v>84</v>
      </c>
      <c r="B22" s="171">
        <v>4</v>
      </c>
    </row>
    <row r="23" spans="1:2" ht="15.75" x14ac:dyDescent="0.25">
      <c r="A23" s="170" t="s">
        <v>85</v>
      </c>
      <c r="B23" s="171">
        <v>4</v>
      </c>
    </row>
    <row r="24" spans="1:2" ht="15.75" x14ac:dyDescent="0.25">
      <c r="A24" s="170" t="s">
        <v>86</v>
      </c>
      <c r="B24" s="171">
        <v>4</v>
      </c>
    </row>
    <row r="25" spans="1:2" ht="15.75" x14ac:dyDescent="0.25">
      <c r="A25" s="170" t="s">
        <v>87</v>
      </c>
      <c r="B25" s="171">
        <v>6</v>
      </c>
    </row>
    <row r="26" spans="1:2" ht="15.75" x14ac:dyDescent="0.25">
      <c r="A26" s="170" t="s">
        <v>88</v>
      </c>
      <c r="B26" s="171">
        <v>5</v>
      </c>
    </row>
    <row r="27" spans="1:2" ht="15.75" x14ac:dyDescent="0.25">
      <c r="A27" s="170" t="s">
        <v>89</v>
      </c>
      <c r="B27" s="171">
        <v>4</v>
      </c>
    </row>
    <row r="28" spans="1:2" ht="15.75" x14ac:dyDescent="0.25">
      <c r="A28" s="170" t="s">
        <v>90</v>
      </c>
      <c r="B28" s="171">
        <v>2</v>
      </c>
    </row>
    <row r="29" spans="1:2" ht="15.75" x14ac:dyDescent="0.25">
      <c r="A29" s="170" t="s">
        <v>91</v>
      </c>
      <c r="B29" s="171">
        <v>2</v>
      </c>
    </row>
    <row r="30" spans="1:2" ht="16.5" thickBot="1" x14ac:dyDescent="0.3">
      <c r="A30" s="172" t="s">
        <v>92</v>
      </c>
      <c r="B30" s="173">
        <v>1</v>
      </c>
    </row>
  </sheetData>
  <mergeCells count="14">
    <mergeCell ref="B1:C1"/>
    <mergeCell ref="H2:L6"/>
    <mergeCell ref="D5:E5"/>
    <mergeCell ref="N8:O8"/>
    <mergeCell ref="N9:O9"/>
    <mergeCell ref="D6:E6"/>
    <mergeCell ref="N7:O7"/>
    <mergeCell ref="N1:P1"/>
    <mergeCell ref="N3:O3"/>
    <mergeCell ref="N4:O4"/>
    <mergeCell ref="N5:O5"/>
    <mergeCell ref="N6:O6"/>
    <mergeCell ref="M2:R2"/>
    <mergeCell ref="H1:L1"/>
  </mergeCells>
  <dataValidations count="3">
    <dataValidation type="list" allowBlank="1" showInputMessage="1" showErrorMessage="1" sqref="C4">
      <formula1>flore</formula1>
    </dataValidation>
    <dataValidation type="list" allowBlank="1" showInputMessage="1" showErrorMessage="1" sqref="P3:P9">
      <formula1>ouinon</formula1>
    </dataValidation>
    <dataValidation type="list" allowBlank="1" showInputMessage="1" showErrorMessage="1" sqref="C2">
      <formula1>typechaptel</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A65"/>
  <sheetViews>
    <sheetView zoomScale="60" zoomScaleNormal="60" workbookViewId="0">
      <selection activeCell="D9" sqref="D9"/>
    </sheetView>
  </sheetViews>
  <sheetFormatPr baseColWidth="10" defaultRowHeight="15" x14ac:dyDescent="0.25"/>
  <cols>
    <col min="14" max="14" width="14.140625" customWidth="1"/>
    <col min="15" max="15" width="15.28515625" customWidth="1"/>
    <col min="16" max="16" width="17.140625" customWidth="1"/>
    <col min="17" max="17" width="21" customWidth="1"/>
    <col min="18" max="18" width="19.7109375" customWidth="1"/>
    <col min="19" max="19" width="20.28515625" customWidth="1"/>
    <col min="20" max="20" width="22.5703125" customWidth="1"/>
    <col min="21" max="21" width="21.7109375" customWidth="1"/>
    <col min="22" max="22" width="18.140625" customWidth="1"/>
    <col min="26" max="26" width="11.5703125" customWidth="1"/>
  </cols>
  <sheetData>
    <row r="1" spans="1:21" x14ac:dyDescent="0.25">
      <c r="I1" s="258" t="s">
        <v>68</v>
      </c>
      <c r="J1" s="258"/>
      <c r="K1" s="258"/>
      <c r="L1" s="258"/>
      <c r="M1" s="258"/>
      <c r="N1" s="258"/>
      <c r="O1" s="258"/>
      <c r="P1" s="258"/>
    </row>
    <row r="2" spans="1:21" x14ac:dyDescent="0.25">
      <c r="I2" s="258"/>
      <c r="J2" s="258"/>
      <c r="K2" s="258"/>
      <c r="L2" s="258"/>
      <c r="M2" s="258"/>
      <c r="N2" s="258"/>
      <c r="O2" s="258"/>
      <c r="P2" s="258"/>
    </row>
    <row r="3" spans="1:21" ht="18.75" x14ac:dyDescent="0.3">
      <c r="A3" s="1" t="s">
        <v>46</v>
      </c>
      <c r="F3" s="264" t="s">
        <v>62</v>
      </c>
      <c r="G3" s="264"/>
      <c r="H3" s="264"/>
      <c r="I3" s="264"/>
      <c r="J3" s="264"/>
      <c r="K3" s="264"/>
      <c r="L3" s="264"/>
      <c r="O3" s="40" t="s">
        <v>49</v>
      </c>
      <c r="P3" s="41" t="s">
        <v>49</v>
      </c>
      <c r="Q3" s="42" t="s">
        <v>49</v>
      </c>
      <c r="R3" s="43" t="s">
        <v>49</v>
      </c>
      <c r="S3" s="44" t="s">
        <v>49</v>
      </c>
      <c r="T3" s="72" t="s">
        <v>49</v>
      </c>
      <c r="U3" s="75" t="s">
        <v>49</v>
      </c>
    </row>
    <row r="4" spans="1:21" ht="18.75" x14ac:dyDescent="0.3">
      <c r="A4" s="8"/>
      <c r="B4" s="11"/>
      <c r="C4" s="8"/>
      <c r="D4" s="8"/>
      <c r="E4" s="12" t="s">
        <v>0</v>
      </c>
      <c r="F4" s="13" t="s">
        <v>0</v>
      </c>
      <c r="G4" s="14" t="s">
        <v>45</v>
      </c>
      <c r="H4" s="15" t="s">
        <v>1</v>
      </c>
      <c r="I4" s="16" t="s">
        <v>2</v>
      </c>
      <c r="J4" s="17" t="s">
        <v>44</v>
      </c>
      <c r="K4" s="16" t="s">
        <v>0</v>
      </c>
      <c r="L4" s="18" t="s">
        <v>3</v>
      </c>
      <c r="O4" s="265" t="s">
        <v>105</v>
      </c>
      <c r="P4" s="265"/>
      <c r="Q4" s="265"/>
      <c r="R4" s="265"/>
      <c r="S4" s="265"/>
      <c r="T4" s="265"/>
      <c r="U4" s="265"/>
    </row>
    <row r="5" spans="1:21" ht="19.5" thickBot="1" x14ac:dyDescent="0.35">
      <c r="A5" s="19"/>
      <c r="B5" s="8"/>
      <c r="C5" s="64" t="s">
        <v>4</v>
      </c>
      <c r="D5" s="64" t="s">
        <v>5</v>
      </c>
      <c r="E5" s="61" t="s">
        <v>4</v>
      </c>
      <c r="F5" s="30" t="s">
        <v>6</v>
      </c>
      <c r="G5" s="20" t="s">
        <v>7</v>
      </c>
      <c r="H5" s="21" t="s">
        <v>7</v>
      </c>
      <c r="I5" s="18" t="s">
        <v>8</v>
      </c>
      <c r="J5" s="22"/>
      <c r="K5" s="18" t="s">
        <v>9</v>
      </c>
      <c r="L5" s="18" t="s">
        <v>10</v>
      </c>
      <c r="O5" s="45">
        <f>IF(Accueuil!$P$3="Activé",Y20,Z20)</f>
        <v>1</v>
      </c>
      <c r="P5" s="45">
        <f>IF(Accueuil!$P$4="Activé",Y20,Z20)</f>
        <v>1</v>
      </c>
      <c r="Q5" s="45">
        <f>IF(Accueuil!$P$5="Activé",Y20,Z20)</f>
        <v>1</v>
      </c>
      <c r="R5" s="45">
        <f>IF(Accueuil!$P$6="Activé",Y20,Z20)</f>
        <v>1</v>
      </c>
      <c r="S5" s="45">
        <f>IF(Accueuil!$P$7="Activé",Y20,Z20)</f>
        <v>1</v>
      </c>
      <c r="T5" s="45">
        <f>IF(Accueuil!$P$8="Activé",Y20,Z20)</f>
        <v>1</v>
      </c>
      <c r="U5" s="45">
        <f>IF(Accueuil!$P$9="Activé",Y20,Z20)</f>
        <v>1</v>
      </c>
    </row>
    <row r="6" spans="1:21" ht="16.5" thickBot="1" x14ac:dyDescent="0.3">
      <c r="C6" s="49"/>
      <c r="D6" s="49"/>
      <c r="O6" s="137" t="s">
        <v>34</v>
      </c>
      <c r="P6" s="138" t="s">
        <v>37</v>
      </c>
      <c r="Q6" s="139" t="s">
        <v>42</v>
      </c>
      <c r="R6" s="140" t="s">
        <v>41</v>
      </c>
      <c r="S6" s="141" t="s">
        <v>38</v>
      </c>
      <c r="T6" s="142" t="s">
        <v>95</v>
      </c>
      <c r="U6" s="143" t="s">
        <v>93</v>
      </c>
    </row>
    <row r="7" spans="1:21" x14ac:dyDescent="0.25">
      <c r="C7" s="49"/>
      <c r="D7" s="49"/>
      <c r="E7" s="263" t="s">
        <v>61</v>
      </c>
      <c r="F7" s="263"/>
      <c r="G7" s="263"/>
      <c r="H7" s="263"/>
      <c r="I7" s="263"/>
      <c r="J7" s="263"/>
      <c r="K7" s="263"/>
      <c r="L7" s="263"/>
      <c r="M7" s="5"/>
      <c r="N7" s="148" t="s">
        <v>81</v>
      </c>
      <c r="O7" s="144">
        <f t="shared" ref="O7:O18" si="0">E9*$O$5*$O$19</f>
        <v>62</v>
      </c>
      <c r="P7" s="107">
        <f t="shared" ref="P7:P18" si="1">F9*$P$5*$P$19</f>
        <v>80.600000000000009</v>
      </c>
      <c r="Q7" s="108">
        <f t="shared" ref="Q7:Q18" si="2">J9*$Q$5*$Q$19</f>
        <v>394.5454545454545</v>
      </c>
      <c r="R7" s="109">
        <f t="shared" ref="R7:R18" si="3">K9*$R$5*$R$19</f>
        <v>564.19999999999993</v>
      </c>
      <c r="S7" s="110">
        <f t="shared" ref="S7:S18" si="4">F28*$S$5*$S$19</f>
        <v>3255</v>
      </c>
      <c r="T7" s="111">
        <f>K9*Accueuil!$D$6*$T$5*$T$19</f>
        <v>451.35999999999996</v>
      </c>
      <c r="U7" s="112">
        <f>E28*Accueuil!B19*$U$5*$U$19</f>
        <v>465</v>
      </c>
    </row>
    <row r="8" spans="1:21" x14ac:dyDescent="0.25">
      <c r="A8" s="8" t="s">
        <v>11</v>
      </c>
      <c r="B8" s="8" t="s">
        <v>12</v>
      </c>
      <c r="C8" s="65" t="s">
        <v>13</v>
      </c>
      <c r="D8" s="66">
        <f>Accueuil!C5</f>
        <v>1.3</v>
      </c>
      <c r="E8" s="62" t="s">
        <v>14</v>
      </c>
      <c r="F8" s="63" t="s">
        <v>14</v>
      </c>
      <c r="G8" s="198">
        <v>1.1000000000000001</v>
      </c>
      <c r="H8" s="24"/>
      <c r="I8" s="25"/>
      <c r="J8" s="26"/>
      <c r="K8" s="16" t="s">
        <v>14</v>
      </c>
      <c r="L8" s="18" t="s">
        <v>15</v>
      </c>
      <c r="M8" s="5"/>
      <c r="N8" s="149" t="s">
        <v>94</v>
      </c>
      <c r="O8" s="144">
        <f t="shared" si="0"/>
        <v>203</v>
      </c>
      <c r="P8" s="107">
        <f t="shared" si="1"/>
        <v>263.90000000000003</v>
      </c>
      <c r="Q8" s="108">
        <f t="shared" si="2"/>
        <v>1476.3636363636363</v>
      </c>
      <c r="R8" s="109">
        <f t="shared" si="3"/>
        <v>2111.1999999999998</v>
      </c>
      <c r="S8" s="110">
        <f t="shared" si="4"/>
        <v>5582.5</v>
      </c>
      <c r="T8" s="111">
        <f>K10*Accueuil!$D$6*$T$5*$T$19</f>
        <v>1688.96</v>
      </c>
      <c r="U8" s="112">
        <f>E29*Accueuil!B20*$U$5*$U$19</f>
        <v>1595</v>
      </c>
    </row>
    <row r="9" spans="1:21" x14ac:dyDescent="0.25">
      <c r="A9" s="76" t="s">
        <v>16</v>
      </c>
      <c r="B9" s="77">
        <v>31</v>
      </c>
      <c r="C9" s="122">
        <f>INDEX('Base de donnée simple'!$B$23:'Base de donnée simple'!$E$34,MATCH('Calcul Et Courbes '!G49,'Base de donnée simple'!$A$6:'Base de donnée simple'!$A$17,0),MATCH(Accueuil!$C$4,Tableau13[#Headers],0))</f>
        <v>2</v>
      </c>
      <c r="D9" s="122">
        <f>C9*$D$8</f>
        <v>2.6</v>
      </c>
      <c r="E9" s="128">
        <f t="shared" ref="E9:E20" si="5">B9*C9</f>
        <v>62</v>
      </c>
      <c r="F9" s="129">
        <f>E9*$D$8</f>
        <v>80.600000000000009</v>
      </c>
      <c r="G9" s="123">
        <f>H9/$G$8</f>
        <v>6.3636363636363633</v>
      </c>
      <c r="H9" s="124">
        <f>INDEX('Base de donnée simple'!$B$6:'Base de donnée simple'!$E$17,MATCH('Calcul Et Courbes '!G49,'Base de donnée simple'!$A$6:'Base de donnée simple'!$A$17,0),MATCH(Accueuil!$C$4,Tableau1[#Headers],0))</f>
        <v>7</v>
      </c>
      <c r="I9" s="125">
        <f>H9*D9</f>
        <v>18.2</v>
      </c>
      <c r="J9" s="126">
        <f t="shared" ref="J9:J20" si="6">G9*C9*B9</f>
        <v>394.5454545454545</v>
      </c>
      <c r="K9" s="127">
        <f t="shared" ref="K9:K20" si="7">I9*B9</f>
        <v>564.19999999999993</v>
      </c>
      <c r="L9" s="125">
        <f>K9*64</f>
        <v>36108.799999999996</v>
      </c>
      <c r="M9" s="78"/>
      <c r="N9" s="149" t="s">
        <v>83</v>
      </c>
      <c r="O9" s="144">
        <f t="shared" si="0"/>
        <v>465</v>
      </c>
      <c r="P9" s="107">
        <f t="shared" si="1"/>
        <v>604.5</v>
      </c>
      <c r="Q9" s="108">
        <f t="shared" si="2"/>
        <v>4227.272727272727</v>
      </c>
      <c r="R9" s="109">
        <f t="shared" si="3"/>
        <v>6045</v>
      </c>
      <c r="S9" s="110">
        <f t="shared" si="4"/>
        <v>6683.5999999999995</v>
      </c>
      <c r="T9" s="111">
        <f>K11*Accueuil!$D$6*$T$5*$T$19</f>
        <v>4836</v>
      </c>
      <c r="U9" s="112">
        <f>E30*Accueuil!B21*$U$5*$U$19</f>
        <v>2864.3999999999996</v>
      </c>
    </row>
    <row r="10" spans="1:21" x14ac:dyDescent="0.25">
      <c r="A10" s="76" t="s">
        <v>17</v>
      </c>
      <c r="B10" s="77">
        <v>29</v>
      </c>
      <c r="C10" s="122">
        <f>INDEX('Base de donnée simple'!$B$23:'Base de donnée simple'!$E$34,MATCH('Calcul Et Courbes '!G50,'Base de donnée simple'!$A$6:'Base de donnée simple'!$A$17,0),MATCH(Accueuil!$C$4,Tableau13[#Headers],0))</f>
        <v>7</v>
      </c>
      <c r="D10" s="122">
        <f t="shared" ref="D10:D20" si="8">C10*$D$8</f>
        <v>9.1</v>
      </c>
      <c r="E10" s="128">
        <f>B10*C10</f>
        <v>203</v>
      </c>
      <c r="F10" s="129">
        <f t="shared" ref="F10:F20" si="9">E10*$D$8</f>
        <v>263.90000000000003</v>
      </c>
      <c r="G10" s="123">
        <f t="shared" ref="G10:G20" si="10">H10/$G$8</f>
        <v>7.2727272727272725</v>
      </c>
      <c r="H10" s="124">
        <f>INDEX('Base de donnée simple'!$B$6:'Base de donnée simple'!$E$17,MATCH('Calcul Et Courbes '!G50,'Base de donnée simple'!$A$6:'Base de donnée simple'!$A$17,0),MATCH(Accueuil!$C$4,Tableau1[#Headers],0))</f>
        <v>8</v>
      </c>
      <c r="I10" s="125">
        <f t="shared" ref="I10:I20" si="11">H10*D10</f>
        <v>72.8</v>
      </c>
      <c r="J10" s="126">
        <f t="shared" si="6"/>
        <v>1476.3636363636363</v>
      </c>
      <c r="K10" s="127">
        <f t="shared" si="7"/>
        <v>2111.1999999999998</v>
      </c>
      <c r="L10" s="125">
        <f t="shared" ref="L10:L20" si="12">K10*64</f>
        <v>135116.79999999999</v>
      </c>
      <c r="M10" s="78"/>
      <c r="N10" s="149" t="s">
        <v>84</v>
      </c>
      <c r="O10" s="144">
        <f t="shared" si="0"/>
        <v>900</v>
      </c>
      <c r="P10" s="107">
        <f t="shared" si="1"/>
        <v>1170</v>
      </c>
      <c r="Q10" s="108">
        <f t="shared" si="2"/>
        <v>8590.9090909090919</v>
      </c>
      <c r="R10" s="109">
        <f t="shared" si="3"/>
        <v>12285</v>
      </c>
      <c r="S10" s="110">
        <f t="shared" si="4"/>
        <v>11340</v>
      </c>
      <c r="T10" s="111">
        <f>K12*Accueuil!$D$6*$T$5*$T$19</f>
        <v>9828</v>
      </c>
      <c r="U10" s="112">
        <f>E31*Accueuil!B22*$U$5*$U$19</f>
        <v>6480</v>
      </c>
    </row>
    <row r="11" spans="1:21" x14ac:dyDescent="0.25">
      <c r="A11" s="76" t="s">
        <v>18</v>
      </c>
      <c r="B11" s="77">
        <v>31</v>
      </c>
      <c r="C11" s="122">
        <f>INDEX('Base de donnée simple'!$B$23:'Base de donnée simple'!$E$34,MATCH('Calcul Et Courbes '!G51,'Base de donnée simple'!$A$6:'Base de donnée simple'!$A$17,0),MATCH(Accueuil!$C$4,Tableau13[#Headers],0))</f>
        <v>15</v>
      </c>
      <c r="D11" s="122">
        <f t="shared" si="8"/>
        <v>19.5</v>
      </c>
      <c r="E11" s="128">
        <f t="shared" si="5"/>
        <v>465</v>
      </c>
      <c r="F11" s="129">
        <f t="shared" si="9"/>
        <v>604.5</v>
      </c>
      <c r="G11" s="123">
        <f t="shared" si="10"/>
        <v>9.0909090909090899</v>
      </c>
      <c r="H11" s="124">
        <f>INDEX('Base de donnée simple'!$B$6:'Base de donnée simple'!$E$17,MATCH('Calcul Et Courbes '!G51,'Base de donnée simple'!$A$6:'Base de donnée simple'!$A$17,0),MATCH(Accueuil!$C$4,Tableau1[#Headers],0))</f>
        <v>10</v>
      </c>
      <c r="I11" s="125">
        <f t="shared" si="11"/>
        <v>195</v>
      </c>
      <c r="J11" s="126">
        <f t="shared" si="6"/>
        <v>4227.272727272727</v>
      </c>
      <c r="K11" s="127">
        <f t="shared" si="7"/>
        <v>6045</v>
      </c>
      <c r="L11" s="125">
        <f t="shared" si="12"/>
        <v>386880</v>
      </c>
      <c r="M11" s="78"/>
      <c r="N11" s="149" t="s">
        <v>85</v>
      </c>
      <c r="O11" s="144">
        <f t="shared" si="0"/>
        <v>2015</v>
      </c>
      <c r="P11" s="107">
        <f t="shared" si="1"/>
        <v>2619.5</v>
      </c>
      <c r="Q11" s="108">
        <f t="shared" si="2"/>
        <v>21981.81818181818</v>
      </c>
      <c r="R11" s="109">
        <f t="shared" si="3"/>
        <v>31434</v>
      </c>
      <c r="S11" s="110">
        <f t="shared" si="4"/>
        <v>15624</v>
      </c>
      <c r="T11" s="111">
        <f>K13*Accueuil!$D$6*$T$5*$T$19</f>
        <v>25147.200000000001</v>
      </c>
      <c r="U11" s="112">
        <f>E32*Accueuil!B23*$U$5*$U$19</f>
        <v>8928</v>
      </c>
    </row>
    <row r="12" spans="1:21" x14ac:dyDescent="0.25">
      <c r="A12" s="76" t="s">
        <v>19</v>
      </c>
      <c r="B12" s="77">
        <v>30</v>
      </c>
      <c r="C12" s="122">
        <f>INDEX('Base de donnée simple'!$B$23:'Base de donnée simple'!$E$34,MATCH('Calcul Et Courbes '!G52,'Base de donnée simple'!$A$6:'Base de donnée simple'!$A$17,0),MATCH(Accueuil!$C$4,Tableau13[#Headers],0))</f>
        <v>30</v>
      </c>
      <c r="D12" s="122">
        <f t="shared" si="8"/>
        <v>39</v>
      </c>
      <c r="E12" s="128">
        <f t="shared" si="5"/>
        <v>900</v>
      </c>
      <c r="F12" s="129">
        <f t="shared" si="9"/>
        <v>1170</v>
      </c>
      <c r="G12" s="123">
        <f t="shared" si="10"/>
        <v>9.545454545454545</v>
      </c>
      <c r="H12" s="124">
        <f>INDEX('Base de donnée simple'!$B$6:'Base de donnée simple'!$E$17,MATCH('Calcul Et Courbes '!G52,'Base de donnée simple'!$A$6:'Base de donnée simple'!$A$17,0),MATCH(Accueuil!$C$4,Tableau1[#Headers],0))</f>
        <v>10.5</v>
      </c>
      <c r="I12" s="125">
        <f t="shared" si="11"/>
        <v>409.5</v>
      </c>
      <c r="J12" s="126">
        <f t="shared" si="6"/>
        <v>8590.9090909090919</v>
      </c>
      <c r="K12" s="127">
        <f t="shared" si="7"/>
        <v>12285</v>
      </c>
      <c r="L12" s="125">
        <f t="shared" si="12"/>
        <v>786240</v>
      </c>
      <c r="M12" s="78"/>
      <c r="N12" s="149" t="s">
        <v>86</v>
      </c>
      <c r="O12" s="144">
        <f t="shared" si="0"/>
        <v>1800</v>
      </c>
      <c r="P12" s="107">
        <f t="shared" si="1"/>
        <v>2340</v>
      </c>
      <c r="Q12" s="108">
        <f t="shared" si="2"/>
        <v>18000</v>
      </c>
      <c r="R12" s="109">
        <f t="shared" si="3"/>
        <v>25740</v>
      </c>
      <c r="S12" s="110">
        <f t="shared" si="4"/>
        <v>12600</v>
      </c>
      <c r="T12" s="111">
        <f>K14*Accueuil!$D$6*$T$5*$T$19</f>
        <v>20592</v>
      </c>
      <c r="U12" s="112">
        <f>E33*Accueuil!B24*$U$5*$U$19</f>
        <v>7200</v>
      </c>
    </row>
    <row r="13" spans="1:21" x14ac:dyDescent="0.25">
      <c r="A13" s="76" t="s">
        <v>20</v>
      </c>
      <c r="B13" s="77">
        <v>31</v>
      </c>
      <c r="C13" s="122">
        <f>INDEX('Base de donnée simple'!$B$23:'Base de donnée simple'!$E$34,MATCH('Calcul Et Courbes '!G53,'Base de donnée simple'!$A$6:'Base de donnée simple'!$A$17,0),MATCH(Accueuil!$C$4,Tableau13[#Headers],0))</f>
        <v>65</v>
      </c>
      <c r="D13" s="122">
        <f t="shared" si="8"/>
        <v>84.5</v>
      </c>
      <c r="E13" s="128">
        <f t="shared" si="5"/>
        <v>2015</v>
      </c>
      <c r="F13" s="129">
        <f t="shared" si="9"/>
        <v>2619.5</v>
      </c>
      <c r="G13" s="123">
        <f t="shared" si="10"/>
        <v>10.909090909090908</v>
      </c>
      <c r="H13" s="124">
        <f>INDEX('Base de donnée simple'!$B$6:'Base de donnée simple'!$E$17,MATCH('Calcul Et Courbes '!G53,'Base de donnée simple'!$A$6:'Base de donnée simple'!$A$17,0),MATCH(Accueuil!$C$4,Tableau1[#Headers],0))</f>
        <v>12</v>
      </c>
      <c r="I13" s="125">
        <f t="shared" si="11"/>
        <v>1014</v>
      </c>
      <c r="J13" s="126">
        <f t="shared" si="6"/>
        <v>21981.81818181818</v>
      </c>
      <c r="K13" s="127">
        <f t="shared" si="7"/>
        <v>31434</v>
      </c>
      <c r="L13" s="125">
        <f t="shared" si="12"/>
        <v>2011776</v>
      </c>
      <c r="M13" s="78"/>
      <c r="N13" s="149" t="s">
        <v>87</v>
      </c>
      <c r="O13" s="144">
        <f t="shared" si="0"/>
        <v>1395</v>
      </c>
      <c r="P13" s="107">
        <f t="shared" si="1"/>
        <v>1813.5</v>
      </c>
      <c r="Q13" s="108">
        <f t="shared" si="2"/>
        <v>11413.636363636364</v>
      </c>
      <c r="R13" s="109">
        <f t="shared" si="3"/>
        <v>16321.5</v>
      </c>
      <c r="S13" s="110">
        <f t="shared" si="4"/>
        <v>3255</v>
      </c>
      <c r="T13" s="111">
        <f>K15*Accueuil!$D$6*$T$5*$T$19</f>
        <v>13057.2</v>
      </c>
      <c r="U13" s="112">
        <f>E34*Accueuil!B25*$U$5*$U$19</f>
        <v>2790</v>
      </c>
    </row>
    <row r="14" spans="1:21" x14ac:dyDescent="0.25">
      <c r="A14" s="76" t="s">
        <v>21</v>
      </c>
      <c r="B14" s="77">
        <v>30</v>
      </c>
      <c r="C14" s="122">
        <f>INDEX('Base de donnée simple'!$B$23:'Base de donnée simple'!$E$34,MATCH('Calcul Et Courbes '!G54,'Base de donnée simple'!$A$6:'Base de donnée simple'!$A$17,0),MATCH(Accueuil!$C$4,Tableau13[#Headers],0))</f>
        <v>60</v>
      </c>
      <c r="D14" s="122">
        <f t="shared" si="8"/>
        <v>78</v>
      </c>
      <c r="E14" s="128">
        <f t="shared" si="5"/>
        <v>1800</v>
      </c>
      <c r="F14" s="129">
        <f t="shared" si="9"/>
        <v>2340</v>
      </c>
      <c r="G14" s="123">
        <f t="shared" si="10"/>
        <v>10</v>
      </c>
      <c r="H14" s="124">
        <f>INDEX('Base de donnée simple'!$B$6:'Base de donnée simple'!$E$17,MATCH('Calcul Et Courbes '!G54,'Base de donnée simple'!$A$6:'Base de donnée simple'!$A$17,0),MATCH(Accueuil!$C$4,Tableau1[#Headers],0))</f>
        <v>11</v>
      </c>
      <c r="I14" s="125">
        <f t="shared" si="11"/>
        <v>858</v>
      </c>
      <c r="J14" s="126">
        <f t="shared" si="6"/>
        <v>18000</v>
      </c>
      <c r="K14" s="127">
        <f t="shared" si="7"/>
        <v>25740</v>
      </c>
      <c r="L14" s="125">
        <f t="shared" si="12"/>
        <v>1647360</v>
      </c>
      <c r="M14" s="78"/>
      <c r="N14" s="149" t="s">
        <v>88</v>
      </c>
      <c r="O14" s="144">
        <f t="shared" si="0"/>
        <v>713</v>
      </c>
      <c r="P14" s="107">
        <f t="shared" si="1"/>
        <v>926.9</v>
      </c>
      <c r="Q14" s="108">
        <f t="shared" si="2"/>
        <v>3889.0909090909086</v>
      </c>
      <c r="R14" s="109">
        <f t="shared" si="3"/>
        <v>5561.4000000000005</v>
      </c>
      <c r="S14" s="110">
        <f t="shared" si="4"/>
        <v>2929.5</v>
      </c>
      <c r="T14" s="111">
        <f>K16*Accueuil!$D$6*$T$5*$T$19</f>
        <v>4449.1200000000008</v>
      </c>
      <c r="U14" s="112">
        <f>E35*Accueuil!B26*$U$5*$U$19</f>
        <v>2092.5</v>
      </c>
    </row>
    <row r="15" spans="1:21" x14ac:dyDescent="0.25">
      <c r="A15" s="76" t="s">
        <v>22</v>
      </c>
      <c r="B15" s="77">
        <v>31</v>
      </c>
      <c r="C15" s="122">
        <f>INDEX('Base de donnée simple'!$B$23:'Base de donnée simple'!$E$34,MATCH('Calcul Et Courbes '!G55,'Base de donnée simple'!$A$6:'Base de donnée simple'!$A$17,0),MATCH(Accueuil!$C$4,Tableau13[#Headers],0))</f>
        <v>45</v>
      </c>
      <c r="D15" s="122">
        <f t="shared" si="8"/>
        <v>58.5</v>
      </c>
      <c r="E15" s="128">
        <f t="shared" si="5"/>
        <v>1395</v>
      </c>
      <c r="F15" s="129">
        <f t="shared" si="9"/>
        <v>1813.5</v>
      </c>
      <c r="G15" s="123">
        <f t="shared" si="10"/>
        <v>8.1818181818181817</v>
      </c>
      <c r="H15" s="124">
        <f>INDEX('Base de donnée simple'!$B$6:'Base de donnée simple'!$E$17,MATCH('Calcul Et Courbes '!G55,'Base de donnée simple'!$A$6:'Base de donnée simple'!$A$17,0),MATCH(Accueuil!$C$4,Tableau1[#Headers],0))</f>
        <v>9</v>
      </c>
      <c r="I15" s="125">
        <f t="shared" si="11"/>
        <v>526.5</v>
      </c>
      <c r="J15" s="126">
        <f t="shared" si="6"/>
        <v>11413.636363636364</v>
      </c>
      <c r="K15" s="127">
        <f t="shared" si="7"/>
        <v>16321.5</v>
      </c>
      <c r="L15" s="125">
        <f t="shared" si="12"/>
        <v>1044576</v>
      </c>
      <c r="M15" s="78"/>
      <c r="N15" s="149" t="s">
        <v>89</v>
      </c>
      <c r="O15" s="144">
        <f t="shared" si="0"/>
        <v>900</v>
      </c>
      <c r="P15" s="107">
        <f t="shared" si="1"/>
        <v>1170</v>
      </c>
      <c r="Q15" s="108">
        <f t="shared" si="2"/>
        <v>8181.8181818181811</v>
      </c>
      <c r="R15" s="109">
        <f t="shared" si="3"/>
        <v>11700</v>
      </c>
      <c r="S15" s="110">
        <f t="shared" si="4"/>
        <v>3780</v>
      </c>
      <c r="T15" s="111">
        <f>K17*Accueuil!$D$6*$T$5*$T$19</f>
        <v>9360</v>
      </c>
      <c r="U15" s="112">
        <f>E36*Accueuil!B27*$U$5*$U$19</f>
        <v>2160</v>
      </c>
    </row>
    <row r="16" spans="1:21" x14ac:dyDescent="0.25">
      <c r="A16" s="76" t="s">
        <v>23</v>
      </c>
      <c r="B16" s="77">
        <v>31</v>
      </c>
      <c r="C16" s="122">
        <f>INDEX('Base de donnée simple'!$B$23:'Base de donnée simple'!$E$34,MATCH('Calcul Et Courbes '!G56,'Base de donnée simple'!$A$6:'Base de donnée simple'!$A$17,0),MATCH(Accueuil!$C$4,Tableau13[#Headers],0))</f>
        <v>23</v>
      </c>
      <c r="D16" s="122">
        <f t="shared" si="8"/>
        <v>29.900000000000002</v>
      </c>
      <c r="E16" s="128">
        <f t="shared" si="5"/>
        <v>713</v>
      </c>
      <c r="F16" s="129">
        <f t="shared" si="9"/>
        <v>926.9</v>
      </c>
      <c r="G16" s="123">
        <f t="shared" si="10"/>
        <v>5.4545454545454541</v>
      </c>
      <c r="H16" s="124">
        <f>INDEX('Base de donnée simple'!$B$6:'Base de donnée simple'!$E$17,MATCH('Calcul Et Courbes '!G56,'Base de donnée simple'!$A$6:'Base de donnée simple'!$A$17,0),MATCH(Accueuil!$C$4,Tableau1[#Headers],0))</f>
        <v>6</v>
      </c>
      <c r="I16" s="125">
        <f t="shared" si="11"/>
        <v>179.4</v>
      </c>
      <c r="J16" s="126">
        <f t="shared" si="6"/>
        <v>3889.0909090909086</v>
      </c>
      <c r="K16" s="127">
        <f t="shared" si="7"/>
        <v>5561.4000000000005</v>
      </c>
      <c r="L16" s="125">
        <f t="shared" si="12"/>
        <v>355929.60000000003</v>
      </c>
      <c r="M16" s="78"/>
      <c r="N16" s="149" t="s">
        <v>90</v>
      </c>
      <c r="O16" s="144">
        <f t="shared" si="0"/>
        <v>620</v>
      </c>
      <c r="P16" s="107">
        <f t="shared" si="1"/>
        <v>806</v>
      </c>
      <c r="Q16" s="108">
        <f t="shared" si="2"/>
        <v>6200</v>
      </c>
      <c r="R16" s="109">
        <f t="shared" si="3"/>
        <v>8866</v>
      </c>
      <c r="S16" s="110">
        <f t="shared" si="4"/>
        <v>4296.6000000000004</v>
      </c>
      <c r="T16" s="111">
        <f>K18*Accueuil!$D$6*$T$5*$T$19</f>
        <v>7092.8</v>
      </c>
      <c r="U16" s="112">
        <f>E37*Accueuil!B28*$U$5*$U$19</f>
        <v>1227.6000000000001</v>
      </c>
    </row>
    <row r="17" spans="1:27" x14ac:dyDescent="0.25">
      <c r="A17" s="76" t="s">
        <v>24</v>
      </c>
      <c r="B17" s="77">
        <v>30</v>
      </c>
      <c r="C17" s="122">
        <f>INDEX('Base de donnée simple'!$B$23:'Base de donnée simple'!$E$34,MATCH('Calcul Et Courbes '!G57,'Base de donnée simple'!$A$6:'Base de donnée simple'!$A$17,0),MATCH(Accueuil!$C$4,Tableau13[#Headers],0))</f>
        <v>30</v>
      </c>
      <c r="D17" s="122">
        <f t="shared" si="8"/>
        <v>39</v>
      </c>
      <c r="E17" s="128">
        <f t="shared" si="5"/>
        <v>900</v>
      </c>
      <c r="F17" s="129">
        <f t="shared" si="9"/>
        <v>1170</v>
      </c>
      <c r="G17" s="123">
        <f t="shared" si="10"/>
        <v>9.0909090909090899</v>
      </c>
      <c r="H17" s="124">
        <f>INDEX('Base de donnée simple'!$B$6:'Base de donnée simple'!$E$17,MATCH('Calcul Et Courbes '!G57,'Base de donnée simple'!$A$6:'Base de donnée simple'!$A$17,0),MATCH(Accueuil!$C$4,Tableau1[#Headers],0))</f>
        <v>10</v>
      </c>
      <c r="I17" s="125">
        <f t="shared" si="11"/>
        <v>390</v>
      </c>
      <c r="J17" s="126">
        <f t="shared" si="6"/>
        <v>8181.8181818181811</v>
      </c>
      <c r="K17" s="127">
        <f t="shared" si="7"/>
        <v>11700</v>
      </c>
      <c r="L17" s="125">
        <f t="shared" si="12"/>
        <v>748800</v>
      </c>
      <c r="M17" s="78"/>
      <c r="N17" s="149" t="s">
        <v>91</v>
      </c>
      <c r="O17" s="144">
        <f t="shared" si="0"/>
        <v>300</v>
      </c>
      <c r="P17" s="107">
        <f t="shared" si="1"/>
        <v>390</v>
      </c>
      <c r="Q17" s="108">
        <f t="shared" si="2"/>
        <v>2454.5454545454545</v>
      </c>
      <c r="R17" s="109">
        <f t="shared" si="3"/>
        <v>3510</v>
      </c>
      <c r="S17" s="110">
        <f t="shared" si="4"/>
        <v>3360</v>
      </c>
      <c r="T17" s="111">
        <f>K19*Accueuil!$D$6*$T$5*$T$19</f>
        <v>2808</v>
      </c>
      <c r="U17" s="112">
        <f>E38*Accueuil!B29*$U$5*$U$19</f>
        <v>960</v>
      </c>
    </row>
    <row r="18" spans="1:27" ht="19.5" thickBot="1" x14ac:dyDescent="0.35">
      <c r="A18" s="76" t="s">
        <v>25</v>
      </c>
      <c r="B18" s="77">
        <v>31</v>
      </c>
      <c r="C18" s="122">
        <f>INDEX('Base de donnée simple'!$B$23:'Base de donnée simple'!$E$34,MATCH('Calcul Et Courbes '!G58,'Base de donnée simple'!$A$6:'Base de donnée simple'!$A$17,0),MATCH(Accueuil!$C$4,Tableau13[#Headers],0))</f>
        <v>20</v>
      </c>
      <c r="D18" s="122">
        <f t="shared" si="8"/>
        <v>26</v>
      </c>
      <c r="E18" s="128">
        <f t="shared" si="5"/>
        <v>620</v>
      </c>
      <c r="F18" s="129">
        <f t="shared" si="9"/>
        <v>806</v>
      </c>
      <c r="G18" s="123">
        <f t="shared" si="10"/>
        <v>10</v>
      </c>
      <c r="H18" s="124">
        <f>INDEX('Base de donnée simple'!$B$6:'Base de donnée simple'!$E$17,MATCH('Calcul Et Courbes '!G58,'Base de donnée simple'!$A$6:'Base de donnée simple'!$A$17,0),MATCH(Accueuil!$C$4,Tableau1[#Headers],0))</f>
        <v>11</v>
      </c>
      <c r="I18" s="125">
        <f t="shared" si="11"/>
        <v>286</v>
      </c>
      <c r="J18" s="126">
        <f t="shared" si="6"/>
        <v>6200</v>
      </c>
      <c r="K18" s="127">
        <f t="shared" si="7"/>
        <v>8866</v>
      </c>
      <c r="L18" s="125">
        <f t="shared" si="12"/>
        <v>567424</v>
      </c>
      <c r="M18" s="78"/>
      <c r="N18" s="150" t="s">
        <v>92</v>
      </c>
      <c r="O18" s="144">
        <f t="shared" si="0"/>
        <v>93</v>
      </c>
      <c r="P18" s="107">
        <f t="shared" si="1"/>
        <v>120.9</v>
      </c>
      <c r="Q18" s="108">
        <f t="shared" si="2"/>
        <v>591.81818181818176</v>
      </c>
      <c r="R18" s="109">
        <f t="shared" si="3"/>
        <v>846.30000000000018</v>
      </c>
      <c r="S18" s="110">
        <f t="shared" si="4"/>
        <v>2929.5</v>
      </c>
      <c r="T18" s="111">
        <f>K20*Accueuil!$D$6*$T$5*$T$19</f>
        <v>677.04000000000019</v>
      </c>
      <c r="U18" s="112">
        <f>E39*Accueuil!B30*$U$5*$U$19</f>
        <v>418.5</v>
      </c>
      <c r="X18" s="251" t="s">
        <v>66</v>
      </c>
      <c r="Y18" s="251"/>
      <c r="Z18" s="251"/>
      <c r="AA18" s="251"/>
    </row>
    <row r="19" spans="1:27" ht="15.75" thickBot="1" x14ac:dyDescent="0.3">
      <c r="A19" s="76" t="s">
        <v>26</v>
      </c>
      <c r="B19" s="77">
        <v>30</v>
      </c>
      <c r="C19" s="122">
        <f>INDEX('Base de donnée simple'!$B$23:'Base de donnée simple'!$E$34,MATCH('Calcul Et Courbes '!G59,'Base de donnée simple'!$A$6:'Base de donnée simple'!$A$17,0),MATCH(Accueuil!$C$4,Tableau13[#Headers],0))</f>
        <v>10</v>
      </c>
      <c r="D19" s="122">
        <f t="shared" si="8"/>
        <v>13</v>
      </c>
      <c r="E19" s="128">
        <f t="shared" si="5"/>
        <v>300</v>
      </c>
      <c r="F19" s="129">
        <f t="shared" si="9"/>
        <v>390</v>
      </c>
      <c r="G19" s="123">
        <f t="shared" si="10"/>
        <v>8.1818181818181817</v>
      </c>
      <c r="H19" s="124">
        <f>INDEX('Base de donnée simple'!$B$6:'Base de donnée simple'!$E$17,MATCH('Calcul Et Courbes '!G59,'Base de donnée simple'!$A$6:'Base de donnée simple'!$A$17,0),MATCH(Accueuil!$C$4,Tableau1[#Headers],0))</f>
        <v>9</v>
      </c>
      <c r="I19" s="125">
        <f t="shared" si="11"/>
        <v>117</v>
      </c>
      <c r="J19" s="126">
        <f t="shared" si="6"/>
        <v>2454.5454545454545</v>
      </c>
      <c r="K19" s="127">
        <f t="shared" si="7"/>
        <v>3510</v>
      </c>
      <c r="L19" s="125">
        <f t="shared" si="12"/>
        <v>224640</v>
      </c>
      <c r="M19" s="151" t="s">
        <v>54</v>
      </c>
      <c r="N19" s="6" t="s">
        <v>55</v>
      </c>
      <c r="O19" s="145">
        <v>1</v>
      </c>
      <c r="P19" s="146">
        <v>1</v>
      </c>
      <c r="Q19" s="146">
        <v>1</v>
      </c>
      <c r="R19" s="146">
        <v>1</v>
      </c>
      <c r="S19" s="146">
        <v>1</v>
      </c>
      <c r="T19" s="146">
        <v>1</v>
      </c>
      <c r="U19" s="147">
        <v>1</v>
      </c>
      <c r="Y19" s="6" t="s">
        <v>49</v>
      </c>
      <c r="Z19" s="6" t="s">
        <v>50</v>
      </c>
    </row>
    <row r="20" spans="1:27" x14ac:dyDescent="0.25">
      <c r="A20" s="76" t="s">
        <v>27</v>
      </c>
      <c r="B20" s="77">
        <v>31</v>
      </c>
      <c r="C20" s="122">
        <f>INDEX('Base de donnée simple'!$B$23:'Base de donnée simple'!$E$34,MATCH('Calcul Et Courbes '!G60,'Base de donnée simple'!$A$6:'Base de donnée simple'!$A$17,0),MATCH(Accueuil!$C$4,Tableau13[#Headers],0))</f>
        <v>3</v>
      </c>
      <c r="D20" s="122">
        <f t="shared" si="8"/>
        <v>3.9000000000000004</v>
      </c>
      <c r="E20" s="128">
        <f t="shared" si="5"/>
        <v>93</v>
      </c>
      <c r="F20" s="129">
        <f t="shared" si="9"/>
        <v>120.9</v>
      </c>
      <c r="G20" s="123">
        <f t="shared" si="10"/>
        <v>6.3636363636363633</v>
      </c>
      <c r="H20" s="124">
        <f>INDEX('Base de donnée simple'!$B$6:'Base de donnée simple'!$E$17,MATCH('Calcul Et Courbes '!G60,'Base de donnée simple'!$A$6:'Base de donnée simple'!$A$17,0),MATCH(Accueuil!$C$4,Tableau1[#Headers],0))</f>
        <v>7</v>
      </c>
      <c r="I20" s="125">
        <f t="shared" si="11"/>
        <v>27.300000000000004</v>
      </c>
      <c r="J20" s="126">
        <f t="shared" si="6"/>
        <v>591.81818181818176</v>
      </c>
      <c r="K20" s="127">
        <f t="shared" si="7"/>
        <v>846.30000000000018</v>
      </c>
      <c r="L20" s="125">
        <f t="shared" si="12"/>
        <v>54163.200000000012</v>
      </c>
      <c r="M20" s="78"/>
      <c r="N20" s="6"/>
      <c r="O20" s="256" t="s">
        <v>63</v>
      </c>
      <c r="P20" s="256"/>
      <c r="Q20" s="256"/>
      <c r="R20" s="256"/>
      <c r="S20" s="256"/>
      <c r="T20" s="256"/>
      <c r="U20" s="256"/>
      <c r="Y20" s="6">
        <v>1</v>
      </c>
      <c r="Z20" s="6">
        <v>0</v>
      </c>
    </row>
    <row r="21" spans="1:27" x14ac:dyDescent="0.25">
      <c r="A21" s="76"/>
      <c r="B21" s="77"/>
      <c r="C21" s="79">
        <f>SUM(C9:C20)</f>
        <v>310</v>
      </c>
      <c r="D21" s="79">
        <f>SUM(D9:D20)</f>
        <v>402.99999999999994</v>
      </c>
      <c r="E21" s="79">
        <f>SUM(E9:E20)</f>
        <v>9466</v>
      </c>
      <c r="F21" s="27">
        <f>SUM(F9:F20)</f>
        <v>12305.8</v>
      </c>
      <c r="G21" s="80">
        <f>AVERAGE(G9:G20)</f>
        <v>8.3712121212121211</v>
      </c>
      <c r="H21" s="81">
        <f>AVERAGE(H9:H20)</f>
        <v>9.2083333333333339</v>
      </c>
      <c r="I21" s="28">
        <f>SUM(I9:I20)</f>
        <v>4093.7000000000003</v>
      </c>
      <c r="J21" s="82">
        <f>AVERAGE(J9:J20)</f>
        <v>7283.484848484848</v>
      </c>
      <c r="K21" s="28">
        <f>SUM(K9:K20)</f>
        <v>124984.59999999999</v>
      </c>
      <c r="L21" s="28">
        <f>SUM(L9:L20)</f>
        <v>7999014.3999999994</v>
      </c>
      <c r="M21" s="83"/>
    </row>
    <row r="22" spans="1:27" x14ac:dyDescent="0.25">
      <c r="A22" s="76"/>
      <c r="B22" s="77"/>
      <c r="C22" s="77"/>
      <c r="D22" s="77"/>
      <c r="E22" s="27"/>
      <c r="F22" s="27"/>
      <c r="G22" s="27"/>
      <c r="H22" s="81" t="s">
        <v>28</v>
      </c>
      <c r="I22" s="29"/>
      <c r="J22" s="29"/>
      <c r="K22" s="29"/>
      <c r="L22" s="29"/>
      <c r="M22" s="83"/>
    </row>
    <row r="23" spans="1:27" x14ac:dyDescent="0.25">
      <c r="A23" s="83"/>
      <c r="B23" s="83"/>
      <c r="C23" s="83"/>
      <c r="D23" s="83"/>
      <c r="E23" s="83"/>
      <c r="F23" s="83"/>
      <c r="G23" s="83"/>
      <c r="H23" s="83"/>
      <c r="I23" s="83"/>
      <c r="J23" s="83"/>
      <c r="K23" s="83"/>
      <c r="L23" s="83"/>
      <c r="M23" s="83"/>
    </row>
    <row r="24" spans="1:27" ht="18" x14ac:dyDescent="0.25">
      <c r="A24" s="84"/>
      <c r="B24" s="83"/>
      <c r="C24" s="83"/>
      <c r="D24" s="83"/>
      <c r="E24" s="83"/>
      <c r="F24" s="83"/>
      <c r="G24" s="83"/>
      <c r="H24" s="83"/>
      <c r="I24" s="83"/>
      <c r="J24" s="83"/>
      <c r="K24" s="83"/>
      <c r="L24" s="83"/>
      <c r="M24" s="83"/>
    </row>
    <row r="25" spans="1:27" ht="18" x14ac:dyDescent="0.25">
      <c r="A25" s="84" t="s">
        <v>69</v>
      </c>
      <c r="B25" s="84"/>
      <c r="C25" s="83"/>
      <c r="D25" s="262" t="s">
        <v>62</v>
      </c>
      <c r="E25" s="262"/>
      <c r="F25" s="262"/>
      <c r="G25" s="262"/>
      <c r="H25" s="262"/>
      <c r="I25" s="262"/>
      <c r="J25" s="262"/>
      <c r="K25" s="85"/>
      <c r="L25" s="83"/>
      <c r="M25" s="83"/>
    </row>
    <row r="26" spans="1:27" x14ac:dyDescent="0.25">
      <c r="A26" s="86"/>
      <c r="B26" s="86"/>
      <c r="C26" s="87"/>
      <c r="D26" s="83"/>
      <c r="E26" s="83"/>
      <c r="F26" s="83"/>
      <c r="G26" s="83"/>
      <c r="H26" s="83"/>
      <c r="I26" s="83"/>
      <c r="J26" s="83"/>
      <c r="K26" s="88"/>
      <c r="L26" s="83"/>
      <c r="M26" s="78"/>
      <c r="N26" s="5"/>
    </row>
    <row r="27" spans="1:27" x14ac:dyDescent="0.25">
      <c r="A27" s="83" t="s">
        <v>11</v>
      </c>
      <c r="B27" s="89" t="s">
        <v>29</v>
      </c>
      <c r="C27" s="90" t="s">
        <v>30</v>
      </c>
      <c r="D27" s="90" t="s">
        <v>31</v>
      </c>
      <c r="E27" s="89" t="s">
        <v>0</v>
      </c>
      <c r="F27" s="259" t="s">
        <v>40</v>
      </c>
      <c r="G27" s="260"/>
      <c r="H27" s="253" t="s">
        <v>39</v>
      </c>
      <c r="I27" s="254"/>
      <c r="J27" s="255"/>
      <c r="K27" s="91">
        <f>Accueuil!C3</f>
        <v>7</v>
      </c>
      <c r="L27" s="83"/>
      <c r="M27" s="78"/>
      <c r="N27" s="5"/>
    </row>
    <row r="28" spans="1:27" x14ac:dyDescent="0.25">
      <c r="A28" s="83" t="s">
        <v>16</v>
      </c>
      <c r="B28" s="92">
        <f>INDEX('Base de donnée simple'!$I$6:'Base de donnée simple'!$L$17,MATCH('Calcul Et Courbes '!K49,'Base de donnée simple'!$H$6:'Base de donnée simple'!$H$17,0),MATCH(Accueuil!$C$2,Tableau3[#Headers],0))</f>
        <v>10</v>
      </c>
      <c r="C28" s="121">
        <f>INDEX('Base de donnée simple'!$I$23:'Base de donnée simple'!$L$34,MATCH('Calcul Et Courbes '!K49,'Base de donnée simple'!$H$6:'Base de donnée simple'!$H$17,0),MATCH(Accueuil!$C$2,Tableau3[#Headers],0))</f>
        <v>1.5</v>
      </c>
      <c r="D28" s="130">
        <f>C28*B28</f>
        <v>15</v>
      </c>
      <c r="E28" s="93">
        <f t="shared" ref="E28:E39" si="13">D28*B9</f>
        <v>465</v>
      </c>
      <c r="F28" s="252">
        <f>E28*$K$27</f>
        <v>3255</v>
      </c>
      <c r="G28" s="252"/>
      <c r="H28" s="261" t="s">
        <v>64</v>
      </c>
      <c r="I28" s="261"/>
      <c r="J28" s="261"/>
      <c r="K28" s="199"/>
      <c r="L28" s="83"/>
      <c r="M28" s="78"/>
      <c r="N28" s="5"/>
    </row>
    <row r="29" spans="1:27" x14ac:dyDescent="0.25">
      <c r="A29" s="83" t="s">
        <v>17</v>
      </c>
      <c r="B29" s="92">
        <f>INDEX('Base de donnée simple'!$I$6:'Base de donnée simple'!$L$17,MATCH('Calcul Et Courbes '!K50,'Base de donnée simple'!$H$6:'Base de donnée simple'!$H$17,0),MATCH(Accueuil!$C$2,Tableau3[#Headers],0))</f>
        <v>11</v>
      </c>
      <c r="C29" s="121">
        <f>INDEX('Base de donnée simple'!$I$23:'Base de donnée simple'!$L$34,MATCH('Calcul Et Courbes '!K50,'Base de donnée simple'!$H$6:'Base de donnée simple'!$H$17,0),MATCH(Accueuil!$C$2,Tableau3[#Headers],0))</f>
        <v>2.5</v>
      </c>
      <c r="D29" s="130">
        <f t="shared" ref="D29:D39" si="14">C29*B29</f>
        <v>27.5</v>
      </c>
      <c r="E29" s="93">
        <f t="shared" si="13"/>
        <v>797.5</v>
      </c>
      <c r="F29" s="252">
        <f>E29*$K$27</f>
        <v>5582.5</v>
      </c>
      <c r="G29" s="252"/>
      <c r="H29" s="83"/>
      <c r="I29" s="83"/>
      <c r="J29" s="83"/>
      <c r="K29" s="199"/>
      <c r="L29" s="83"/>
      <c r="M29" s="78"/>
      <c r="N29" s="5"/>
    </row>
    <row r="30" spans="1:27" x14ac:dyDescent="0.25">
      <c r="A30" s="83" t="s">
        <v>18</v>
      </c>
      <c r="B30" s="92">
        <f>INDEX('Base de donnée simple'!$I$6:'Base de donnée simple'!$L$17,MATCH('Calcul Et Courbes '!K51,'Base de donnée simple'!$H$6:'Base de donnée simple'!$H$17,0),MATCH(Accueuil!$C$2,Tableau3[#Headers],0))</f>
        <v>11</v>
      </c>
      <c r="C30" s="121">
        <f>INDEX('Base de donnée simple'!$I$23:'Base de donnée simple'!$L$34,MATCH('Calcul Et Courbes '!K51,'Base de donnée simple'!$H$6:'Base de donnée simple'!$H$17,0),MATCH(Accueuil!$C$2,Tableau3[#Headers],0))</f>
        <v>2.8</v>
      </c>
      <c r="D30" s="130">
        <f t="shared" si="14"/>
        <v>30.799999999999997</v>
      </c>
      <c r="E30" s="93">
        <f t="shared" si="13"/>
        <v>954.8</v>
      </c>
      <c r="F30" s="252">
        <f t="shared" ref="F30:F39" si="15">E30*$K$27</f>
        <v>6683.5999999999995</v>
      </c>
      <c r="G30" s="252"/>
      <c r="H30" s="83"/>
      <c r="I30" s="78"/>
      <c r="J30" s="78"/>
      <c r="K30" s="199"/>
      <c r="L30" s="83"/>
      <c r="M30" s="83"/>
    </row>
    <row r="31" spans="1:27" x14ac:dyDescent="0.25">
      <c r="A31" s="83" t="s">
        <v>19</v>
      </c>
      <c r="B31" s="92">
        <f>INDEX('Base de donnée simple'!$I$6:'Base de donnée simple'!$L$17,MATCH('Calcul Et Courbes '!K52,'Base de donnée simple'!$H$6:'Base de donnée simple'!$H$17,0),MATCH(Accueuil!$C$2,Tableau3[#Headers],0))</f>
        <v>12</v>
      </c>
      <c r="C31" s="121">
        <f>INDEX('Base de donnée simple'!$I$23:'Base de donnée simple'!$L$34,MATCH('Calcul Et Courbes '!K52,'Base de donnée simple'!$H$6:'Base de donnée simple'!$H$17,0),MATCH(Accueuil!$C$2,Tableau3[#Headers],0))</f>
        <v>4.5</v>
      </c>
      <c r="D31" s="130">
        <f t="shared" si="14"/>
        <v>54</v>
      </c>
      <c r="E31" s="93">
        <f t="shared" si="13"/>
        <v>1620</v>
      </c>
      <c r="F31" s="252">
        <f t="shared" si="15"/>
        <v>11340</v>
      </c>
      <c r="G31" s="252"/>
      <c r="H31" s="83"/>
      <c r="I31" s="83"/>
      <c r="J31" s="83"/>
      <c r="K31" s="199"/>
      <c r="L31" s="83"/>
      <c r="M31" s="78"/>
      <c r="N31" s="5"/>
    </row>
    <row r="32" spans="1:27" x14ac:dyDescent="0.25">
      <c r="A32" s="83" t="s">
        <v>20</v>
      </c>
      <c r="B32" s="92">
        <f>INDEX('Base de donnée simple'!$I$6:'Base de donnée simple'!$L$17,MATCH('Calcul Et Courbes '!K53,'Base de donnée simple'!$H$6:'Base de donnée simple'!$H$17,0),MATCH(Accueuil!$C$2,Tableau3[#Headers],0))</f>
        <v>12</v>
      </c>
      <c r="C32" s="121">
        <f>INDEX('Base de donnée simple'!$I$23:'Base de donnée simple'!$L$34,MATCH('Calcul Et Courbes '!K53,'Base de donnée simple'!$H$6:'Base de donnée simple'!$H$17,0),MATCH(Accueuil!$C$2,Tableau3[#Headers],0))</f>
        <v>6</v>
      </c>
      <c r="D32" s="130">
        <f t="shared" si="14"/>
        <v>72</v>
      </c>
      <c r="E32" s="93">
        <f t="shared" si="13"/>
        <v>2232</v>
      </c>
      <c r="F32" s="252">
        <f t="shared" si="15"/>
        <v>15624</v>
      </c>
      <c r="G32" s="252"/>
      <c r="H32" s="83"/>
      <c r="I32" s="83"/>
      <c r="J32" s="83"/>
      <c r="K32" s="199"/>
      <c r="L32" s="83"/>
      <c r="M32" s="78"/>
      <c r="N32" s="5"/>
    </row>
    <row r="33" spans="1:22" x14ac:dyDescent="0.25">
      <c r="A33" s="83" t="s">
        <v>21</v>
      </c>
      <c r="B33" s="92">
        <f>INDEX('Base de donnée simple'!$I$6:'Base de donnée simple'!$L$17,MATCH('Calcul Et Courbes '!K54,'Base de donnée simple'!$H$6:'Base de donnée simple'!$H$17,0),MATCH(Accueuil!$C$2,Tableau3[#Headers],0))</f>
        <v>12</v>
      </c>
      <c r="C33" s="121">
        <f>INDEX('Base de donnée simple'!$I$23:'Base de donnée simple'!$L$34,MATCH('Calcul Et Courbes '!K54,'Base de donnée simple'!$H$6:'Base de donnée simple'!$H$17,0),MATCH(Accueuil!$C$2,Tableau3[#Headers],0))</f>
        <v>5</v>
      </c>
      <c r="D33" s="130">
        <f t="shared" si="14"/>
        <v>60</v>
      </c>
      <c r="E33" s="93">
        <f t="shared" si="13"/>
        <v>1800</v>
      </c>
      <c r="F33" s="252">
        <f t="shared" si="15"/>
        <v>12600</v>
      </c>
      <c r="G33" s="252"/>
      <c r="H33" s="83"/>
      <c r="I33" s="83"/>
      <c r="J33" s="83"/>
      <c r="K33" s="199"/>
      <c r="L33" s="83"/>
      <c r="M33" s="78"/>
      <c r="N33" s="5"/>
    </row>
    <row r="34" spans="1:22" x14ac:dyDescent="0.25">
      <c r="A34" s="83" t="s">
        <v>22</v>
      </c>
      <c r="B34" s="92">
        <f>INDEX('Base de donnée simple'!$I$6:'Base de donnée simple'!$L$17,MATCH('Calcul Et Courbes '!K55,'Base de donnée simple'!$H$6:'Base de donnée simple'!$H$17,0),MATCH(Accueuil!$C$2,Tableau3[#Headers],0))</f>
        <v>10</v>
      </c>
      <c r="C34" s="121">
        <f>INDEX('Base de donnée simple'!$I$23:'Base de donnée simple'!$L$34,MATCH('Calcul Et Courbes '!K55,'Base de donnée simple'!$H$6:'Base de donnée simple'!$H$17,0),MATCH(Accueuil!$C$2,Tableau3[#Headers],0))</f>
        <v>1.5</v>
      </c>
      <c r="D34" s="130">
        <f t="shared" si="14"/>
        <v>15</v>
      </c>
      <c r="E34" s="93">
        <f t="shared" si="13"/>
        <v>465</v>
      </c>
      <c r="F34" s="252">
        <f t="shared" si="15"/>
        <v>3255</v>
      </c>
      <c r="G34" s="252"/>
      <c r="H34" s="83"/>
      <c r="I34" s="83"/>
      <c r="J34" s="83"/>
      <c r="K34" s="199"/>
      <c r="L34" s="83"/>
      <c r="M34" s="78"/>
      <c r="N34" s="5"/>
    </row>
    <row r="35" spans="1:22" x14ac:dyDescent="0.25">
      <c r="A35" s="83" t="s">
        <v>23</v>
      </c>
      <c r="B35" s="92">
        <f>INDEX('Base de donnée simple'!$I$6:'Base de donnée simple'!$L$17,MATCH('Calcul Et Courbes '!K56,'Base de donnée simple'!$H$6:'Base de donnée simple'!$H$17,0),MATCH(Accueuil!$C$2,Tableau3[#Headers],0))</f>
        <v>9</v>
      </c>
      <c r="C35" s="121">
        <f>INDEX('Base de donnée simple'!$I$23:'Base de donnée simple'!$L$34,MATCH('Calcul Et Courbes '!K56,'Base de donnée simple'!$H$6:'Base de donnée simple'!$H$17,0),MATCH(Accueuil!$C$2,Tableau3[#Headers],0))</f>
        <v>1.5</v>
      </c>
      <c r="D35" s="130">
        <f t="shared" si="14"/>
        <v>13.5</v>
      </c>
      <c r="E35" s="93">
        <f t="shared" si="13"/>
        <v>418.5</v>
      </c>
      <c r="F35" s="252">
        <f t="shared" si="15"/>
        <v>2929.5</v>
      </c>
      <c r="G35" s="252"/>
      <c r="H35" s="83"/>
      <c r="I35" s="83"/>
      <c r="J35" s="83"/>
      <c r="K35" s="199"/>
      <c r="L35" s="83"/>
      <c r="M35" s="78"/>
      <c r="N35" s="5"/>
    </row>
    <row r="36" spans="1:22" x14ac:dyDescent="0.25">
      <c r="A36" s="83" t="s">
        <v>24</v>
      </c>
      <c r="B36" s="92">
        <f>INDEX('Base de donnée simple'!$I$6:'Base de donnée simple'!$L$17,MATCH('Calcul Et Courbes '!K57,'Base de donnée simple'!$H$6:'Base de donnée simple'!$H$17,0),MATCH(Accueuil!$C$2,Tableau3[#Headers],0))</f>
        <v>10</v>
      </c>
      <c r="C36" s="121">
        <f>INDEX('Base de donnée simple'!$I$23:'Base de donnée simple'!$L$34,MATCH('Calcul Et Courbes '!K57,'Base de donnée simple'!$H$6:'Base de donnée simple'!$H$17,0),MATCH(Accueuil!$C$2,Tableau3[#Headers],0))</f>
        <v>1.8</v>
      </c>
      <c r="D36" s="130">
        <f t="shared" si="14"/>
        <v>18</v>
      </c>
      <c r="E36" s="93">
        <f t="shared" si="13"/>
        <v>540</v>
      </c>
      <c r="F36" s="252">
        <f t="shared" si="15"/>
        <v>3780</v>
      </c>
      <c r="G36" s="252"/>
      <c r="H36" s="83"/>
      <c r="I36" s="83"/>
      <c r="J36" s="83"/>
      <c r="K36" s="199"/>
      <c r="L36" s="83"/>
      <c r="M36" s="78"/>
      <c r="N36" s="5"/>
    </row>
    <row r="37" spans="1:22" x14ac:dyDescent="0.25">
      <c r="A37" s="83" t="s">
        <v>25</v>
      </c>
      <c r="B37" s="92">
        <f>INDEX('Base de donnée simple'!$I$6:'Base de donnée simple'!$L$17,MATCH('Calcul Et Courbes '!K58,'Base de donnée simple'!$H$6:'Base de donnée simple'!$H$17,0),MATCH(Accueuil!$C$2,Tableau3[#Headers],0))</f>
        <v>11</v>
      </c>
      <c r="C37" s="121">
        <f>INDEX('Base de donnée simple'!$I$23:'Base de donnée simple'!$L$34,MATCH('Calcul Et Courbes '!K58,'Base de donnée simple'!$H$6:'Base de donnée simple'!$H$17,0),MATCH(Accueuil!$C$2,Tableau3[#Headers],0))</f>
        <v>1.8</v>
      </c>
      <c r="D37" s="130">
        <f t="shared" si="14"/>
        <v>19.8</v>
      </c>
      <c r="E37" s="93">
        <f t="shared" si="13"/>
        <v>613.80000000000007</v>
      </c>
      <c r="F37" s="252">
        <f t="shared" si="15"/>
        <v>4296.6000000000004</v>
      </c>
      <c r="G37" s="252"/>
      <c r="H37" s="83"/>
      <c r="I37" s="78"/>
      <c r="J37" s="78"/>
      <c r="K37" s="199"/>
      <c r="L37" s="83"/>
      <c r="M37" s="83"/>
    </row>
    <row r="38" spans="1:22" x14ac:dyDescent="0.25">
      <c r="A38" s="83" t="s">
        <v>26</v>
      </c>
      <c r="B38" s="92">
        <f>INDEX('Base de donnée simple'!$I$6:'Base de donnée simple'!$L$17,MATCH('Calcul Et Courbes '!K59,'Base de donnée simple'!$H$6:'Base de donnée simple'!$H$17,0),MATCH(Accueuil!$C$2,Tableau3[#Headers],0))</f>
        <v>10</v>
      </c>
      <c r="C38" s="121">
        <f>INDEX('Base de donnée simple'!$I$23:'Base de donnée simple'!$L$34,MATCH('Calcul Et Courbes '!K59,'Base de donnée simple'!$H$6:'Base de donnée simple'!$H$17,0),MATCH(Accueuil!$C$2,Tableau3[#Headers],0))</f>
        <v>1.6</v>
      </c>
      <c r="D38" s="130">
        <f t="shared" si="14"/>
        <v>16</v>
      </c>
      <c r="E38" s="93">
        <f t="shared" si="13"/>
        <v>480</v>
      </c>
      <c r="F38" s="252">
        <f t="shared" si="15"/>
        <v>3360</v>
      </c>
      <c r="G38" s="252"/>
      <c r="H38" s="83"/>
      <c r="I38" s="78"/>
      <c r="J38" s="78"/>
      <c r="K38" s="199"/>
      <c r="L38" s="83"/>
      <c r="M38" s="83"/>
    </row>
    <row r="39" spans="1:22" x14ac:dyDescent="0.25">
      <c r="A39" s="83" t="s">
        <v>27</v>
      </c>
      <c r="B39" s="92">
        <f>INDEX('Base de donnée simple'!$I$6:'Base de donnée simple'!$L$17,MATCH('Calcul Et Courbes '!K60,'Base de donnée simple'!$H$6:'Base de donnée simple'!$H$17,0),MATCH(Accueuil!$C$2,Tableau3[#Headers],0))</f>
        <v>9</v>
      </c>
      <c r="C39" s="121">
        <f>INDEX('Base de donnée simple'!$I$23:'Base de donnée simple'!$L$34,MATCH('Calcul Et Courbes '!K60,'Base de donnée simple'!$H$6:'Base de donnée simple'!$H$17,0),MATCH(Accueuil!$C$2,Tableau3[#Headers],0))</f>
        <v>1.5</v>
      </c>
      <c r="D39" s="130">
        <f t="shared" si="14"/>
        <v>13.5</v>
      </c>
      <c r="E39" s="93">
        <f t="shared" si="13"/>
        <v>418.5</v>
      </c>
      <c r="F39" s="252">
        <f t="shared" si="15"/>
        <v>2929.5</v>
      </c>
      <c r="G39" s="252"/>
      <c r="H39" s="83"/>
      <c r="I39" s="78"/>
      <c r="J39" s="78"/>
      <c r="K39" s="199"/>
      <c r="L39" s="83"/>
      <c r="M39" s="83"/>
    </row>
    <row r="40" spans="1:22" ht="15.75" x14ac:dyDescent="0.25">
      <c r="A40" s="83"/>
      <c r="B40" s="94"/>
      <c r="C40" s="95" t="s">
        <v>32</v>
      </c>
      <c r="D40" s="96"/>
      <c r="E40" s="97">
        <f>SUM(E28:E39)</f>
        <v>10805.099999999999</v>
      </c>
      <c r="F40" s="98"/>
      <c r="G40" s="98"/>
      <c r="H40" s="78"/>
      <c r="I40" s="83"/>
      <c r="J40" s="83"/>
      <c r="K40" s="199"/>
      <c r="L40" s="83"/>
      <c r="M40" s="83"/>
    </row>
    <row r="41" spans="1:22" x14ac:dyDescent="0.25">
      <c r="A41" s="83"/>
      <c r="B41" s="199"/>
      <c r="C41" s="199"/>
      <c r="D41" s="199"/>
      <c r="E41" s="199"/>
      <c r="F41" s="199"/>
      <c r="G41" s="199"/>
      <c r="H41" s="199"/>
      <c r="I41" s="199"/>
      <c r="J41" s="199"/>
      <c r="K41" s="199"/>
      <c r="L41" s="199"/>
      <c r="M41" s="83"/>
    </row>
    <row r="42" spans="1:22" x14ac:dyDescent="0.25">
      <c r="A42" s="83"/>
      <c r="B42" s="199"/>
      <c r="C42" s="199"/>
      <c r="D42" s="199"/>
      <c r="E42" s="199"/>
      <c r="F42" s="199"/>
      <c r="G42" s="199"/>
      <c r="H42" s="199"/>
      <c r="I42" s="199"/>
      <c r="J42" s="199"/>
      <c r="K42" s="199"/>
      <c r="L42" s="199"/>
      <c r="M42" s="83"/>
    </row>
    <row r="43" spans="1:22" x14ac:dyDescent="0.25">
      <c r="A43" s="83"/>
      <c r="B43" s="199"/>
      <c r="C43" s="199"/>
      <c r="D43" s="199"/>
      <c r="E43" s="199"/>
      <c r="F43" s="199"/>
      <c r="G43" s="199"/>
      <c r="H43" s="199"/>
      <c r="I43" s="199"/>
      <c r="J43" s="199"/>
      <c r="K43" s="199"/>
      <c r="L43" s="199"/>
      <c r="M43" s="83"/>
    </row>
    <row r="44" spans="1:22" x14ac:dyDescent="0.25">
      <c r="A44" s="83"/>
      <c r="B44" s="199"/>
      <c r="C44" s="199"/>
      <c r="D44" s="199"/>
      <c r="E44" s="199"/>
      <c r="F44" s="199"/>
      <c r="G44" s="199"/>
      <c r="H44" s="199"/>
      <c r="I44" s="199"/>
      <c r="J44" s="199"/>
      <c r="K44" s="199"/>
      <c r="L44" s="199"/>
      <c r="M44" s="83"/>
    </row>
    <row r="45" spans="1:22" x14ac:dyDescent="0.25">
      <c r="A45" s="83"/>
      <c r="B45" s="199"/>
      <c r="C45" s="199"/>
      <c r="D45" s="199"/>
      <c r="E45" s="199"/>
      <c r="F45" s="199"/>
      <c r="G45" s="199"/>
      <c r="H45" s="199"/>
      <c r="I45" s="199"/>
      <c r="J45" s="199"/>
      <c r="K45" s="199"/>
      <c r="L45" s="199"/>
      <c r="M45" s="83"/>
      <c r="P45" s="257" t="s">
        <v>104</v>
      </c>
      <c r="Q45" s="257"/>
      <c r="R45" s="257"/>
      <c r="S45" s="257"/>
      <c r="T45" s="257"/>
      <c r="U45" s="257"/>
      <c r="V45" s="257"/>
    </row>
    <row r="46" spans="1:22" x14ac:dyDescent="0.25">
      <c r="B46" s="200"/>
      <c r="C46" s="200"/>
      <c r="D46" s="200"/>
      <c r="E46" s="200"/>
      <c r="F46" s="200"/>
      <c r="G46" s="200"/>
      <c r="H46" s="200"/>
      <c r="I46" s="200"/>
      <c r="J46" s="200"/>
      <c r="K46" s="200"/>
      <c r="L46" s="200"/>
      <c r="P46" s="257"/>
      <c r="Q46" s="257"/>
      <c r="R46" s="257"/>
      <c r="S46" s="257"/>
      <c r="T46" s="257"/>
      <c r="U46" s="257"/>
      <c r="V46" s="257"/>
    </row>
    <row r="47" spans="1:22" ht="16.5" thickBot="1" x14ac:dyDescent="0.3">
      <c r="G47" s="59"/>
      <c r="H47" s="250" t="s">
        <v>65</v>
      </c>
      <c r="I47" s="250"/>
      <c r="J47" s="250"/>
      <c r="K47" s="250"/>
      <c r="L47" s="250"/>
      <c r="M47" s="250"/>
      <c r="N47" s="250"/>
      <c r="P47" s="2" t="s">
        <v>34</v>
      </c>
      <c r="Q47" s="4" t="s">
        <v>37</v>
      </c>
      <c r="R47" s="47" t="s">
        <v>42</v>
      </c>
      <c r="S47" s="46" t="s">
        <v>41</v>
      </c>
      <c r="T47" s="3" t="s">
        <v>38</v>
      </c>
      <c r="U47" s="71" t="s">
        <v>95</v>
      </c>
      <c r="V47" s="74" t="s">
        <v>93</v>
      </c>
    </row>
    <row r="48" spans="1:22" x14ac:dyDescent="0.25">
      <c r="G48" s="59"/>
      <c r="H48" s="59" t="s">
        <v>56</v>
      </c>
      <c r="I48" s="59"/>
      <c r="J48" s="59" t="s">
        <v>57</v>
      </c>
      <c r="K48" s="59"/>
      <c r="L48" s="59"/>
      <c r="M48" s="59" t="s">
        <v>48</v>
      </c>
      <c r="N48" s="59" t="s">
        <v>59</v>
      </c>
      <c r="O48" s="152" t="s">
        <v>90</v>
      </c>
      <c r="P48" s="99">
        <f t="shared" ref="P48:V48" si="16">O16</f>
        <v>620</v>
      </c>
      <c r="Q48" s="100">
        <f t="shared" si="16"/>
        <v>806</v>
      </c>
      <c r="R48" s="101">
        <f t="shared" si="16"/>
        <v>6200</v>
      </c>
      <c r="S48" s="102">
        <f t="shared" si="16"/>
        <v>8866</v>
      </c>
      <c r="T48" s="103">
        <f t="shared" si="16"/>
        <v>4296.6000000000004</v>
      </c>
      <c r="U48" s="104">
        <f t="shared" si="16"/>
        <v>7092.8</v>
      </c>
      <c r="V48" s="105">
        <f t="shared" si="16"/>
        <v>1227.6000000000001</v>
      </c>
    </row>
    <row r="49" spans="7:22" x14ac:dyDescent="0.25">
      <c r="G49" s="59">
        <v>1</v>
      </c>
      <c r="H49" s="59"/>
      <c r="I49" s="59" t="e">
        <f>INDEX('Base de donnée simple'!$B$6:'Base de donnée simple'!$D$17,MATCH('Calcul Et Courbes '!G49,'Base de donnée simple'!$A$6:'Base de donnée simple'!$A$17,0),MATCH(Accueuil!$C$4,Tableau1[#Headers],0))</f>
        <v>#REF!</v>
      </c>
      <c r="J49" s="59" t="e">
        <f>INDEX('Base de donnée simple'!$B$23:'Base de donnée simple'!$D$34,MATCH('Calcul Et Courbes '!G49,'Base de donnée simple'!$A$6:'Base de donnée simple'!$A$17,0),MATCH(Accueuil!$C$4,Tableau13[#Headers],0))</f>
        <v>#REF!</v>
      </c>
      <c r="K49" s="59">
        <v>1</v>
      </c>
      <c r="L49" s="59"/>
      <c r="M49" s="59" t="e">
        <f>INDEX('Base de donnée simple'!$I$6:'Base de donnée simple'!$K$17,MATCH('Calcul Et Courbes '!K49,'Base de donnée simple'!$H$6:'Base de donnée simple'!$H$17,0),MATCH(Accueuil!$C$2,Tableau3[#Headers],0))</f>
        <v>#REF!</v>
      </c>
      <c r="N49" s="59" t="e">
        <f>INDEX('Base de donnée simple'!$I$23:'Base de donnée simple'!$K$34,MATCH('Calcul Et Courbes '!K49,'Base de donnée simple'!$H$6:'Base de donnée simple'!$H$17,0),MATCH(Accueuil!$C$2,Tableau3[#Headers],0))</f>
        <v>#REF!</v>
      </c>
      <c r="O49" s="153" t="s">
        <v>91</v>
      </c>
      <c r="P49" s="106">
        <f t="shared" ref="P49:T50" si="17">O17</f>
        <v>300</v>
      </c>
      <c r="Q49" s="107">
        <f t="shared" si="17"/>
        <v>390</v>
      </c>
      <c r="R49" s="108">
        <f t="shared" si="17"/>
        <v>2454.5454545454545</v>
      </c>
      <c r="S49" s="109">
        <f t="shared" si="17"/>
        <v>3510</v>
      </c>
      <c r="T49" s="110">
        <f t="shared" si="17"/>
        <v>3360</v>
      </c>
      <c r="U49" s="111">
        <f>T17</f>
        <v>2808</v>
      </c>
      <c r="V49" s="112">
        <f>U17</f>
        <v>960</v>
      </c>
    </row>
    <row r="50" spans="7:22" x14ac:dyDescent="0.25">
      <c r="G50" s="59">
        <v>2</v>
      </c>
      <c r="H50" s="59"/>
      <c r="I50" s="59" t="e">
        <f>INDEX('Base de donnée simple'!$B$6:'Base de donnée simple'!$D$17,MATCH('Calcul Et Courbes '!G50,'Base de donnée simple'!$A$6:'Base de donnée simple'!$A$17,0),MATCH(Accueuil!$C$4,Tableau1[#Headers],0))</f>
        <v>#REF!</v>
      </c>
      <c r="J50" s="59" t="e">
        <f>INDEX('Base de donnée simple'!$B$23:'Base de donnée simple'!$D$34,MATCH('Calcul Et Courbes '!G50,'Base de donnée simple'!$A$6:'Base de donnée simple'!$A$17,0),MATCH(Accueuil!$C$4,Tableau13[#Headers],0))</f>
        <v>#REF!</v>
      </c>
      <c r="K50" s="59">
        <v>2</v>
      </c>
      <c r="L50" s="59"/>
      <c r="M50" s="59" t="e">
        <f>INDEX('Base de donnée simple'!$I$6:'Base de donnée simple'!$K$17,MATCH('Calcul Et Courbes '!K50,'Base de donnée simple'!$H$6:'Base de donnée simple'!$H$17,0),MATCH(Accueuil!$C$2,Tableau3[#Headers],0))</f>
        <v>#REF!</v>
      </c>
      <c r="N50" s="59" t="e">
        <f>INDEX('Base de donnée simple'!$I$23:'Base de donnée simple'!$K$34,MATCH('Calcul Et Courbes '!K50,'Base de donnée simple'!$H$6:'Base de donnée simple'!$H$17,0),MATCH(Accueuil!$C$2,Tableau3[#Headers],0))</f>
        <v>#REF!</v>
      </c>
      <c r="O50" s="153" t="s">
        <v>92</v>
      </c>
      <c r="P50" s="106">
        <f t="shared" si="17"/>
        <v>93</v>
      </c>
      <c r="Q50" s="107">
        <f t="shared" si="17"/>
        <v>120.9</v>
      </c>
      <c r="R50" s="108">
        <f t="shared" si="17"/>
        <v>591.81818181818176</v>
      </c>
      <c r="S50" s="109">
        <f t="shared" si="17"/>
        <v>846.30000000000018</v>
      </c>
      <c r="T50" s="110">
        <f t="shared" si="17"/>
        <v>2929.5</v>
      </c>
      <c r="U50" s="111">
        <f>T18</f>
        <v>677.04000000000019</v>
      </c>
      <c r="V50" s="112">
        <f>U18</f>
        <v>418.5</v>
      </c>
    </row>
    <row r="51" spans="7:22" x14ac:dyDescent="0.25">
      <c r="G51" s="59">
        <v>3</v>
      </c>
      <c r="H51" s="59"/>
      <c r="I51" s="59" t="e">
        <f>INDEX('Base de donnée simple'!$B$6:'Base de donnée simple'!$D$17,MATCH('Calcul Et Courbes '!G51,'Base de donnée simple'!$A$6:'Base de donnée simple'!$A$17,0),MATCH(Accueuil!$C$4,Tableau1[#Headers],0))</f>
        <v>#REF!</v>
      </c>
      <c r="J51" s="59" t="e">
        <f>INDEX('Base de donnée simple'!$B$23:'Base de donnée simple'!$D$34,MATCH('Calcul Et Courbes '!G51,'Base de donnée simple'!$A$6:'Base de donnée simple'!$A$17,0),MATCH(Accueuil!$C$4,Tableau13[#Headers],0))</f>
        <v>#REF!</v>
      </c>
      <c r="K51" s="59">
        <v>3</v>
      </c>
      <c r="L51" s="59"/>
      <c r="M51" s="59" t="e">
        <f>INDEX('Base de donnée simple'!$I$6:'Base de donnée simple'!$K$17,MATCH('Calcul Et Courbes '!K51,'Base de donnée simple'!$H$6:'Base de donnée simple'!$H$17,0),MATCH(Accueuil!$C$2,Tableau3[#Headers],0))</f>
        <v>#REF!</v>
      </c>
      <c r="N51" s="59" t="e">
        <f>INDEX('Base de donnée simple'!$I$23:'Base de donnée simple'!$K$34,MATCH('Calcul Et Courbes '!K51,'Base de donnée simple'!$H$6:'Base de donnée simple'!$H$17,0),MATCH(Accueuil!$C$2,Tableau3[#Headers],0))</f>
        <v>#REF!</v>
      </c>
      <c r="O51" s="149" t="s">
        <v>81</v>
      </c>
      <c r="P51" s="106">
        <f t="shared" ref="P51:V51" si="18">O7</f>
        <v>62</v>
      </c>
      <c r="Q51" s="107">
        <f t="shared" si="18"/>
        <v>80.600000000000009</v>
      </c>
      <c r="R51" s="108">
        <f t="shared" si="18"/>
        <v>394.5454545454545</v>
      </c>
      <c r="S51" s="109">
        <f t="shared" si="18"/>
        <v>564.19999999999993</v>
      </c>
      <c r="T51" s="110">
        <f t="shared" si="18"/>
        <v>3255</v>
      </c>
      <c r="U51" s="111">
        <f t="shared" si="18"/>
        <v>451.35999999999996</v>
      </c>
      <c r="V51" s="112">
        <f t="shared" si="18"/>
        <v>465</v>
      </c>
    </row>
    <row r="52" spans="7:22" x14ac:dyDescent="0.25">
      <c r="G52" s="59">
        <v>4</v>
      </c>
      <c r="H52" s="59"/>
      <c r="I52" s="59" t="e">
        <f>INDEX('Base de donnée simple'!$B$6:'Base de donnée simple'!$D$17,MATCH('Calcul Et Courbes '!G52,'Base de donnée simple'!$A$6:'Base de donnée simple'!$A$17,0),MATCH(Accueuil!$C$4,Tableau1[#Headers],0))</f>
        <v>#REF!</v>
      </c>
      <c r="J52" s="59" t="e">
        <f>INDEX('Base de donnée simple'!$B$23:'Base de donnée simple'!$D$34,MATCH('Calcul Et Courbes '!G52,'Base de donnée simple'!$A$6:'Base de donnée simple'!$A$17,0),MATCH(Accueuil!$C$4,Tableau13[#Headers],0))</f>
        <v>#REF!</v>
      </c>
      <c r="K52" s="59">
        <v>4</v>
      </c>
      <c r="L52" s="59"/>
      <c r="M52" s="59" t="e">
        <f>INDEX('Base de donnée simple'!$I$6:'Base de donnée simple'!$K$17,MATCH('Calcul Et Courbes '!K52,'Base de donnée simple'!$H$6:'Base de donnée simple'!$H$17,0),MATCH(Accueuil!$C$2,Tableau3[#Headers],0))</f>
        <v>#REF!</v>
      </c>
      <c r="N52" s="59" t="e">
        <f>INDEX('Base de donnée simple'!$I$23:'Base de donnée simple'!$K$34,MATCH('Calcul Et Courbes '!K52,'Base de donnée simple'!$H$6:'Base de donnée simple'!$H$17,0),MATCH(Accueuil!$C$2,Tableau3[#Headers],0))</f>
        <v>#REF!</v>
      </c>
      <c r="O52" s="149" t="s">
        <v>94</v>
      </c>
      <c r="P52" s="106">
        <f t="shared" ref="P52:R62" si="19">O8</f>
        <v>203</v>
      </c>
      <c r="Q52" s="107">
        <f t="shared" si="19"/>
        <v>263.90000000000003</v>
      </c>
      <c r="R52" s="108">
        <f t="shared" si="19"/>
        <v>1476.3636363636363</v>
      </c>
      <c r="S52" s="109">
        <f t="shared" ref="S52:V62" si="20">R8</f>
        <v>2111.1999999999998</v>
      </c>
      <c r="T52" s="110">
        <f t="shared" si="20"/>
        <v>5582.5</v>
      </c>
      <c r="U52" s="111">
        <f t="shared" si="20"/>
        <v>1688.96</v>
      </c>
      <c r="V52" s="112">
        <f t="shared" si="20"/>
        <v>1595</v>
      </c>
    </row>
    <row r="53" spans="7:22" x14ac:dyDescent="0.25">
      <c r="G53" s="59">
        <v>5</v>
      </c>
      <c r="H53" s="59"/>
      <c r="I53" s="59" t="e">
        <f>INDEX('Base de donnée simple'!$B$6:'Base de donnée simple'!$D$17,MATCH('Calcul Et Courbes '!G53,'Base de donnée simple'!$A$6:'Base de donnée simple'!$A$17,0),MATCH(Accueuil!$C$4,Tableau1[#Headers],0))</f>
        <v>#REF!</v>
      </c>
      <c r="J53" s="59" t="e">
        <f>INDEX('Base de donnée simple'!$B$23:'Base de donnée simple'!$D$34,MATCH('Calcul Et Courbes '!G53,'Base de donnée simple'!$A$6:'Base de donnée simple'!$A$17,0),MATCH(Accueuil!$C$4,Tableau13[#Headers],0))</f>
        <v>#REF!</v>
      </c>
      <c r="K53" s="59">
        <v>5</v>
      </c>
      <c r="L53" s="59"/>
      <c r="M53" s="59" t="e">
        <f>INDEX('Base de donnée simple'!$I$6:'Base de donnée simple'!$K$17,MATCH('Calcul Et Courbes '!K53,'Base de donnée simple'!$H$6:'Base de donnée simple'!$H$17,0),MATCH(Accueuil!$C$2,Tableau3[#Headers],0))</f>
        <v>#REF!</v>
      </c>
      <c r="N53" s="59" t="e">
        <f>INDEX('Base de donnée simple'!$I$23:'Base de donnée simple'!$K$34,MATCH('Calcul Et Courbes '!K53,'Base de donnée simple'!$H$6:'Base de donnée simple'!$H$17,0),MATCH(Accueuil!$C$2,Tableau3[#Headers],0))</f>
        <v>#REF!</v>
      </c>
      <c r="O53" s="149" t="s">
        <v>83</v>
      </c>
      <c r="P53" s="106">
        <f t="shared" si="19"/>
        <v>465</v>
      </c>
      <c r="Q53" s="107">
        <f t="shared" si="19"/>
        <v>604.5</v>
      </c>
      <c r="R53" s="108">
        <f t="shared" si="19"/>
        <v>4227.272727272727</v>
      </c>
      <c r="S53" s="109">
        <f t="shared" si="20"/>
        <v>6045</v>
      </c>
      <c r="T53" s="110">
        <f t="shared" si="20"/>
        <v>6683.5999999999995</v>
      </c>
      <c r="U53" s="111">
        <f t="shared" si="20"/>
        <v>4836</v>
      </c>
      <c r="V53" s="112">
        <f t="shared" si="20"/>
        <v>2864.3999999999996</v>
      </c>
    </row>
    <row r="54" spans="7:22" x14ac:dyDescent="0.25">
      <c r="G54" s="59">
        <v>6</v>
      </c>
      <c r="H54" s="59"/>
      <c r="I54" s="59" t="e">
        <f>INDEX('Base de donnée simple'!$B$6:'Base de donnée simple'!$D$17,MATCH('Calcul Et Courbes '!G54,'Base de donnée simple'!$A$6:'Base de donnée simple'!$A$17,0),MATCH(Accueuil!$C$4,Tableau1[#Headers],0))</f>
        <v>#REF!</v>
      </c>
      <c r="J54" s="59" t="e">
        <f>INDEX('Base de donnée simple'!$B$23:'Base de donnée simple'!$D$34,MATCH('Calcul Et Courbes '!G54,'Base de donnée simple'!$A$6:'Base de donnée simple'!$A$17,0),MATCH(Accueuil!$C$4,Tableau13[#Headers],0))</f>
        <v>#REF!</v>
      </c>
      <c r="K54" s="59">
        <v>6</v>
      </c>
      <c r="L54" s="59"/>
      <c r="M54" s="59" t="e">
        <f>INDEX('Base de donnée simple'!$I$6:'Base de donnée simple'!$K$17,MATCH('Calcul Et Courbes '!K54,'Base de donnée simple'!$H$6:'Base de donnée simple'!$H$17,0),MATCH(Accueuil!$C$2,Tableau3[#Headers],0))</f>
        <v>#REF!</v>
      </c>
      <c r="N54" s="59" t="e">
        <f>INDEX('Base de donnée simple'!$I$23:'Base de donnée simple'!$K$34,MATCH('Calcul Et Courbes '!K54,'Base de donnée simple'!$H$6:'Base de donnée simple'!$H$17,0),MATCH(Accueuil!$C$2,Tableau3[#Headers],0))</f>
        <v>#REF!</v>
      </c>
      <c r="O54" s="149" t="s">
        <v>84</v>
      </c>
      <c r="P54" s="106">
        <f t="shared" si="19"/>
        <v>900</v>
      </c>
      <c r="Q54" s="107">
        <f t="shared" si="19"/>
        <v>1170</v>
      </c>
      <c r="R54" s="108">
        <f t="shared" si="19"/>
        <v>8590.9090909090919</v>
      </c>
      <c r="S54" s="109">
        <f t="shared" si="20"/>
        <v>12285</v>
      </c>
      <c r="T54" s="110">
        <f t="shared" si="20"/>
        <v>11340</v>
      </c>
      <c r="U54" s="111">
        <f t="shared" si="20"/>
        <v>9828</v>
      </c>
      <c r="V54" s="112">
        <f t="shared" si="20"/>
        <v>6480</v>
      </c>
    </row>
    <row r="55" spans="7:22" x14ac:dyDescent="0.25">
      <c r="G55" s="59">
        <v>7</v>
      </c>
      <c r="H55" s="59"/>
      <c r="I55" s="59" t="e">
        <f>INDEX('Base de donnée simple'!$B$6:'Base de donnée simple'!$D$17,MATCH('Calcul Et Courbes '!G55,'Base de donnée simple'!$A$6:'Base de donnée simple'!$A$17,0),MATCH(Accueuil!$C$4,Tableau1[#Headers],0))</f>
        <v>#REF!</v>
      </c>
      <c r="J55" s="59" t="e">
        <f>INDEX('Base de donnée simple'!$B$23:'Base de donnée simple'!$D$34,MATCH('Calcul Et Courbes '!G55,'Base de donnée simple'!$A$6:'Base de donnée simple'!$A$17,0),MATCH(Accueuil!$C$4,Tableau13[#Headers],0))</f>
        <v>#REF!</v>
      </c>
      <c r="K55" s="59">
        <v>7</v>
      </c>
      <c r="L55" s="59"/>
      <c r="M55" s="59" t="e">
        <f>INDEX('Base de donnée simple'!$I$6:'Base de donnée simple'!$K$17,MATCH('Calcul Et Courbes '!K55,'Base de donnée simple'!$H$6:'Base de donnée simple'!$H$17,0),MATCH(Accueuil!$C$2,Tableau3[#Headers],0))</f>
        <v>#REF!</v>
      </c>
      <c r="N55" s="59" t="e">
        <f>INDEX('Base de donnée simple'!$I$23:'Base de donnée simple'!$K$34,MATCH('Calcul Et Courbes '!K55,'Base de donnée simple'!$H$6:'Base de donnée simple'!$H$17,0),MATCH(Accueuil!$C$2,Tableau3[#Headers],0))</f>
        <v>#REF!</v>
      </c>
      <c r="O55" s="149" t="s">
        <v>85</v>
      </c>
      <c r="P55" s="106">
        <f t="shared" si="19"/>
        <v>2015</v>
      </c>
      <c r="Q55" s="107">
        <f t="shared" si="19"/>
        <v>2619.5</v>
      </c>
      <c r="R55" s="108">
        <f t="shared" si="19"/>
        <v>21981.81818181818</v>
      </c>
      <c r="S55" s="109">
        <f t="shared" si="20"/>
        <v>31434</v>
      </c>
      <c r="T55" s="110">
        <f t="shared" si="20"/>
        <v>15624</v>
      </c>
      <c r="U55" s="111">
        <f t="shared" si="20"/>
        <v>25147.200000000001</v>
      </c>
      <c r="V55" s="112">
        <f t="shared" si="20"/>
        <v>8928</v>
      </c>
    </row>
    <row r="56" spans="7:22" x14ac:dyDescent="0.25">
      <c r="G56" s="59">
        <v>8</v>
      </c>
      <c r="H56" s="59"/>
      <c r="I56" s="59" t="e">
        <f>INDEX('Base de donnée simple'!$B$6:'Base de donnée simple'!$D$17,MATCH('Calcul Et Courbes '!G56,'Base de donnée simple'!$A$6:'Base de donnée simple'!$A$17,0),MATCH(Accueuil!$C$4,Tableau1[#Headers],0))</f>
        <v>#REF!</v>
      </c>
      <c r="J56" s="59" t="e">
        <f>INDEX('Base de donnée simple'!$B$23:'Base de donnée simple'!$D$34,MATCH('Calcul Et Courbes '!G56,'Base de donnée simple'!$A$6:'Base de donnée simple'!$A$17,0),MATCH(Accueuil!$C$4,Tableau13[#Headers],0))</f>
        <v>#REF!</v>
      </c>
      <c r="K56" s="59">
        <v>8</v>
      </c>
      <c r="L56" s="59"/>
      <c r="M56" s="59" t="e">
        <f>INDEX('Base de donnée simple'!$I$6:'Base de donnée simple'!$K$17,MATCH('Calcul Et Courbes '!K56,'Base de donnée simple'!$H$6:'Base de donnée simple'!$H$17,0),MATCH(Accueuil!$C$2,Tableau3[#Headers],0))</f>
        <v>#REF!</v>
      </c>
      <c r="N56" s="59" t="e">
        <f>INDEX('Base de donnée simple'!$I$23:'Base de donnée simple'!$K$34,MATCH('Calcul Et Courbes '!K56,'Base de donnée simple'!$H$6:'Base de donnée simple'!$H$17,0),MATCH(Accueuil!$C$2,Tableau3[#Headers],0))</f>
        <v>#REF!</v>
      </c>
      <c r="O56" s="149" t="s">
        <v>86</v>
      </c>
      <c r="P56" s="106">
        <f t="shared" si="19"/>
        <v>1800</v>
      </c>
      <c r="Q56" s="107">
        <f t="shared" si="19"/>
        <v>2340</v>
      </c>
      <c r="R56" s="108">
        <f t="shared" si="19"/>
        <v>18000</v>
      </c>
      <c r="S56" s="109">
        <f t="shared" si="20"/>
        <v>25740</v>
      </c>
      <c r="T56" s="110">
        <f t="shared" si="20"/>
        <v>12600</v>
      </c>
      <c r="U56" s="111">
        <f t="shared" si="20"/>
        <v>20592</v>
      </c>
      <c r="V56" s="112">
        <f t="shared" si="20"/>
        <v>7200</v>
      </c>
    </row>
    <row r="57" spans="7:22" x14ac:dyDescent="0.25">
      <c r="G57" s="59">
        <v>9</v>
      </c>
      <c r="H57" s="59"/>
      <c r="I57" s="59" t="e">
        <f>INDEX('Base de donnée simple'!$B$6:'Base de donnée simple'!$D$17,MATCH('Calcul Et Courbes '!G57,'Base de donnée simple'!$A$6:'Base de donnée simple'!$A$17,0),MATCH(Accueuil!$C$4,Tableau1[#Headers],0))</f>
        <v>#REF!</v>
      </c>
      <c r="J57" s="59" t="e">
        <f>INDEX('Base de donnée simple'!$B$23:'Base de donnée simple'!$D$34,MATCH('Calcul Et Courbes '!G57,'Base de donnée simple'!$A$6:'Base de donnée simple'!$A$17,0),MATCH(Accueuil!$C$4,Tableau13[#Headers],0))</f>
        <v>#REF!</v>
      </c>
      <c r="K57" s="59">
        <v>9</v>
      </c>
      <c r="L57" s="59"/>
      <c r="M57" s="59" t="e">
        <f>INDEX('Base de donnée simple'!$I$6:'Base de donnée simple'!$K$17,MATCH('Calcul Et Courbes '!K57,'Base de donnée simple'!$H$6:'Base de donnée simple'!$H$17,0),MATCH(Accueuil!$C$2,Tableau3[#Headers],0))</f>
        <v>#REF!</v>
      </c>
      <c r="N57" s="59" t="e">
        <f>INDEX('Base de donnée simple'!$I$23:'Base de donnée simple'!$K$34,MATCH('Calcul Et Courbes '!K57,'Base de donnée simple'!$H$6:'Base de donnée simple'!$H$17,0),MATCH(Accueuil!$C$2,Tableau3[#Headers],0))</f>
        <v>#REF!</v>
      </c>
      <c r="O57" s="149" t="s">
        <v>87</v>
      </c>
      <c r="P57" s="106">
        <f t="shared" si="19"/>
        <v>1395</v>
      </c>
      <c r="Q57" s="107">
        <f t="shared" si="19"/>
        <v>1813.5</v>
      </c>
      <c r="R57" s="108">
        <f t="shared" si="19"/>
        <v>11413.636363636364</v>
      </c>
      <c r="S57" s="109">
        <f t="shared" si="20"/>
        <v>16321.5</v>
      </c>
      <c r="T57" s="110">
        <f t="shared" si="20"/>
        <v>3255</v>
      </c>
      <c r="U57" s="111">
        <f t="shared" si="20"/>
        <v>13057.2</v>
      </c>
      <c r="V57" s="112">
        <f t="shared" si="20"/>
        <v>2790</v>
      </c>
    </row>
    <row r="58" spans="7:22" x14ac:dyDescent="0.25">
      <c r="G58" s="59">
        <v>10</v>
      </c>
      <c r="H58" s="59"/>
      <c r="I58" s="59" t="e">
        <f>INDEX('Base de donnée simple'!$B$6:'Base de donnée simple'!$D$17,MATCH('Calcul Et Courbes '!G58,'Base de donnée simple'!$A$6:'Base de donnée simple'!$A$17,0),MATCH(Accueuil!$C$4,Tableau1[#Headers],0))</f>
        <v>#REF!</v>
      </c>
      <c r="J58" s="59" t="e">
        <f>INDEX('Base de donnée simple'!$B$23:'Base de donnée simple'!$D$34,MATCH('Calcul Et Courbes '!G58,'Base de donnée simple'!$A$6:'Base de donnée simple'!$A$17,0),MATCH(Accueuil!$C$4,Tableau13[#Headers],0))</f>
        <v>#REF!</v>
      </c>
      <c r="K58" s="59">
        <v>10</v>
      </c>
      <c r="L58" s="59"/>
      <c r="M58" s="59" t="e">
        <f>INDEX('Base de donnée simple'!$I$6:'Base de donnée simple'!$K$17,MATCH('Calcul Et Courbes '!K58,'Base de donnée simple'!$H$6:'Base de donnée simple'!$H$17,0),MATCH(Accueuil!$C$2,Tableau3[#Headers],0))</f>
        <v>#REF!</v>
      </c>
      <c r="N58" s="59" t="e">
        <f>INDEX('Base de donnée simple'!$I$23:'Base de donnée simple'!$K$34,MATCH('Calcul Et Courbes '!K58,'Base de donnée simple'!$H$6:'Base de donnée simple'!$H$17,0),MATCH(Accueuil!$C$2,Tableau3[#Headers],0))</f>
        <v>#REF!</v>
      </c>
      <c r="O58" s="149" t="s">
        <v>88</v>
      </c>
      <c r="P58" s="106">
        <f t="shared" si="19"/>
        <v>713</v>
      </c>
      <c r="Q58" s="107">
        <f t="shared" si="19"/>
        <v>926.9</v>
      </c>
      <c r="R58" s="108">
        <f t="shared" si="19"/>
        <v>3889.0909090909086</v>
      </c>
      <c r="S58" s="109">
        <f t="shared" si="20"/>
        <v>5561.4000000000005</v>
      </c>
      <c r="T58" s="110">
        <f t="shared" si="20"/>
        <v>2929.5</v>
      </c>
      <c r="U58" s="111">
        <f t="shared" si="20"/>
        <v>4449.1200000000008</v>
      </c>
      <c r="V58" s="112">
        <f t="shared" si="20"/>
        <v>2092.5</v>
      </c>
    </row>
    <row r="59" spans="7:22" x14ac:dyDescent="0.25">
      <c r="G59" s="59">
        <v>11</v>
      </c>
      <c r="H59" s="59"/>
      <c r="I59" s="59" t="e">
        <f>INDEX('Base de donnée simple'!$B$6:'Base de donnée simple'!$D$17,MATCH('Calcul Et Courbes '!G59,'Base de donnée simple'!$A$6:'Base de donnée simple'!$A$17,0),MATCH(Accueuil!$C$4,Tableau1[#Headers],0))</f>
        <v>#REF!</v>
      </c>
      <c r="J59" s="59" t="e">
        <f>INDEX('Base de donnée simple'!$B$23:'Base de donnée simple'!$D$34,MATCH('Calcul Et Courbes '!G59,'Base de donnée simple'!$A$6:'Base de donnée simple'!$A$17,0),MATCH(Accueuil!$C$4,Tableau13[#Headers],0))</f>
        <v>#REF!</v>
      </c>
      <c r="K59" s="59">
        <v>11</v>
      </c>
      <c r="L59" s="59"/>
      <c r="M59" s="59" t="e">
        <f>INDEX('Base de donnée simple'!$I$6:'Base de donnée simple'!$K$17,MATCH('Calcul Et Courbes '!K59,'Base de donnée simple'!$H$6:'Base de donnée simple'!$H$17,0),MATCH(Accueuil!$C$2,Tableau3[#Headers],0))</f>
        <v>#REF!</v>
      </c>
      <c r="N59" s="59" t="e">
        <f>INDEX('Base de donnée simple'!$I$23:'Base de donnée simple'!$K$34,MATCH('Calcul Et Courbes '!K59,'Base de donnée simple'!$H$6:'Base de donnée simple'!$H$17,0),MATCH(Accueuil!$C$2,Tableau3[#Headers],0))</f>
        <v>#REF!</v>
      </c>
      <c r="O59" s="149" t="s">
        <v>89</v>
      </c>
      <c r="P59" s="106">
        <f t="shared" si="19"/>
        <v>900</v>
      </c>
      <c r="Q59" s="107">
        <f t="shared" si="19"/>
        <v>1170</v>
      </c>
      <c r="R59" s="108">
        <f t="shared" si="19"/>
        <v>8181.8181818181811</v>
      </c>
      <c r="S59" s="109">
        <f t="shared" si="20"/>
        <v>11700</v>
      </c>
      <c r="T59" s="110">
        <f t="shared" si="20"/>
        <v>3780</v>
      </c>
      <c r="U59" s="111">
        <f t="shared" si="20"/>
        <v>9360</v>
      </c>
      <c r="V59" s="112">
        <f t="shared" si="20"/>
        <v>2160</v>
      </c>
    </row>
    <row r="60" spans="7:22" x14ac:dyDescent="0.25">
      <c r="G60" s="59">
        <v>12</v>
      </c>
      <c r="H60" s="59"/>
      <c r="I60" s="59" t="e">
        <f>INDEX('Base de donnée simple'!$B$6:'Base de donnée simple'!$D$17,MATCH('Calcul Et Courbes '!G60,'Base de donnée simple'!$A$6:'Base de donnée simple'!$A$17,0),MATCH(Accueuil!$C$4,Tableau1[#Headers],0))</f>
        <v>#REF!</v>
      </c>
      <c r="J60" s="59" t="e">
        <f>INDEX('Base de donnée simple'!$B$23:'Base de donnée simple'!$D$34,MATCH('Calcul Et Courbes '!G60,'Base de donnée simple'!$A$6:'Base de donnée simple'!$A$17,0),MATCH(Accueuil!$C$4,Tableau13[#Headers],0))</f>
        <v>#REF!</v>
      </c>
      <c r="K60" s="59">
        <v>12</v>
      </c>
      <c r="L60" s="59"/>
      <c r="M60" s="59" t="e">
        <f>INDEX('Base de donnée simple'!$I$6:'Base de donnée simple'!$K$17,MATCH('Calcul Et Courbes '!K60,'Base de donnée simple'!$H$6:'Base de donnée simple'!$H$17,0),MATCH(Accueuil!$C$2,Tableau3[#Headers],0))</f>
        <v>#REF!</v>
      </c>
      <c r="N60" s="59" t="e">
        <f>INDEX('Base de donnée simple'!$I$23:'Base de donnée simple'!$K$34,MATCH('Calcul Et Courbes '!K60,'Base de donnée simple'!$H$6:'Base de donnée simple'!$H$17,0),MATCH(Accueuil!$C$2,Tableau3[#Headers],0))</f>
        <v>#REF!</v>
      </c>
      <c r="O60" s="149" t="s">
        <v>90</v>
      </c>
      <c r="P60" s="106">
        <f t="shared" si="19"/>
        <v>620</v>
      </c>
      <c r="Q60" s="107">
        <f t="shared" si="19"/>
        <v>806</v>
      </c>
      <c r="R60" s="108">
        <f t="shared" si="19"/>
        <v>6200</v>
      </c>
      <c r="S60" s="109">
        <f t="shared" si="20"/>
        <v>8866</v>
      </c>
      <c r="T60" s="110">
        <f t="shared" si="20"/>
        <v>4296.6000000000004</v>
      </c>
      <c r="U60" s="111">
        <f t="shared" si="20"/>
        <v>7092.8</v>
      </c>
      <c r="V60" s="112">
        <f t="shared" si="20"/>
        <v>1227.6000000000001</v>
      </c>
    </row>
    <row r="61" spans="7:22" x14ac:dyDescent="0.25">
      <c r="O61" s="149" t="s">
        <v>91</v>
      </c>
      <c r="P61" s="106">
        <f t="shared" si="19"/>
        <v>300</v>
      </c>
      <c r="Q61" s="107">
        <f t="shared" si="19"/>
        <v>390</v>
      </c>
      <c r="R61" s="108">
        <f t="shared" si="19"/>
        <v>2454.5454545454545</v>
      </c>
      <c r="S61" s="109">
        <f t="shared" si="20"/>
        <v>3510</v>
      </c>
      <c r="T61" s="110">
        <f t="shared" si="20"/>
        <v>3360</v>
      </c>
      <c r="U61" s="111">
        <f t="shared" si="20"/>
        <v>2808</v>
      </c>
      <c r="V61" s="112">
        <f t="shared" si="20"/>
        <v>960</v>
      </c>
    </row>
    <row r="62" spans="7:22" x14ac:dyDescent="0.25">
      <c r="O62" s="149" t="s">
        <v>92</v>
      </c>
      <c r="P62" s="106">
        <f t="shared" si="19"/>
        <v>93</v>
      </c>
      <c r="Q62" s="107">
        <f t="shared" si="19"/>
        <v>120.9</v>
      </c>
      <c r="R62" s="108">
        <f t="shared" si="19"/>
        <v>591.81818181818176</v>
      </c>
      <c r="S62" s="109">
        <f t="shared" si="20"/>
        <v>846.30000000000018</v>
      </c>
      <c r="T62" s="110">
        <f t="shared" si="20"/>
        <v>2929.5</v>
      </c>
      <c r="U62" s="111">
        <f t="shared" si="20"/>
        <v>677.04000000000019</v>
      </c>
      <c r="V62" s="112">
        <f t="shared" si="20"/>
        <v>418.5</v>
      </c>
    </row>
    <row r="63" spans="7:22" x14ac:dyDescent="0.25">
      <c r="O63" s="153" t="s">
        <v>81</v>
      </c>
      <c r="P63" s="106">
        <f t="shared" ref="P63:V63" si="21">O7</f>
        <v>62</v>
      </c>
      <c r="Q63" s="107">
        <f t="shared" si="21"/>
        <v>80.600000000000009</v>
      </c>
      <c r="R63" s="108">
        <f t="shared" si="21"/>
        <v>394.5454545454545</v>
      </c>
      <c r="S63" s="109">
        <f t="shared" si="21"/>
        <v>564.19999999999993</v>
      </c>
      <c r="T63" s="110">
        <f t="shared" si="21"/>
        <v>3255</v>
      </c>
      <c r="U63" s="111">
        <f t="shared" si="21"/>
        <v>451.35999999999996</v>
      </c>
      <c r="V63" s="112">
        <f t="shared" si="21"/>
        <v>465</v>
      </c>
    </row>
    <row r="64" spans="7:22" x14ac:dyDescent="0.25">
      <c r="O64" s="153" t="s">
        <v>94</v>
      </c>
      <c r="P64" s="106">
        <f t="shared" ref="P64:V65" si="22">O8</f>
        <v>203</v>
      </c>
      <c r="Q64" s="107">
        <f t="shared" si="22"/>
        <v>263.90000000000003</v>
      </c>
      <c r="R64" s="108">
        <f t="shared" si="22"/>
        <v>1476.3636363636363</v>
      </c>
      <c r="S64" s="109">
        <f t="shared" si="22"/>
        <v>2111.1999999999998</v>
      </c>
      <c r="T64" s="110">
        <f t="shared" si="22"/>
        <v>5582.5</v>
      </c>
      <c r="U64" s="111">
        <f t="shared" si="22"/>
        <v>1688.96</v>
      </c>
      <c r="V64" s="112">
        <f t="shared" si="22"/>
        <v>1595</v>
      </c>
    </row>
    <row r="65" spans="15:22" ht="15.75" thickBot="1" x14ac:dyDescent="0.3">
      <c r="O65" s="154" t="s">
        <v>83</v>
      </c>
      <c r="P65" s="113">
        <f t="shared" si="22"/>
        <v>465</v>
      </c>
      <c r="Q65" s="114">
        <f t="shared" si="22"/>
        <v>604.5</v>
      </c>
      <c r="R65" s="115">
        <f t="shared" si="22"/>
        <v>4227.272727272727</v>
      </c>
      <c r="S65" s="116">
        <f t="shared" si="22"/>
        <v>6045</v>
      </c>
      <c r="T65" s="117">
        <f t="shared" si="22"/>
        <v>6683.5999999999995</v>
      </c>
      <c r="U65" s="118">
        <f t="shared" si="22"/>
        <v>4836</v>
      </c>
      <c r="V65" s="119">
        <f t="shared" si="22"/>
        <v>2864.3999999999996</v>
      </c>
    </row>
  </sheetData>
  <mergeCells count="24">
    <mergeCell ref="I1:P2"/>
    <mergeCell ref="F27:G27"/>
    <mergeCell ref="F28:G28"/>
    <mergeCell ref="F29:G29"/>
    <mergeCell ref="F30:G30"/>
    <mergeCell ref="H28:J28"/>
    <mergeCell ref="D25:J25"/>
    <mergeCell ref="E7:L7"/>
    <mergeCell ref="F3:L3"/>
    <mergeCell ref="O4:U4"/>
    <mergeCell ref="H47:N47"/>
    <mergeCell ref="X18:AA18"/>
    <mergeCell ref="F31:G31"/>
    <mergeCell ref="F32:G32"/>
    <mergeCell ref="F33:G33"/>
    <mergeCell ref="F34:G34"/>
    <mergeCell ref="F35:G35"/>
    <mergeCell ref="F36:G36"/>
    <mergeCell ref="F37:G37"/>
    <mergeCell ref="F38:G38"/>
    <mergeCell ref="F39:G39"/>
    <mergeCell ref="H27:J27"/>
    <mergeCell ref="O20:U20"/>
    <mergeCell ref="P45:V46"/>
  </mergeCells>
  <dataValidations disablePrompts="1" count="2">
    <dataValidation type="list" allowBlank="1" showInputMessage="1" showErrorMessage="1" sqref="O3:S3 U3">
      <formula1>$Y$19:$Z$19</formula1>
    </dataValidation>
    <dataValidation type="list" allowBlank="1" showInputMessage="1" showErrorMessage="1" sqref="T3">
      <formula1>$Y$19:$Z$19</formula1>
    </dataValidation>
  </dataValidations>
  <pageMargins left="0.7" right="0.7" top="0.75" bottom="0.75" header="0.3" footer="0.3"/>
  <pageSetup paperSize="9" orientation="portrait" r:id="rId1"/>
  <ignoredErrors>
    <ignoredError sqref="E9:E20 I21" formula="1"/>
  </ignoredError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M54"/>
  <sheetViews>
    <sheetView topLeftCell="A22" zoomScale="60" zoomScaleNormal="60" workbookViewId="0">
      <selection activeCell="E22" sqref="E22:F22"/>
    </sheetView>
  </sheetViews>
  <sheetFormatPr baseColWidth="10" defaultRowHeight="15" x14ac:dyDescent="0.25"/>
  <cols>
    <col min="1" max="1" width="16" customWidth="1"/>
    <col min="3" max="3" width="26" customWidth="1"/>
    <col min="4" max="4" width="30.28515625" customWidth="1"/>
    <col min="5" max="5" width="17" customWidth="1"/>
    <col min="7" max="7" width="22.28515625" customWidth="1"/>
  </cols>
  <sheetData>
    <row r="2" spans="2:10" ht="16.5" thickBot="1" x14ac:dyDescent="0.3">
      <c r="C2" s="269" t="s">
        <v>103</v>
      </c>
      <c r="D2" s="269"/>
      <c r="E2" s="282" t="s">
        <v>101</v>
      </c>
      <c r="F2" s="282"/>
      <c r="G2" s="282"/>
      <c r="H2" s="282"/>
    </row>
    <row r="3" spans="2:10" ht="15.75" thickBot="1" x14ac:dyDescent="0.3">
      <c r="B3" s="157"/>
      <c r="C3" s="134" t="str">
        <f>'Calcul Et Courbes '!T6</f>
        <v>Courbe Megajoule Objectif</v>
      </c>
      <c r="D3" s="103" t="str">
        <f>'Calcul Et Courbes '!S6</f>
        <v>Courbe besoin chaptel</v>
      </c>
      <c r="E3" s="280" t="s">
        <v>98</v>
      </c>
      <c r="F3" s="281"/>
      <c r="G3" s="162" t="s">
        <v>99</v>
      </c>
      <c r="H3" s="163" t="s">
        <v>100</v>
      </c>
      <c r="I3" s="7"/>
      <c r="J3" s="7"/>
    </row>
    <row r="4" spans="2:10" x14ac:dyDescent="0.25">
      <c r="B4" s="131" t="s">
        <v>81</v>
      </c>
      <c r="C4" s="135">
        <f>'Calcul Et Courbes '!T7</f>
        <v>451.35999999999996</v>
      </c>
      <c r="D4" s="110">
        <f>'Calcul Et Courbes '!S7</f>
        <v>3255</v>
      </c>
      <c r="E4" s="278">
        <f>D4-C4</f>
        <v>2803.64</v>
      </c>
      <c r="F4" s="279"/>
      <c r="G4" s="164" t="str">
        <f>IF(E4&lt;0,E4,"")</f>
        <v/>
      </c>
      <c r="H4" s="165">
        <f>IF(E4&gt;0,E4,"")</f>
        <v>2803.64</v>
      </c>
      <c r="I4" s="7"/>
      <c r="J4" s="7"/>
    </row>
    <row r="5" spans="2:10" ht="15.75" thickBot="1" x14ac:dyDescent="0.3">
      <c r="B5" s="155" t="s">
        <v>94</v>
      </c>
      <c r="C5" s="135">
        <f>'Calcul Et Courbes '!T8</f>
        <v>1688.96</v>
      </c>
      <c r="D5" s="110">
        <f>'Calcul Et Courbes '!S8</f>
        <v>5582.5</v>
      </c>
      <c r="E5" s="278">
        <f t="shared" ref="E5:E15" si="0">D5-C5</f>
        <v>3893.54</v>
      </c>
      <c r="F5" s="279"/>
      <c r="G5" s="164" t="str">
        <f t="shared" ref="G5:G15" si="1">IF(E5&lt;0,E5,"")</f>
        <v/>
      </c>
      <c r="H5" s="165">
        <f t="shared" ref="H5:H15" si="2">IF(E5&gt;0,E5,"")</f>
        <v>3893.54</v>
      </c>
      <c r="I5" s="7"/>
      <c r="J5" s="7"/>
    </row>
    <row r="6" spans="2:10" x14ac:dyDescent="0.25">
      <c r="B6" s="131" t="s">
        <v>83</v>
      </c>
      <c r="C6" s="135">
        <f>'Calcul Et Courbes '!T9</f>
        <v>4836</v>
      </c>
      <c r="D6" s="110">
        <f>'Calcul Et Courbes '!S9</f>
        <v>6683.5999999999995</v>
      </c>
      <c r="E6" s="278">
        <f t="shared" si="0"/>
        <v>1847.5999999999995</v>
      </c>
      <c r="F6" s="279"/>
      <c r="G6" s="164" t="str">
        <f t="shared" si="1"/>
        <v/>
      </c>
      <c r="H6" s="165">
        <f t="shared" si="2"/>
        <v>1847.5999999999995</v>
      </c>
      <c r="I6" s="7"/>
      <c r="J6" s="7"/>
    </row>
    <row r="7" spans="2:10" x14ac:dyDescent="0.25">
      <c r="B7" s="132" t="s">
        <v>84</v>
      </c>
      <c r="C7" s="135">
        <f>'Calcul Et Courbes '!T10</f>
        <v>9828</v>
      </c>
      <c r="D7" s="110">
        <f>'Calcul Et Courbes '!S10</f>
        <v>11340</v>
      </c>
      <c r="E7" s="278">
        <f t="shared" si="0"/>
        <v>1512</v>
      </c>
      <c r="F7" s="279"/>
      <c r="G7" s="164" t="str">
        <f t="shared" si="1"/>
        <v/>
      </c>
      <c r="H7" s="165">
        <f t="shared" si="2"/>
        <v>1512</v>
      </c>
      <c r="I7" s="7"/>
      <c r="J7" s="7"/>
    </row>
    <row r="8" spans="2:10" x14ac:dyDescent="0.25">
      <c r="B8" s="132" t="s">
        <v>85</v>
      </c>
      <c r="C8" s="135">
        <f>'Calcul Et Courbes '!T11</f>
        <v>25147.200000000001</v>
      </c>
      <c r="D8" s="110">
        <f>'Calcul Et Courbes '!S11</f>
        <v>15624</v>
      </c>
      <c r="E8" s="278">
        <f t="shared" si="0"/>
        <v>-9523.2000000000007</v>
      </c>
      <c r="F8" s="279"/>
      <c r="G8" s="164">
        <f t="shared" si="1"/>
        <v>-9523.2000000000007</v>
      </c>
      <c r="H8" s="165" t="str">
        <f t="shared" si="2"/>
        <v/>
      </c>
      <c r="I8" s="7"/>
      <c r="J8" s="7"/>
    </row>
    <row r="9" spans="2:10" ht="15.75" thickBot="1" x14ac:dyDescent="0.3">
      <c r="B9" s="133" t="s">
        <v>86</v>
      </c>
      <c r="C9" s="135">
        <f>'Calcul Et Courbes '!T12</f>
        <v>20592</v>
      </c>
      <c r="D9" s="110">
        <f>'Calcul Et Courbes '!S12</f>
        <v>12600</v>
      </c>
      <c r="E9" s="278">
        <f t="shared" si="0"/>
        <v>-7992</v>
      </c>
      <c r="F9" s="279"/>
      <c r="G9" s="164">
        <f t="shared" si="1"/>
        <v>-7992</v>
      </c>
      <c r="H9" s="165" t="str">
        <f t="shared" si="2"/>
        <v/>
      </c>
      <c r="I9" s="7"/>
      <c r="J9" s="7"/>
    </row>
    <row r="10" spans="2:10" x14ac:dyDescent="0.25">
      <c r="B10" s="156" t="s">
        <v>87</v>
      </c>
      <c r="C10" s="135">
        <f>'Calcul Et Courbes '!T13</f>
        <v>13057.2</v>
      </c>
      <c r="D10" s="110">
        <f>'Calcul Et Courbes '!S13</f>
        <v>3255</v>
      </c>
      <c r="E10" s="278">
        <f t="shared" si="0"/>
        <v>-9802.2000000000007</v>
      </c>
      <c r="F10" s="279"/>
      <c r="G10" s="164">
        <f t="shared" si="1"/>
        <v>-9802.2000000000007</v>
      </c>
      <c r="H10" s="165" t="str">
        <f t="shared" si="2"/>
        <v/>
      </c>
      <c r="I10" s="7"/>
      <c r="J10" s="7"/>
    </row>
    <row r="11" spans="2:10" x14ac:dyDescent="0.25">
      <c r="B11" s="132" t="s">
        <v>88</v>
      </c>
      <c r="C11" s="135">
        <f>'Calcul Et Courbes '!T14</f>
        <v>4449.1200000000008</v>
      </c>
      <c r="D11" s="110">
        <f>'Calcul Et Courbes '!S14</f>
        <v>2929.5</v>
      </c>
      <c r="E11" s="278">
        <f t="shared" si="0"/>
        <v>-1519.6200000000008</v>
      </c>
      <c r="F11" s="279"/>
      <c r="G11" s="164">
        <f t="shared" si="1"/>
        <v>-1519.6200000000008</v>
      </c>
      <c r="H11" s="165" t="str">
        <f t="shared" si="2"/>
        <v/>
      </c>
      <c r="I11" s="7"/>
      <c r="J11" s="7"/>
    </row>
    <row r="12" spans="2:10" x14ac:dyDescent="0.25">
      <c r="B12" s="132" t="s">
        <v>89</v>
      </c>
      <c r="C12" s="135">
        <f>'Calcul Et Courbes '!T15</f>
        <v>9360</v>
      </c>
      <c r="D12" s="110">
        <f>'Calcul Et Courbes '!S15</f>
        <v>3780</v>
      </c>
      <c r="E12" s="278">
        <f t="shared" si="0"/>
        <v>-5580</v>
      </c>
      <c r="F12" s="279"/>
      <c r="G12" s="164">
        <f t="shared" si="1"/>
        <v>-5580</v>
      </c>
      <c r="H12" s="165" t="str">
        <f t="shared" si="2"/>
        <v/>
      </c>
      <c r="I12" s="7"/>
      <c r="J12" s="7"/>
    </row>
    <row r="13" spans="2:10" x14ac:dyDescent="0.25">
      <c r="B13" s="132" t="s">
        <v>90</v>
      </c>
      <c r="C13" s="135">
        <f>'Calcul Et Courbes '!T16</f>
        <v>7092.8</v>
      </c>
      <c r="D13" s="110">
        <f>'Calcul Et Courbes '!S16</f>
        <v>4296.6000000000004</v>
      </c>
      <c r="E13" s="278">
        <f t="shared" si="0"/>
        <v>-2796.2</v>
      </c>
      <c r="F13" s="279"/>
      <c r="G13" s="164">
        <f t="shared" si="1"/>
        <v>-2796.2</v>
      </c>
      <c r="H13" s="165" t="str">
        <f t="shared" si="2"/>
        <v/>
      </c>
      <c r="I13" s="7"/>
      <c r="J13" s="7"/>
    </row>
    <row r="14" spans="2:10" x14ac:dyDescent="0.25">
      <c r="B14" s="132" t="s">
        <v>91</v>
      </c>
      <c r="C14" s="135">
        <f>'Calcul Et Courbes '!T17</f>
        <v>2808</v>
      </c>
      <c r="D14" s="110">
        <f>'Calcul Et Courbes '!S17</f>
        <v>3360</v>
      </c>
      <c r="E14" s="278">
        <f t="shared" si="0"/>
        <v>552</v>
      </c>
      <c r="F14" s="279"/>
      <c r="G14" s="164" t="str">
        <f t="shared" si="1"/>
        <v/>
      </c>
      <c r="H14" s="165">
        <f t="shared" si="2"/>
        <v>552</v>
      </c>
      <c r="I14" s="7"/>
      <c r="J14" s="7"/>
    </row>
    <row r="15" spans="2:10" ht="15.75" thickBot="1" x14ac:dyDescent="0.3">
      <c r="B15" s="132" t="s">
        <v>92</v>
      </c>
      <c r="C15" s="136">
        <f>'Calcul Et Courbes '!T18</f>
        <v>677.04000000000019</v>
      </c>
      <c r="D15" s="117">
        <f>'Calcul Et Courbes '!S18</f>
        <v>2929.5</v>
      </c>
      <c r="E15" s="291">
        <f t="shared" si="0"/>
        <v>2252.46</v>
      </c>
      <c r="F15" s="292"/>
      <c r="G15" s="166" t="str">
        <f t="shared" si="1"/>
        <v/>
      </c>
      <c r="H15" s="167">
        <f t="shared" si="2"/>
        <v>2252.46</v>
      </c>
      <c r="I15" s="7"/>
      <c r="J15" s="7"/>
    </row>
    <row r="17" spans="2:8" ht="16.5" thickBot="1" x14ac:dyDescent="0.3">
      <c r="C17" s="287" t="s">
        <v>116</v>
      </c>
      <c r="D17" s="288"/>
      <c r="E17" s="285" t="s">
        <v>111</v>
      </c>
      <c r="F17" s="285"/>
      <c r="G17" s="286"/>
      <c r="H17" s="7"/>
    </row>
    <row r="18" spans="2:8" ht="16.5" thickBot="1" x14ac:dyDescent="0.3">
      <c r="B18" s="157"/>
      <c r="C18" s="270" t="s">
        <v>96</v>
      </c>
      <c r="D18" s="271"/>
      <c r="E18" s="274" t="s">
        <v>109</v>
      </c>
      <c r="F18" s="275"/>
      <c r="G18" s="182" t="s">
        <v>115</v>
      </c>
      <c r="H18" s="185" t="s">
        <v>107</v>
      </c>
    </row>
    <row r="19" spans="2:8" ht="15.75" x14ac:dyDescent="0.25">
      <c r="B19" s="174" t="s">
        <v>81</v>
      </c>
      <c r="C19" s="272">
        <f>C4-D4</f>
        <v>-2803.64</v>
      </c>
      <c r="D19" s="273"/>
      <c r="E19" s="276" t="str">
        <f>IF(SIGN(C19)=SIGN(C20),"",SUM($C$19:C19)-SUM($E18:E$19))</f>
        <v/>
      </c>
      <c r="F19" s="277"/>
      <c r="G19" s="183" t="str">
        <f ca="1">IF(E19="","",OFFSET(B19,1-COUNTIF($H$19:H19,H19),)&amp;"-"&amp;B19)</f>
        <v/>
      </c>
      <c r="H19" s="186">
        <f>SUM(H18)+IF(G18="",0,1)</f>
        <v>1</v>
      </c>
    </row>
    <row r="20" spans="2:8" ht="16.5" thickBot="1" x14ac:dyDescent="0.3">
      <c r="B20" s="175" t="s">
        <v>94</v>
      </c>
      <c r="C20" s="272">
        <f t="shared" ref="C20:C30" si="3">C5-D5</f>
        <v>-3893.54</v>
      </c>
      <c r="D20" s="273"/>
      <c r="E20" s="276" t="str">
        <f>IF(SIGN(C20)=SIGN(C21),"",SUM($C$19:C20)-SUM($E19:E$19))</f>
        <v/>
      </c>
      <c r="F20" s="277"/>
      <c r="G20" s="183" t="str">
        <f ca="1">IF(E20="","",OFFSET(B20,1-COUNTIF($H$19:H20,H20),)&amp;"-"&amp;B20)</f>
        <v/>
      </c>
      <c r="H20" s="186">
        <f t="shared" ref="H20:H33" ca="1" si="4">SUM(H19)+IF(G19="",0,1)</f>
        <v>1</v>
      </c>
    </row>
    <row r="21" spans="2:8" ht="15.75" x14ac:dyDescent="0.25">
      <c r="B21" s="174" t="s">
        <v>83</v>
      </c>
      <c r="C21" s="272">
        <f t="shared" si="3"/>
        <v>-1847.5999999999995</v>
      </c>
      <c r="D21" s="273"/>
      <c r="E21" s="276" t="str">
        <f>IF(SIGN(C21)=SIGN(C22),"",SUM($C$19:C21)-SUM($E$19:E20))</f>
        <v/>
      </c>
      <c r="F21" s="277"/>
      <c r="G21" s="183" t="str">
        <f ca="1">IF(E21="","",OFFSET(B21,1-COUNTIF($H$19:H21,H21),)&amp;"-"&amp;B21)</f>
        <v/>
      </c>
      <c r="H21" s="186">
        <f t="shared" ca="1" si="4"/>
        <v>1</v>
      </c>
    </row>
    <row r="22" spans="2:8" ht="15.75" x14ac:dyDescent="0.25">
      <c r="B22" s="176" t="s">
        <v>84</v>
      </c>
      <c r="C22" s="272">
        <f t="shared" si="3"/>
        <v>-1512</v>
      </c>
      <c r="D22" s="273"/>
      <c r="E22" s="276">
        <f>IF(SIGN(C22)=SIGN(C23),"",SUM($C$19:C22)-SUM($E$19:E21))</f>
        <v>-10056.779999999999</v>
      </c>
      <c r="F22" s="277"/>
      <c r="G22" s="183" t="str">
        <f ca="1">IF(E22="","",OFFSET(B22,1-COUNTIF($H$19:H22,H22),)&amp;"-"&amp;B22)</f>
        <v>Janvier-Avril</v>
      </c>
      <c r="H22" s="186">
        <f t="shared" ca="1" si="4"/>
        <v>1</v>
      </c>
    </row>
    <row r="23" spans="2:8" ht="15.75" x14ac:dyDescent="0.25">
      <c r="B23" s="176" t="s">
        <v>85</v>
      </c>
      <c r="C23" s="272">
        <f t="shared" si="3"/>
        <v>9523.2000000000007</v>
      </c>
      <c r="D23" s="273"/>
      <c r="E23" s="276" t="str">
        <f>IF(SIGN(C23)=SIGN(C24),"",SUM($C$19:C23)-SUM($E$19:E22))</f>
        <v/>
      </c>
      <c r="F23" s="277"/>
      <c r="G23" s="183" t="str">
        <f ca="1">IF(E23="","",OFFSET(B23,1-COUNTIF($H$19:H23,H23),)&amp;"-"&amp;B23)</f>
        <v/>
      </c>
      <c r="H23" s="186">
        <f t="shared" ca="1" si="4"/>
        <v>2</v>
      </c>
    </row>
    <row r="24" spans="2:8" ht="16.5" thickBot="1" x14ac:dyDescent="0.3">
      <c r="B24" s="177" t="s">
        <v>86</v>
      </c>
      <c r="C24" s="272">
        <f t="shared" si="3"/>
        <v>7992</v>
      </c>
      <c r="D24" s="273"/>
      <c r="E24" s="276" t="str">
        <f>IF(SIGN(C24)=SIGN(C25),"",SUM($C$19:C24)-SUM($E$19:E23))</f>
        <v/>
      </c>
      <c r="F24" s="277"/>
      <c r="G24" s="183" t="str">
        <f ca="1">IF(E24="","",OFFSET(B24,1-COUNTIF($H$19:H24,H24),)&amp;"-"&amp;B24)</f>
        <v/>
      </c>
      <c r="H24" s="186">
        <f t="shared" ca="1" si="4"/>
        <v>2</v>
      </c>
    </row>
    <row r="25" spans="2:8" ht="15.75" x14ac:dyDescent="0.25">
      <c r="B25" s="178" t="s">
        <v>87</v>
      </c>
      <c r="C25" s="272">
        <f t="shared" si="3"/>
        <v>9802.2000000000007</v>
      </c>
      <c r="D25" s="273"/>
      <c r="E25" s="276" t="str">
        <f>IF(SIGN(C25)=SIGN(C26),"",SUM($C$19:C25)-SUM($E$19:E24))</f>
        <v/>
      </c>
      <c r="F25" s="277"/>
      <c r="G25" s="183" t="str">
        <f ca="1">IF(E25="","",OFFSET(B25,1-COUNTIF($H$19:H25,H25),)&amp;"-"&amp;B25)</f>
        <v/>
      </c>
      <c r="H25" s="186">
        <f t="shared" ca="1" si="4"/>
        <v>2</v>
      </c>
    </row>
    <row r="26" spans="2:8" ht="15.75" x14ac:dyDescent="0.25">
      <c r="B26" s="176" t="s">
        <v>88</v>
      </c>
      <c r="C26" s="272">
        <f t="shared" si="3"/>
        <v>1519.6200000000008</v>
      </c>
      <c r="D26" s="273"/>
      <c r="E26" s="276" t="str">
        <f>IF(SIGN(C26)=SIGN(C27),"",SUM($C$19:C26)-SUM($E$19:E25))</f>
        <v/>
      </c>
      <c r="F26" s="277"/>
      <c r="G26" s="183" t="str">
        <f ca="1">IF(E26="","",OFFSET(B26,1-COUNTIF($H$19:H26,H26),)&amp;"-"&amp;B26)</f>
        <v/>
      </c>
      <c r="H26" s="186">
        <f t="shared" ca="1" si="4"/>
        <v>2</v>
      </c>
    </row>
    <row r="27" spans="2:8" ht="15.75" x14ac:dyDescent="0.25">
      <c r="B27" s="176" t="s">
        <v>89</v>
      </c>
      <c r="C27" s="272">
        <f t="shared" si="3"/>
        <v>5580</v>
      </c>
      <c r="D27" s="273"/>
      <c r="E27" s="276" t="str">
        <f>IF(SIGN(C27)=SIGN(C28),"",SUM($C$19:C27)-SUM($E$19:E26))</f>
        <v/>
      </c>
      <c r="F27" s="277"/>
      <c r="G27" s="183" t="str">
        <f ca="1">IF(E27="","",OFFSET(B27,1-COUNTIF($H$19:H27,H27),)&amp;"-"&amp;B27)</f>
        <v/>
      </c>
      <c r="H27" s="186">
        <f t="shared" ca="1" si="4"/>
        <v>2</v>
      </c>
    </row>
    <row r="28" spans="2:8" ht="15.75" x14ac:dyDescent="0.25">
      <c r="B28" s="176" t="s">
        <v>90</v>
      </c>
      <c r="C28" s="272">
        <f t="shared" si="3"/>
        <v>2796.2</v>
      </c>
      <c r="D28" s="273"/>
      <c r="E28" s="276">
        <f>IF(SIGN(C28)=SIGN(C29),"",SUM($C$19:C28)-SUM($E$19:E27))</f>
        <v>37213.22</v>
      </c>
      <c r="F28" s="277"/>
      <c r="G28" s="183" t="str">
        <f ca="1">IF(E28="","",OFFSET(B28,1-COUNTIF($H$19:H28,H28),)&amp;"-"&amp;B28)</f>
        <v>Mai-Octobre</v>
      </c>
      <c r="H28" s="186">
        <f t="shared" ca="1" si="4"/>
        <v>2</v>
      </c>
    </row>
    <row r="29" spans="2:8" ht="15.75" x14ac:dyDescent="0.25">
      <c r="B29" s="176" t="s">
        <v>91</v>
      </c>
      <c r="C29" s="272">
        <f t="shared" si="3"/>
        <v>-552</v>
      </c>
      <c r="D29" s="273"/>
      <c r="E29" s="276" t="str">
        <f>IF(SIGN(C29)=SIGN(C30),"",SUM($C$19:C29)-SUM($E$19:E28))</f>
        <v/>
      </c>
      <c r="F29" s="277"/>
      <c r="G29" s="183" t="str">
        <f ca="1">IF(E29="","",OFFSET(B29,1-COUNTIF($H$19:H29,H29),)&amp;"-"&amp;B29)</f>
        <v/>
      </c>
      <c r="H29" s="186">
        <f t="shared" ca="1" si="4"/>
        <v>3</v>
      </c>
    </row>
    <row r="30" spans="2:8" ht="16.5" thickBot="1" x14ac:dyDescent="0.3">
      <c r="B30" s="176" t="s">
        <v>92</v>
      </c>
      <c r="C30" s="272">
        <f t="shared" si="3"/>
        <v>-2252.46</v>
      </c>
      <c r="D30" s="273"/>
      <c r="E30" s="293">
        <f>IF(SIGN(C30)=SIGN(C31),"",SUM($C$19:C30)-SUM($E$19:E29))</f>
        <v>-2804.4599999999955</v>
      </c>
      <c r="F30" s="294"/>
      <c r="G30" s="189" t="str">
        <f ca="1">IF(E30="","",OFFSET(B30,1-COUNTIF($H$19:H30,H30),)&amp;"-"&amp;B30)</f>
        <v>Novembre-Décembre</v>
      </c>
      <c r="H30" s="186">
        <f t="shared" ca="1" si="4"/>
        <v>3</v>
      </c>
    </row>
    <row r="31" spans="2:8" ht="16.5" thickBot="1" x14ac:dyDescent="0.3">
      <c r="B31" s="181" t="s">
        <v>108</v>
      </c>
      <c r="C31" s="289">
        <f>C16-D16</f>
        <v>0</v>
      </c>
      <c r="D31" s="290"/>
      <c r="E31" s="190"/>
      <c r="F31" s="191"/>
      <c r="G31" s="187"/>
      <c r="H31" s="186">
        <f t="shared" ca="1" si="4"/>
        <v>4</v>
      </c>
    </row>
    <row r="32" spans="2:8" ht="16.5" thickBot="1" x14ac:dyDescent="0.3">
      <c r="B32" s="177" t="s">
        <v>97</v>
      </c>
      <c r="C32" s="267">
        <f>SUM(C19:D30)</f>
        <v>24351.980000000007</v>
      </c>
      <c r="D32" s="268"/>
      <c r="E32" s="192"/>
      <c r="F32" s="192"/>
      <c r="G32" s="192"/>
      <c r="H32" s="188">
        <f t="shared" ca="1" si="4"/>
        <v>4</v>
      </c>
    </row>
    <row r="33" spans="2:13" ht="16.5" thickBot="1" x14ac:dyDescent="0.3">
      <c r="B33" s="168" t="s">
        <v>102</v>
      </c>
      <c r="C33" s="283">
        <f>C32</f>
        <v>24351.980000000007</v>
      </c>
      <c r="D33" s="284"/>
      <c r="E33" s="192"/>
      <c r="F33" s="192"/>
      <c r="G33" s="192"/>
      <c r="H33" s="188">
        <f t="shared" ca="1" si="4"/>
        <v>4</v>
      </c>
    </row>
    <row r="34" spans="2:13" x14ac:dyDescent="0.25">
      <c r="G34" s="6"/>
    </row>
    <row r="35" spans="2:13" x14ac:dyDescent="0.25">
      <c r="G35" s="6" t="str">
        <f ca="1">IF(E35="","",OFFSET(B35,1-COUNTIF($H$19:H35,H35),)&amp;"-"&amp;B35)</f>
        <v/>
      </c>
    </row>
    <row r="39" spans="2:13" x14ac:dyDescent="0.25">
      <c r="H39" s="7"/>
    </row>
    <row r="40" spans="2:13" x14ac:dyDescent="0.25">
      <c r="H40" s="7"/>
    </row>
    <row r="42" spans="2:13" x14ac:dyDescent="0.25">
      <c r="M42" s="180"/>
    </row>
    <row r="43" spans="2:13" x14ac:dyDescent="0.25">
      <c r="E43" s="266" t="s">
        <v>112</v>
      </c>
      <c r="F43" s="266"/>
      <c r="J43" s="83"/>
      <c r="K43" s="179"/>
      <c r="M43" s="6"/>
    </row>
    <row r="44" spans="2:13" ht="15" customHeight="1" x14ac:dyDescent="0.25">
      <c r="C44" s="184"/>
      <c r="D44" s="184"/>
      <c r="E44" s="266"/>
      <c r="F44" s="266"/>
      <c r="J44" s="83"/>
      <c r="K44" s="179"/>
      <c r="M44" s="6"/>
    </row>
    <row r="45" spans="2:13" ht="15" customHeight="1" x14ac:dyDescent="0.25">
      <c r="C45" s="184"/>
      <c r="D45" s="184"/>
      <c r="J45" s="83"/>
      <c r="K45" s="179"/>
      <c r="M45" s="6"/>
    </row>
    <row r="46" spans="2:13" x14ac:dyDescent="0.25">
      <c r="J46" s="83"/>
      <c r="K46" s="179"/>
      <c r="M46" s="6"/>
    </row>
    <row r="47" spans="2:13" x14ac:dyDescent="0.25">
      <c r="J47" s="83"/>
      <c r="K47" s="179"/>
      <c r="M47" s="6"/>
    </row>
    <row r="48" spans="2:13" x14ac:dyDescent="0.25">
      <c r="I48" s="266" t="s">
        <v>113</v>
      </c>
      <c r="J48" s="266"/>
      <c r="K48" s="266"/>
      <c r="L48" s="266"/>
      <c r="M48" s="6"/>
    </row>
    <row r="49" spans="9:13" x14ac:dyDescent="0.25">
      <c r="I49" s="266"/>
      <c r="J49" s="266"/>
      <c r="K49" s="266"/>
      <c r="L49" s="266"/>
      <c r="M49" s="6"/>
    </row>
    <row r="50" spans="9:13" x14ac:dyDescent="0.25">
      <c r="J50" s="83"/>
      <c r="K50" s="179"/>
      <c r="M50" s="6"/>
    </row>
    <row r="51" spans="9:13" x14ac:dyDescent="0.25">
      <c r="J51" s="83"/>
      <c r="K51" s="179"/>
      <c r="M51" s="6"/>
    </row>
    <row r="52" spans="9:13" x14ac:dyDescent="0.25">
      <c r="J52" s="83"/>
      <c r="K52" s="179"/>
      <c r="M52" s="6"/>
    </row>
    <row r="53" spans="9:13" x14ac:dyDescent="0.25">
      <c r="J53" s="83"/>
      <c r="K53" s="179"/>
      <c r="M53" s="6"/>
    </row>
    <row r="54" spans="9:13" x14ac:dyDescent="0.25">
      <c r="J54" s="83"/>
      <c r="K54" s="179"/>
      <c r="M54" s="6"/>
    </row>
  </sheetData>
  <mergeCells count="48">
    <mergeCell ref="C33:D33"/>
    <mergeCell ref="E17:G17"/>
    <mergeCell ref="C17:D17"/>
    <mergeCell ref="C31:D31"/>
    <mergeCell ref="E14:F14"/>
    <mergeCell ref="E15:F15"/>
    <mergeCell ref="E27:F27"/>
    <mergeCell ref="E28:F28"/>
    <mergeCell ref="E29:F29"/>
    <mergeCell ref="E30:F30"/>
    <mergeCell ref="C23:D23"/>
    <mergeCell ref="C24:D24"/>
    <mergeCell ref="C25:D25"/>
    <mergeCell ref="C26:D26"/>
    <mergeCell ref="E23:F23"/>
    <mergeCell ref="E24:F24"/>
    <mergeCell ref="E3:F3"/>
    <mergeCell ref="E2:H2"/>
    <mergeCell ref="E9:F9"/>
    <mergeCell ref="E10:F10"/>
    <mergeCell ref="E11:F11"/>
    <mergeCell ref="E4:F4"/>
    <mergeCell ref="E5:F5"/>
    <mergeCell ref="E6:F6"/>
    <mergeCell ref="E7:F7"/>
    <mergeCell ref="E8:F8"/>
    <mergeCell ref="E26:F26"/>
    <mergeCell ref="C27:D27"/>
    <mergeCell ref="C28:D28"/>
    <mergeCell ref="C29:D29"/>
    <mergeCell ref="E12:F12"/>
    <mergeCell ref="E13:F13"/>
    <mergeCell ref="I48:L49"/>
    <mergeCell ref="E43:F44"/>
    <mergeCell ref="C32:D32"/>
    <mergeCell ref="C2:D2"/>
    <mergeCell ref="C18:D18"/>
    <mergeCell ref="C19:D19"/>
    <mergeCell ref="C20:D20"/>
    <mergeCell ref="C21:D21"/>
    <mergeCell ref="C22:D22"/>
    <mergeCell ref="C30:D30"/>
    <mergeCell ref="E18:F18"/>
    <mergeCell ref="E19:F19"/>
    <mergeCell ref="E20:F20"/>
    <mergeCell ref="E21:F21"/>
    <mergeCell ref="E22:F22"/>
    <mergeCell ref="E25:F2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F372"/>
  <sheetViews>
    <sheetView topLeftCell="C1" zoomScale="86" zoomScaleNormal="86" workbookViewId="0">
      <selection activeCell="W14" sqref="W5:W14"/>
    </sheetView>
  </sheetViews>
  <sheetFormatPr baseColWidth="10" defaultRowHeight="15" x14ac:dyDescent="0.25"/>
  <cols>
    <col min="3" max="3" width="14.7109375" customWidth="1"/>
    <col min="4" max="4" width="14.42578125" customWidth="1"/>
    <col min="5" max="5" width="12.5703125" customWidth="1"/>
    <col min="14" max="14" width="0.28515625" customWidth="1"/>
    <col min="15" max="15" width="1" hidden="1" customWidth="1"/>
    <col min="16" max="16" width="1.28515625" hidden="1" customWidth="1"/>
    <col min="17" max="17" width="0.5703125" hidden="1" customWidth="1"/>
    <col min="18" max="18" width="11.42578125" hidden="1" customWidth="1"/>
    <col min="19" max="19" width="1.140625" hidden="1" customWidth="1"/>
    <col min="20" max="20" width="0.42578125" hidden="1" customWidth="1"/>
    <col min="21" max="21" width="0.7109375" hidden="1" customWidth="1"/>
    <col min="22" max="22" width="22.5703125" customWidth="1"/>
    <col min="23" max="23" width="20.42578125" customWidth="1"/>
    <col min="24" max="24" width="21" customWidth="1"/>
    <col min="25" max="25" width="21.5703125" style="194" customWidth="1"/>
    <col min="27" max="27" width="11.42578125" style="194"/>
    <col min="29" max="29" width="11.42578125" style="194"/>
  </cols>
  <sheetData>
    <row r="1" spans="2:25" x14ac:dyDescent="0.25">
      <c r="I1" s="236" t="s">
        <v>117</v>
      </c>
      <c r="J1" s="236"/>
      <c r="K1" s="236"/>
      <c r="L1" s="236"/>
    </row>
    <row r="2" spans="2:25" x14ac:dyDescent="0.25">
      <c r="I2" s="236"/>
      <c r="J2" s="236"/>
      <c r="K2" s="236"/>
      <c r="L2" s="236"/>
    </row>
    <row r="3" spans="2:25" x14ac:dyDescent="0.25">
      <c r="B3" s="310" t="s">
        <v>123</v>
      </c>
      <c r="C3" s="310"/>
      <c r="D3" s="310"/>
      <c r="E3" s="310"/>
      <c r="F3" s="310"/>
      <c r="I3" s="236"/>
      <c r="J3" s="236"/>
      <c r="K3" s="236"/>
      <c r="L3" s="236"/>
    </row>
    <row r="4" spans="2:25" ht="15.75" thickBot="1" x14ac:dyDescent="0.3">
      <c r="B4" s="311" t="s">
        <v>118</v>
      </c>
      <c r="C4" s="311"/>
      <c r="D4" s="311"/>
      <c r="E4" s="311"/>
      <c r="F4" s="311"/>
      <c r="W4" s="231">
        <v>42370</v>
      </c>
      <c r="X4" s="351" t="s">
        <v>141</v>
      </c>
      <c r="Y4" s="351" t="s">
        <v>142</v>
      </c>
    </row>
    <row r="5" spans="2:25" ht="15" customHeight="1" x14ac:dyDescent="0.25">
      <c r="B5" s="312">
        <f>'Calcul Et Courbes '!D9</f>
        <v>2.6</v>
      </c>
      <c r="C5" s="312"/>
      <c r="D5" s="312"/>
      <c r="E5" s="312"/>
      <c r="F5" s="312"/>
      <c r="H5" s="320" t="s">
        <v>119</v>
      </c>
      <c r="I5" s="318" t="s">
        <v>120</v>
      </c>
      <c r="J5" s="316" t="s">
        <v>124</v>
      </c>
      <c r="K5" s="314" t="s">
        <v>126</v>
      </c>
      <c r="L5" s="314" t="s">
        <v>125</v>
      </c>
      <c r="M5" s="314"/>
      <c r="N5" s="203"/>
      <c r="O5" s="203"/>
      <c r="P5" s="203"/>
      <c r="Q5" s="316" t="s">
        <v>132</v>
      </c>
      <c r="R5" s="316"/>
      <c r="S5" s="314" t="s">
        <v>133</v>
      </c>
      <c r="T5" s="314"/>
      <c r="U5" s="316" t="s">
        <v>134</v>
      </c>
      <c r="V5" s="328"/>
      <c r="W5" s="201" t="s">
        <v>143</v>
      </c>
      <c r="X5" s="351"/>
      <c r="Y5" s="351"/>
    </row>
    <row r="6" spans="2:25" x14ac:dyDescent="0.25">
      <c r="B6" s="312">
        <f>'Calcul Et Courbes '!D10</f>
        <v>9.1</v>
      </c>
      <c r="C6" s="312"/>
      <c r="D6" s="312"/>
      <c r="E6" s="312"/>
      <c r="F6" s="312"/>
      <c r="H6" s="321"/>
      <c r="I6" s="319"/>
      <c r="J6" s="317"/>
      <c r="K6" s="315"/>
      <c r="L6" s="315"/>
      <c r="M6" s="315"/>
      <c r="N6" s="212"/>
      <c r="O6" s="212"/>
      <c r="P6" s="212"/>
      <c r="Q6" s="317"/>
      <c r="R6" s="317"/>
      <c r="S6" s="315"/>
      <c r="T6" s="315"/>
      <c r="U6" s="317"/>
      <c r="V6" s="329"/>
      <c r="W6" s="232">
        <v>42470</v>
      </c>
      <c r="X6">
        <f>W6-W4</f>
        <v>100</v>
      </c>
      <c r="Y6">
        <f>IFERROR(X6*$D$39,"")</f>
        <v>3.2307692307692308</v>
      </c>
    </row>
    <row r="7" spans="2:25" x14ac:dyDescent="0.25">
      <c r="B7" s="312">
        <f>'Calcul Et Courbes '!D11</f>
        <v>19.5</v>
      </c>
      <c r="C7" s="312"/>
      <c r="D7" s="312"/>
      <c r="E7" s="312"/>
      <c r="F7" s="312"/>
      <c r="H7" s="195"/>
      <c r="I7" s="212"/>
      <c r="J7" s="212">
        <f>D46</f>
        <v>1200</v>
      </c>
      <c r="K7" s="204"/>
      <c r="L7" s="212"/>
      <c r="M7" s="212"/>
      <c r="N7" s="212"/>
      <c r="O7" s="212"/>
      <c r="P7" s="212"/>
      <c r="Q7" s="212"/>
      <c r="R7" s="212"/>
      <c r="S7" s="295"/>
      <c r="T7" s="295"/>
      <c r="U7" s="295"/>
      <c r="V7" s="327"/>
      <c r="W7" s="232">
        <v>42497</v>
      </c>
      <c r="X7">
        <f>IFERROR(W7-W6-1,"")</f>
        <v>26</v>
      </c>
      <c r="Y7" s="213">
        <f t="shared" ref="Y7:Y23" si="0">IFERROR(X7*$D$39,"")</f>
        <v>0.84</v>
      </c>
    </row>
    <row r="8" spans="2:25" x14ac:dyDescent="0.25">
      <c r="B8" s="312">
        <f>'Calcul Et Courbes '!D12</f>
        <v>39</v>
      </c>
      <c r="C8" s="312"/>
      <c r="D8" s="312"/>
      <c r="E8" s="312"/>
      <c r="F8" s="312"/>
      <c r="H8" s="205">
        <v>42370</v>
      </c>
      <c r="I8" s="206">
        <f t="shared" ref="I8:I38" si="1">$B$5</f>
        <v>2.6</v>
      </c>
      <c r="J8" s="206">
        <f>IF(J7&gt;$E$46,$D$46+I8,J7+I8)</f>
        <v>1202.5999999999999</v>
      </c>
      <c r="K8" s="204" t="str">
        <f>IF(J7&gt;$E$46,H7,"")</f>
        <v/>
      </c>
      <c r="L8" s="295">
        <f>IF(K8="",1+L7,0)</f>
        <v>1</v>
      </c>
      <c r="M8" s="295"/>
      <c r="N8" s="212">
        <f>$D$26</f>
        <v>10.5</v>
      </c>
      <c r="O8" s="212"/>
      <c r="P8" s="212">
        <f>IF(L8=0,N8,N8+P7)</f>
        <v>10.5</v>
      </c>
      <c r="Q8" s="319" t="str">
        <f>IF(L8=0,P7/L7,"")</f>
        <v/>
      </c>
      <c r="R8" s="319"/>
      <c r="S8" s="324" t="str">
        <f>IFERROR(Q8/$D$21,"")</f>
        <v/>
      </c>
      <c r="T8" s="324"/>
      <c r="U8" s="295" t="str">
        <f>IF(L8=0,$D$39*L7,"")</f>
        <v/>
      </c>
      <c r="V8" s="327"/>
      <c r="W8" s="232">
        <v>42513</v>
      </c>
      <c r="X8" s="213">
        <f t="shared" ref="X8:X24" si="2">IFERROR(W8-W7-1,"")</f>
        <v>15</v>
      </c>
      <c r="Y8" s="213">
        <f t="shared" si="0"/>
        <v>0.48461538461538461</v>
      </c>
    </row>
    <row r="9" spans="2:25" x14ac:dyDescent="0.25">
      <c r="B9" s="312">
        <f>'Calcul Et Courbes '!D13</f>
        <v>84.5</v>
      </c>
      <c r="C9" s="312"/>
      <c r="D9" s="312"/>
      <c r="E9" s="312"/>
      <c r="F9" s="312"/>
      <c r="H9" s="205">
        <v>42371</v>
      </c>
      <c r="I9" s="206">
        <f t="shared" si="1"/>
        <v>2.6</v>
      </c>
      <c r="J9" s="206">
        <f t="shared" ref="J9:J38" si="3">IF(J8&gt;$E$46,$D$46+I9,J8+I9)</f>
        <v>1205.1999999999998</v>
      </c>
      <c r="K9" s="204" t="str">
        <f t="shared" ref="K9:K38" si="4">IF(J8&gt;$E$46,H8,"")</f>
        <v/>
      </c>
      <c r="L9" s="295">
        <f t="shared" ref="L9:L72" si="5">IF(K9="",1+L8,0)</f>
        <v>2</v>
      </c>
      <c r="M9" s="295"/>
      <c r="N9" s="212">
        <f t="shared" ref="N9:N38" si="6">$D$26</f>
        <v>10.5</v>
      </c>
      <c r="O9" s="212"/>
      <c r="P9" s="212">
        <f t="shared" ref="P9:P72" si="7">IF(L9=0,N9,N9+P8)</f>
        <v>21</v>
      </c>
      <c r="Q9" s="319" t="str">
        <f t="shared" ref="Q9:Q72" si="8">IF(L9=0,P8/L8,"")</f>
        <v/>
      </c>
      <c r="R9" s="319"/>
      <c r="S9" s="324" t="str">
        <f t="shared" ref="S9:S72" si="9">IFERROR(Q9/$D$21,"")</f>
        <v/>
      </c>
      <c r="T9" s="324"/>
      <c r="U9" s="295" t="str">
        <f t="shared" ref="U9:U72" si="10">IF(L9=0,$D$39*L8,"")</f>
        <v/>
      </c>
      <c r="V9" s="327"/>
      <c r="W9" s="232">
        <v>42530</v>
      </c>
      <c r="X9" s="213">
        <f t="shared" si="2"/>
        <v>16</v>
      </c>
      <c r="Y9" s="213">
        <f t="shared" si="0"/>
        <v>0.51692307692307693</v>
      </c>
    </row>
    <row r="10" spans="2:25" x14ac:dyDescent="0.25">
      <c r="B10" s="312">
        <f>'Calcul Et Courbes '!D14</f>
        <v>78</v>
      </c>
      <c r="C10" s="312"/>
      <c r="D10" s="312"/>
      <c r="E10" s="312"/>
      <c r="F10" s="312"/>
      <c r="H10" s="205">
        <v>42372</v>
      </c>
      <c r="I10" s="206">
        <f t="shared" si="1"/>
        <v>2.6</v>
      </c>
      <c r="J10" s="206">
        <f t="shared" si="3"/>
        <v>1207.7999999999997</v>
      </c>
      <c r="K10" s="204" t="str">
        <f t="shared" si="4"/>
        <v/>
      </c>
      <c r="L10" s="295">
        <f t="shared" si="5"/>
        <v>3</v>
      </c>
      <c r="M10" s="295"/>
      <c r="N10" s="212">
        <f t="shared" si="6"/>
        <v>10.5</v>
      </c>
      <c r="O10" s="212"/>
      <c r="P10" s="212">
        <f t="shared" si="7"/>
        <v>31.5</v>
      </c>
      <c r="Q10" s="319" t="str">
        <f t="shared" si="8"/>
        <v/>
      </c>
      <c r="R10" s="319"/>
      <c r="S10" s="324" t="str">
        <f t="shared" si="9"/>
        <v/>
      </c>
      <c r="T10" s="324"/>
      <c r="U10" s="295" t="str">
        <f t="shared" si="10"/>
        <v/>
      </c>
      <c r="V10" s="327"/>
      <c r="W10" s="232">
        <v>42547</v>
      </c>
      <c r="X10" s="213">
        <f t="shared" si="2"/>
        <v>16</v>
      </c>
      <c r="Y10" s="213">
        <f t="shared" si="0"/>
        <v>0.51692307692307693</v>
      </c>
    </row>
    <row r="11" spans="2:25" x14ac:dyDescent="0.25">
      <c r="B11" s="312">
        <f>'Calcul Et Courbes '!D15</f>
        <v>58.5</v>
      </c>
      <c r="C11" s="312"/>
      <c r="D11" s="312"/>
      <c r="E11" s="312"/>
      <c r="F11" s="312"/>
      <c r="H11" s="205">
        <v>42373</v>
      </c>
      <c r="I11" s="206">
        <f t="shared" si="1"/>
        <v>2.6</v>
      </c>
      <c r="J11" s="206">
        <f t="shared" si="3"/>
        <v>1210.3999999999996</v>
      </c>
      <c r="K11" s="204" t="str">
        <f t="shared" si="4"/>
        <v/>
      </c>
      <c r="L11" s="295">
        <f t="shared" si="5"/>
        <v>4</v>
      </c>
      <c r="M11" s="295"/>
      <c r="N11" s="212">
        <f t="shared" si="6"/>
        <v>10.5</v>
      </c>
      <c r="O11" s="212"/>
      <c r="P11" s="212">
        <f t="shared" si="7"/>
        <v>42</v>
      </c>
      <c r="Q11" s="319" t="str">
        <f t="shared" si="8"/>
        <v/>
      </c>
      <c r="R11" s="319"/>
      <c r="S11" s="324" t="str">
        <f t="shared" si="9"/>
        <v/>
      </c>
      <c r="T11" s="324"/>
      <c r="U11" s="295" t="str">
        <f t="shared" si="10"/>
        <v/>
      </c>
      <c r="V11" s="327"/>
      <c r="W11" s="232">
        <v>42568</v>
      </c>
      <c r="X11" s="213">
        <f t="shared" si="2"/>
        <v>20</v>
      </c>
      <c r="Y11" s="213">
        <f t="shared" si="0"/>
        <v>0.64615384615384619</v>
      </c>
    </row>
    <row r="12" spans="2:25" x14ac:dyDescent="0.25">
      <c r="B12" s="312">
        <f>'Calcul Et Courbes '!D16</f>
        <v>29.900000000000002</v>
      </c>
      <c r="C12" s="312"/>
      <c r="D12" s="312"/>
      <c r="E12" s="312"/>
      <c r="F12" s="312"/>
      <c r="H12" s="205">
        <v>42374</v>
      </c>
      <c r="I12" s="206">
        <f t="shared" si="1"/>
        <v>2.6</v>
      </c>
      <c r="J12" s="206">
        <f t="shared" si="3"/>
        <v>1212.9999999999995</v>
      </c>
      <c r="K12" s="204" t="str">
        <f t="shared" si="4"/>
        <v/>
      </c>
      <c r="L12" s="295">
        <f t="shared" si="5"/>
        <v>5</v>
      </c>
      <c r="M12" s="295"/>
      <c r="N12" s="212">
        <f t="shared" si="6"/>
        <v>10.5</v>
      </c>
      <c r="O12" s="212"/>
      <c r="P12" s="212">
        <f t="shared" si="7"/>
        <v>52.5</v>
      </c>
      <c r="Q12" s="319" t="str">
        <f t="shared" si="8"/>
        <v/>
      </c>
      <c r="R12" s="319"/>
      <c r="S12" s="324" t="str">
        <f t="shared" si="9"/>
        <v/>
      </c>
      <c r="T12" s="324"/>
      <c r="U12" s="295" t="str">
        <f t="shared" si="10"/>
        <v/>
      </c>
      <c r="V12" s="327"/>
      <c r="W12" s="232">
        <v>42599</v>
      </c>
      <c r="X12" s="213">
        <f t="shared" si="2"/>
        <v>30</v>
      </c>
      <c r="Y12" s="213">
        <f t="shared" si="0"/>
        <v>0.96923076923076923</v>
      </c>
    </row>
    <row r="13" spans="2:25" x14ac:dyDescent="0.25">
      <c r="B13" s="312">
        <f>'Calcul Et Courbes '!D17</f>
        <v>39</v>
      </c>
      <c r="C13" s="312"/>
      <c r="D13" s="312"/>
      <c r="E13" s="312"/>
      <c r="F13" s="312"/>
      <c r="H13" s="205">
        <v>42375</v>
      </c>
      <c r="I13" s="206">
        <f t="shared" si="1"/>
        <v>2.6</v>
      </c>
      <c r="J13" s="206">
        <f t="shared" si="3"/>
        <v>1215.5999999999995</v>
      </c>
      <c r="K13" s="204" t="str">
        <f t="shared" si="4"/>
        <v/>
      </c>
      <c r="L13" s="295">
        <f t="shared" si="5"/>
        <v>6</v>
      </c>
      <c r="M13" s="295"/>
      <c r="N13" s="212">
        <f t="shared" si="6"/>
        <v>10.5</v>
      </c>
      <c r="O13" s="212"/>
      <c r="P13" s="212">
        <f t="shared" si="7"/>
        <v>63</v>
      </c>
      <c r="Q13" s="319" t="str">
        <f t="shared" si="8"/>
        <v/>
      </c>
      <c r="R13" s="319"/>
      <c r="S13" s="324" t="str">
        <f t="shared" si="9"/>
        <v/>
      </c>
      <c r="T13" s="324"/>
      <c r="U13" s="295" t="str">
        <f t="shared" si="10"/>
        <v/>
      </c>
      <c r="V13" s="327"/>
      <c r="W13" s="232">
        <v>42636</v>
      </c>
      <c r="X13" s="213">
        <f t="shared" si="2"/>
        <v>36</v>
      </c>
      <c r="Y13" s="213">
        <f t="shared" si="0"/>
        <v>1.1630769230769231</v>
      </c>
    </row>
    <row r="14" spans="2:25" x14ac:dyDescent="0.25">
      <c r="B14" s="312">
        <f>'Calcul Et Courbes '!D18</f>
        <v>26</v>
      </c>
      <c r="C14" s="312"/>
      <c r="D14" s="312"/>
      <c r="E14" s="312"/>
      <c r="F14" s="312"/>
      <c r="H14" s="205">
        <v>42376</v>
      </c>
      <c r="I14" s="206">
        <f t="shared" si="1"/>
        <v>2.6</v>
      </c>
      <c r="J14" s="206">
        <f t="shared" si="3"/>
        <v>1218.1999999999994</v>
      </c>
      <c r="K14" s="204" t="str">
        <f t="shared" si="4"/>
        <v/>
      </c>
      <c r="L14" s="295">
        <f t="shared" si="5"/>
        <v>7</v>
      </c>
      <c r="M14" s="295"/>
      <c r="N14" s="212">
        <f t="shared" si="6"/>
        <v>10.5</v>
      </c>
      <c r="O14" s="212"/>
      <c r="P14" s="212">
        <f t="shared" si="7"/>
        <v>73.5</v>
      </c>
      <c r="Q14" s="319" t="str">
        <f t="shared" si="8"/>
        <v/>
      </c>
      <c r="R14" s="319"/>
      <c r="S14" s="324" t="str">
        <f t="shared" si="9"/>
        <v/>
      </c>
      <c r="T14" s="324"/>
      <c r="U14" s="295" t="str">
        <f t="shared" si="10"/>
        <v/>
      </c>
      <c r="V14" s="327"/>
      <c r="W14" s="232">
        <v>42692</v>
      </c>
      <c r="X14" s="213">
        <f t="shared" si="2"/>
        <v>55</v>
      </c>
      <c r="Y14" s="213">
        <f t="shared" si="0"/>
        <v>1.776923076923077</v>
      </c>
    </row>
    <row r="15" spans="2:25" x14ac:dyDescent="0.25">
      <c r="B15" s="312">
        <f>'Calcul Et Courbes '!D19</f>
        <v>13</v>
      </c>
      <c r="C15" s="312"/>
      <c r="D15" s="312"/>
      <c r="E15" s="312"/>
      <c r="F15" s="312"/>
      <c r="H15" s="205">
        <v>42377</v>
      </c>
      <c r="I15" s="206">
        <f t="shared" si="1"/>
        <v>2.6</v>
      </c>
      <c r="J15" s="206">
        <f t="shared" si="3"/>
        <v>1220.7999999999993</v>
      </c>
      <c r="K15" s="204" t="str">
        <f t="shared" si="4"/>
        <v/>
      </c>
      <c r="L15" s="295">
        <f t="shared" si="5"/>
        <v>8</v>
      </c>
      <c r="M15" s="295"/>
      <c r="N15" s="212">
        <f t="shared" si="6"/>
        <v>10.5</v>
      </c>
      <c r="O15" s="212"/>
      <c r="P15" s="212">
        <f t="shared" si="7"/>
        <v>84</v>
      </c>
      <c r="Q15" s="319" t="str">
        <f t="shared" si="8"/>
        <v/>
      </c>
      <c r="R15" s="319"/>
      <c r="S15" s="324" t="str">
        <f t="shared" si="9"/>
        <v/>
      </c>
      <c r="T15" s="324"/>
      <c r="U15" s="295" t="str">
        <f t="shared" si="10"/>
        <v/>
      </c>
      <c r="V15" s="327"/>
      <c r="X15" s="213">
        <f t="shared" si="2"/>
        <v>-42693</v>
      </c>
      <c r="Y15" s="213">
        <f t="shared" si="0"/>
        <v>-1379.3123076923077</v>
      </c>
    </row>
    <row r="16" spans="2:25" x14ac:dyDescent="0.25">
      <c r="B16" s="312">
        <f>'Calcul Et Courbes '!D20</f>
        <v>3.9000000000000004</v>
      </c>
      <c r="C16" s="312"/>
      <c r="D16" s="312"/>
      <c r="E16" s="312"/>
      <c r="F16" s="312"/>
      <c r="H16" s="205">
        <v>42378</v>
      </c>
      <c r="I16" s="206">
        <f t="shared" si="1"/>
        <v>2.6</v>
      </c>
      <c r="J16" s="206">
        <f t="shared" si="3"/>
        <v>1223.3999999999992</v>
      </c>
      <c r="K16" s="204" t="str">
        <f t="shared" si="4"/>
        <v/>
      </c>
      <c r="L16" s="295">
        <f t="shared" si="5"/>
        <v>9</v>
      </c>
      <c r="M16" s="295"/>
      <c r="N16" s="212">
        <f t="shared" si="6"/>
        <v>10.5</v>
      </c>
      <c r="O16" s="212"/>
      <c r="P16" s="212">
        <f t="shared" si="7"/>
        <v>94.5</v>
      </c>
      <c r="Q16" s="319" t="str">
        <f t="shared" si="8"/>
        <v/>
      </c>
      <c r="R16" s="319"/>
      <c r="S16" s="324" t="str">
        <f t="shared" si="9"/>
        <v/>
      </c>
      <c r="T16" s="324"/>
      <c r="U16" s="295" t="str">
        <f t="shared" si="10"/>
        <v/>
      </c>
      <c r="V16" s="327"/>
      <c r="X16" s="213">
        <f t="shared" si="2"/>
        <v>-1</v>
      </c>
      <c r="Y16" s="213">
        <f t="shared" si="0"/>
        <v>-3.2307692307692308E-2</v>
      </c>
    </row>
    <row r="17" spans="1:32" ht="15.75" thickBot="1" x14ac:dyDescent="0.3">
      <c r="B17" s="313"/>
      <c r="C17" s="313"/>
      <c r="D17" s="313"/>
      <c r="E17" s="313"/>
      <c r="F17" s="313"/>
      <c r="H17" s="205">
        <v>42379</v>
      </c>
      <c r="I17" s="206">
        <f t="shared" si="1"/>
        <v>2.6</v>
      </c>
      <c r="J17" s="206">
        <f t="shared" si="3"/>
        <v>1225.9999999999991</v>
      </c>
      <c r="K17" s="204" t="str">
        <f t="shared" si="4"/>
        <v/>
      </c>
      <c r="L17" s="295">
        <f t="shared" si="5"/>
        <v>10</v>
      </c>
      <c r="M17" s="295"/>
      <c r="N17" s="212">
        <f t="shared" si="6"/>
        <v>10.5</v>
      </c>
      <c r="O17" s="212"/>
      <c r="P17" s="212">
        <f t="shared" si="7"/>
        <v>105</v>
      </c>
      <c r="Q17" s="319" t="str">
        <f t="shared" si="8"/>
        <v/>
      </c>
      <c r="R17" s="319"/>
      <c r="S17" s="324" t="str">
        <f t="shared" si="9"/>
        <v/>
      </c>
      <c r="T17" s="324"/>
      <c r="U17" s="295" t="str">
        <f t="shared" si="10"/>
        <v/>
      </c>
      <c r="V17" s="327"/>
      <c r="X17" s="213">
        <f t="shared" si="2"/>
        <v>-1</v>
      </c>
      <c r="Y17" s="213">
        <f t="shared" si="0"/>
        <v>-3.2307692307692308E-2</v>
      </c>
    </row>
    <row r="18" spans="1:32" ht="15.75" x14ac:dyDescent="0.25">
      <c r="C18" s="221" t="s">
        <v>121</v>
      </c>
      <c r="D18" s="222">
        <v>2500</v>
      </c>
      <c r="H18" s="205">
        <v>42380</v>
      </c>
      <c r="I18" s="206">
        <f t="shared" si="1"/>
        <v>2.6</v>
      </c>
      <c r="J18" s="206">
        <f t="shared" si="3"/>
        <v>1228.599999999999</v>
      </c>
      <c r="K18" s="204" t="str">
        <f t="shared" si="4"/>
        <v/>
      </c>
      <c r="L18" s="295">
        <f t="shared" si="5"/>
        <v>11</v>
      </c>
      <c r="M18" s="295"/>
      <c r="N18" s="212">
        <f t="shared" si="6"/>
        <v>10.5</v>
      </c>
      <c r="O18" s="212"/>
      <c r="P18" s="212">
        <f t="shared" si="7"/>
        <v>115.5</v>
      </c>
      <c r="Q18" s="319" t="str">
        <f t="shared" si="8"/>
        <v/>
      </c>
      <c r="R18" s="319"/>
      <c r="S18" s="324" t="str">
        <f t="shared" si="9"/>
        <v/>
      </c>
      <c r="T18" s="324"/>
      <c r="U18" s="295" t="str">
        <f t="shared" si="10"/>
        <v/>
      </c>
      <c r="V18" s="327"/>
      <c r="X18" s="213">
        <f t="shared" si="2"/>
        <v>-1</v>
      </c>
      <c r="Y18" s="213">
        <f t="shared" si="0"/>
        <v>-3.2307692307692308E-2</v>
      </c>
    </row>
    <row r="19" spans="1:32" ht="15.75" x14ac:dyDescent="0.25">
      <c r="C19" s="223" t="s">
        <v>122</v>
      </c>
      <c r="D19" s="224">
        <v>1200</v>
      </c>
      <c r="H19" s="205">
        <v>42381</v>
      </c>
      <c r="I19" s="206">
        <f t="shared" si="1"/>
        <v>2.6</v>
      </c>
      <c r="J19" s="206">
        <f t="shared" si="3"/>
        <v>1231.1999999999989</v>
      </c>
      <c r="K19" s="204" t="str">
        <f t="shared" si="4"/>
        <v/>
      </c>
      <c r="L19" s="295">
        <f t="shared" si="5"/>
        <v>12</v>
      </c>
      <c r="M19" s="295"/>
      <c r="N19" s="212">
        <f t="shared" si="6"/>
        <v>10.5</v>
      </c>
      <c r="O19" s="212"/>
      <c r="P19" s="212">
        <f t="shared" si="7"/>
        <v>126</v>
      </c>
      <c r="Q19" s="319" t="str">
        <f t="shared" si="8"/>
        <v/>
      </c>
      <c r="R19" s="319"/>
      <c r="S19" s="324" t="str">
        <f t="shared" si="9"/>
        <v/>
      </c>
      <c r="T19" s="324"/>
      <c r="U19" s="295" t="str">
        <f t="shared" si="10"/>
        <v/>
      </c>
      <c r="V19" s="327"/>
      <c r="X19" s="213">
        <f t="shared" si="2"/>
        <v>-1</v>
      </c>
      <c r="Y19" s="213">
        <f t="shared" si="0"/>
        <v>-3.2307692307692308E-2</v>
      </c>
    </row>
    <row r="20" spans="1:32" x14ac:dyDescent="0.25">
      <c r="C20" s="296" t="s">
        <v>127</v>
      </c>
      <c r="D20" s="297"/>
      <c r="H20" s="205">
        <v>42382</v>
      </c>
      <c r="I20" s="206">
        <f t="shared" si="1"/>
        <v>2.6</v>
      </c>
      <c r="J20" s="206">
        <f t="shared" si="3"/>
        <v>1233.7999999999988</v>
      </c>
      <c r="K20" s="204" t="str">
        <f t="shared" si="4"/>
        <v/>
      </c>
      <c r="L20" s="295">
        <f t="shared" si="5"/>
        <v>13</v>
      </c>
      <c r="M20" s="295"/>
      <c r="N20" s="212">
        <f t="shared" si="6"/>
        <v>10.5</v>
      </c>
      <c r="O20" s="212"/>
      <c r="P20" s="212">
        <f t="shared" si="7"/>
        <v>136.5</v>
      </c>
      <c r="Q20" s="319" t="str">
        <f t="shared" si="8"/>
        <v/>
      </c>
      <c r="R20" s="319"/>
      <c r="S20" s="324" t="str">
        <f t="shared" si="9"/>
        <v/>
      </c>
      <c r="T20" s="324"/>
      <c r="U20" s="295" t="str">
        <f t="shared" si="10"/>
        <v/>
      </c>
      <c r="V20" s="327"/>
      <c r="X20" s="213">
        <f t="shared" si="2"/>
        <v>-1</v>
      </c>
      <c r="Y20" s="213">
        <f t="shared" si="0"/>
        <v>-3.2307692307692308E-2</v>
      </c>
    </row>
    <row r="21" spans="1:32" ht="15.75" thickBot="1" x14ac:dyDescent="0.3">
      <c r="C21" s="225" t="s">
        <v>128</v>
      </c>
      <c r="D21" s="226">
        <f>D18-D19</f>
        <v>1300</v>
      </c>
      <c r="H21" s="205">
        <v>42383</v>
      </c>
      <c r="I21" s="206">
        <f t="shared" si="1"/>
        <v>2.6</v>
      </c>
      <c r="J21" s="206">
        <f t="shared" si="3"/>
        <v>1236.3999999999987</v>
      </c>
      <c r="K21" s="204" t="str">
        <f t="shared" si="4"/>
        <v/>
      </c>
      <c r="L21" s="295">
        <f t="shared" si="5"/>
        <v>14</v>
      </c>
      <c r="M21" s="295"/>
      <c r="N21" s="212">
        <f t="shared" si="6"/>
        <v>10.5</v>
      </c>
      <c r="O21" s="212"/>
      <c r="P21" s="212">
        <f t="shared" si="7"/>
        <v>147</v>
      </c>
      <c r="Q21" s="319" t="str">
        <f t="shared" si="8"/>
        <v/>
      </c>
      <c r="R21" s="319"/>
      <c r="S21" s="324" t="str">
        <f t="shared" si="9"/>
        <v/>
      </c>
      <c r="T21" s="324"/>
      <c r="U21" s="295" t="str">
        <f t="shared" si="10"/>
        <v/>
      </c>
      <c r="V21" s="327"/>
      <c r="X21" s="213">
        <f t="shared" si="2"/>
        <v>-1</v>
      </c>
      <c r="Y21" s="213">
        <f t="shared" si="0"/>
        <v>-3.2307692307692308E-2</v>
      </c>
    </row>
    <row r="22" spans="1:32" x14ac:dyDescent="0.25">
      <c r="H22" s="205">
        <v>42384</v>
      </c>
      <c r="I22" s="206">
        <f t="shared" si="1"/>
        <v>2.6</v>
      </c>
      <c r="J22" s="206">
        <f t="shared" si="3"/>
        <v>1238.9999999999986</v>
      </c>
      <c r="K22" s="204" t="str">
        <f t="shared" si="4"/>
        <v/>
      </c>
      <c r="L22" s="295">
        <f t="shared" si="5"/>
        <v>15</v>
      </c>
      <c r="M22" s="295"/>
      <c r="N22" s="212">
        <f t="shared" si="6"/>
        <v>10.5</v>
      </c>
      <c r="O22" s="212"/>
      <c r="P22" s="212">
        <f t="shared" si="7"/>
        <v>157.5</v>
      </c>
      <c r="Q22" s="319" t="str">
        <f t="shared" si="8"/>
        <v/>
      </c>
      <c r="R22" s="319"/>
      <c r="S22" s="324" t="str">
        <f t="shared" si="9"/>
        <v/>
      </c>
      <c r="T22" s="324"/>
      <c r="U22" s="295" t="str">
        <f t="shared" si="10"/>
        <v/>
      </c>
      <c r="V22" s="327"/>
      <c r="X22" s="213">
        <f t="shared" si="2"/>
        <v>-1</v>
      </c>
      <c r="Y22" s="213">
        <f t="shared" si="0"/>
        <v>-3.2307692307692308E-2</v>
      </c>
    </row>
    <row r="23" spans="1:32" ht="15.75" thickBot="1" x14ac:dyDescent="0.3">
      <c r="H23" s="205">
        <v>42385</v>
      </c>
      <c r="I23" s="206">
        <f t="shared" si="1"/>
        <v>2.6</v>
      </c>
      <c r="J23" s="206">
        <f t="shared" si="3"/>
        <v>1241.5999999999985</v>
      </c>
      <c r="K23" s="204" t="str">
        <f t="shared" si="4"/>
        <v/>
      </c>
      <c r="L23" s="295">
        <f t="shared" si="5"/>
        <v>16</v>
      </c>
      <c r="M23" s="295"/>
      <c r="N23" s="212">
        <f t="shared" si="6"/>
        <v>10.5</v>
      </c>
      <c r="O23" s="212"/>
      <c r="P23" s="212">
        <f t="shared" si="7"/>
        <v>168</v>
      </c>
      <c r="Q23" s="319" t="str">
        <f t="shared" si="8"/>
        <v/>
      </c>
      <c r="R23" s="319"/>
      <c r="S23" s="324" t="str">
        <f t="shared" si="9"/>
        <v/>
      </c>
      <c r="T23" s="324"/>
      <c r="U23" s="295" t="str">
        <f t="shared" si="10"/>
        <v/>
      </c>
      <c r="V23" s="327"/>
      <c r="X23" s="213">
        <f t="shared" si="2"/>
        <v>-1</v>
      </c>
      <c r="Y23" s="213">
        <f t="shared" si="0"/>
        <v>-3.2307692307692308E-2</v>
      </c>
    </row>
    <row r="24" spans="1:32" ht="15" customHeight="1" x14ac:dyDescent="0.25">
      <c r="A24" s="298" t="s">
        <v>129</v>
      </c>
      <c r="B24" s="302" t="s">
        <v>130</v>
      </c>
      <c r="C24" s="302"/>
      <c r="D24" s="304" t="s">
        <v>131</v>
      </c>
      <c r="E24" s="305"/>
      <c r="H24" s="205">
        <v>42386</v>
      </c>
      <c r="I24" s="206">
        <f t="shared" si="1"/>
        <v>2.6</v>
      </c>
      <c r="J24" s="206">
        <f t="shared" si="3"/>
        <v>1244.1999999999985</v>
      </c>
      <c r="K24" s="204" t="str">
        <f t="shared" si="4"/>
        <v/>
      </c>
      <c r="L24" s="295">
        <f t="shared" si="5"/>
        <v>17</v>
      </c>
      <c r="M24" s="295"/>
      <c r="N24" s="212">
        <f t="shared" si="6"/>
        <v>10.5</v>
      </c>
      <c r="O24" s="212"/>
      <c r="P24" s="212">
        <f t="shared" si="7"/>
        <v>178.5</v>
      </c>
      <c r="Q24" s="319" t="str">
        <f t="shared" si="8"/>
        <v/>
      </c>
      <c r="R24" s="319"/>
      <c r="S24" s="324" t="str">
        <f t="shared" si="9"/>
        <v/>
      </c>
      <c r="T24" s="324"/>
      <c r="U24" s="295" t="str">
        <f t="shared" si="10"/>
        <v/>
      </c>
      <c r="V24" s="327"/>
      <c r="X24" s="213">
        <f t="shared" si="2"/>
        <v>-1</v>
      </c>
    </row>
    <row r="25" spans="1:32" x14ac:dyDescent="0.25">
      <c r="A25" s="299"/>
      <c r="B25" s="303"/>
      <c r="C25" s="303"/>
      <c r="D25" s="306"/>
      <c r="E25" s="307"/>
      <c r="H25" s="205">
        <v>42387</v>
      </c>
      <c r="I25" s="206">
        <f t="shared" si="1"/>
        <v>2.6</v>
      </c>
      <c r="J25" s="206">
        <f t="shared" si="3"/>
        <v>1246.7999999999984</v>
      </c>
      <c r="K25" s="204" t="str">
        <f t="shared" si="4"/>
        <v/>
      </c>
      <c r="L25" s="295">
        <f t="shared" si="5"/>
        <v>18</v>
      </c>
      <c r="M25" s="295"/>
      <c r="N25" s="212">
        <f t="shared" si="6"/>
        <v>10.5</v>
      </c>
      <c r="O25" s="212"/>
      <c r="P25" s="212">
        <f t="shared" si="7"/>
        <v>189</v>
      </c>
      <c r="Q25" s="319" t="str">
        <f t="shared" si="8"/>
        <v/>
      </c>
      <c r="R25" s="319"/>
      <c r="S25" s="324" t="str">
        <f t="shared" si="9"/>
        <v/>
      </c>
      <c r="T25" s="324"/>
      <c r="U25" s="295" t="str">
        <f t="shared" si="10"/>
        <v/>
      </c>
      <c r="V25" s="327"/>
    </row>
    <row r="26" spans="1:32" x14ac:dyDescent="0.25">
      <c r="A26" s="197">
        <f>Accueuil!C3</f>
        <v>7</v>
      </c>
      <c r="B26" s="300">
        <f>'Calcul Et Courbes '!C28</f>
        <v>1.5</v>
      </c>
      <c r="C26" s="300"/>
      <c r="D26" s="308">
        <f>B26*$A$26</f>
        <v>10.5</v>
      </c>
      <c r="E26" s="309"/>
      <c r="H26" s="205">
        <v>42388</v>
      </c>
      <c r="I26" s="206">
        <f t="shared" si="1"/>
        <v>2.6</v>
      </c>
      <c r="J26" s="206">
        <f t="shared" si="3"/>
        <v>1249.3999999999983</v>
      </c>
      <c r="K26" s="204" t="str">
        <f t="shared" si="4"/>
        <v/>
      </c>
      <c r="L26" s="295">
        <f t="shared" si="5"/>
        <v>19</v>
      </c>
      <c r="M26" s="295"/>
      <c r="N26" s="212">
        <f t="shared" si="6"/>
        <v>10.5</v>
      </c>
      <c r="O26" s="212"/>
      <c r="P26" s="212">
        <f t="shared" si="7"/>
        <v>199.5</v>
      </c>
      <c r="Q26" s="319" t="str">
        <f t="shared" si="8"/>
        <v/>
      </c>
      <c r="R26" s="319"/>
      <c r="S26" s="324" t="str">
        <f t="shared" si="9"/>
        <v/>
      </c>
      <c r="T26" s="324"/>
      <c r="U26" s="295" t="str">
        <f t="shared" si="10"/>
        <v/>
      </c>
      <c r="V26" s="327"/>
    </row>
    <row r="27" spans="1:32" x14ac:dyDescent="0.25">
      <c r="A27" s="195"/>
      <c r="B27" s="300">
        <f>'Calcul Et Courbes '!C29</f>
        <v>2.5</v>
      </c>
      <c r="C27" s="300"/>
      <c r="D27" s="308">
        <f t="shared" ref="D27:D37" si="11">B27*$A$26</f>
        <v>17.5</v>
      </c>
      <c r="E27" s="309"/>
      <c r="H27" s="205">
        <v>42389</v>
      </c>
      <c r="I27" s="206">
        <f t="shared" si="1"/>
        <v>2.6</v>
      </c>
      <c r="J27" s="206">
        <f t="shared" si="3"/>
        <v>1251.9999999999982</v>
      </c>
      <c r="K27" s="204" t="str">
        <f t="shared" si="4"/>
        <v/>
      </c>
      <c r="L27" s="295">
        <f t="shared" si="5"/>
        <v>20</v>
      </c>
      <c r="M27" s="295"/>
      <c r="N27" s="212">
        <f t="shared" si="6"/>
        <v>10.5</v>
      </c>
      <c r="O27" s="212"/>
      <c r="P27" s="212">
        <f t="shared" si="7"/>
        <v>210</v>
      </c>
      <c r="Q27" s="319" t="str">
        <f t="shared" si="8"/>
        <v/>
      </c>
      <c r="R27" s="319"/>
      <c r="S27" s="324" t="str">
        <f t="shared" si="9"/>
        <v/>
      </c>
      <c r="T27" s="324"/>
      <c r="U27" s="295" t="str">
        <f t="shared" si="10"/>
        <v/>
      </c>
      <c r="V27" s="327"/>
      <c r="X27" s="233"/>
      <c r="Y27" s="233"/>
      <c r="Z27" s="233"/>
      <c r="AA27" s="233"/>
      <c r="AB27" s="233"/>
      <c r="AC27" s="233"/>
      <c r="AD27" s="233"/>
      <c r="AE27" s="233"/>
      <c r="AF27" s="233"/>
    </row>
    <row r="28" spans="1:32" x14ac:dyDescent="0.25">
      <c r="A28" s="195"/>
      <c r="B28" s="300">
        <f>'Calcul Et Courbes '!C30</f>
        <v>2.8</v>
      </c>
      <c r="C28" s="300"/>
      <c r="D28" s="308">
        <f t="shared" si="11"/>
        <v>19.599999999999998</v>
      </c>
      <c r="E28" s="309"/>
      <c r="H28" s="205">
        <v>42390</v>
      </c>
      <c r="I28" s="206">
        <f t="shared" si="1"/>
        <v>2.6</v>
      </c>
      <c r="J28" s="206">
        <f t="shared" si="3"/>
        <v>1254.5999999999981</v>
      </c>
      <c r="K28" s="204" t="str">
        <f t="shared" si="4"/>
        <v/>
      </c>
      <c r="L28" s="295">
        <f t="shared" si="5"/>
        <v>21</v>
      </c>
      <c r="M28" s="295"/>
      <c r="N28" s="212">
        <f t="shared" si="6"/>
        <v>10.5</v>
      </c>
      <c r="O28" s="212"/>
      <c r="P28" s="212">
        <f t="shared" si="7"/>
        <v>220.5</v>
      </c>
      <c r="Q28" s="319" t="str">
        <f t="shared" si="8"/>
        <v/>
      </c>
      <c r="R28" s="319"/>
      <c r="S28" s="324" t="str">
        <f t="shared" si="9"/>
        <v/>
      </c>
      <c r="T28" s="324"/>
      <c r="U28" s="295" t="str">
        <f t="shared" si="10"/>
        <v/>
      </c>
      <c r="V28" s="327"/>
      <c r="X28" s="332"/>
      <c r="Y28" s="333"/>
      <c r="Z28" s="333"/>
      <c r="AA28" s="333"/>
      <c r="AB28" s="333"/>
      <c r="AC28" s="333"/>
      <c r="AD28" s="333"/>
      <c r="AE28" s="333"/>
      <c r="AF28" s="333"/>
    </row>
    <row r="29" spans="1:32" x14ac:dyDescent="0.25">
      <c r="A29" s="195"/>
      <c r="B29" s="300">
        <f>'Calcul Et Courbes '!C31</f>
        <v>4.5</v>
      </c>
      <c r="C29" s="300"/>
      <c r="D29" s="308">
        <f t="shared" si="11"/>
        <v>31.5</v>
      </c>
      <c r="E29" s="309"/>
      <c r="H29" s="205">
        <v>42391</v>
      </c>
      <c r="I29" s="206">
        <f t="shared" si="1"/>
        <v>2.6</v>
      </c>
      <c r="J29" s="206">
        <f t="shared" si="3"/>
        <v>1257.199999999998</v>
      </c>
      <c r="K29" s="204" t="str">
        <f t="shared" si="4"/>
        <v/>
      </c>
      <c r="L29" s="295">
        <f t="shared" si="5"/>
        <v>22</v>
      </c>
      <c r="M29" s="295"/>
      <c r="N29" s="212">
        <f t="shared" si="6"/>
        <v>10.5</v>
      </c>
      <c r="O29" s="212"/>
      <c r="P29" s="212">
        <f t="shared" si="7"/>
        <v>231</v>
      </c>
      <c r="Q29" s="319" t="str">
        <f t="shared" si="8"/>
        <v/>
      </c>
      <c r="R29" s="319"/>
      <c r="S29" s="324" t="str">
        <f t="shared" si="9"/>
        <v/>
      </c>
      <c r="T29" s="324"/>
      <c r="U29" s="295" t="str">
        <f t="shared" si="10"/>
        <v/>
      </c>
      <c r="V29" s="327"/>
      <c r="X29" s="332"/>
      <c r="Y29" s="333"/>
      <c r="Z29" s="333"/>
      <c r="AA29" s="333"/>
      <c r="AB29" s="333"/>
      <c r="AC29" s="333"/>
      <c r="AD29" s="333"/>
      <c r="AE29" s="333"/>
      <c r="AF29" s="333"/>
    </row>
    <row r="30" spans="1:32" x14ac:dyDescent="0.25">
      <c r="A30" s="195"/>
      <c r="B30" s="300">
        <f>'Calcul Et Courbes '!C32</f>
        <v>6</v>
      </c>
      <c r="C30" s="300"/>
      <c r="D30" s="308">
        <f t="shared" si="11"/>
        <v>42</v>
      </c>
      <c r="E30" s="309"/>
      <c r="H30" s="205">
        <v>42392</v>
      </c>
      <c r="I30" s="206">
        <f t="shared" si="1"/>
        <v>2.6</v>
      </c>
      <c r="J30" s="206">
        <f t="shared" si="3"/>
        <v>1259.7999999999979</v>
      </c>
      <c r="K30" s="204" t="str">
        <f t="shared" si="4"/>
        <v/>
      </c>
      <c r="L30" s="295">
        <f t="shared" si="5"/>
        <v>23</v>
      </c>
      <c r="M30" s="295"/>
      <c r="N30" s="212">
        <f t="shared" si="6"/>
        <v>10.5</v>
      </c>
      <c r="O30" s="212"/>
      <c r="P30" s="212">
        <f t="shared" si="7"/>
        <v>241.5</v>
      </c>
      <c r="Q30" s="319" t="str">
        <f t="shared" si="8"/>
        <v/>
      </c>
      <c r="R30" s="319"/>
      <c r="S30" s="324" t="str">
        <f t="shared" si="9"/>
        <v/>
      </c>
      <c r="T30" s="324"/>
      <c r="U30" s="295" t="str">
        <f t="shared" si="10"/>
        <v/>
      </c>
      <c r="V30" s="327"/>
      <c r="X30" s="234"/>
      <c r="Y30" s="331"/>
      <c r="Z30" s="331"/>
      <c r="AA30" s="331"/>
      <c r="AB30" s="331"/>
      <c r="AC30" s="331"/>
      <c r="AD30" s="331"/>
      <c r="AE30" s="331"/>
      <c r="AF30" s="331"/>
    </row>
    <row r="31" spans="1:32" x14ac:dyDescent="0.25">
      <c r="A31" s="195"/>
      <c r="B31" s="300">
        <f>'Calcul Et Courbes '!C33</f>
        <v>5</v>
      </c>
      <c r="C31" s="300"/>
      <c r="D31" s="308">
        <f t="shared" si="11"/>
        <v>35</v>
      </c>
      <c r="E31" s="309"/>
      <c r="H31" s="205">
        <v>42393</v>
      </c>
      <c r="I31" s="206">
        <f t="shared" si="1"/>
        <v>2.6</v>
      </c>
      <c r="J31" s="206">
        <f t="shared" si="3"/>
        <v>1262.3999999999978</v>
      </c>
      <c r="K31" s="204" t="str">
        <f t="shared" si="4"/>
        <v/>
      </c>
      <c r="L31" s="295">
        <f t="shared" si="5"/>
        <v>24</v>
      </c>
      <c r="M31" s="295"/>
      <c r="N31" s="212">
        <f t="shared" si="6"/>
        <v>10.5</v>
      </c>
      <c r="O31" s="212"/>
      <c r="P31" s="212">
        <f t="shared" si="7"/>
        <v>252</v>
      </c>
      <c r="Q31" s="319" t="str">
        <f t="shared" si="8"/>
        <v/>
      </c>
      <c r="R31" s="319"/>
      <c r="S31" s="324" t="str">
        <f t="shared" si="9"/>
        <v/>
      </c>
      <c r="T31" s="324"/>
      <c r="U31" s="295" t="str">
        <f t="shared" si="10"/>
        <v/>
      </c>
      <c r="V31" s="327"/>
      <c r="X31" s="234"/>
      <c r="Y31" s="331"/>
      <c r="Z31" s="331"/>
      <c r="AA31" s="331"/>
      <c r="AB31" s="331"/>
      <c r="AC31" s="331"/>
      <c r="AD31" s="331"/>
      <c r="AE31" s="331"/>
      <c r="AF31" s="331"/>
    </row>
    <row r="32" spans="1:32" x14ac:dyDescent="0.25">
      <c r="A32" s="195"/>
      <c r="B32" s="300">
        <f>'Calcul Et Courbes '!C34</f>
        <v>1.5</v>
      </c>
      <c r="C32" s="300"/>
      <c r="D32" s="308">
        <f t="shared" si="11"/>
        <v>10.5</v>
      </c>
      <c r="E32" s="309"/>
      <c r="H32" s="205">
        <v>42394</v>
      </c>
      <c r="I32" s="206">
        <f t="shared" si="1"/>
        <v>2.6</v>
      </c>
      <c r="J32" s="206">
        <f t="shared" si="3"/>
        <v>1264.9999999999977</v>
      </c>
      <c r="K32" s="204" t="str">
        <f t="shared" si="4"/>
        <v/>
      </c>
      <c r="L32" s="295">
        <f t="shared" si="5"/>
        <v>25</v>
      </c>
      <c r="M32" s="295"/>
      <c r="N32" s="212">
        <f t="shared" si="6"/>
        <v>10.5</v>
      </c>
      <c r="O32" s="212"/>
      <c r="P32" s="212">
        <f t="shared" si="7"/>
        <v>262.5</v>
      </c>
      <c r="Q32" s="319" t="str">
        <f t="shared" si="8"/>
        <v/>
      </c>
      <c r="R32" s="319"/>
      <c r="S32" s="324" t="str">
        <f t="shared" si="9"/>
        <v/>
      </c>
      <c r="T32" s="324"/>
      <c r="U32" s="295" t="str">
        <f t="shared" si="10"/>
        <v/>
      </c>
      <c r="V32" s="327"/>
      <c r="X32" s="234"/>
      <c r="Y32" s="331"/>
      <c r="Z32" s="331"/>
      <c r="AA32" s="331"/>
      <c r="AB32" s="331"/>
      <c r="AC32" s="331"/>
      <c r="AD32" s="331"/>
      <c r="AE32" s="331"/>
      <c r="AF32" s="331"/>
    </row>
    <row r="33" spans="1:32" x14ac:dyDescent="0.25">
      <c r="A33" s="195"/>
      <c r="B33" s="300">
        <f>'Calcul Et Courbes '!C35</f>
        <v>1.5</v>
      </c>
      <c r="C33" s="300"/>
      <c r="D33" s="308">
        <f t="shared" si="11"/>
        <v>10.5</v>
      </c>
      <c r="E33" s="309"/>
      <c r="H33" s="205">
        <v>42395</v>
      </c>
      <c r="I33" s="206">
        <f t="shared" si="1"/>
        <v>2.6</v>
      </c>
      <c r="J33" s="206">
        <f t="shared" si="3"/>
        <v>1267.5999999999976</v>
      </c>
      <c r="K33" s="204" t="str">
        <f t="shared" si="4"/>
        <v/>
      </c>
      <c r="L33" s="295">
        <f t="shared" si="5"/>
        <v>26</v>
      </c>
      <c r="M33" s="295"/>
      <c r="N33" s="212">
        <f t="shared" si="6"/>
        <v>10.5</v>
      </c>
      <c r="O33" s="212"/>
      <c r="P33" s="212">
        <f t="shared" si="7"/>
        <v>273</v>
      </c>
      <c r="Q33" s="319" t="str">
        <f t="shared" si="8"/>
        <v/>
      </c>
      <c r="R33" s="319"/>
      <c r="S33" s="324" t="str">
        <f t="shared" si="9"/>
        <v/>
      </c>
      <c r="T33" s="324"/>
      <c r="U33" s="295" t="str">
        <f t="shared" si="10"/>
        <v/>
      </c>
      <c r="V33" s="327"/>
      <c r="X33" s="234"/>
      <c r="Y33" s="331"/>
      <c r="Z33" s="331"/>
      <c r="AA33" s="331"/>
      <c r="AB33" s="331"/>
      <c r="AC33" s="331"/>
      <c r="AD33" s="331"/>
      <c r="AE33" s="331"/>
      <c r="AF33" s="331"/>
    </row>
    <row r="34" spans="1:32" x14ac:dyDescent="0.25">
      <c r="A34" s="195"/>
      <c r="B34" s="300">
        <f>'Calcul Et Courbes '!C36</f>
        <v>1.8</v>
      </c>
      <c r="C34" s="300"/>
      <c r="D34" s="308">
        <f t="shared" si="11"/>
        <v>12.6</v>
      </c>
      <c r="E34" s="309"/>
      <c r="H34" s="205">
        <v>42396</v>
      </c>
      <c r="I34" s="206">
        <f t="shared" si="1"/>
        <v>2.6</v>
      </c>
      <c r="J34" s="206">
        <f t="shared" si="3"/>
        <v>1270.1999999999975</v>
      </c>
      <c r="K34" s="204" t="str">
        <f t="shared" si="4"/>
        <v/>
      </c>
      <c r="L34" s="295">
        <f t="shared" si="5"/>
        <v>27</v>
      </c>
      <c r="M34" s="295"/>
      <c r="N34" s="212">
        <f t="shared" si="6"/>
        <v>10.5</v>
      </c>
      <c r="O34" s="212"/>
      <c r="P34" s="212">
        <f t="shared" si="7"/>
        <v>283.5</v>
      </c>
      <c r="Q34" s="319" t="str">
        <f t="shared" si="8"/>
        <v/>
      </c>
      <c r="R34" s="319"/>
      <c r="S34" s="324" t="str">
        <f t="shared" si="9"/>
        <v/>
      </c>
      <c r="T34" s="324"/>
      <c r="U34" s="295" t="str">
        <f t="shared" si="10"/>
        <v/>
      </c>
      <c r="V34" s="327"/>
      <c r="X34" s="234"/>
      <c r="Y34" s="331"/>
      <c r="Z34" s="331"/>
      <c r="AA34" s="331"/>
      <c r="AB34" s="331"/>
      <c r="AC34" s="331"/>
      <c r="AD34" s="331"/>
      <c r="AE34" s="331"/>
      <c r="AF34" s="331"/>
    </row>
    <row r="35" spans="1:32" x14ac:dyDescent="0.25">
      <c r="A35" s="195"/>
      <c r="B35" s="300">
        <f>'Calcul Et Courbes '!C37</f>
        <v>1.8</v>
      </c>
      <c r="C35" s="300"/>
      <c r="D35" s="308">
        <f t="shared" si="11"/>
        <v>12.6</v>
      </c>
      <c r="E35" s="309"/>
      <c r="H35" s="205">
        <v>42397</v>
      </c>
      <c r="I35" s="206">
        <f t="shared" si="1"/>
        <v>2.6</v>
      </c>
      <c r="J35" s="206">
        <f t="shared" si="3"/>
        <v>1272.7999999999975</v>
      </c>
      <c r="K35" s="204" t="str">
        <f t="shared" si="4"/>
        <v/>
      </c>
      <c r="L35" s="295">
        <f t="shared" si="5"/>
        <v>28</v>
      </c>
      <c r="M35" s="295"/>
      <c r="N35" s="212">
        <f t="shared" si="6"/>
        <v>10.5</v>
      </c>
      <c r="O35" s="212"/>
      <c r="P35" s="212">
        <f t="shared" si="7"/>
        <v>294</v>
      </c>
      <c r="Q35" s="319" t="str">
        <f t="shared" si="8"/>
        <v/>
      </c>
      <c r="R35" s="319"/>
      <c r="S35" s="324" t="str">
        <f t="shared" si="9"/>
        <v/>
      </c>
      <c r="T35" s="324"/>
      <c r="U35" s="295" t="str">
        <f t="shared" si="10"/>
        <v/>
      </c>
      <c r="V35" s="327"/>
      <c r="X35" s="234"/>
      <c r="Y35" s="331"/>
      <c r="Z35" s="331"/>
      <c r="AA35" s="331"/>
      <c r="AB35" s="331"/>
      <c r="AC35" s="331"/>
      <c r="AD35" s="331"/>
      <c r="AE35" s="331"/>
      <c r="AF35" s="331"/>
    </row>
    <row r="36" spans="1:32" x14ac:dyDescent="0.25">
      <c r="A36" s="195"/>
      <c r="B36" s="300">
        <f>'Calcul Et Courbes '!C38</f>
        <v>1.6</v>
      </c>
      <c r="C36" s="300"/>
      <c r="D36" s="308">
        <f t="shared" si="11"/>
        <v>11.200000000000001</v>
      </c>
      <c r="E36" s="309"/>
      <c r="H36" s="205">
        <v>42398</v>
      </c>
      <c r="I36" s="206">
        <f t="shared" si="1"/>
        <v>2.6</v>
      </c>
      <c r="J36" s="206">
        <f t="shared" si="3"/>
        <v>1275.3999999999974</v>
      </c>
      <c r="K36" s="204" t="str">
        <f t="shared" si="4"/>
        <v/>
      </c>
      <c r="L36" s="295">
        <f t="shared" si="5"/>
        <v>29</v>
      </c>
      <c r="M36" s="295"/>
      <c r="N36" s="212">
        <f t="shared" si="6"/>
        <v>10.5</v>
      </c>
      <c r="O36" s="212"/>
      <c r="P36" s="212">
        <f t="shared" si="7"/>
        <v>304.5</v>
      </c>
      <c r="Q36" s="319" t="str">
        <f t="shared" si="8"/>
        <v/>
      </c>
      <c r="R36" s="319"/>
      <c r="S36" s="324" t="str">
        <f t="shared" si="9"/>
        <v/>
      </c>
      <c r="T36" s="324"/>
      <c r="U36" s="295" t="str">
        <f t="shared" si="10"/>
        <v/>
      </c>
      <c r="V36" s="327"/>
      <c r="X36" s="234"/>
      <c r="Y36" s="331"/>
      <c r="Z36" s="331"/>
      <c r="AA36" s="331"/>
      <c r="AB36" s="331"/>
      <c r="AC36" s="331"/>
      <c r="AD36" s="331"/>
      <c r="AE36" s="331"/>
      <c r="AF36" s="331"/>
    </row>
    <row r="37" spans="1:32" ht="15.75" thickBot="1" x14ac:dyDescent="0.3">
      <c r="A37" s="196"/>
      <c r="B37" s="301">
        <f>'Calcul Et Courbes '!C39</f>
        <v>1.5</v>
      </c>
      <c r="C37" s="301"/>
      <c r="D37" s="322">
        <f t="shared" si="11"/>
        <v>10.5</v>
      </c>
      <c r="E37" s="323"/>
      <c r="H37" s="205">
        <v>42399</v>
      </c>
      <c r="I37" s="206">
        <f t="shared" si="1"/>
        <v>2.6</v>
      </c>
      <c r="J37" s="206">
        <f t="shared" si="3"/>
        <v>1277.9999999999973</v>
      </c>
      <c r="K37" s="204" t="str">
        <f t="shared" si="4"/>
        <v/>
      </c>
      <c r="L37" s="295">
        <f t="shared" si="5"/>
        <v>30</v>
      </c>
      <c r="M37" s="295"/>
      <c r="N37" s="212">
        <f t="shared" si="6"/>
        <v>10.5</v>
      </c>
      <c r="O37" s="212"/>
      <c r="P37" s="212">
        <f t="shared" si="7"/>
        <v>315</v>
      </c>
      <c r="Q37" s="319" t="str">
        <f t="shared" si="8"/>
        <v/>
      </c>
      <c r="R37" s="319"/>
      <c r="S37" s="324" t="str">
        <f t="shared" si="9"/>
        <v/>
      </c>
      <c r="T37" s="324"/>
      <c r="U37" s="295" t="str">
        <f t="shared" si="10"/>
        <v/>
      </c>
      <c r="V37" s="327"/>
      <c r="X37" s="234"/>
      <c r="Y37" s="331"/>
      <c r="Z37" s="331"/>
      <c r="AA37" s="331"/>
      <c r="AB37" s="331"/>
      <c r="AC37" s="331"/>
      <c r="AD37" s="331"/>
      <c r="AE37" s="331"/>
      <c r="AF37" s="331"/>
    </row>
    <row r="38" spans="1:32" ht="15.75" thickBot="1" x14ac:dyDescent="0.3">
      <c r="A38" s="334" t="s">
        <v>135</v>
      </c>
      <c r="B38" s="335"/>
      <c r="C38" s="335"/>
      <c r="D38" s="335"/>
      <c r="E38" s="214">
        <f>LARGE(D26:D37,1)</f>
        <v>42</v>
      </c>
      <c r="H38" s="205">
        <v>42400</v>
      </c>
      <c r="I38" s="206">
        <f t="shared" si="1"/>
        <v>2.6</v>
      </c>
      <c r="J38" s="206">
        <f t="shared" si="3"/>
        <v>1280.5999999999972</v>
      </c>
      <c r="K38" s="204" t="str">
        <f t="shared" si="4"/>
        <v/>
      </c>
      <c r="L38" s="295">
        <f t="shared" si="5"/>
        <v>31</v>
      </c>
      <c r="M38" s="295"/>
      <c r="N38" s="212">
        <f t="shared" si="6"/>
        <v>10.5</v>
      </c>
      <c r="O38" s="212"/>
      <c r="P38" s="212">
        <f t="shared" si="7"/>
        <v>325.5</v>
      </c>
      <c r="Q38" s="319" t="str">
        <f t="shared" si="8"/>
        <v/>
      </c>
      <c r="R38" s="319"/>
      <c r="S38" s="324" t="str">
        <f t="shared" si="9"/>
        <v/>
      </c>
      <c r="T38" s="324"/>
      <c r="U38" s="295" t="str">
        <f t="shared" si="10"/>
        <v/>
      </c>
      <c r="V38" s="327"/>
      <c r="X38" s="234"/>
      <c r="Y38" s="331"/>
      <c r="Z38" s="331"/>
      <c r="AA38" s="331"/>
      <c r="AB38" s="331"/>
      <c r="AC38" s="331"/>
      <c r="AD38" s="331"/>
      <c r="AE38" s="331"/>
      <c r="AF38" s="331"/>
    </row>
    <row r="39" spans="1:32" x14ac:dyDescent="0.25">
      <c r="C39" s="336" t="s">
        <v>138</v>
      </c>
      <c r="D39" s="338">
        <f>E38/D21</f>
        <v>3.2307692307692308E-2</v>
      </c>
      <c r="E39" s="202"/>
      <c r="H39" s="205">
        <v>42401</v>
      </c>
      <c r="I39" s="206">
        <f t="shared" ref="I39:I66" si="12">$B$6</f>
        <v>9.1</v>
      </c>
      <c r="J39" s="206">
        <f>IF(J38&gt;$E$47,$D$47+I39,J38+I39)</f>
        <v>1289.6999999999971</v>
      </c>
      <c r="K39" s="204" t="str">
        <f>IF(J38&gt;$E$47,H38,"")</f>
        <v/>
      </c>
      <c r="L39" s="295">
        <f t="shared" si="5"/>
        <v>32</v>
      </c>
      <c r="M39" s="295"/>
      <c r="N39" s="212">
        <f>$D$27</f>
        <v>17.5</v>
      </c>
      <c r="O39" s="212"/>
      <c r="P39" s="212">
        <f t="shared" si="7"/>
        <v>343</v>
      </c>
      <c r="Q39" s="319" t="str">
        <f t="shared" si="8"/>
        <v/>
      </c>
      <c r="R39" s="319"/>
      <c r="S39" s="324" t="str">
        <f t="shared" si="9"/>
        <v/>
      </c>
      <c r="T39" s="324"/>
      <c r="U39" s="295" t="str">
        <f t="shared" si="10"/>
        <v/>
      </c>
      <c r="V39" s="327"/>
      <c r="X39" s="233"/>
      <c r="Y39" s="331"/>
      <c r="Z39" s="331"/>
      <c r="AA39" s="331"/>
      <c r="AB39" s="331"/>
      <c r="AC39" s="331"/>
      <c r="AD39" s="331"/>
      <c r="AE39" s="331"/>
      <c r="AF39" s="331"/>
    </row>
    <row r="40" spans="1:32" ht="15.75" thickBot="1" x14ac:dyDescent="0.3">
      <c r="C40" s="337"/>
      <c r="D40" s="339"/>
      <c r="E40" s="202"/>
      <c r="H40" s="205">
        <v>42402</v>
      </c>
      <c r="I40" s="206">
        <f t="shared" si="12"/>
        <v>9.1</v>
      </c>
      <c r="J40" s="206">
        <f t="shared" ref="J40:J66" si="13">IF(J39&gt;$E$47,$D$47+I40,J39+I40)</f>
        <v>1298.799999999997</v>
      </c>
      <c r="K40" s="204" t="str">
        <f t="shared" ref="K40:K66" si="14">IF(J39&gt;$E$47,H39,"")</f>
        <v/>
      </c>
      <c r="L40" s="295">
        <f t="shared" si="5"/>
        <v>33</v>
      </c>
      <c r="M40" s="295"/>
      <c r="N40" s="212">
        <f t="shared" ref="N40:N66" si="15">$D$27</f>
        <v>17.5</v>
      </c>
      <c r="O40" s="212"/>
      <c r="P40" s="212">
        <f t="shared" si="7"/>
        <v>360.5</v>
      </c>
      <c r="Q40" s="319" t="str">
        <f t="shared" si="8"/>
        <v/>
      </c>
      <c r="R40" s="319"/>
      <c r="S40" s="324" t="str">
        <f t="shared" si="9"/>
        <v/>
      </c>
      <c r="T40" s="324"/>
      <c r="U40" s="295" t="str">
        <f t="shared" si="10"/>
        <v/>
      </c>
      <c r="V40" s="327"/>
      <c r="X40" s="233"/>
      <c r="Y40" s="233"/>
      <c r="Z40" s="233"/>
      <c r="AA40" s="233"/>
      <c r="AB40" s="233"/>
      <c r="AC40" s="233"/>
      <c r="AD40" s="233"/>
      <c r="AE40" s="233"/>
      <c r="AF40" s="233"/>
    </row>
    <row r="41" spans="1:32" x14ac:dyDescent="0.25">
      <c r="D41" s="202"/>
      <c r="H41" s="205">
        <v>42403</v>
      </c>
      <c r="I41" s="206">
        <f t="shared" si="12"/>
        <v>9.1</v>
      </c>
      <c r="J41" s="206">
        <f t="shared" si="13"/>
        <v>1307.8999999999969</v>
      </c>
      <c r="K41" s="204" t="str">
        <f t="shared" si="14"/>
        <v/>
      </c>
      <c r="L41" s="295">
        <f t="shared" si="5"/>
        <v>34</v>
      </c>
      <c r="M41" s="295"/>
      <c r="N41" s="212">
        <f t="shared" si="15"/>
        <v>17.5</v>
      </c>
      <c r="O41" s="212"/>
      <c r="P41" s="212">
        <f t="shared" si="7"/>
        <v>378</v>
      </c>
      <c r="Q41" s="319" t="str">
        <f t="shared" si="8"/>
        <v/>
      </c>
      <c r="R41" s="319"/>
      <c r="S41" s="324" t="str">
        <f t="shared" si="9"/>
        <v/>
      </c>
      <c r="T41" s="324"/>
      <c r="U41" s="295" t="str">
        <f t="shared" si="10"/>
        <v/>
      </c>
      <c r="V41" s="327"/>
      <c r="X41" s="233"/>
      <c r="Y41" s="233"/>
      <c r="Z41" s="233"/>
      <c r="AA41" s="233"/>
      <c r="AB41" s="233"/>
      <c r="AC41" s="233"/>
      <c r="AD41" s="233"/>
      <c r="AE41" s="233"/>
      <c r="AF41" s="233"/>
    </row>
    <row r="42" spans="1:32" x14ac:dyDescent="0.25">
      <c r="H42" s="205">
        <v>42404</v>
      </c>
      <c r="I42" s="206">
        <f t="shared" si="12"/>
        <v>9.1</v>
      </c>
      <c r="J42" s="206">
        <f t="shared" si="13"/>
        <v>1316.9999999999968</v>
      </c>
      <c r="K42" s="204" t="str">
        <f t="shared" si="14"/>
        <v/>
      </c>
      <c r="L42" s="295">
        <f t="shared" si="5"/>
        <v>35</v>
      </c>
      <c r="M42" s="295"/>
      <c r="N42" s="212">
        <f t="shared" si="15"/>
        <v>17.5</v>
      </c>
      <c r="O42" s="212"/>
      <c r="P42" s="212">
        <f t="shared" si="7"/>
        <v>395.5</v>
      </c>
      <c r="Q42" s="319" t="str">
        <f t="shared" si="8"/>
        <v/>
      </c>
      <c r="R42" s="319"/>
      <c r="S42" s="324" t="str">
        <f t="shared" si="9"/>
        <v/>
      </c>
      <c r="T42" s="324"/>
      <c r="U42" s="295" t="str">
        <f t="shared" si="10"/>
        <v/>
      </c>
      <c r="V42" s="327"/>
      <c r="X42" s="233"/>
      <c r="Y42" s="233"/>
      <c r="Z42" s="233"/>
      <c r="AA42" s="233"/>
      <c r="AB42" s="233"/>
      <c r="AC42" s="233"/>
      <c r="AD42" s="233"/>
      <c r="AE42" s="233"/>
      <c r="AF42" s="233"/>
    </row>
    <row r="43" spans="1:32" ht="15.75" thickBot="1" x14ac:dyDescent="0.3">
      <c r="H43" s="205">
        <v>42405</v>
      </c>
      <c r="I43" s="206">
        <f t="shared" si="12"/>
        <v>9.1</v>
      </c>
      <c r="J43" s="206">
        <f t="shared" si="13"/>
        <v>1326.0999999999967</v>
      </c>
      <c r="K43" s="204" t="str">
        <f t="shared" si="14"/>
        <v/>
      </c>
      <c r="L43" s="295">
        <f t="shared" si="5"/>
        <v>36</v>
      </c>
      <c r="M43" s="295"/>
      <c r="N43" s="212">
        <f t="shared" si="15"/>
        <v>17.5</v>
      </c>
      <c r="O43" s="212"/>
      <c r="P43" s="212">
        <f t="shared" si="7"/>
        <v>413</v>
      </c>
      <c r="Q43" s="319" t="str">
        <f t="shared" si="8"/>
        <v/>
      </c>
      <c r="R43" s="319"/>
      <c r="S43" s="324" t="str">
        <f t="shared" si="9"/>
        <v/>
      </c>
      <c r="T43" s="324"/>
      <c r="U43" s="295" t="str">
        <f t="shared" si="10"/>
        <v/>
      </c>
      <c r="V43" s="327"/>
    </row>
    <row r="44" spans="1:32" x14ac:dyDescent="0.25">
      <c r="A44" s="340" t="s">
        <v>136</v>
      </c>
      <c r="B44" s="341"/>
      <c r="C44" s="341"/>
      <c r="D44" s="341" t="s">
        <v>102</v>
      </c>
      <c r="E44" s="342"/>
      <c r="H44" s="205">
        <v>42406</v>
      </c>
      <c r="I44" s="206">
        <f t="shared" si="12"/>
        <v>9.1</v>
      </c>
      <c r="J44" s="206">
        <f t="shared" si="13"/>
        <v>1335.1999999999966</v>
      </c>
      <c r="K44" s="204" t="str">
        <f t="shared" si="14"/>
        <v/>
      </c>
      <c r="L44" s="295">
        <f t="shared" si="5"/>
        <v>37</v>
      </c>
      <c r="M44" s="295"/>
      <c r="N44" s="212">
        <f t="shared" si="15"/>
        <v>17.5</v>
      </c>
      <c r="O44" s="212"/>
      <c r="P44" s="212">
        <f t="shared" si="7"/>
        <v>430.5</v>
      </c>
      <c r="Q44" s="319" t="str">
        <f t="shared" si="8"/>
        <v/>
      </c>
      <c r="R44" s="319"/>
      <c r="S44" s="324" t="str">
        <f t="shared" si="9"/>
        <v/>
      </c>
      <c r="T44" s="324"/>
      <c r="U44" s="295" t="str">
        <f t="shared" si="10"/>
        <v/>
      </c>
      <c r="V44" s="327"/>
    </row>
    <row r="45" spans="1:32" x14ac:dyDescent="0.25">
      <c r="A45" s="211"/>
      <c r="B45" s="227" t="s">
        <v>122</v>
      </c>
      <c r="C45" s="228" t="s">
        <v>121</v>
      </c>
      <c r="D45" s="215" t="s">
        <v>137</v>
      </c>
      <c r="E45" s="216" t="s">
        <v>121</v>
      </c>
      <c r="H45" s="205">
        <v>42407</v>
      </c>
      <c r="I45" s="206">
        <f t="shared" si="12"/>
        <v>9.1</v>
      </c>
      <c r="J45" s="206">
        <f t="shared" si="13"/>
        <v>1344.2999999999965</v>
      </c>
      <c r="K45" s="204" t="str">
        <f t="shared" si="14"/>
        <v/>
      </c>
      <c r="L45" s="295">
        <f t="shared" si="5"/>
        <v>38</v>
      </c>
      <c r="M45" s="295"/>
      <c r="N45" s="212">
        <f t="shared" si="15"/>
        <v>17.5</v>
      </c>
      <c r="O45" s="212"/>
      <c r="P45" s="212">
        <f t="shared" si="7"/>
        <v>448</v>
      </c>
      <c r="Q45" s="319" t="str">
        <f t="shared" si="8"/>
        <v/>
      </c>
      <c r="R45" s="319"/>
      <c r="S45" s="324" t="str">
        <f t="shared" si="9"/>
        <v/>
      </c>
      <c r="T45" s="324"/>
      <c r="U45" s="295" t="str">
        <f t="shared" si="10"/>
        <v/>
      </c>
      <c r="V45" s="327"/>
    </row>
    <row r="46" spans="1:32" x14ac:dyDescent="0.25">
      <c r="A46" s="217" t="s">
        <v>81</v>
      </c>
      <c r="B46" s="227">
        <v>0</v>
      </c>
      <c r="C46" s="228">
        <v>0</v>
      </c>
      <c r="D46" s="215">
        <f>$D$19+B46</f>
        <v>1200</v>
      </c>
      <c r="E46" s="216">
        <f>$D$18+C46</f>
        <v>2500</v>
      </c>
      <c r="H46" s="205">
        <v>42408</v>
      </c>
      <c r="I46" s="206">
        <f t="shared" si="12"/>
        <v>9.1</v>
      </c>
      <c r="J46" s="206">
        <f t="shared" si="13"/>
        <v>1353.3999999999965</v>
      </c>
      <c r="K46" s="204" t="str">
        <f t="shared" si="14"/>
        <v/>
      </c>
      <c r="L46" s="295">
        <f t="shared" si="5"/>
        <v>39</v>
      </c>
      <c r="M46" s="295"/>
      <c r="N46" s="212">
        <f t="shared" si="15"/>
        <v>17.5</v>
      </c>
      <c r="O46" s="212"/>
      <c r="P46" s="212">
        <f t="shared" si="7"/>
        <v>465.5</v>
      </c>
      <c r="Q46" s="319" t="str">
        <f t="shared" si="8"/>
        <v/>
      </c>
      <c r="R46" s="319"/>
      <c r="S46" s="324" t="str">
        <f t="shared" si="9"/>
        <v/>
      </c>
      <c r="T46" s="324"/>
      <c r="U46" s="295" t="str">
        <f t="shared" si="10"/>
        <v/>
      </c>
      <c r="V46" s="327"/>
    </row>
    <row r="47" spans="1:32" x14ac:dyDescent="0.25">
      <c r="A47" s="217" t="s">
        <v>94</v>
      </c>
      <c r="B47" s="227">
        <v>0</v>
      </c>
      <c r="C47" s="228">
        <v>0</v>
      </c>
      <c r="D47" s="215">
        <f t="shared" ref="D47:D57" si="16">$D$19+B47</f>
        <v>1200</v>
      </c>
      <c r="E47" s="216">
        <f t="shared" ref="E47:E57" si="17">$D$18+C47</f>
        <v>2500</v>
      </c>
      <c r="H47" s="205">
        <v>42409</v>
      </c>
      <c r="I47" s="206">
        <f t="shared" si="12"/>
        <v>9.1</v>
      </c>
      <c r="J47" s="206">
        <f t="shared" si="13"/>
        <v>1362.4999999999964</v>
      </c>
      <c r="K47" s="204" t="str">
        <f t="shared" si="14"/>
        <v/>
      </c>
      <c r="L47" s="295">
        <f t="shared" si="5"/>
        <v>40</v>
      </c>
      <c r="M47" s="295"/>
      <c r="N47" s="212">
        <f t="shared" si="15"/>
        <v>17.5</v>
      </c>
      <c r="O47" s="212"/>
      <c r="P47" s="212">
        <f t="shared" si="7"/>
        <v>483</v>
      </c>
      <c r="Q47" s="319" t="str">
        <f t="shared" si="8"/>
        <v/>
      </c>
      <c r="R47" s="319"/>
      <c r="S47" s="324" t="str">
        <f t="shared" si="9"/>
        <v/>
      </c>
      <c r="T47" s="324"/>
      <c r="U47" s="295" t="str">
        <f t="shared" si="10"/>
        <v/>
      </c>
      <c r="V47" s="327"/>
    </row>
    <row r="48" spans="1:32" x14ac:dyDescent="0.25">
      <c r="A48" s="217" t="s">
        <v>83</v>
      </c>
      <c r="B48" s="227">
        <v>0</v>
      </c>
      <c r="C48" s="228">
        <v>0</v>
      </c>
      <c r="D48" s="215">
        <f t="shared" si="16"/>
        <v>1200</v>
      </c>
      <c r="E48" s="216">
        <f t="shared" si="17"/>
        <v>2500</v>
      </c>
      <c r="H48" s="205">
        <v>42410</v>
      </c>
      <c r="I48" s="206">
        <f t="shared" si="12"/>
        <v>9.1</v>
      </c>
      <c r="J48" s="206">
        <f t="shared" si="13"/>
        <v>1371.5999999999963</v>
      </c>
      <c r="K48" s="204" t="str">
        <f t="shared" si="14"/>
        <v/>
      </c>
      <c r="L48" s="295">
        <f t="shared" si="5"/>
        <v>41</v>
      </c>
      <c r="M48" s="295"/>
      <c r="N48" s="212">
        <f t="shared" si="15"/>
        <v>17.5</v>
      </c>
      <c r="O48" s="212"/>
      <c r="P48" s="212">
        <f t="shared" si="7"/>
        <v>500.5</v>
      </c>
      <c r="Q48" s="319" t="str">
        <f t="shared" si="8"/>
        <v/>
      </c>
      <c r="R48" s="319"/>
      <c r="S48" s="324" t="str">
        <f t="shared" si="9"/>
        <v/>
      </c>
      <c r="T48" s="324"/>
      <c r="U48" s="295" t="str">
        <f t="shared" si="10"/>
        <v/>
      </c>
      <c r="V48" s="327"/>
    </row>
    <row r="49" spans="1:22" x14ac:dyDescent="0.25">
      <c r="A49" s="217" t="s">
        <v>84</v>
      </c>
      <c r="B49" s="227">
        <v>0</v>
      </c>
      <c r="C49" s="228">
        <v>0</v>
      </c>
      <c r="D49" s="215">
        <f t="shared" si="16"/>
        <v>1200</v>
      </c>
      <c r="E49" s="216">
        <f t="shared" si="17"/>
        <v>2500</v>
      </c>
      <c r="H49" s="205">
        <v>42411</v>
      </c>
      <c r="I49" s="206">
        <f t="shared" si="12"/>
        <v>9.1</v>
      </c>
      <c r="J49" s="206">
        <f t="shared" si="13"/>
        <v>1380.6999999999962</v>
      </c>
      <c r="K49" s="204" t="str">
        <f t="shared" si="14"/>
        <v/>
      </c>
      <c r="L49" s="295">
        <f t="shared" si="5"/>
        <v>42</v>
      </c>
      <c r="M49" s="295"/>
      <c r="N49" s="212">
        <f t="shared" si="15"/>
        <v>17.5</v>
      </c>
      <c r="O49" s="212"/>
      <c r="P49" s="212">
        <f t="shared" si="7"/>
        <v>518</v>
      </c>
      <c r="Q49" s="319" t="str">
        <f t="shared" si="8"/>
        <v/>
      </c>
      <c r="R49" s="319"/>
      <c r="S49" s="324" t="str">
        <f t="shared" si="9"/>
        <v/>
      </c>
      <c r="T49" s="324"/>
      <c r="U49" s="295" t="str">
        <f t="shared" si="10"/>
        <v/>
      </c>
      <c r="V49" s="327"/>
    </row>
    <row r="50" spans="1:22" x14ac:dyDescent="0.25">
      <c r="A50" s="217" t="s">
        <v>85</v>
      </c>
      <c r="B50" s="227">
        <v>0</v>
      </c>
      <c r="C50" s="228">
        <v>0</v>
      </c>
      <c r="D50" s="215">
        <f t="shared" si="16"/>
        <v>1200</v>
      </c>
      <c r="E50" s="216">
        <f t="shared" si="17"/>
        <v>2500</v>
      </c>
      <c r="H50" s="205">
        <v>42412</v>
      </c>
      <c r="I50" s="206">
        <f t="shared" si="12"/>
        <v>9.1</v>
      </c>
      <c r="J50" s="206">
        <f t="shared" si="13"/>
        <v>1389.7999999999961</v>
      </c>
      <c r="K50" s="204" t="str">
        <f t="shared" si="14"/>
        <v/>
      </c>
      <c r="L50" s="295">
        <f t="shared" si="5"/>
        <v>43</v>
      </c>
      <c r="M50" s="295"/>
      <c r="N50" s="212">
        <f t="shared" si="15"/>
        <v>17.5</v>
      </c>
      <c r="O50" s="212"/>
      <c r="P50" s="212">
        <f t="shared" si="7"/>
        <v>535.5</v>
      </c>
      <c r="Q50" s="319" t="str">
        <f t="shared" si="8"/>
        <v/>
      </c>
      <c r="R50" s="319"/>
      <c r="S50" s="324" t="str">
        <f t="shared" si="9"/>
        <v/>
      </c>
      <c r="T50" s="324"/>
      <c r="U50" s="295" t="str">
        <f t="shared" si="10"/>
        <v/>
      </c>
      <c r="V50" s="327"/>
    </row>
    <row r="51" spans="1:22" x14ac:dyDescent="0.25">
      <c r="A51" s="217" t="s">
        <v>86</v>
      </c>
      <c r="B51" s="227">
        <v>0</v>
      </c>
      <c r="C51" s="228">
        <v>0</v>
      </c>
      <c r="D51" s="215">
        <f t="shared" si="16"/>
        <v>1200</v>
      </c>
      <c r="E51" s="216">
        <f t="shared" si="17"/>
        <v>2500</v>
      </c>
      <c r="H51" s="205">
        <v>42413</v>
      </c>
      <c r="I51" s="206">
        <f t="shared" si="12"/>
        <v>9.1</v>
      </c>
      <c r="J51" s="206">
        <f t="shared" si="13"/>
        <v>1398.899999999996</v>
      </c>
      <c r="K51" s="204" t="str">
        <f t="shared" si="14"/>
        <v/>
      </c>
      <c r="L51" s="295">
        <f t="shared" si="5"/>
        <v>44</v>
      </c>
      <c r="M51" s="295"/>
      <c r="N51" s="212">
        <f t="shared" si="15"/>
        <v>17.5</v>
      </c>
      <c r="O51" s="212"/>
      <c r="P51" s="212">
        <f t="shared" si="7"/>
        <v>553</v>
      </c>
      <c r="Q51" s="319" t="str">
        <f t="shared" si="8"/>
        <v/>
      </c>
      <c r="R51" s="319"/>
      <c r="S51" s="324" t="str">
        <f t="shared" si="9"/>
        <v/>
      </c>
      <c r="T51" s="324"/>
      <c r="U51" s="295" t="str">
        <f t="shared" si="10"/>
        <v/>
      </c>
      <c r="V51" s="327"/>
    </row>
    <row r="52" spans="1:22" x14ac:dyDescent="0.25">
      <c r="A52" s="217" t="s">
        <v>87</v>
      </c>
      <c r="B52" s="227">
        <v>0</v>
      </c>
      <c r="C52" s="228">
        <v>0</v>
      </c>
      <c r="D52" s="215">
        <f t="shared" si="16"/>
        <v>1200</v>
      </c>
      <c r="E52" s="216">
        <f t="shared" si="17"/>
        <v>2500</v>
      </c>
      <c r="H52" s="205">
        <v>42414</v>
      </c>
      <c r="I52" s="206">
        <f t="shared" si="12"/>
        <v>9.1</v>
      </c>
      <c r="J52" s="206">
        <f t="shared" si="13"/>
        <v>1407.9999999999959</v>
      </c>
      <c r="K52" s="204" t="str">
        <f t="shared" si="14"/>
        <v/>
      </c>
      <c r="L52" s="295">
        <f t="shared" si="5"/>
        <v>45</v>
      </c>
      <c r="M52" s="295"/>
      <c r="N52" s="212">
        <f t="shared" si="15"/>
        <v>17.5</v>
      </c>
      <c r="O52" s="212"/>
      <c r="P52" s="212">
        <f t="shared" si="7"/>
        <v>570.5</v>
      </c>
      <c r="Q52" s="319" t="str">
        <f t="shared" si="8"/>
        <v/>
      </c>
      <c r="R52" s="319"/>
      <c r="S52" s="324" t="str">
        <f t="shared" si="9"/>
        <v/>
      </c>
      <c r="T52" s="324"/>
      <c r="U52" s="295" t="str">
        <f t="shared" si="10"/>
        <v/>
      </c>
      <c r="V52" s="327"/>
    </row>
    <row r="53" spans="1:22" x14ac:dyDescent="0.25">
      <c r="A53" s="217" t="s">
        <v>88</v>
      </c>
      <c r="B53" s="227">
        <v>0</v>
      </c>
      <c r="C53" s="228">
        <v>0</v>
      </c>
      <c r="D53" s="215">
        <f t="shared" si="16"/>
        <v>1200</v>
      </c>
      <c r="E53" s="216">
        <f t="shared" si="17"/>
        <v>2500</v>
      </c>
      <c r="H53" s="205">
        <v>42415</v>
      </c>
      <c r="I53" s="206">
        <f t="shared" si="12"/>
        <v>9.1</v>
      </c>
      <c r="J53" s="206">
        <f t="shared" si="13"/>
        <v>1417.0999999999958</v>
      </c>
      <c r="K53" s="204" t="str">
        <f t="shared" si="14"/>
        <v/>
      </c>
      <c r="L53" s="295">
        <f t="shared" si="5"/>
        <v>46</v>
      </c>
      <c r="M53" s="295"/>
      <c r="N53" s="212">
        <f t="shared" si="15"/>
        <v>17.5</v>
      </c>
      <c r="O53" s="212"/>
      <c r="P53" s="212">
        <f t="shared" si="7"/>
        <v>588</v>
      </c>
      <c r="Q53" s="319" t="str">
        <f t="shared" si="8"/>
        <v/>
      </c>
      <c r="R53" s="319"/>
      <c r="S53" s="324" t="str">
        <f t="shared" si="9"/>
        <v/>
      </c>
      <c r="T53" s="324"/>
      <c r="U53" s="295" t="str">
        <f t="shared" si="10"/>
        <v/>
      </c>
      <c r="V53" s="327"/>
    </row>
    <row r="54" spans="1:22" x14ac:dyDescent="0.25">
      <c r="A54" s="217" t="s">
        <v>89</v>
      </c>
      <c r="B54" s="227">
        <v>0</v>
      </c>
      <c r="C54" s="228">
        <v>0</v>
      </c>
      <c r="D54" s="215">
        <f t="shared" si="16"/>
        <v>1200</v>
      </c>
      <c r="E54" s="216">
        <f t="shared" si="17"/>
        <v>2500</v>
      </c>
      <c r="H54" s="205">
        <v>42416</v>
      </c>
      <c r="I54" s="206">
        <f t="shared" si="12"/>
        <v>9.1</v>
      </c>
      <c r="J54" s="206">
        <f t="shared" si="13"/>
        <v>1426.1999999999957</v>
      </c>
      <c r="K54" s="204" t="str">
        <f t="shared" si="14"/>
        <v/>
      </c>
      <c r="L54" s="295">
        <f t="shared" si="5"/>
        <v>47</v>
      </c>
      <c r="M54" s="295"/>
      <c r="N54" s="212">
        <f t="shared" si="15"/>
        <v>17.5</v>
      </c>
      <c r="O54" s="212"/>
      <c r="P54" s="212">
        <f t="shared" si="7"/>
        <v>605.5</v>
      </c>
      <c r="Q54" s="319" t="str">
        <f t="shared" si="8"/>
        <v/>
      </c>
      <c r="R54" s="319"/>
      <c r="S54" s="324" t="str">
        <f t="shared" si="9"/>
        <v/>
      </c>
      <c r="T54" s="324"/>
      <c r="U54" s="295" t="str">
        <f t="shared" si="10"/>
        <v/>
      </c>
      <c r="V54" s="327"/>
    </row>
    <row r="55" spans="1:22" x14ac:dyDescent="0.25">
      <c r="A55" s="217" t="s">
        <v>90</v>
      </c>
      <c r="B55" s="227">
        <v>0</v>
      </c>
      <c r="C55" s="228">
        <v>0</v>
      </c>
      <c r="D55" s="215">
        <f t="shared" si="16"/>
        <v>1200</v>
      </c>
      <c r="E55" s="216">
        <f t="shared" si="17"/>
        <v>2500</v>
      </c>
      <c r="H55" s="205">
        <v>42417</v>
      </c>
      <c r="I55" s="206">
        <f t="shared" si="12"/>
        <v>9.1</v>
      </c>
      <c r="J55" s="206">
        <f t="shared" si="13"/>
        <v>1435.2999999999956</v>
      </c>
      <c r="K55" s="204" t="str">
        <f t="shared" si="14"/>
        <v/>
      </c>
      <c r="L55" s="295">
        <f t="shared" si="5"/>
        <v>48</v>
      </c>
      <c r="M55" s="295"/>
      <c r="N55" s="212">
        <f t="shared" si="15"/>
        <v>17.5</v>
      </c>
      <c r="O55" s="212"/>
      <c r="P55" s="212">
        <f t="shared" si="7"/>
        <v>623</v>
      </c>
      <c r="Q55" s="319" t="str">
        <f t="shared" si="8"/>
        <v/>
      </c>
      <c r="R55" s="319"/>
      <c r="S55" s="324" t="str">
        <f t="shared" si="9"/>
        <v/>
      </c>
      <c r="T55" s="324"/>
      <c r="U55" s="295" t="str">
        <f t="shared" si="10"/>
        <v/>
      </c>
      <c r="V55" s="327"/>
    </row>
    <row r="56" spans="1:22" x14ac:dyDescent="0.25">
      <c r="A56" s="217" t="s">
        <v>91</v>
      </c>
      <c r="B56" s="227">
        <v>0</v>
      </c>
      <c r="C56" s="228">
        <v>0</v>
      </c>
      <c r="D56" s="215">
        <f t="shared" si="16"/>
        <v>1200</v>
      </c>
      <c r="E56" s="216">
        <f t="shared" si="17"/>
        <v>2500</v>
      </c>
      <c r="H56" s="205">
        <v>42418</v>
      </c>
      <c r="I56" s="206">
        <f t="shared" si="12"/>
        <v>9.1</v>
      </c>
      <c r="J56" s="206">
        <f t="shared" si="13"/>
        <v>1444.3999999999955</v>
      </c>
      <c r="K56" s="204" t="str">
        <f t="shared" si="14"/>
        <v/>
      </c>
      <c r="L56" s="295">
        <f t="shared" si="5"/>
        <v>49</v>
      </c>
      <c r="M56" s="295"/>
      <c r="N56" s="212">
        <f t="shared" si="15"/>
        <v>17.5</v>
      </c>
      <c r="O56" s="212"/>
      <c r="P56" s="212">
        <f t="shared" si="7"/>
        <v>640.5</v>
      </c>
      <c r="Q56" s="319" t="str">
        <f t="shared" si="8"/>
        <v/>
      </c>
      <c r="R56" s="319"/>
      <c r="S56" s="324" t="str">
        <f t="shared" si="9"/>
        <v/>
      </c>
      <c r="T56" s="324"/>
      <c r="U56" s="295" t="str">
        <f t="shared" si="10"/>
        <v/>
      </c>
      <c r="V56" s="327"/>
    </row>
    <row r="57" spans="1:22" ht="15.75" thickBot="1" x14ac:dyDescent="0.3">
      <c r="A57" s="218" t="s">
        <v>92</v>
      </c>
      <c r="B57" s="229">
        <v>0</v>
      </c>
      <c r="C57" s="230">
        <v>0</v>
      </c>
      <c r="D57" s="219">
        <f t="shared" si="16"/>
        <v>1200</v>
      </c>
      <c r="E57" s="220">
        <f t="shared" si="17"/>
        <v>2500</v>
      </c>
      <c r="H57" s="205">
        <v>42419</v>
      </c>
      <c r="I57" s="206">
        <f t="shared" si="12"/>
        <v>9.1</v>
      </c>
      <c r="J57" s="206">
        <f t="shared" si="13"/>
        <v>1453.4999999999955</v>
      </c>
      <c r="K57" s="204" t="str">
        <f t="shared" si="14"/>
        <v/>
      </c>
      <c r="L57" s="295">
        <f t="shared" si="5"/>
        <v>50</v>
      </c>
      <c r="M57" s="295"/>
      <c r="N57" s="212">
        <f t="shared" si="15"/>
        <v>17.5</v>
      </c>
      <c r="O57" s="212"/>
      <c r="P57" s="212">
        <f t="shared" si="7"/>
        <v>658</v>
      </c>
      <c r="Q57" s="319" t="str">
        <f t="shared" si="8"/>
        <v/>
      </c>
      <c r="R57" s="319"/>
      <c r="S57" s="324" t="str">
        <f t="shared" si="9"/>
        <v/>
      </c>
      <c r="T57" s="324"/>
      <c r="U57" s="295" t="str">
        <f t="shared" si="10"/>
        <v/>
      </c>
      <c r="V57" s="327"/>
    </row>
    <row r="58" spans="1:22" x14ac:dyDescent="0.25">
      <c r="A58" s="343" t="s">
        <v>139</v>
      </c>
      <c r="B58" s="344"/>
      <c r="C58" s="345"/>
      <c r="D58" s="340" t="s">
        <v>140</v>
      </c>
      <c r="E58" s="341"/>
      <c r="H58" s="205">
        <v>42420</v>
      </c>
      <c r="I58" s="206">
        <f t="shared" si="12"/>
        <v>9.1</v>
      </c>
      <c r="J58" s="206">
        <f t="shared" si="13"/>
        <v>1462.5999999999954</v>
      </c>
      <c r="K58" s="204" t="str">
        <f t="shared" si="14"/>
        <v/>
      </c>
      <c r="L58" s="295">
        <f t="shared" si="5"/>
        <v>51</v>
      </c>
      <c r="M58" s="295"/>
      <c r="N58" s="212">
        <f t="shared" si="15"/>
        <v>17.5</v>
      </c>
      <c r="O58" s="212"/>
      <c r="P58" s="212">
        <f t="shared" si="7"/>
        <v>675.5</v>
      </c>
      <c r="Q58" s="319" t="str">
        <f t="shared" si="8"/>
        <v/>
      </c>
      <c r="R58" s="319"/>
      <c r="S58" s="324" t="str">
        <f t="shared" si="9"/>
        <v/>
      </c>
      <c r="T58" s="324"/>
      <c r="U58" s="295" t="str">
        <f t="shared" si="10"/>
        <v/>
      </c>
      <c r="V58" s="327"/>
    </row>
    <row r="59" spans="1:22" x14ac:dyDescent="0.25">
      <c r="A59" s="346"/>
      <c r="B59" s="333"/>
      <c r="C59" s="347"/>
      <c r="H59" s="205">
        <v>42421</v>
      </c>
      <c r="I59" s="206">
        <f t="shared" si="12"/>
        <v>9.1</v>
      </c>
      <c r="J59" s="206">
        <f t="shared" si="13"/>
        <v>1471.6999999999953</v>
      </c>
      <c r="K59" s="204" t="str">
        <f t="shared" si="14"/>
        <v/>
      </c>
      <c r="L59" s="295">
        <f t="shared" si="5"/>
        <v>52</v>
      </c>
      <c r="M59" s="295"/>
      <c r="N59" s="212">
        <f t="shared" si="15"/>
        <v>17.5</v>
      </c>
      <c r="O59" s="212"/>
      <c r="P59" s="212">
        <f t="shared" si="7"/>
        <v>693</v>
      </c>
      <c r="Q59" s="319" t="str">
        <f t="shared" si="8"/>
        <v/>
      </c>
      <c r="R59" s="319"/>
      <c r="S59" s="324" t="str">
        <f t="shared" si="9"/>
        <v/>
      </c>
      <c r="T59" s="324"/>
      <c r="U59" s="295" t="str">
        <f t="shared" si="10"/>
        <v/>
      </c>
      <c r="V59" s="327"/>
    </row>
    <row r="60" spans="1:22" ht="15.75" thickBot="1" x14ac:dyDescent="0.3">
      <c r="A60" s="348"/>
      <c r="B60" s="349"/>
      <c r="C60" s="350"/>
      <c r="H60" s="205">
        <v>42422</v>
      </c>
      <c r="I60" s="206">
        <f t="shared" si="12"/>
        <v>9.1</v>
      </c>
      <c r="J60" s="206">
        <f t="shared" si="13"/>
        <v>1480.7999999999952</v>
      </c>
      <c r="K60" s="204" t="str">
        <f t="shared" si="14"/>
        <v/>
      </c>
      <c r="L60" s="295">
        <f t="shared" si="5"/>
        <v>53</v>
      </c>
      <c r="M60" s="295"/>
      <c r="N60" s="212">
        <f t="shared" si="15"/>
        <v>17.5</v>
      </c>
      <c r="O60" s="212"/>
      <c r="P60" s="212">
        <f t="shared" si="7"/>
        <v>710.5</v>
      </c>
      <c r="Q60" s="319" t="str">
        <f t="shared" si="8"/>
        <v/>
      </c>
      <c r="R60" s="319"/>
      <c r="S60" s="324" t="str">
        <f t="shared" si="9"/>
        <v/>
      </c>
      <c r="T60" s="324"/>
      <c r="U60" s="295" t="str">
        <f t="shared" si="10"/>
        <v/>
      </c>
      <c r="V60" s="327"/>
    </row>
    <row r="61" spans="1:22" x14ac:dyDescent="0.25">
      <c r="H61" s="205">
        <v>42423</v>
      </c>
      <c r="I61" s="206">
        <f t="shared" si="12"/>
        <v>9.1</v>
      </c>
      <c r="J61" s="206">
        <f t="shared" si="13"/>
        <v>1489.8999999999951</v>
      </c>
      <c r="K61" s="204" t="str">
        <f t="shared" si="14"/>
        <v/>
      </c>
      <c r="L61" s="295">
        <f t="shared" si="5"/>
        <v>54</v>
      </c>
      <c r="M61" s="295"/>
      <c r="N61" s="212">
        <f t="shared" si="15"/>
        <v>17.5</v>
      </c>
      <c r="O61" s="212"/>
      <c r="P61" s="212">
        <f t="shared" si="7"/>
        <v>728</v>
      </c>
      <c r="Q61" s="319" t="str">
        <f t="shared" si="8"/>
        <v/>
      </c>
      <c r="R61" s="319"/>
      <c r="S61" s="324" t="str">
        <f t="shared" si="9"/>
        <v/>
      </c>
      <c r="T61" s="324"/>
      <c r="U61" s="295" t="str">
        <f t="shared" si="10"/>
        <v/>
      </c>
      <c r="V61" s="327"/>
    </row>
    <row r="62" spans="1:22" x14ac:dyDescent="0.25">
      <c r="H62" s="205">
        <v>42424</v>
      </c>
      <c r="I62" s="206">
        <f t="shared" si="12"/>
        <v>9.1</v>
      </c>
      <c r="J62" s="206">
        <f t="shared" si="13"/>
        <v>1498.999999999995</v>
      </c>
      <c r="K62" s="204" t="str">
        <f t="shared" si="14"/>
        <v/>
      </c>
      <c r="L62" s="295">
        <f t="shared" si="5"/>
        <v>55</v>
      </c>
      <c r="M62" s="295"/>
      <c r="N62" s="212">
        <f t="shared" si="15"/>
        <v>17.5</v>
      </c>
      <c r="O62" s="212"/>
      <c r="P62" s="212">
        <f t="shared" si="7"/>
        <v>745.5</v>
      </c>
      <c r="Q62" s="319" t="str">
        <f t="shared" si="8"/>
        <v/>
      </c>
      <c r="R62" s="319"/>
      <c r="S62" s="324" t="str">
        <f t="shared" si="9"/>
        <v/>
      </c>
      <c r="T62" s="324"/>
      <c r="U62" s="295" t="str">
        <f t="shared" si="10"/>
        <v/>
      </c>
      <c r="V62" s="327"/>
    </row>
    <row r="63" spans="1:22" x14ac:dyDescent="0.25">
      <c r="H63" s="205">
        <v>42425</v>
      </c>
      <c r="I63" s="206">
        <f t="shared" si="12"/>
        <v>9.1</v>
      </c>
      <c r="J63" s="206">
        <f t="shared" si="13"/>
        <v>1508.0999999999949</v>
      </c>
      <c r="K63" s="204" t="str">
        <f t="shared" si="14"/>
        <v/>
      </c>
      <c r="L63" s="295">
        <f t="shared" si="5"/>
        <v>56</v>
      </c>
      <c r="M63" s="295"/>
      <c r="N63" s="212">
        <f t="shared" si="15"/>
        <v>17.5</v>
      </c>
      <c r="O63" s="212"/>
      <c r="P63" s="212">
        <f t="shared" si="7"/>
        <v>763</v>
      </c>
      <c r="Q63" s="319" t="str">
        <f t="shared" si="8"/>
        <v/>
      </c>
      <c r="R63" s="319"/>
      <c r="S63" s="324" t="str">
        <f t="shared" si="9"/>
        <v/>
      </c>
      <c r="T63" s="324"/>
      <c r="U63" s="295" t="str">
        <f t="shared" si="10"/>
        <v/>
      </c>
      <c r="V63" s="327"/>
    </row>
    <row r="64" spans="1:22" x14ac:dyDescent="0.25">
      <c r="H64" s="205">
        <v>42426</v>
      </c>
      <c r="I64" s="206">
        <f t="shared" si="12"/>
        <v>9.1</v>
      </c>
      <c r="J64" s="206">
        <f t="shared" si="13"/>
        <v>1517.1999999999948</v>
      </c>
      <c r="K64" s="204" t="str">
        <f t="shared" si="14"/>
        <v/>
      </c>
      <c r="L64" s="295">
        <f t="shared" si="5"/>
        <v>57</v>
      </c>
      <c r="M64" s="295"/>
      <c r="N64" s="212">
        <f t="shared" si="15"/>
        <v>17.5</v>
      </c>
      <c r="O64" s="212"/>
      <c r="P64" s="212">
        <f t="shared" si="7"/>
        <v>780.5</v>
      </c>
      <c r="Q64" s="319" t="str">
        <f t="shared" si="8"/>
        <v/>
      </c>
      <c r="R64" s="319"/>
      <c r="S64" s="324" t="str">
        <f t="shared" si="9"/>
        <v/>
      </c>
      <c r="T64" s="324"/>
      <c r="U64" s="295" t="str">
        <f t="shared" si="10"/>
        <v/>
      </c>
      <c r="V64" s="327"/>
    </row>
    <row r="65" spans="8:22" x14ac:dyDescent="0.25">
      <c r="H65" s="205">
        <v>42427</v>
      </c>
      <c r="I65" s="206">
        <f t="shared" si="12"/>
        <v>9.1</v>
      </c>
      <c r="J65" s="206">
        <f t="shared" si="13"/>
        <v>1526.2999999999947</v>
      </c>
      <c r="K65" s="204" t="str">
        <f t="shared" si="14"/>
        <v/>
      </c>
      <c r="L65" s="295">
        <f t="shared" si="5"/>
        <v>58</v>
      </c>
      <c r="M65" s="295"/>
      <c r="N65" s="212">
        <f t="shared" si="15"/>
        <v>17.5</v>
      </c>
      <c r="O65" s="212"/>
      <c r="P65" s="212">
        <f t="shared" si="7"/>
        <v>798</v>
      </c>
      <c r="Q65" s="319" t="str">
        <f t="shared" si="8"/>
        <v/>
      </c>
      <c r="R65" s="319"/>
      <c r="S65" s="324" t="str">
        <f t="shared" si="9"/>
        <v/>
      </c>
      <c r="T65" s="324"/>
      <c r="U65" s="295" t="str">
        <f t="shared" si="10"/>
        <v/>
      </c>
      <c r="V65" s="327"/>
    </row>
    <row r="66" spans="8:22" x14ac:dyDescent="0.25">
      <c r="H66" s="205">
        <v>42428</v>
      </c>
      <c r="I66" s="206">
        <f t="shared" si="12"/>
        <v>9.1</v>
      </c>
      <c r="J66" s="206">
        <f t="shared" si="13"/>
        <v>1535.3999999999946</v>
      </c>
      <c r="K66" s="204" t="str">
        <f t="shared" si="14"/>
        <v/>
      </c>
      <c r="L66" s="295">
        <f t="shared" si="5"/>
        <v>59</v>
      </c>
      <c r="M66" s="295"/>
      <c r="N66" s="212">
        <f t="shared" si="15"/>
        <v>17.5</v>
      </c>
      <c r="O66" s="212"/>
      <c r="P66" s="212">
        <f t="shared" si="7"/>
        <v>815.5</v>
      </c>
      <c r="Q66" s="319" t="str">
        <f t="shared" si="8"/>
        <v/>
      </c>
      <c r="R66" s="319"/>
      <c r="S66" s="324" t="str">
        <f t="shared" si="9"/>
        <v/>
      </c>
      <c r="T66" s="324"/>
      <c r="U66" s="295" t="str">
        <f t="shared" si="10"/>
        <v/>
      </c>
      <c r="V66" s="327"/>
    </row>
    <row r="67" spans="8:22" x14ac:dyDescent="0.25">
      <c r="H67" s="205">
        <v>42430</v>
      </c>
      <c r="I67" s="206">
        <f t="shared" ref="I67:I97" si="18">$B$7</f>
        <v>19.5</v>
      </c>
      <c r="J67" s="206">
        <f>IF(J66&gt;$E$48,$D$48+I67,J66+I67)</f>
        <v>1554.8999999999946</v>
      </c>
      <c r="K67" s="204" t="str">
        <f>IF(J66&gt;$E$48,H66,"")</f>
        <v/>
      </c>
      <c r="L67" s="295">
        <f t="shared" si="5"/>
        <v>60</v>
      </c>
      <c r="M67" s="295"/>
      <c r="N67" s="212">
        <f>$D$28</f>
        <v>19.599999999999998</v>
      </c>
      <c r="O67" s="212"/>
      <c r="P67" s="212">
        <f t="shared" si="7"/>
        <v>835.1</v>
      </c>
      <c r="Q67" s="319" t="str">
        <f t="shared" si="8"/>
        <v/>
      </c>
      <c r="R67" s="319"/>
      <c r="S67" s="324" t="str">
        <f t="shared" si="9"/>
        <v/>
      </c>
      <c r="T67" s="324"/>
      <c r="U67" s="295" t="str">
        <f t="shared" si="10"/>
        <v/>
      </c>
      <c r="V67" s="327"/>
    </row>
    <row r="68" spans="8:22" x14ac:dyDescent="0.25">
      <c r="H68" s="205">
        <v>42431</v>
      </c>
      <c r="I68" s="206">
        <f t="shared" si="18"/>
        <v>19.5</v>
      </c>
      <c r="J68" s="206">
        <f t="shared" ref="J68:J97" si="19">IF(J67&gt;$E$48,$D$48+I68,J67+I68)</f>
        <v>1574.3999999999946</v>
      </c>
      <c r="K68" s="204" t="str">
        <f t="shared" ref="K68:K97" si="20">IF(J67&gt;$E$48,H67,"")</f>
        <v/>
      </c>
      <c r="L68" s="295">
        <f t="shared" si="5"/>
        <v>61</v>
      </c>
      <c r="M68" s="295"/>
      <c r="N68" s="212">
        <f t="shared" ref="N68:N97" si="21">$D$28</f>
        <v>19.599999999999998</v>
      </c>
      <c r="O68" s="212"/>
      <c r="P68" s="212">
        <f t="shared" si="7"/>
        <v>854.7</v>
      </c>
      <c r="Q68" s="319" t="str">
        <f t="shared" si="8"/>
        <v/>
      </c>
      <c r="R68" s="319"/>
      <c r="S68" s="324" t="str">
        <f t="shared" si="9"/>
        <v/>
      </c>
      <c r="T68" s="324"/>
      <c r="U68" s="295" t="str">
        <f t="shared" si="10"/>
        <v/>
      </c>
      <c r="V68" s="327"/>
    </row>
    <row r="69" spans="8:22" x14ac:dyDescent="0.25">
      <c r="H69" s="205">
        <v>42432</v>
      </c>
      <c r="I69" s="206">
        <f t="shared" si="18"/>
        <v>19.5</v>
      </c>
      <c r="J69" s="206">
        <f t="shared" si="19"/>
        <v>1593.8999999999946</v>
      </c>
      <c r="K69" s="204" t="str">
        <f t="shared" si="20"/>
        <v/>
      </c>
      <c r="L69" s="295">
        <f t="shared" si="5"/>
        <v>62</v>
      </c>
      <c r="M69" s="295"/>
      <c r="N69" s="212">
        <f t="shared" si="21"/>
        <v>19.599999999999998</v>
      </c>
      <c r="O69" s="212"/>
      <c r="P69" s="212">
        <f t="shared" si="7"/>
        <v>874.30000000000007</v>
      </c>
      <c r="Q69" s="319" t="str">
        <f t="shared" si="8"/>
        <v/>
      </c>
      <c r="R69" s="319"/>
      <c r="S69" s="324" t="str">
        <f t="shared" si="9"/>
        <v/>
      </c>
      <c r="T69" s="324"/>
      <c r="U69" s="295" t="str">
        <f t="shared" si="10"/>
        <v/>
      </c>
      <c r="V69" s="327"/>
    </row>
    <row r="70" spans="8:22" x14ac:dyDescent="0.25">
      <c r="H70" s="205">
        <v>42433</v>
      </c>
      <c r="I70" s="206">
        <f t="shared" si="18"/>
        <v>19.5</v>
      </c>
      <c r="J70" s="206">
        <f t="shared" si="19"/>
        <v>1613.3999999999946</v>
      </c>
      <c r="K70" s="204" t="str">
        <f t="shared" si="20"/>
        <v/>
      </c>
      <c r="L70" s="295">
        <f t="shared" si="5"/>
        <v>63</v>
      </c>
      <c r="M70" s="295"/>
      <c r="N70" s="212">
        <f t="shared" si="21"/>
        <v>19.599999999999998</v>
      </c>
      <c r="O70" s="212"/>
      <c r="P70" s="212">
        <f t="shared" si="7"/>
        <v>893.90000000000009</v>
      </c>
      <c r="Q70" s="319" t="str">
        <f t="shared" si="8"/>
        <v/>
      </c>
      <c r="R70" s="319"/>
      <c r="S70" s="324" t="str">
        <f t="shared" si="9"/>
        <v/>
      </c>
      <c r="T70" s="324"/>
      <c r="U70" s="295" t="str">
        <f t="shared" si="10"/>
        <v/>
      </c>
      <c r="V70" s="327"/>
    </row>
    <row r="71" spans="8:22" x14ac:dyDescent="0.25">
      <c r="H71" s="205">
        <v>42434</v>
      </c>
      <c r="I71" s="206">
        <f t="shared" si="18"/>
        <v>19.5</v>
      </c>
      <c r="J71" s="206">
        <f t="shared" si="19"/>
        <v>1632.8999999999946</v>
      </c>
      <c r="K71" s="204" t="str">
        <f t="shared" si="20"/>
        <v/>
      </c>
      <c r="L71" s="295">
        <f t="shared" si="5"/>
        <v>64</v>
      </c>
      <c r="M71" s="295"/>
      <c r="N71" s="212">
        <f t="shared" si="21"/>
        <v>19.599999999999998</v>
      </c>
      <c r="O71" s="212"/>
      <c r="P71" s="212">
        <f t="shared" si="7"/>
        <v>913.50000000000011</v>
      </c>
      <c r="Q71" s="319" t="str">
        <f t="shared" si="8"/>
        <v/>
      </c>
      <c r="R71" s="319"/>
      <c r="S71" s="324" t="str">
        <f t="shared" si="9"/>
        <v/>
      </c>
      <c r="T71" s="324"/>
      <c r="U71" s="295" t="str">
        <f t="shared" si="10"/>
        <v/>
      </c>
      <c r="V71" s="327"/>
    </row>
    <row r="72" spans="8:22" x14ac:dyDescent="0.25">
      <c r="H72" s="205">
        <v>42435</v>
      </c>
      <c r="I72" s="206">
        <f t="shared" si="18"/>
        <v>19.5</v>
      </c>
      <c r="J72" s="206">
        <f t="shared" si="19"/>
        <v>1652.3999999999946</v>
      </c>
      <c r="K72" s="204" t="str">
        <f t="shared" si="20"/>
        <v/>
      </c>
      <c r="L72" s="295">
        <f t="shared" si="5"/>
        <v>65</v>
      </c>
      <c r="M72" s="295"/>
      <c r="N72" s="212">
        <f t="shared" si="21"/>
        <v>19.599999999999998</v>
      </c>
      <c r="O72" s="212"/>
      <c r="P72" s="212">
        <f t="shared" si="7"/>
        <v>933.10000000000014</v>
      </c>
      <c r="Q72" s="319" t="str">
        <f t="shared" si="8"/>
        <v/>
      </c>
      <c r="R72" s="319"/>
      <c r="S72" s="324" t="str">
        <f t="shared" si="9"/>
        <v/>
      </c>
      <c r="T72" s="324"/>
      <c r="U72" s="295" t="str">
        <f t="shared" si="10"/>
        <v/>
      </c>
      <c r="V72" s="327"/>
    </row>
    <row r="73" spans="8:22" x14ac:dyDescent="0.25">
      <c r="H73" s="205">
        <v>42436</v>
      </c>
      <c r="I73" s="206">
        <f t="shared" si="18"/>
        <v>19.5</v>
      </c>
      <c r="J73" s="206">
        <f t="shared" si="19"/>
        <v>1671.8999999999946</v>
      </c>
      <c r="K73" s="204" t="str">
        <f t="shared" si="20"/>
        <v/>
      </c>
      <c r="L73" s="295">
        <f t="shared" ref="L73:L136" si="22">IF(K73="",1+L72,0)</f>
        <v>66</v>
      </c>
      <c r="M73" s="295"/>
      <c r="N73" s="212">
        <f t="shared" si="21"/>
        <v>19.599999999999998</v>
      </c>
      <c r="O73" s="212"/>
      <c r="P73" s="212">
        <f t="shared" ref="P73:P136" si="23">IF(L73=0,N73,N73+P72)</f>
        <v>952.70000000000016</v>
      </c>
      <c r="Q73" s="319" t="str">
        <f t="shared" ref="Q73:Q136" si="24">IF(L73=0,P72/L72,"")</f>
        <v/>
      </c>
      <c r="R73" s="319"/>
      <c r="S73" s="324" t="str">
        <f t="shared" ref="S73:S136" si="25">IFERROR(Q73/$D$21,"")</f>
        <v/>
      </c>
      <c r="T73" s="324"/>
      <c r="U73" s="295" t="str">
        <f t="shared" ref="U73:U136" si="26">IF(L73=0,$D$39*L72,"")</f>
        <v/>
      </c>
      <c r="V73" s="327"/>
    </row>
    <row r="74" spans="8:22" x14ac:dyDescent="0.25">
      <c r="H74" s="205">
        <v>42437</v>
      </c>
      <c r="I74" s="206">
        <f t="shared" si="18"/>
        <v>19.5</v>
      </c>
      <c r="J74" s="206">
        <f t="shared" si="19"/>
        <v>1691.3999999999946</v>
      </c>
      <c r="K74" s="204" t="str">
        <f t="shared" si="20"/>
        <v/>
      </c>
      <c r="L74" s="295">
        <f t="shared" si="22"/>
        <v>67</v>
      </c>
      <c r="M74" s="295"/>
      <c r="N74" s="212">
        <f t="shared" si="21"/>
        <v>19.599999999999998</v>
      </c>
      <c r="O74" s="212"/>
      <c r="P74" s="212">
        <f t="shared" si="23"/>
        <v>972.30000000000018</v>
      </c>
      <c r="Q74" s="319" t="str">
        <f t="shared" si="24"/>
        <v/>
      </c>
      <c r="R74" s="319"/>
      <c r="S74" s="324" t="str">
        <f t="shared" si="25"/>
        <v/>
      </c>
      <c r="T74" s="324"/>
      <c r="U74" s="295" t="str">
        <f t="shared" si="26"/>
        <v/>
      </c>
      <c r="V74" s="327"/>
    </row>
    <row r="75" spans="8:22" x14ac:dyDescent="0.25">
      <c r="H75" s="205">
        <v>42438</v>
      </c>
      <c r="I75" s="206">
        <f t="shared" si="18"/>
        <v>19.5</v>
      </c>
      <c r="J75" s="206">
        <f t="shared" si="19"/>
        <v>1710.8999999999946</v>
      </c>
      <c r="K75" s="204" t="str">
        <f t="shared" si="20"/>
        <v/>
      </c>
      <c r="L75" s="295">
        <f t="shared" si="22"/>
        <v>68</v>
      </c>
      <c r="M75" s="295"/>
      <c r="N75" s="212">
        <f t="shared" si="21"/>
        <v>19.599999999999998</v>
      </c>
      <c r="O75" s="212"/>
      <c r="P75" s="212">
        <f t="shared" si="23"/>
        <v>991.9000000000002</v>
      </c>
      <c r="Q75" s="319" t="str">
        <f t="shared" si="24"/>
        <v/>
      </c>
      <c r="R75" s="319"/>
      <c r="S75" s="324" t="str">
        <f t="shared" si="25"/>
        <v/>
      </c>
      <c r="T75" s="324"/>
      <c r="U75" s="295" t="str">
        <f t="shared" si="26"/>
        <v/>
      </c>
      <c r="V75" s="327"/>
    </row>
    <row r="76" spans="8:22" x14ac:dyDescent="0.25">
      <c r="H76" s="205">
        <v>42439</v>
      </c>
      <c r="I76" s="206">
        <f t="shared" si="18"/>
        <v>19.5</v>
      </c>
      <c r="J76" s="206">
        <f t="shared" si="19"/>
        <v>1730.3999999999946</v>
      </c>
      <c r="K76" s="204" t="str">
        <f t="shared" si="20"/>
        <v/>
      </c>
      <c r="L76" s="295">
        <f t="shared" si="22"/>
        <v>69</v>
      </c>
      <c r="M76" s="295"/>
      <c r="N76" s="212">
        <f t="shared" si="21"/>
        <v>19.599999999999998</v>
      </c>
      <c r="O76" s="212"/>
      <c r="P76" s="212">
        <f t="shared" si="23"/>
        <v>1011.5000000000002</v>
      </c>
      <c r="Q76" s="319" t="str">
        <f t="shared" si="24"/>
        <v/>
      </c>
      <c r="R76" s="319"/>
      <c r="S76" s="324" t="str">
        <f t="shared" si="25"/>
        <v/>
      </c>
      <c r="T76" s="324"/>
      <c r="U76" s="295" t="str">
        <f t="shared" si="26"/>
        <v/>
      </c>
      <c r="V76" s="327"/>
    </row>
    <row r="77" spans="8:22" x14ac:dyDescent="0.25">
      <c r="H77" s="205">
        <v>42440</v>
      </c>
      <c r="I77" s="206">
        <f t="shared" si="18"/>
        <v>19.5</v>
      </c>
      <c r="J77" s="206">
        <f t="shared" si="19"/>
        <v>1749.8999999999946</v>
      </c>
      <c r="K77" s="204" t="str">
        <f t="shared" si="20"/>
        <v/>
      </c>
      <c r="L77" s="295">
        <f t="shared" si="22"/>
        <v>70</v>
      </c>
      <c r="M77" s="295"/>
      <c r="N77" s="212">
        <f t="shared" si="21"/>
        <v>19.599999999999998</v>
      </c>
      <c r="O77" s="212"/>
      <c r="P77" s="212">
        <f t="shared" si="23"/>
        <v>1031.1000000000001</v>
      </c>
      <c r="Q77" s="319" t="str">
        <f t="shared" si="24"/>
        <v/>
      </c>
      <c r="R77" s="319"/>
      <c r="S77" s="324" t="str">
        <f t="shared" si="25"/>
        <v/>
      </c>
      <c r="T77" s="324"/>
      <c r="U77" s="295" t="str">
        <f t="shared" si="26"/>
        <v/>
      </c>
      <c r="V77" s="327"/>
    </row>
    <row r="78" spans="8:22" x14ac:dyDescent="0.25">
      <c r="H78" s="205">
        <v>42441</v>
      </c>
      <c r="I78" s="206">
        <f t="shared" si="18"/>
        <v>19.5</v>
      </c>
      <c r="J78" s="206">
        <f t="shared" si="19"/>
        <v>1769.3999999999946</v>
      </c>
      <c r="K78" s="204" t="str">
        <f t="shared" si="20"/>
        <v/>
      </c>
      <c r="L78" s="295">
        <f t="shared" si="22"/>
        <v>71</v>
      </c>
      <c r="M78" s="295"/>
      <c r="N78" s="212">
        <f t="shared" si="21"/>
        <v>19.599999999999998</v>
      </c>
      <c r="O78" s="212"/>
      <c r="P78" s="212">
        <f t="shared" si="23"/>
        <v>1050.7</v>
      </c>
      <c r="Q78" s="319" t="str">
        <f t="shared" si="24"/>
        <v/>
      </c>
      <c r="R78" s="319"/>
      <c r="S78" s="324" t="str">
        <f t="shared" si="25"/>
        <v/>
      </c>
      <c r="T78" s="324"/>
      <c r="U78" s="295" t="str">
        <f t="shared" si="26"/>
        <v/>
      </c>
      <c r="V78" s="327"/>
    </row>
    <row r="79" spans="8:22" x14ac:dyDescent="0.25">
      <c r="H79" s="205">
        <v>42442</v>
      </c>
      <c r="I79" s="206">
        <f t="shared" si="18"/>
        <v>19.5</v>
      </c>
      <c r="J79" s="206">
        <f t="shared" si="19"/>
        <v>1788.8999999999946</v>
      </c>
      <c r="K79" s="204" t="str">
        <f t="shared" si="20"/>
        <v/>
      </c>
      <c r="L79" s="295">
        <f t="shared" si="22"/>
        <v>72</v>
      </c>
      <c r="M79" s="295"/>
      <c r="N79" s="212">
        <f t="shared" si="21"/>
        <v>19.599999999999998</v>
      </c>
      <c r="O79" s="212"/>
      <c r="P79" s="212">
        <f t="shared" si="23"/>
        <v>1070.3</v>
      </c>
      <c r="Q79" s="319" t="str">
        <f t="shared" si="24"/>
        <v/>
      </c>
      <c r="R79" s="319"/>
      <c r="S79" s="324" t="str">
        <f t="shared" si="25"/>
        <v/>
      </c>
      <c r="T79" s="324"/>
      <c r="U79" s="295" t="str">
        <f t="shared" si="26"/>
        <v/>
      </c>
      <c r="V79" s="327"/>
    </row>
    <row r="80" spans="8:22" x14ac:dyDescent="0.25">
      <c r="H80" s="205">
        <v>42443</v>
      </c>
      <c r="I80" s="206">
        <f t="shared" si="18"/>
        <v>19.5</v>
      </c>
      <c r="J80" s="206">
        <f t="shared" si="19"/>
        <v>1808.3999999999946</v>
      </c>
      <c r="K80" s="204" t="str">
        <f t="shared" si="20"/>
        <v/>
      </c>
      <c r="L80" s="295">
        <f t="shared" si="22"/>
        <v>73</v>
      </c>
      <c r="M80" s="295"/>
      <c r="N80" s="212">
        <f t="shared" si="21"/>
        <v>19.599999999999998</v>
      </c>
      <c r="O80" s="212"/>
      <c r="P80" s="212">
        <f t="shared" si="23"/>
        <v>1089.8999999999999</v>
      </c>
      <c r="Q80" s="319" t="str">
        <f t="shared" si="24"/>
        <v/>
      </c>
      <c r="R80" s="319"/>
      <c r="S80" s="324" t="str">
        <f t="shared" si="25"/>
        <v/>
      </c>
      <c r="T80" s="324"/>
      <c r="U80" s="295" t="str">
        <f t="shared" si="26"/>
        <v/>
      </c>
      <c r="V80" s="327"/>
    </row>
    <row r="81" spans="8:22" x14ac:dyDescent="0.25">
      <c r="H81" s="205">
        <v>42444</v>
      </c>
      <c r="I81" s="206">
        <f t="shared" si="18"/>
        <v>19.5</v>
      </c>
      <c r="J81" s="206">
        <f t="shared" si="19"/>
        <v>1827.8999999999946</v>
      </c>
      <c r="K81" s="204" t="str">
        <f t="shared" si="20"/>
        <v/>
      </c>
      <c r="L81" s="295">
        <f t="shared" si="22"/>
        <v>74</v>
      </c>
      <c r="M81" s="295"/>
      <c r="N81" s="212">
        <f t="shared" si="21"/>
        <v>19.599999999999998</v>
      </c>
      <c r="O81" s="212"/>
      <c r="P81" s="212">
        <f t="shared" si="23"/>
        <v>1109.4999999999998</v>
      </c>
      <c r="Q81" s="319" t="str">
        <f t="shared" si="24"/>
        <v/>
      </c>
      <c r="R81" s="319"/>
      <c r="S81" s="324" t="str">
        <f t="shared" si="25"/>
        <v/>
      </c>
      <c r="T81" s="324"/>
      <c r="U81" s="295" t="str">
        <f t="shared" si="26"/>
        <v/>
      </c>
      <c r="V81" s="327"/>
    </row>
    <row r="82" spans="8:22" x14ac:dyDescent="0.25">
      <c r="H82" s="205">
        <v>42445</v>
      </c>
      <c r="I82" s="206">
        <f t="shared" si="18"/>
        <v>19.5</v>
      </c>
      <c r="J82" s="206">
        <f t="shared" si="19"/>
        <v>1847.3999999999946</v>
      </c>
      <c r="K82" s="204" t="str">
        <f t="shared" si="20"/>
        <v/>
      </c>
      <c r="L82" s="295">
        <f t="shared" si="22"/>
        <v>75</v>
      </c>
      <c r="M82" s="295"/>
      <c r="N82" s="212">
        <f t="shared" si="21"/>
        <v>19.599999999999998</v>
      </c>
      <c r="O82" s="212"/>
      <c r="P82" s="212">
        <f t="shared" si="23"/>
        <v>1129.0999999999997</v>
      </c>
      <c r="Q82" s="319" t="str">
        <f t="shared" si="24"/>
        <v/>
      </c>
      <c r="R82" s="319"/>
      <c r="S82" s="324" t="str">
        <f t="shared" si="25"/>
        <v/>
      </c>
      <c r="T82" s="324"/>
      <c r="U82" s="295" t="str">
        <f t="shared" si="26"/>
        <v/>
      </c>
      <c r="V82" s="327"/>
    </row>
    <row r="83" spans="8:22" x14ac:dyDescent="0.25">
      <c r="H83" s="205">
        <v>42446</v>
      </c>
      <c r="I83" s="206">
        <f t="shared" si="18"/>
        <v>19.5</v>
      </c>
      <c r="J83" s="206">
        <f t="shared" si="19"/>
        <v>1866.8999999999946</v>
      </c>
      <c r="K83" s="204" t="str">
        <f t="shared" si="20"/>
        <v/>
      </c>
      <c r="L83" s="295">
        <f t="shared" si="22"/>
        <v>76</v>
      </c>
      <c r="M83" s="295"/>
      <c r="N83" s="212">
        <f t="shared" si="21"/>
        <v>19.599999999999998</v>
      </c>
      <c r="O83" s="212"/>
      <c r="P83" s="212">
        <f t="shared" si="23"/>
        <v>1148.6999999999996</v>
      </c>
      <c r="Q83" s="319" t="str">
        <f t="shared" si="24"/>
        <v/>
      </c>
      <c r="R83" s="319"/>
      <c r="S83" s="324" t="str">
        <f t="shared" si="25"/>
        <v/>
      </c>
      <c r="T83" s="324"/>
      <c r="U83" s="295" t="str">
        <f t="shared" si="26"/>
        <v/>
      </c>
      <c r="V83" s="327"/>
    </row>
    <row r="84" spans="8:22" x14ac:dyDescent="0.25">
      <c r="H84" s="205">
        <v>42447</v>
      </c>
      <c r="I84" s="206">
        <f t="shared" si="18"/>
        <v>19.5</v>
      </c>
      <c r="J84" s="206">
        <f t="shared" si="19"/>
        <v>1886.3999999999946</v>
      </c>
      <c r="K84" s="204" t="str">
        <f t="shared" si="20"/>
        <v/>
      </c>
      <c r="L84" s="295">
        <f t="shared" si="22"/>
        <v>77</v>
      </c>
      <c r="M84" s="295"/>
      <c r="N84" s="212">
        <f t="shared" si="21"/>
        <v>19.599999999999998</v>
      </c>
      <c r="O84" s="212"/>
      <c r="P84" s="212">
        <f t="shared" si="23"/>
        <v>1168.2999999999995</v>
      </c>
      <c r="Q84" s="319" t="str">
        <f t="shared" si="24"/>
        <v/>
      </c>
      <c r="R84" s="319"/>
      <c r="S84" s="324" t="str">
        <f t="shared" si="25"/>
        <v/>
      </c>
      <c r="T84" s="324"/>
      <c r="U84" s="295" t="str">
        <f t="shared" si="26"/>
        <v/>
      </c>
      <c r="V84" s="327"/>
    </row>
    <row r="85" spans="8:22" x14ac:dyDescent="0.25">
      <c r="H85" s="205">
        <v>42448</v>
      </c>
      <c r="I85" s="206">
        <f t="shared" si="18"/>
        <v>19.5</v>
      </c>
      <c r="J85" s="206">
        <f t="shared" si="19"/>
        <v>1905.8999999999946</v>
      </c>
      <c r="K85" s="204" t="str">
        <f t="shared" si="20"/>
        <v/>
      </c>
      <c r="L85" s="295">
        <f t="shared" si="22"/>
        <v>78</v>
      </c>
      <c r="M85" s="295"/>
      <c r="N85" s="212">
        <f t="shared" si="21"/>
        <v>19.599999999999998</v>
      </c>
      <c r="O85" s="212"/>
      <c r="P85" s="212">
        <f t="shared" si="23"/>
        <v>1187.8999999999994</v>
      </c>
      <c r="Q85" s="319" t="str">
        <f t="shared" si="24"/>
        <v/>
      </c>
      <c r="R85" s="319"/>
      <c r="S85" s="324" t="str">
        <f t="shared" si="25"/>
        <v/>
      </c>
      <c r="T85" s="324"/>
      <c r="U85" s="295" t="str">
        <f t="shared" si="26"/>
        <v/>
      </c>
      <c r="V85" s="327"/>
    </row>
    <row r="86" spans="8:22" x14ac:dyDescent="0.25">
      <c r="H86" s="205">
        <v>42449</v>
      </c>
      <c r="I86" s="206">
        <f t="shared" si="18"/>
        <v>19.5</v>
      </c>
      <c r="J86" s="206">
        <f t="shared" si="19"/>
        <v>1925.3999999999946</v>
      </c>
      <c r="K86" s="204" t="str">
        <f t="shared" si="20"/>
        <v/>
      </c>
      <c r="L86" s="295">
        <f t="shared" si="22"/>
        <v>79</v>
      </c>
      <c r="M86" s="295"/>
      <c r="N86" s="212">
        <f t="shared" si="21"/>
        <v>19.599999999999998</v>
      </c>
      <c r="O86" s="212"/>
      <c r="P86" s="212">
        <f t="shared" si="23"/>
        <v>1207.4999999999993</v>
      </c>
      <c r="Q86" s="319" t="str">
        <f t="shared" si="24"/>
        <v/>
      </c>
      <c r="R86" s="319"/>
      <c r="S86" s="324" t="str">
        <f t="shared" si="25"/>
        <v/>
      </c>
      <c r="T86" s="324"/>
      <c r="U86" s="295" t="str">
        <f t="shared" si="26"/>
        <v/>
      </c>
      <c r="V86" s="327"/>
    </row>
    <row r="87" spans="8:22" x14ac:dyDescent="0.25">
      <c r="H87" s="205">
        <v>42450</v>
      </c>
      <c r="I87" s="206">
        <f t="shared" si="18"/>
        <v>19.5</v>
      </c>
      <c r="J87" s="206">
        <f t="shared" si="19"/>
        <v>1944.8999999999946</v>
      </c>
      <c r="K87" s="204" t="str">
        <f t="shared" si="20"/>
        <v/>
      </c>
      <c r="L87" s="295">
        <f t="shared" si="22"/>
        <v>80</v>
      </c>
      <c r="M87" s="295"/>
      <c r="N87" s="212">
        <f t="shared" si="21"/>
        <v>19.599999999999998</v>
      </c>
      <c r="O87" s="212"/>
      <c r="P87" s="212">
        <f t="shared" si="23"/>
        <v>1227.0999999999992</v>
      </c>
      <c r="Q87" s="319" t="str">
        <f t="shared" si="24"/>
        <v/>
      </c>
      <c r="R87" s="319"/>
      <c r="S87" s="324" t="str">
        <f t="shared" si="25"/>
        <v/>
      </c>
      <c r="T87" s="324"/>
      <c r="U87" s="295" t="str">
        <f t="shared" si="26"/>
        <v/>
      </c>
      <c r="V87" s="327"/>
    </row>
    <row r="88" spans="8:22" x14ac:dyDescent="0.25">
      <c r="H88" s="205">
        <v>42451</v>
      </c>
      <c r="I88" s="206">
        <f t="shared" si="18"/>
        <v>19.5</v>
      </c>
      <c r="J88" s="206">
        <f t="shared" si="19"/>
        <v>1964.3999999999946</v>
      </c>
      <c r="K88" s="204" t="str">
        <f t="shared" si="20"/>
        <v/>
      </c>
      <c r="L88" s="295">
        <f t="shared" si="22"/>
        <v>81</v>
      </c>
      <c r="M88" s="295"/>
      <c r="N88" s="212">
        <f t="shared" si="21"/>
        <v>19.599999999999998</v>
      </c>
      <c r="O88" s="212"/>
      <c r="P88" s="212">
        <f t="shared" si="23"/>
        <v>1246.6999999999991</v>
      </c>
      <c r="Q88" s="319" t="str">
        <f t="shared" si="24"/>
        <v/>
      </c>
      <c r="R88" s="319"/>
      <c r="S88" s="324" t="str">
        <f t="shared" si="25"/>
        <v/>
      </c>
      <c r="T88" s="324"/>
      <c r="U88" s="295" t="str">
        <f t="shared" si="26"/>
        <v/>
      </c>
      <c r="V88" s="327"/>
    </row>
    <row r="89" spans="8:22" x14ac:dyDescent="0.25">
      <c r="H89" s="205">
        <v>42452</v>
      </c>
      <c r="I89" s="206">
        <f t="shared" si="18"/>
        <v>19.5</v>
      </c>
      <c r="J89" s="206">
        <f t="shared" si="19"/>
        <v>1983.8999999999946</v>
      </c>
      <c r="K89" s="204" t="str">
        <f t="shared" si="20"/>
        <v/>
      </c>
      <c r="L89" s="295">
        <f t="shared" si="22"/>
        <v>82</v>
      </c>
      <c r="M89" s="295"/>
      <c r="N89" s="212">
        <f t="shared" si="21"/>
        <v>19.599999999999998</v>
      </c>
      <c r="O89" s="212"/>
      <c r="P89" s="212">
        <f t="shared" si="23"/>
        <v>1266.299999999999</v>
      </c>
      <c r="Q89" s="319" t="str">
        <f t="shared" si="24"/>
        <v/>
      </c>
      <c r="R89" s="319"/>
      <c r="S89" s="324" t="str">
        <f t="shared" si="25"/>
        <v/>
      </c>
      <c r="T89" s="324"/>
      <c r="U89" s="295" t="str">
        <f t="shared" si="26"/>
        <v/>
      </c>
      <c r="V89" s="327"/>
    </row>
    <row r="90" spans="8:22" x14ac:dyDescent="0.25">
      <c r="H90" s="205">
        <v>42453</v>
      </c>
      <c r="I90" s="206">
        <f t="shared" si="18"/>
        <v>19.5</v>
      </c>
      <c r="J90" s="206">
        <f>IF(J89&gt;$E$48,$D$48+I90,J89+I90)</f>
        <v>2003.3999999999946</v>
      </c>
      <c r="K90" s="204" t="str">
        <f t="shared" si="20"/>
        <v/>
      </c>
      <c r="L90" s="295">
        <f t="shared" si="22"/>
        <v>83</v>
      </c>
      <c r="M90" s="295"/>
      <c r="N90" s="212">
        <f t="shared" si="21"/>
        <v>19.599999999999998</v>
      </c>
      <c r="O90" s="212"/>
      <c r="P90" s="212">
        <f t="shared" si="23"/>
        <v>1285.899999999999</v>
      </c>
      <c r="Q90" s="319" t="str">
        <f t="shared" si="24"/>
        <v/>
      </c>
      <c r="R90" s="319"/>
      <c r="S90" s="324" t="str">
        <f t="shared" si="25"/>
        <v/>
      </c>
      <c r="T90" s="324"/>
      <c r="U90" s="295" t="str">
        <f t="shared" si="26"/>
        <v/>
      </c>
      <c r="V90" s="327"/>
    </row>
    <row r="91" spans="8:22" x14ac:dyDescent="0.25">
      <c r="H91" s="205">
        <v>42454</v>
      </c>
      <c r="I91" s="206">
        <f t="shared" si="18"/>
        <v>19.5</v>
      </c>
      <c r="J91" s="206">
        <f t="shared" si="19"/>
        <v>2022.8999999999946</v>
      </c>
      <c r="K91" s="204" t="str">
        <f t="shared" si="20"/>
        <v/>
      </c>
      <c r="L91" s="295">
        <f t="shared" si="22"/>
        <v>84</v>
      </c>
      <c r="M91" s="295"/>
      <c r="N91" s="212">
        <f t="shared" si="21"/>
        <v>19.599999999999998</v>
      </c>
      <c r="O91" s="212"/>
      <c r="P91" s="212">
        <f t="shared" si="23"/>
        <v>1305.4999999999989</v>
      </c>
      <c r="Q91" s="319" t="str">
        <f t="shared" si="24"/>
        <v/>
      </c>
      <c r="R91" s="319"/>
      <c r="S91" s="324" t="str">
        <f t="shared" si="25"/>
        <v/>
      </c>
      <c r="T91" s="324"/>
      <c r="U91" s="295" t="str">
        <f t="shared" si="26"/>
        <v/>
      </c>
      <c r="V91" s="327"/>
    </row>
    <row r="92" spans="8:22" x14ac:dyDescent="0.25">
      <c r="H92" s="205">
        <v>42455</v>
      </c>
      <c r="I92" s="206">
        <f t="shared" si="18"/>
        <v>19.5</v>
      </c>
      <c r="J92" s="206">
        <f t="shared" si="19"/>
        <v>2042.3999999999946</v>
      </c>
      <c r="K92" s="204" t="str">
        <f t="shared" si="20"/>
        <v/>
      </c>
      <c r="L92" s="295">
        <f t="shared" si="22"/>
        <v>85</v>
      </c>
      <c r="M92" s="295"/>
      <c r="N92" s="212">
        <f t="shared" si="21"/>
        <v>19.599999999999998</v>
      </c>
      <c r="O92" s="212"/>
      <c r="P92" s="212">
        <f t="shared" si="23"/>
        <v>1325.0999999999988</v>
      </c>
      <c r="Q92" s="319" t="str">
        <f t="shared" si="24"/>
        <v/>
      </c>
      <c r="R92" s="319"/>
      <c r="S92" s="324" t="str">
        <f t="shared" si="25"/>
        <v/>
      </c>
      <c r="T92" s="324"/>
      <c r="U92" s="295" t="str">
        <f t="shared" si="26"/>
        <v/>
      </c>
      <c r="V92" s="327"/>
    </row>
    <row r="93" spans="8:22" x14ac:dyDescent="0.25">
      <c r="H93" s="205">
        <v>42456</v>
      </c>
      <c r="I93" s="206">
        <f t="shared" si="18"/>
        <v>19.5</v>
      </c>
      <c r="J93" s="206">
        <f t="shared" si="19"/>
        <v>2061.8999999999946</v>
      </c>
      <c r="K93" s="204" t="str">
        <f t="shared" si="20"/>
        <v/>
      </c>
      <c r="L93" s="295">
        <f t="shared" si="22"/>
        <v>86</v>
      </c>
      <c r="M93" s="295"/>
      <c r="N93" s="212">
        <f t="shared" si="21"/>
        <v>19.599999999999998</v>
      </c>
      <c r="O93" s="212"/>
      <c r="P93" s="212">
        <f t="shared" si="23"/>
        <v>1344.6999999999987</v>
      </c>
      <c r="Q93" s="319" t="str">
        <f t="shared" si="24"/>
        <v/>
      </c>
      <c r="R93" s="319"/>
      <c r="S93" s="324" t="str">
        <f t="shared" si="25"/>
        <v/>
      </c>
      <c r="T93" s="324"/>
      <c r="U93" s="295" t="str">
        <f t="shared" si="26"/>
        <v/>
      </c>
      <c r="V93" s="327"/>
    </row>
    <row r="94" spans="8:22" x14ac:dyDescent="0.25">
      <c r="H94" s="205">
        <v>42457</v>
      </c>
      <c r="I94" s="206">
        <f t="shared" si="18"/>
        <v>19.5</v>
      </c>
      <c r="J94" s="206">
        <f t="shared" si="19"/>
        <v>2081.3999999999946</v>
      </c>
      <c r="K94" s="204" t="str">
        <f t="shared" si="20"/>
        <v/>
      </c>
      <c r="L94" s="295">
        <f t="shared" si="22"/>
        <v>87</v>
      </c>
      <c r="M94" s="295"/>
      <c r="N94" s="212">
        <f t="shared" si="21"/>
        <v>19.599999999999998</v>
      </c>
      <c r="O94" s="212"/>
      <c r="P94" s="212">
        <f t="shared" si="23"/>
        <v>1364.2999999999986</v>
      </c>
      <c r="Q94" s="319" t="str">
        <f t="shared" si="24"/>
        <v/>
      </c>
      <c r="R94" s="319"/>
      <c r="S94" s="324" t="str">
        <f t="shared" si="25"/>
        <v/>
      </c>
      <c r="T94" s="324"/>
      <c r="U94" s="295" t="str">
        <f t="shared" si="26"/>
        <v/>
      </c>
      <c r="V94" s="327"/>
    </row>
    <row r="95" spans="8:22" x14ac:dyDescent="0.25">
      <c r="H95" s="205">
        <v>42458</v>
      </c>
      <c r="I95" s="206">
        <f t="shared" si="18"/>
        <v>19.5</v>
      </c>
      <c r="J95" s="206">
        <f t="shared" si="19"/>
        <v>2100.8999999999946</v>
      </c>
      <c r="K95" s="204" t="str">
        <f t="shared" si="20"/>
        <v/>
      </c>
      <c r="L95" s="295">
        <f t="shared" si="22"/>
        <v>88</v>
      </c>
      <c r="M95" s="295"/>
      <c r="N95" s="212">
        <f t="shared" si="21"/>
        <v>19.599999999999998</v>
      </c>
      <c r="O95" s="212"/>
      <c r="P95" s="212">
        <f t="shared" si="23"/>
        <v>1383.8999999999985</v>
      </c>
      <c r="Q95" s="319" t="str">
        <f t="shared" si="24"/>
        <v/>
      </c>
      <c r="R95" s="319"/>
      <c r="S95" s="324" t="str">
        <f t="shared" si="25"/>
        <v/>
      </c>
      <c r="T95" s="324"/>
      <c r="U95" s="295" t="str">
        <f t="shared" si="26"/>
        <v/>
      </c>
      <c r="V95" s="327"/>
    </row>
    <row r="96" spans="8:22" x14ac:dyDescent="0.25">
      <c r="H96" s="205">
        <v>42459</v>
      </c>
      <c r="I96" s="206">
        <f t="shared" si="18"/>
        <v>19.5</v>
      </c>
      <c r="J96" s="206">
        <f t="shared" si="19"/>
        <v>2120.3999999999946</v>
      </c>
      <c r="K96" s="204" t="str">
        <f t="shared" si="20"/>
        <v/>
      </c>
      <c r="L96" s="295">
        <f t="shared" si="22"/>
        <v>89</v>
      </c>
      <c r="M96" s="295"/>
      <c r="N96" s="212">
        <f t="shared" si="21"/>
        <v>19.599999999999998</v>
      </c>
      <c r="O96" s="212"/>
      <c r="P96" s="212">
        <f t="shared" si="23"/>
        <v>1403.4999999999984</v>
      </c>
      <c r="Q96" s="319" t="str">
        <f t="shared" si="24"/>
        <v/>
      </c>
      <c r="R96" s="319"/>
      <c r="S96" s="324" t="str">
        <f t="shared" si="25"/>
        <v/>
      </c>
      <c r="T96" s="324"/>
      <c r="U96" s="295" t="str">
        <f t="shared" si="26"/>
        <v/>
      </c>
      <c r="V96" s="327"/>
    </row>
    <row r="97" spans="8:22" x14ac:dyDescent="0.25">
      <c r="H97" s="205">
        <v>42460</v>
      </c>
      <c r="I97" s="206">
        <f t="shared" si="18"/>
        <v>19.5</v>
      </c>
      <c r="J97" s="206">
        <f t="shared" si="19"/>
        <v>2139.8999999999946</v>
      </c>
      <c r="K97" s="204" t="str">
        <f t="shared" si="20"/>
        <v/>
      </c>
      <c r="L97" s="295">
        <f t="shared" si="22"/>
        <v>90</v>
      </c>
      <c r="M97" s="295"/>
      <c r="N97" s="212">
        <f t="shared" si="21"/>
        <v>19.599999999999998</v>
      </c>
      <c r="O97" s="212"/>
      <c r="P97" s="212">
        <f t="shared" si="23"/>
        <v>1423.0999999999983</v>
      </c>
      <c r="Q97" s="319" t="str">
        <f t="shared" si="24"/>
        <v/>
      </c>
      <c r="R97" s="319"/>
      <c r="S97" s="324" t="str">
        <f t="shared" si="25"/>
        <v/>
      </c>
      <c r="T97" s="324"/>
      <c r="U97" s="295" t="str">
        <f t="shared" si="26"/>
        <v/>
      </c>
      <c r="V97" s="327"/>
    </row>
    <row r="98" spans="8:22" x14ac:dyDescent="0.25">
      <c r="H98" s="205">
        <v>42461</v>
      </c>
      <c r="I98" s="206">
        <f t="shared" ref="I98:I127" si="27">$B$8</f>
        <v>39</v>
      </c>
      <c r="J98" s="206">
        <f>IF(J97&gt;$E$49,$D$49+I98,J97+I98)</f>
        <v>2178.8999999999946</v>
      </c>
      <c r="K98" s="204" t="str">
        <f>IF(J97&gt;$E$49,H97,"")</f>
        <v/>
      </c>
      <c r="L98" s="295">
        <f t="shared" si="22"/>
        <v>91</v>
      </c>
      <c r="M98" s="295"/>
      <c r="N98" s="212">
        <f>$D$29</f>
        <v>31.5</v>
      </c>
      <c r="O98" s="212"/>
      <c r="P98" s="212">
        <f t="shared" si="23"/>
        <v>1454.5999999999983</v>
      </c>
      <c r="Q98" s="319" t="str">
        <f t="shared" si="24"/>
        <v/>
      </c>
      <c r="R98" s="319"/>
      <c r="S98" s="324" t="str">
        <f t="shared" si="25"/>
        <v/>
      </c>
      <c r="T98" s="324"/>
      <c r="U98" s="295" t="str">
        <f t="shared" si="26"/>
        <v/>
      </c>
      <c r="V98" s="327"/>
    </row>
    <row r="99" spans="8:22" x14ac:dyDescent="0.25">
      <c r="H99" s="205">
        <v>42462</v>
      </c>
      <c r="I99" s="206">
        <f t="shared" si="27"/>
        <v>39</v>
      </c>
      <c r="J99" s="206">
        <f t="shared" ref="J99:J127" si="28">IF(J98&gt;$E$49,$D$49+I99,J98+I99)</f>
        <v>2217.8999999999946</v>
      </c>
      <c r="K99" s="204" t="str">
        <f t="shared" ref="K99:K127" si="29">IF(J98&gt;$E$49,H98,"")</f>
        <v/>
      </c>
      <c r="L99" s="295">
        <f t="shared" si="22"/>
        <v>92</v>
      </c>
      <c r="M99" s="295"/>
      <c r="N99" s="212">
        <f t="shared" ref="N99:N127" si="30">$D$29</f>
        <v>31.5</v>
      </c>
      <c r="O99" s="212"/>
      <c r="P99" s="212">
        <f t="shared" si="23"/>
        <v>1486.0999999999983</v>
      </c>
      <c r="Q99" s="319" t="str">
        <f t="shared" si="24"/>
        <v/>
      </c>
      <c r="R99" s="319"/>
      <c r="S99" s="324" t="str">
        <f t="shared" si="25"/>
        <v/>
      </c>
      <c r="T99" s="324"/>
      <c r="U99" s="295" t="str">
        <f t="shared" si="26"/>
        <v/>
      </c>
      <c r="V99" s="327"/>
    </row>
    <row r="100" spans="8:22" x14ac:dyDescent="0.25">
      <c r="H100" s="205">
        <v>42463</v>
      </c>
      <c r="I100" s="206">
        <f t="shared" si="27"/>
        <v>39</v>
      </c>
      <c r="J100" s="206">
        <f t="shared" si="28"/>
        <v>2256.8999999999946</v>
      </c>
      <c r="K100" s="204" t="str">
        <f t="shared" si="29"/>
        <v/>
      </c>
      <c r="L100" s="295">
        <f t="shared" si="22"/>
        <v>93</v>
      </c>
      <c r="M100" s="295"/>
      <c r="N100" s="212">
        <f t="shared" si="30"/>
        <v>31.5</v>
      </c>
      <c r="O100" s="212"/>
      <c r="P100" s="212">
        <f t="shared" si="23"/>
        <v>1517.5999999999983</v>
      </c>
      <c r="Q100" s="319" t="str">
        <f t="shared" si="24"/>
        <v/>
      </c>
      <c r="R100" s="319"/>
      <c r="S100" s="324" t="str">
        <f t="shared" si="25"/>
        <v/>
      </c>
      <c r="T100" s="324"/>
      <c r="U100" s="295" t="str">
        <f t="shared" si="26"/>
        <v/>
      </c>
      <c r="V100" s="327"/>
    </row>
    <row r="101" spans="8:22" x14ac:dyDescent="0.25">
      <c r="H101" s="205">
        <v>42464</v>
      </c>
      <c r="I101" s="206">
        <f t="shared" si="27"/>
        <v>39</v>
      </c>
      <c r="J101" s="206">
        <f t="shared" si="28"/>
        <v>2295.8999999999946</v>
      </c>
      <c r="K101" s="204" t="str">
        <f t="shared" si="29"/>
        <v/>
      </c>
      <c r="L101" s="295">
        <f t="shared" si="22"/>
        <v>94</v>
      </c>
      <c r="M101" s="295"/>
      <c r="N101" s="212">
        <f t="shared" si="30"/>
        <v>31.5</v>
      </c>
      <c r="O101" s="212"/>
      <c r="P101" s="212">
        <f t="shared" si="23"/>
        <v>1549.0999999999983</v>
      </c>
      <c r="Q101" s="319" t="str">
        <f t="shared" si="24"/>
        <v/>
      </c>
      <c r="R101" s="319"/>
      <c r="S101" s="324" t="str">
        <f t="shared" si="25"/>
        <v/>
      </c>
      <c r="T101" s="324"/>
      <c r="U101" s="295" t="str">
        <f t="shared" si="26"/>
        <v/>
      </c>
      <c r="V101" s="327"/>
    </row>
    <row r="102" spans="8:22" x14ac:dyDescent="0.25">
      <c r="H102" s="205">
        <v>42465</v>
      </c>
      <c r="I102" s="206">
        <f t="shared" si="27"/>
        <v>39</v>
      </c>
      <c r="J102" s="206">
        <f t="shared" si="28"/>
        <v>2334.8999999999946</v>
      </c>
      <c r="K102" s="204" t="str">
        <f t="shared" si="29"/>
        <v/>
      </c>
      <c r="L102" s="295">
        <f t="shared" si="22"/>
        <v>95</v>
      </c>
      <c r="M102" s="295"/>
      <c r="N102" s="212">
        <f t="shared" si="30"/>
        <v>31.5</v>
      </c>
      <c r="O102" s="212"/>
      <c r="P102" s="212">
        <f t="shared" si="23"/>
        <v>1580.5999999999983</v>
      </c>
      <c r="Q102" s="319" t="str">
        <f t="shared" si="24"/>
        <v/>
      </c>
      <c r="R102" s="319"/>
      <c r="S102" s="324" t="str">
        <f t="shared" si="25"/>
        <v/>
      </c>
      <c r="T102" s="324"/>
      <c r="U102" s="295" t="str">
        <f t="shared" si="26"/>
        <v/>
      </c>
      <c r="V102" s="327"/>
    </row>
    <row r="103" spans="8:22" x14ac:dyDescent="0.25">
      <c r="H103" s="205">
        <v>42466</v>
      </c>
      <c r="I103" s="206">
        <f t="shared" si="27"/>
        <v>39</v>
      </c>
      <c r="J103" s="206">
        <f t="shared" si="28"/>
        <v>2373.8999999999946</v>
      </c>
      <c r="K103" s="204" t="str">
        <f t="shared" si="29"/>
        <v/>
      </c>
      <c r="L103" s="295">
        <f t="shared" si="22"/>
        <v>96</v>
      </c>
      <c r="M103" s="295"/>
      <c r="N103" s="212">
        <f t="shared" si="30"/>
        <v>31.5</v>
      </c>
      <c r="O103" s="212"/>
      <c r="P103" s="212">
        <f t="shared" si="23"/>
        <v>1612.0999999999983</v>
      </c>
      <c r="Q103" s="319" t="str">
        <f t="shared" si="24"/>
        <v/>
      </c>
      <c r="R103" s="319"/>
      <c r="S103" s="324" t="str">
        <f t="shared" si="25"/>
        <v/>
      </c>
      <c r="T103" s="324"/>
      <c r="U103" s="295" t="str">
        <f t="shared" si="26"/>
        <v/>
      </c>
      <c r="V103" s="327"/>
    </row>
    <row r="104" spans="8:22" x14ac:dyDescent="0.25">
      <c r="H104" s="205">
        <v>42467</v>
      </c>
      <c r="I104" s="206">
        <f t="shared" si="27"/>
        <v>39</v>
      </c>
      <c r="J104" s="206">
        <f t="shared" si="28"/>
        <v>2412.8999999999946</v>
      </c>
      <c r="K104" s="204" t="str">
        <f t="shared" si="29"/>
        <v/>
      </c>
      <c r="L104" s="295">
        <f t="shared" si="22"/>
        <v>97</v>
      </c>
      <c r="M104" s="295"/>
      <c r="N104" s="212">
        <f t="shared" si="30"/>
        <v>31.5</v>
      </c>
      <c r="O104" s="212"/>
      <c r="P104" s="212">
        <f t="shared" si="23"/>
        <v>1643.5999999999983</v>
      </c>
      <c r="Q104" s="319" t="str">
        <f t="shared" si="24"/>
        <v/>
      </c>
      <c r="R104" s="319"/>
      <c r="S104" s="324" t="str">
        <f t="shared" si="25"/>
        <v/>
      </c>
      <c r="T104" s="324"/>
      <c r="U104" s="295" t="str">
        <f t="shared" si="26"/>
        <v/>
      </c>
      <c r="V104" s="327"/>
    </row>
    <row r="105" spans="8:22" x14ac:dyDescent="0.25">
      <c r="H105" s="205">
        <v>42468</v>
      </c>
      <c r="I105" s="206">
        <f t="shared" si="27"/>
        <v>39</v>
      </c>
      <c r="J105" s="206">
        <f t="shared" si="28"/>
        <v>2451.8999999999946</v>
      </c>
      <c r="K105" s="204" t="str">
        <f t="shared" si="29"/>
        <v/>
      </c>
      <c r="L105" s="295">
        <f t="shared" si="22"/>
        <v>98</v>
      </c>
      <c r="M105" s="295"/>
      <c r="N105" s="212">
        <f t="shared" si="30"/>
        <v>31.5</v>
      </c>
      <c r="O105" s="212"/>
      <c r="P105" s="212">
        <f t="shared" si="23"/>
        <v>1675.0999999999983</v>
      </c>
      <c r="Q105" s="319" t="str">
        <f t="shared" si="24"/>
        <v/>
      </c>
      <c r="R105" s="319"/>
      <c r="S105" s="324" t="str">
        <f t="shared" si="25"/>
        <v/>
      </c>
      <c r="T105" s="324"/>
      <c r="U105" s="295" t="str">
        <f t="shared" si="26"/>
        <v/>
      </c>
      <c r="V105" s="327"/>
    </row>
    <row r="106" spans="8:22" x14ac:dyDescent="0.25">
      <c r="H106" s="205">
        <v>42469</v>
      </c>
      <c r="I106" s="206">
        <f t="shared" si="27"/>
        <v>39</v>
      </c>
      <c r="J106" s="206">
        <f t="shared" si="28"/>
        <v>2490.8999999999946</v>
      </c>
      <c r="K106" s="204" t="str">
        <f t="shared" si="29"/>
        <v/>
      </c>
      <c r="L106" s="295">
        <f t="shared" si="22"/>
        <v>99</v>
      </c>
      <c r="M106" s="295"/>
      <c r="N106" s="212">
        <f t="shared" si="30"/>
        <v>31.5</v>
      </c>
      <c r="O106" s="212"/>
      <c r="P106" s="212">
        <f t="shared" si="23"/>
        <v>1706.5999999999983</v>
      </c>
      <c r="Q106" s="319" t="str">
        <f t="shared" si="24"/>
        <v/>
      </c>
      <c r="R106" s="319"/>
      <c r="S106" s="324" t="str">
        <f t="shared" si="25"/>
        <v/>
      </c>
      <c r="T106" s="324"/>
      <c r="U106" s="295" t="str">
        <f t="shared" si="26"/>
        <v/>
      </c>
      <c r="V106" s="327"/>
    </row>
    <row r="107" spans="8:22" x14ac:dyDescent="0.25">
      <c r="H107" s="205">
        <v>42470</v>
      </c>
      <c r="I107" s="206">
        <f t="shared" si="27"/>
        <v>39</v>
      </c>
      <c r="J107" s="206">
        <f t="shared" si="28"/>
        <v>2529.8999999999946</v>
      </c>
      <c r="K107" s="204" t="str">
        <f t="shared" si="29"/>
        <v/>
      </c>
      <c r="L107" s="295">
        <f t="shared" si="22"/>
        <v>100</v>
      </c>
      <c r="M107" s="295"/>
      <c r="N107" s="212">
        <f t="shared" si="30"/>
        <v>31.5</v>
      </c>
      <c r="O107" s="212"/>
      <c r="P107" s="212">
        <f t="shared" si="23"/>
        <v>1738.0999999999983</v>
      </c>
      <c r="Q107" s="319" t="str">
        <f t="shared" si="24"/>
        <v/>
      </c>
      <c r="R107" s="319"/>
      <c r="S107" s="324" t="str">
        <f t="shared" si="25"/>
        <v/>
      </c>
      <c r="T107" s="324"/>
      <c r="U107" s="295" t="str">
        <f t="shared" si="26"/>
        <v/>
      </c>
      <c r="V107" s="327"/>
    </row>
    <row r="108" spans="8:22" x14ac:dyDescent="0.25">
      <c r="H108" s="205">
        <v>42471</v>
      </c>
      <c r="I108" s="206">
        <f t="shared" si="27"/>
        <v>39</v>
      </c>
      <c r="J108" s="206">
        <f t="shared" si="28"/>
        <v>1239</v>
      </c>
      <c r="K108" s="204">
        <f t="shared" si="29"/>
        <v>42470</v>
      </c>
      <c r="L108" s="295">
        <f t="shared" si="22"/>
        <v>0</v>
      </c>
      <c r="M108" s="295"/>
      <c r="N108" s="212">
        <f t="shared" si="30"/>
        <v>31.5</v>
      </c>
      <c r="O108" s="212"/>
      <c r="P108" s="212">
        <f t="shared" si="23"/>
        <v>31.5</v>
      </c>
      <c r="Q108" s="319">
        <f t="shared" si="24"/>
        <v>17.380999999999982</v>
      </c>
      <c r="R108" s="319"/>
      <c r="S108" s="324">
        <f t="shared" si="25"/>
        <v>1.3369999999999986E-2</v>
      </c>
      <c r="T108" s="324"/>
      <c r="U108" s="295">
        <f t="shared" si="26"/>
        <v>3.2307692307692308</v>
      </c>
      <c r="V108" s="327"/>
    </row>
    <row r="109" spans="8:22" x14ac:dyDescent="0.25">
      <c r="H109" s="205">
        <v>42472</v>
      </c>
      <c r="I109" s="206">
        <f t="shared" si="27"/>
        <v>39</v>
      </c>
      <c r="J109" s="206">
        <f t="shared" si="28"/>
        <v>1278</v>
      </c>
      <c r="K109" s="204" t="str">
        <f t="shared" si="29"/>
        <v/>
      </c>
      <c r="L109" s="295">
        <f t="shared" si="22"/>
        <v>1</v>
      </c>
      <c r="M109" s="295"/>
      <c r="N109" s="212">
        <f t="shared" si="30"/>
        <v>31.5</v>
      </c>
      <c r="O109" s="212"/>
      <c r="P109" s="212">
        <f t="shared" si="23"/>
        <v>63</v>
      </c>
      <c r="Q109" s="319" t="str">
        <f t="shared" si="24"/>
        <v/>
      </c>
      <c r="R109" s="319"/>
      <c r="S109" s="324" t="str">
        <f t="shared" si="25"/>
        <v/>
      </c>
      <c r="T109" s="324"/>
      <c r="U109" s="295" t="str">
        <f t="shared" si="26"/>
        <v/>
      </c>
      <c r="V109" s="327"/>
    </row>
    <row r="110" spans="8:22" x14ac:dyDescent="0.25">
      <c r="H110" s="205">
        <v>42473</v>
      </c>
      <c r="I110" s="206">
        <f t="shared" si="27"/>
        <v>39</v>
      </c>
      <c r="J110" s="206">
        <f t="shared" si="28"/>
        <v>1317</v>
      </c>
      <c r="K110" s="204" t="str">
        <f t="shared" si="29"/>
        <v/>
      </c>
      <c r="L110" s="295">
        <f t="shared" si="22"/>
        <v>2</v>
      </c>
      <c r="M110" s="295"/>
      <c r="N110" s="212">
        <f t="shared" si="30"/>
        <v>31.5</v>
      </c>
      <c r="O110" s="212"/>
      <c r="P110" s="212">
        <f t="shared" si="23"/>
        <v>94.5</v>
      </c>
      <c r="Q110" s="319" t="str">
        <f t="shared" si="24"/>
        <v/>
      </c>
      <c r="R110" s="319"/>
      <c r="S110" s="324" t="str">
        <f t="shared" si="25"/>
        <v/>
      </c>
      <c r="T110" s="324"/>
      <c r="U110" s="295" t="str">
        <f t="shared" si="26"/>
        <v/>
      </c>
      <c r="V110" s="327"/>
    </row>
    <row r="111" spans="8:22" x14ac:dyDescent="0.25">
      <c r="H111" s="205">
        <v>42474</v>
      </c>
      <c r="I111" s="206">
        <f t="shared" si="27"/>
        <v>39</v>
      </c>
      <c r="J111" s="206">
        <f t="shared" si="28"/>
        <v>1356</v>
      </c>
      <c r="K111" s="204" t="str">
        <f t="shared" si="29"/>
        <v/>
      </c>
      <c r="L111" s="295">
        <f t="shared" si="22"/>
        <v>3</v>
      </c>
      <c r="M111" s="295"/>
      <c r="N111" s="212">
        <f t="shared" si="30"/>
        <v>31.5</v>
      </c>
      <c r="O111" s="212"/>
      <c r="P111" s="212">
        <f t="shared" si="23"/>
        <v>126</v>
      </c>
      <c r="Q111" s="319" t="str">
        <f t="shared" si="24"/>
        <v/>
      </c>
      <c r="R111" s="319"/>
      <c r="S111" s="324" t="str">
        <f t="shared" si="25"/>
        <v/>
      </c>
      <c r="T111" s="324"/>
      <c r="U111" s="295" t="str">
        <f t="shared" si="26"/>
        <v/>
      </c>
      <c r="V111" s="327"/>
    </row>
    <row r="112" spans="8:22" x14ac:dyDescent="0.25">
      <c r="H112" s="205">
        <v>42475</v>
      </c>
      <c r="I112" s="206">
        <f t="shared" si="27"/>
        <v>39</v>
      </c>
      <c r="J112" s="206">
        <f t="shared" si="28"/>
        <v>1395</v>
      </c>
      <c r="K112" s="204" t="str">
        <f t="shared" si="29"/>
        <v/>
      </c>
      <c r="L112" s="295">
        <f t="shared" si="22"/>
        <v>4</v>
      </c>
      <c r="M112" s="295"/>
      <c r="N112" s="212">
        <f t="shared" si="30"/>
        <v>31.5</v>
      </c>
      <c r="O112" s="212"/>
      <c r="P112" s="212">
        <f t="shared" si="23"/>
        <v>157.5</v>
      </c>
      <c r="Q112" s="319" t="str">
        <f t="shared" si="24"/>
        <v/>
      </c>
      <c r="R112" s="319"/>
      <c r="S112" s="324" t="str">
        <f t="shared" si="25"/>
        <v/>
      </c>
      <c r="T112" s="324"/>
      <c r="U112" s="295" t="str">
        <f t="shared" si="26"/>
        <v/>
      </c>
      <c r="V112" s="327"/>
    </row>
    <row r="113" spans="8:22" x14ac:dyDescent="0.25">
      <c r="H113" s="205">
        <v>42476</v>
      </c>
      <c r="I113" s="206">
        <f t="shared" si="27"/>
        <v>39</v>
      </c>
      <c r="J113" s="206">
        <f t="shared" si="28"/>
        <v>1434</v>
      </c>
      <c r="K113" s="204" t="str">
        <f t="shared" si="29"/>
        <v/>
      </c>
      <c r="L113" s="295">
        <f t="shared" si="22"/>
        <v>5</v>
      </c>
      <c r="M113" s="295"/>
      <c r="N113" s="212">
        <f t="shared" si="30"/>
        <v>31.5</v>
      </c>
      <c r="O113" s="212"/>
      <c r="P113" s="212">
        <f t="shared" si="23"/>
        <v>189</v>
      </c>
      <c r="Q113" s="319" t="str">
        <f t="shared" si="24"/>
        <v/>
      </c>
      <c r="R113" s="319"/>
      <c r="S113" s="324" t="str">
        <f t="shared" si="25"/>
        <v/>
      </c>
      <c r="T113" s="324"/>
      <c r="U113" s="295" t="str">
        <f t="shared" si="26"/>
        <v/>
      </c>
      <c r="V113" s="327"/>
    </row>
    <row r="114" spans="8:22" x14ac:dyDescent="0.25">
      <c r="H114" s="205">
        <v>42477</v>
      </c>
      <c r="I114" s="206">
        <f t="shared" si="27"/>
        <v>39</v>
      </c>
      <c r="J114" s="206">
        <f t="shared" si="28"/>
        <v>1473</v>
      </c>
      <c r="K114" s="204" t="str">
        <f t="shared" si="29"/>
        <v/>
      </c>
      <c r="L114" s="295">
        <f t="shared" si="22"/>
        <v>6</v>
      </c>
      <c r="M114" s="295"/>
      <c r="N114" s="212">
        <f t="shared" si="30"/>
        <v>31.5</v>
      </c>
      <c r="O114" s="212"/>
      <c r="P114" s="212">
        <f t="shared" si="23"/>
        <v>220.5</v>
      </c>
      <c r="Q114" s="319" t="str">
        <f t="shared" si="24"/>
        <v/>
      </c>
      <c r="R114" s="319"/>
      <c r="S114" s="324" t="str">
        <f t="shared" si="25"/>
        <v/>
      </c>
      <c r="T114" s="324"/>
      <c r="U114" s="295" t="str">
        <f t="shared" si="26"/>
        <v/>
      </c>
      <c r="V114" s="327"/>
    </row>
    <row r="115" spans="8:22" x14ac:dyDescent="0.25">
      <c r="H115" s="205">
        <v>42478</v>
      </c>
      <c r="I115" s="206">
        <f t="shared" si="27"/>
        <v>39</v>
      </c>
      <c r="J115" s="206">
        <f t="shared" si="28"/>
        <v>1512</v>
      </c>
      <c r="K115" s="204" t="str">
        <f t="shared" si="29"/>
        <v/>
      </c>
      <c r="L115" s="295">
        <f t="shared" si="22"/>
        <v>7</v>
      </c>
      <c r="M115" s="295"/>
      <c r="N115" s="212">
        <f t="shared" si="30"/>
        <v>31.5</v>
      </c>
      <c r="O115" s="212"/>
      <c r="P115" s="212">
        <f t="shared" si="23"/>
        <v>252</v>
      </c>
      <c r="Q115" s="319" t="str">
        <f t="shared" si="24"/>
        <v/>
      </c>
      <c r="R115" s="319"/>
      <c r="S115" s="324" t="str">
        <f t="shared" si="25"/>
        <v/>
      </c>
      <c r="T115" s="324"/>
      <c r="U115" s="295" t="str">
        <f t="shared" si="26"/>
        <v/>
      </c>
      <c r="V115" s="327"/>
    </row>
    <row r="116" spans="8:22" x14ac:dyDescent="0.25">
      <c r="H116" s="205">
        <v>42479</v>
      </c>
      <c r="I116" s="206">
        <f t="shared" si="27"/>
        <v>39</v>
      </c>
      <c r="J116" s="206">
        <f t="shared" si="28"/>
        <v>1551</v>
      </c>
      <c r="K116" s="204" t="str">
        <f t="shared" si="29"/>
        <v/>
      </c>
      <c r="L116" s="295">
        <f t="shared" si="22"/>
        <v>8</v>
      </c>
      <c r="M116" s="295"/>
      <c r="N116" s="212">
        <f t="shared" si="30"/>
        <v>31.5</v>
      </c>
      <c r="O116" s="212"/>
      <c r="P116" s="212">
        <f t="shared" si="23"/>
        <v>283.5</v>
      </c>
      <c r="Q116" s="319" t="str">
        <f t="shared" si="24"/>
        <v/>
      </c>
      <c r="R116" s="319"/>
      <c r="S116" s="324" t="str">
        <f t="shared" si="25"/>
        <v/>
      </c>
      <c r="T116" s="324"/>
      <c r="U116" s="295" t="str">
        <f t="shared" si="26"/>
        <v/>
      </c>
      <c r="V116" s="327"/>
    </row>
    <row r="117" spans="8:22" x14ac:dyDescent="0.25">
      <c r="H117" s="205">
        <v>42480</v>
      </c>
      <c r="I117" s="206">
        <f t="shared" si="27"/>
        <v>39</v>
      </c>
      <c r="J117" s="206">
        <f t="shared" si="28"/>
        <v>1590</v>
      </c>
      <c r="K117" s="204" t="str">
        <f t="shared" si="29"/>
        <v/>
      </c>
      <c r="L117" s="295">
        <f t="shared" si="22"/>
        <v>9</v>
      </c>
      <c r="M117" s="295"/>
      <c r="N117" s="212">
        <f t="shared" si="30"/>
        <v>31.5</v>
      </c>
      <c r="O117" s="212"/>
      <c r="P117" s="212">
        <f t="shared" si="23"/>
        <v>315</v>
      </c>
      <c r="Q117" s="319" t="str">
        <f t="shared" si="24"/>
        <v/>
      </c>
      <c r="R117" s="319"/>
      <c r="S117" s="324" t="str">
        <f t="shared" si="25"/>
        <v/>
      </c>
      <c r="T117" s="324"/>
      <c r="U117" s="295" t="str">
        <f t="shared" si="26"/>
        <v/>
      </c>
      <c r="V117" s="327"/>
    </row>
    <row r="118" spans="8:22" x14ac:dyDescent="0.25">
      <c r="H118" s="205">
        <v>42481</v>
      </c>
      <c r="I118" s="206">
        <f t="shared" si="27"/>
        <v>39</v>
      </c>
      <c r="J118" s="206">
        <f t="shared" si="28"/>
        <v>1629</v>
      </c>
      <c r="K118" s="204" t="str">
        <f t="shared" si="29"/>
        <v/>
      </c>
      <c r="L118" s="295">
        <f t="shared" si="22"/>
        <v>10</v>
      </c>
      <c r="M118" s="295"/>
      <c r="N118" s="212">
        <f t="shared" si="30"/>
        <v>31.5</v>
      </c>
      <c r="O118" s="212"/>
      <c r="P118" s="212">
        <f t="shared" si="23"/>
        <v>346.5</v>
      </c>
      <c r="Q118" s="319" t="str">
        <f t="shared" si="24"/>
        <v/>
      </c>
      <c r="R118" s="319"/>
      <c r="S118" s="324" t="str">
        <f t="shared" si="25"/>
        <v/>
      </c>
      <c r="T118" s="324"/>
      <c r="U118" s="295" t="str">
        <f t="shared" si="26"/>
        <v/>
      </c>
      <c r="V118" s="327"/>
    </row>
    <row r="119" spans="8:22" x14ac:dyDescent="0.25">
      <c r="H119" s="205">
        <v>42482</v>
      </c>
      <c r="I119" s="206">
        <f t="shared" si="27"/>
        <v>39</v>
      </c>
      <c r="J119" s="206">
        <f t="shared" si="28"/>
        <v>1668</v>
      </c>
      <c r="K119" s="204" t="str">
        <f t="shared" si="29"/>
        <v/>
      </c>
      <c r="L119" s="295">
        <f t="shared" si="22"/>
        <v>11</v>
      </c>
      <c r="M119" s="295"/>
      <c r="N119" s="212">
        <f t="shared" si="30"/>
        <v>31.5</v>
      </c>
      <c r="O119" s="212"/>
      <c r="P119" s="212">
        <f t="shared" si="23"/>
        <v>378</v>
      </c>
      <c r="Q119" s="319" t="str">
        <f t="shared" si="24"/>
        <v/>
      </c>
      <c r="R119" s="319"/>
      <c r="S119" s="324" t="str">
        <f t="shared" si="25"/>
        <v/>
      </c>
      <c r="T119" s="324"/>
      <c r="U119" s="295" t="str">
        <f t="shared" si="26"/>
        <v/>
      </c>
      <c r="V119" s="327"/>
    </row>
    <row r="120" spans="8:22" x14ac:dyDescent="0.25">
      <c r="H120" s="205">
        <v>42483</v>
      </c>
      <c r="I120" s="206">
        <f t="shared" si="27"/>
        <v>39</v>
      </c>
      <c r="J120" s="206">
        <f t="shared" si="28"/>
        <v>1707</v>
      </c>
      <c r="K120" s="204" t="str">
        <f t="shared" si="29"/>
        <v/>
      </c>
      <c r="L120" s="295">
        <f t="shared" si="22"/>
        <v>12</v>
      </c>
      <c r="M120" s="295"/>
      <c r="N120" s="212">
        <f t="shared" si="30"/>
        <v>31.5</v>
      </c>
      <c r="O120" s="212"/>
      <c r="P120" s="212">
        <f t="shared" si="23"/>
        <v>409.5</v>
      </c>
      <c r="Q120" s="319" t="str">
        <f t="shared" si="24"/>
        <v/>
      </c>
      <c r="R120" s="319"/>
      <c r="S120" s="324" t="str">
        <f t="shared" si="25"/>
        <v/>
      </c>
      <c r="T120" s="324"/>
      <c r="U120" s="295" t="str">
        <f t="shared" si="26"/>
        <v/>
      </c>
      <c r="V120" s="327"/>
    </row>
    <row r="121" spans="8:22" x14ac:dyDescent="0.25">
      <c r="H121" s="205">
        <v>42484</v>
      </c>
      <c r="I121" s="206">
        <f t="shared" si="27"/>
        <v>39</v>
      </c>
      <c r="J121" s="206">
        <f t="shared" si="28"/>
        <v>1746</v>
      </c>
      <c r="K121" s="204" t="str">
        <f t="shared" si="29"/>
        <v/>
      </c>
      <c r="L121" s="295">
        <f t="shared" si="22"/>
        <v>13</v>
      </c>
      <c r="M121" s="295"/>
      <c r="N121" s="212">
        <f t="shared" si="30"/>
        <v>31.5</v>
      </c>
      <c r="O121" s="212"/>
      <c r="P121" s="212">
        <f t="shared" si="23"/>
        <v>441</v>
      </c>
      <c r="Q121" s="319" t="str">
        <f t="shared" si="24"/>
        <v/>
      </c>
      <c r="R121" s="319"/>
      <c r="S121" s="324" t="str">
        <f t="shared" si="25"/>
        <v/>
      </c>
      <c r="T121" s="324"/>
      <c r="U121" s="295" t="str">
        <f t="shared" si="26"/>
        <v/>
      </c>
      <c r="V121" s="327"/>
    </row>
    <row r="122" spans="8:22" x14ac:dyDescent="0.25">
      <c r="H122" s="205">
        <v>42485</v>
      </c>
      <c r="I122" s="206">
        <f t="shared" si="27"/>
        <v>39</v>
      </c>
      <c r="J122" s="206">
        <f t="shared" si="28"/>
        <v>1785</v>
      </c>
      <c r="K122" s="204" t="str">
        <f t="shared" si="29"/>
        <v/>
      </c>
      <c r="L122" s="295">
        <f t="shared" si="22"/>
        <v>14</v>
      </c>
      <c r="M122" s="295"/>
      <c r="N122" s="212">
        <f t="shared" si="30"/>
        <v>31.5</v>
      </c>
      <c r="O122" s="212"/>
      <c r="P122" s="212">
        <f t="shared" si="23"/>
        <v>472.5</v>
      </c>
      <c r="Q122" s="319" t="str">
        <f t="shared" si="24"/>
        <v/>
      </c>
      <c r="R122" s="319"/>
      <c r="S122" s="324" t="str">
        <f t="shared" si="25"/>
        <v/>
      </c>
      <c r="T122" s="324"/>
      <c r="U122" s="295" t="str">
        <f t="shared" si="26"/>
        <v/>
      </c>
      <c r="V122" s="327"/>
    </row>
    <row r="123" spans="8:22" x14ac:dyDescent="0.25">
      <c r="H123" s="205">
        <v>42486</v>
      </c>
      <c r="I123" s="206">
        <f t="shared" si="27"/>
        <v>39</v>
      </c>
      <c r="J123" s="206">
        <f t="shared" si="28"/>
        <v>1824</v>
      </c>
      <c r="K123" s="204" t="str">
        <f t="shared" si="29"/>
        <v/>
      </c>
      <c r="L123" s="295">
        <f t="shared" si="22"/>
        <v>15</v>
      </c>
      <c r="M123" s="295"/>
      <c r="N123" s="212">
        <f t="shared" si="30"/>
        <v>31.5</v>
      </c>
      <c r="O123" s="212"/>
      <c r="P123" s="212">
        <f t="shared" si="23"/>
        <v>504</v>
      </c>
      <c r="Q123" s="319" t="str">
        <f t="shared" si="24"/>
        <v/>
      </c>
      <c r="R123" s="319"/>
      <c r="S123" s="324" t="str">
        <f t="shared" si="25"/>
        <v/>
      </c>
      <c r="T123" s="324"/>
      <c r="U123" s="295" t="str">
        <f t="shared" si="26"/>
        <v/>
      </c>
      <c r="V123" s="327"/>
    </row>
    <row r="124" spans="8:22" x14ac:dyDescent="0.25">
      <c r="H124" s="205">
        <v>42487</v>
      </c>
      <c r="I124" s="206">
        <f t="shared" si="27"/>
        <v>39</v>
      </c>
      <c r="J124" s="206">
        <f t="shared" si="28"/>
        <v>1863</v>
      </c>
      <c r="K124" s="204" t="str">
        <f>IF(J123&gt;$E$49,H123,"")</f>
        <v/>
      </c>
      <c r="L124" s="295">
        <f t="shared" si="22"/>
        <v>16</v>
      </c>
      <c r="M124" s="295"/>
      <c r="N124" s="212">
        <f t="shared" si="30"/>
        <v>31.5</v>
      </c>
      <c r="O124" s="212"/>
      <c r="P124" s="212">
        <f t="shared" si="23"/>
        <v>535.5</v>
      </c>
      <c r="Q124" s="319" t="str">
        <f t="shared" si="24"/>
        <v/>
      </c>
      <c r="R124" s="319"/>
      <c r="S124" s="324" t="str">
        <f t="shared" si="25"/>
        <v/>
      </c>
      <c r="T124" s="324"/>
      <c r="U124" s="295" t="str">
        <f t="shared" si="26"/>
        <v/>
      </c>
      <c r="V124" s="327"/>
    </row>
    <row r="125" spans="8:22" x14ac:dyDescent="0.25">
      <c r="H125" s="205">
        <v>42488</v>
      </c>
      <c r="I125" s="206">
        <f t="shared" si="27"/>
        <v>39</v>
      </c>
      <c r="J125" s="206">
        <f t="shared" si="28"/>
        <v>1902</v>
      </c>
      <c r="K125" s="204" t="str">
        <f t="shared" si="29"/>
        <v/>
      </c>
      <c r="L125" s="295">
        <f t="shared" si="22"/>
        <v>17</v>
      </c>
      <c r="M125" s="295"/>
      <c r="N125" s="212">
        <f t="shared" si="30"/>
        <v>31.5</v>
      </c>
      <c r="O125" s="212"/>
      <c r="P125" s="212">
        <f t="shared" si="23"/>
        <v>567</v>
      </c>
      <c r="Q125" s="319" t="str">
        <f t="shared" si="24"/>
        <v/>
      </c>
      <c r="R125" s="319"/>
      <c r="S125" s="324" t="str">
        <f t="shared" si="25"/>
        <v/>
      </c>
      <c r="T125" s="324"/>
      <c r="U125" s="295" t="str">
        <f t="shared" si="26"/>
        <v/>
      </c>
      <c r="V125" s="327"/>
    </row>
    <row r="126" spans="8:22" x14ac:dyDescent="0.25">
      <c r="H126" s="205">
        <v>42489</v>
      </c>
      <c r="I126" s="206">
        <f t="shared" si="27"/>
        <v>39</v>
      </c>
      <c r="J126" s="206">
        <f t="shared" si="28"/>
        <v>1941</v>
      </c>
      <c r="K126" s="204" t="str">
        <f t="shared" si="29"/>
        <v/>
      </c>
      <c r="L126" s="295">
        <f t="shared" si="22"/>
        <v>18</v>
      </c>
      <c r="M126" s="295"/>
      <c r="N126" s="212">
        <f t="shared" si="30"/>
        <v>31.5</v>
      </c>
      <c r="O126" s="212"/>
      <c r="P126" s="212">
        <f t="shared" si="23"/>
        <v>598.5</v>
      </c>
      <c r="Q126" s="319" t="str">
        <f t="shared" si="24"/>
        <v/>
      </c>
      <c r="R126" s="319"/>
      <c r="S126" s="324" t="str">
        <f t="shared" si="25"/>
        <v/>
      </c>
      <c r="T126" s="324"/>
      <c r="U126" s="295" t="str">
        <f t="shared" si="26"/>
        <v/>
      </c>
      <c r="V126" s="327"/>
    </row>
    <row r="127" spans="8:22" x14ac:dyDescent="0.25">
      <c r="H127" s="205">
        <v>42490</v>
      </c>
      <c r="I127" s="206">
        <f t="shared" si="27"/>
        <v>39</v>
      </c>
      <c r="J127" s="206">
        <f t="shared" si="28"/>
        <v>1980</v>
      </c>
      <c r="K127" s="204" t="str">
        <f t="shared" si="29"/>
        <v/>
      </c>
      <c r="L127" s="295">
        <f t="shared" si="22"/>
        <v>19</v>
      </c>
      <c r="M127" s="295"/>
      <c r="N127" s="212">
        <f t="shared" si="30"/>
        <v>31.5</v>
      </c>
      <c r="O127" s="212"/>
      <c r="P127" s="212">
        <f t="shared" si="23"/>
        <v>630</v>
      </c>
      <c r="Q127" s="319" t="str">
        <f t="shared" si="24"/>
        <v/>
      </c>
      <c r="R127" s="319"/>
      <c r="S127" s="324" t="str">
        <f t="shared" si="25"/>
        <v/>
      </c>
      <c r="T127" s="324"/>
      <c r="U127" s="295" t="str">
        <f t="shared" si="26"/>
        <v/>
      </c>
      <c r="V127" s="327"/>
    </row>
    <row r="128" spans="8:22" x14ac:dyDescent="0.25">
      <c r="H128" s="205">
        <v>42491</v>
      </c>
      <c r="I128" s="206">
        <f t="shared" ref="I128:I158" si="31">$B$9</f>
        <v>84.5</v>
      </c>
      <c r="J128" s="206">
        <f>IF(J127&gt;$E$50,$D$50+I128,J127+I128)</f>
        <v>2064.5</v>
      </c>
      <c r="K128" s="204" t="str">
        <f>IF(J127&gt;$E$50,H127,"")</f>
        <v/>
      </c>
      <c r="L128" s="295">
        <f t="shared" si="22"/>
        <v>20</v>
      </c>
      <c r="M128" s="295"/>
      <c r="N128" s="212">
        <f>$D$30</f>
        <v>42</v>
      </c>
      <c r="O128" s="212"/>
      <c r="P128" s="212">
        <f t="shared" si="23"/>
        <v>672</v>
      </c>
      <c r="Q128" s="319" t="str">
        <f t="shared" si="24"/>
        <v/>
      </c>
      <c r="R128" s="319"/>
      <c r="S128" s="324" t="str">
        <f t="shared" si="25"/>
        <v/>
      </c>
      <c r="T128" s="324"/>
      <c r="U128" s="295" t="str">
        <f t="shared" si="26"/>
        <v/>
      </c>
      <c r="V128" s="327"/>
    </row>
    <row r="129" spans="8:22" x14ac:dyDescent="0.25">
      <c r="H129" s="205">
        <v>42492</v>
      </c>
      <c r="I129" s="206">
        <f t="shared" si="31"/>
        <v>84.5</v>
      </c>
      <c r="J129" s="206">
        <f t="shared" ref="J129:J158" si="32">IF(J128&gt;$E$50,$D$50+I129,J128+I129)</f>
        <v>2149</v>
      </c>
      <c r="K129" s="204" t="str">
        <f t="shared" ref="K129:K158" si="33">IF(J128&gt;$E$50,H128,"")</f>
        <v/>
      </c>
      <c r="L129" s="295">
        <f t="shared" si="22"/>
        <v>21</v>
      </c>
      <c r="M129" s="295"/>
      <c r="N129" s="212">
        <f t="shared" ref="N129:N158" si="34">$D$30</f>
        <v>42</v>
      </c>
      <c r="O129" s="212"/>
      <c r="P129" s="212">
        <f t="shared" si="23"/>
        <v>714</v>
      </c>
      <c r="Q129" s="319" t="str">
        <f t="shared" si="24"/>
        <v/>
      </c>
      <c r="R129" s="319"/>
      <c r="S129" s="324" t="str">
        <f t="shared" si="25"/>
        <v/>
      </c>
      <c r="T129" s="324"/>
      <c r="U129" s="295" t="str">
        <f t="shared" si="26"/>
        <v/>
      </c>
      <c r="V129" s="327"/>
    </row>
    <row r="130" spans="8:22" x14ac:dyDescent="0.25">
      <c r="H130" s="205">
        <v>42493</v>
      </c>
      <c r="I130" s="206">
        <f t="shared" si="31"/>
        <v>84.5</v>
      </c>
      <c r="J130" s="206">
        <f t="shared" si="32"/>
        <v>2233.5</v>
      </c>
      <c r="K130" s="204" t="str">
        <f t="shared" si="33"/>
        <v/>
      </c>
      <c r="L130" s="295">
        <f t="shared" si="22"/>
        <v>22</v>
      </c>
      <c r="M130" s="295"/>
      <c r="N130" s="212">
        <f t="shared" si="34"/>
        <v>42</v>
      </c>
      <c r="O130" s="212"/>
      <c r="P130" s="212">
        <f t="shared" si="23"/>
        <v>756</v>
      </c>
      <c r="Q130" s="319" t="str">
        <f t="shared" si="24"/>
        <v/>
      </c>
      <c r="R130" s="319"/>
      <c r="S130" s="324" t="str">
        <f t="shared" si="25"/>
        <v/>
      </c>
      <c r="T130" s="324"/>
      <c r="U130" s="295" t="str">
        <f t="shared" si="26"/>
        <v/>
      </c>
      <c r="V130" s="327"/>
    </row>
    <row r="131" spans="8:22" x14ac:dyDescent="0.25">
      <c r="H131" s="205">
        <v>42494</v>
      </c>
      <c r="I131" s="206">
        <f t="shared" si="31"/>
        <v>84.5</v>
      </c>
      <c r="J131" s="206">
        <f t="shared" si="32"/>
        <v>2318</v>
      </c>
      <c r="K131" s="204" t="str">
        <f t="shared" si="33"/>
        <v/>
      </c>
      <c r="L131" s="295">
        <f t="shared" si="22"/>
        <v>23</v>
      </c>
      <c r="M131" s="295"/>
      <c r="N131" s="212">
        <f t="shared" si="34"/>
        <v>42</v>
      </c>
      <c r="O131" s="212"/>
      <c r="P131" s="212">
        <f t="shared" si="23"/>
        <v>798</v>
      </c>
      <c r="Q131" s="319" t="str">
        <f t="shared" si="24"/>
        <v/>
      </c>
      <c r="R131" s="319"/>
      <c r="S131" s="324" t="str">
        <f t="shared" si="25"/>
        <v/>
      </c>
      <c r="T131" s="324"/>
      <c r="U131" s="295" t="str">
        <f t="shared" si="26"/>
        <v/>
      </c>
      <c r="V131" s="327"/>
    </row>
    <row r="132" spans="8:22" x14ac:dyDescent="0.25">
      <c r="H132" s="205">
        <v>42495</v>
      </c>
      <c r="I132" s="206">
        <f t="shared" si="31"/>
        <v>84.5</v>
      </c>
      <c r="J132" s="206">
        <f t="shared" si="32"/>
        <v>2402.5</v>
      </c>
      <c r="K132" s="204" t="str">
        <f t="shared" si="33"/>
        <v/>
      </c>
      <c r="L132" s="295">
        <f t="shared" si="22"/>
        <v>24</v>
      </c>
      <c r="M132" s="295"/>
      <c r="N132" s="212">
        <f t="shared" si="34"/>
        <v>42</v>
      </c>
      <c r="O132" s="212"/>
      <c r="P132" s="212">
        <f t="shared" si="23"/>
        <v>840</v>
      </c>
      <c r="Q132" s="319" t="str">
        <f t="shared" si="24"/>
        <v/>
      </c>
      <c r="R132" s="319"/>
      <c r="S132" s="324" t="str">
        <f t="shared" si="25"/>
        <v/>
      </c>
      <c r="T132" s="324"/>
      <c r="U132" s="295" t="str">
        <f t="shared" si="26"/>
        <v/>
      </c>
      <c r="V132" s="327"/>
    </row>
    <row r="133" spans="8:22" x14ac:dyDescent="0.25">
      <c r="H133" s="205">
        <v>42496</v>
      </c>
      <c r="I133" s="206">
        <f t="shared" si="31"/>
        <v>84.5</v>
      </c>
      <c r="J133" s="206">
        <f t="shared" si="32"/>
        <v>2487</v>
      </c>
      <c r="K133" s="204" t="str">
        <f t="shared" si="33"/>
        <v/>
      </c>
      <c r="L133" s="295">
        <f t="shared" si="22"/>
        <v>25</v>
      </c>
      <c r="M133" s="295"/>
      <c r="N133" s="212">
        <f t="shared" si="34"/>
        <v>42</v>
      </c>
      <c r="O133" s="212"/>
      <c r="P133" s="212">
        <f t="shared" si="23"/>
        <v>882</v>
      </c>
      <c r="Q133" s="319" t="str">
        <f t="shared" si="24"/>
        <v/>
      </c>
      <c r="R133" s="319"/>
      <c r="S133" s="324" t="str">
        <f t="shared" si="25"/>
        <v/>
      </c>
      <c r="T133" s="324"/>
      <c r="U133" s="295" t="str">
        <f t="shared" si="26"/>
        <v/>
      </c>
      <c r="V133" s="327"/>
    </row>
    <row r="134" spans="8:22" x14ac:dyDescent="0.25">
      <c r="H134" s="205">
        <v>42497</v>
      </c>
      <c r="I134" s="206">
        <f t="shared" si="31"/>
        <v>84.5</v>
      </c>
      <c r="J134" s="206">
        <f t="shared" si="32"/>
        <v>2571.5</v>
      </c>
      <c r="K134" s="204" t="str">
        <f t="shared" si="33"/>
        <v/>
      </c>
      <c r="L134" s="295">
        <f t="shared" si="22"/>
        <v>26</v>
      </c>
      <c r="M134" s="295"/>
      <c r="N134" s="212">
        <f t="shared" si="34"/>
        <v>42</v>
      </c>
      <c r="O134" s="212"/>
      <c r="P134" s="212">
        <f t="shared" si="23"/>
        <v>924</v>
      </c>
      <c r="Q134" s="319" t="str">
        <f t="shared" si="24"/>
        <v/>
      </c>
      <c r="R134" s="319"/>
      <c r="S134" s="324" t="str">
        <f t="shared" si="25"/>
        <v/>
      </c>
      <c r="T134" s="324"/>
      <c r="U134" s="295" t="str">
        <f t="shared" si="26"/>
        <v/>
      </c>
      <c r="V134" s="327"/>
    </row>
    <row r="135" spans="8:22" x14ac:dyDescent="0.25">
      <c r="H135" s="205">
        <v>42498</v>
      </c>
      <c r="I135" s="206">
        <f t="shared" si="31"/>
        <v>84.5</v>
      </c>
      <c r="J135" s="206">
        <f t="shared" si="32"/>
        <v>1284.5</v>
      </c>
      <c r="K135" s="204">
        <f t="shared" si="33"/>
        <v>42497</v>
      </c>
      <c r="L135" s="295">
        <f t="shared" si="22"/>
        <v>0</v>
      </c>
      <c r="M135" s="295"/>
      <c r="N135" s="212">
        <f t="shared" si="34"/>
        <v>42</v>
      </c>
      <c r="O135" s="212"/>
      <c r="P135" s="212">
        <f t="shared" si="23"/>
        <v>42</v>
      </c>
      <c r="Q135" s="319">
        <f t="shared" si="24"/>
        <v>35.53846153846154</v>
      </c>
      <c r="R135" s="319"/>
      <c r="S135" s="324">
        <f t="shared" si="25"/>
        <v>2.7337278106508878E-2</v>
      </c>
      <c r="T135" s="324"/>
      <c r="U135" s="295">
        <f t="shared" si="26"/>
        <v>0.84</v>
      </c>
      <c r="V135" s="327"/>
    </row>
    <row r="136" spans="8:22" x14ac:dyDescent="0.25">
      <c r="H136" s="205">
        <v>42499</v>
      </c>
      <c r="I136" s="206">
        <f t="shared" si="31"/>
        <v>84.5</v>
      </c>
      <c r="J136" s="206">
        <f t="shared" si="32"/>
        <v>1369</v>
      </c>
      <c r="K136" s="204" t="str">
        <f t="shared" si="33"/>
        <v/>
      </c>
      <c r="L136" s="295">
        <f t="shared" si="22"/>
        <v>1</v>
      </c>
      <c r="M136" s="295"/>
      <c r="N136" s="212">
        <f t="shared" si="34"/>
        <v>42</v>
      </c>
      <c r="O136" s="212"/>
      <c r="P136" s="212">
        <f t="shared" si="23"/>
        <v>84</v>
      </c>
      <c r="Q136" s="319" t="str">
        <f t="shared" si="24"/>
        <v/>
      </c>
      <c r="R136" s="319"/>
      <c r="S136" s="324" t="str">
        <f t="shared" si="25"/>
        <v/>
      </c>
      <c r="T136" s="324"/>
      <c r="U136" s="295" t="str">
        <f t="shared" si="26"/>
        <v/>
      </c>
      <c r="V136" s="327"/>
    </row>
    <row r="137" spans="8:22" x14ac:dyDescent="0.25">
      <c r="H137" s="205">
        <v>42500</v>
      </c>
      <c r="I137" s="206">
        <f t="shared" si="31"/>
        <v>84.5</v>
      </c>
      <c r="J137" s="206">
        <f t="shared" si="32"/>
        <v>1453.5</v>
      </c>
      <c r="K137" s="204" t="str">
        <f t="shared" si="33"/>
        <v/>
      </c>
      <c r="L137" s="295">
        <f t="shared" ref="L137:L200" si="35">IF(K137="",1+L136,0)</f>
        <v>2</v>
      </c>
      <c r="M137" s="295"/>
      <c r="N137" s="212">
        <f t="shared" si="34"/>
        <v>42</v>
      </c>
      <c r="O137" s="212"/>
      <c r="P137" s="212">
        <f t="shared" ref="P137:P200" si="36">IF(L137=0,N137,N137+P136)</f>
        <v>126</v>
      </c>
      <c r="Q137" s="319" t="str">
        <f t="shared" ref="Q137:Q200" si="37">IF(L137=0,P136/L136,"")</f>
        <v/>
      </c>
      <c r="R137" s="319"/>
      <c r="S137" s="324" t="str">
        <f t="shared" ref="S137:S200" si="38">IFERROR(Q137/$D$21,"")</f>
        <v/>
      </c>
      <c r="T137" s="324"/>
      <c r="U137" s="295" t="str">
        <f t="shared" ref="U137:U200" si="39">IF(L137=0,$D$39*L136,"")</f>
        <v/>
      </c>
      <c r="V137" s="327"/>
    </row>
    <row r="138" spans="8:22" x14ac:dyDescent="0.25">
      <c r="H138" s="205">
        <v>42501</v>
      </c>
      <c r="I138" s="206">
        <f t="shared" si="31"/>
        <v>84.5</v>
      </c>
      <c r="J138" s="206">
        <f t="shared" si="32"/>
        <v>1538</v>
      </c>
      <c r="K138" s="204" t="str">
        <f t="shared" si="33"/>
        <v/>
      </c>
      <c r="L138" s="295">
        <f t="shared" si="35"/>
        <v>3</v>
      </c>
      <c r="M138" s="295"/>
      <c r="N138" s="212">
        <f t="shared" si="34"/>
        <v>42</v>
      </c>
      <c r="O138" s="212"/>
      <c r="P138" s="212">
        <f t="shared" si="36"/>
        <v>168</v>
      </c>
      <c r="Q138" s="319" t="str">
        <f t="shared" si="37"/>
        <v/>
      </c>
      <c r="R138" s="319"/>
      <c r="S138" s="324" t="str">
        <f t="shared" si="38"/>
        <v/>
      </c>
      <c r="T138" s="324"/>
      <c r="U138" s="295" t="str">
        <f t="shared" si="39"/>
        <v/>
      </c>
      <c r="V138" s="327"/>
    </row>
    <row r="139" spans="8:22" x14ac:dyDescent="0.25">
      <c r="H139" s="205">
        <v>42502</v>
      </c>
      <c r="I139" s="206">
        <f t="shared" si="31"/>
        <v>84.5</v>
      </c>
      <c r="J139" s="206">
        <f t="shared" si="32"/>
        <v>1622.5</v>
      </c>
      <c r="K139" s="204" t="str">
        <f t="shared" si="33"/>
        <v/>
      </c>
      <c r="L139" s="295">
        <f t="shared" si="35"/>
        <v>4</v>
      </c>
      <c r="M139" s="295"/>
      <c r="N139" s="212">
        <f t="shared" si="34"/>
        <v>42</v>
      </c>
      <c r="O139" s="212"/>
      <c r="P139" s="212">
        <f t="shared" si="36"/>
        <v>210</v>
      </c>
      <c r="Q139" s="319" t="str">
        <f t="shared" si="37"/>
        <v/>
      </c>
      <c r="R139" s="319"/>
      <c r="S139" s="324" t="str">
        <f t="shared" si="38"/>
        <v/>
      </c>
      <c r="T139" s="324"/>
      <c r="U139" s="295" t="str">
        <f t="shared" si="39"/>
        <v/>
      </c>
      <c r="V139" s="327"/>
    </row>
    <row r="140" spans="8:22" x14ac:dyDescent="0.25">
      <c r="H140" s="205">
        <v>42503</v>
      </c>
      <c r="I140" s="206">
        <f t="shared" si="31"/>
        <v>84.5</v>
      </c>
      <c r="J140" s="206">
        <f t="shared" si="32"/>
        <v>1707</v>
      </c>
      <c r="K140" s="204" t="str">
        <f t="shared" si="33"/>
        <v/>
      </c>
      <c r="L140" s="295">
        <f t="shared" si="35"/>
        <v>5</v>
      </c>
      <c r="M140" s="295"/>
      <c r="N140" s="212">
        <f t="shared" si="34"/>
        <v>42</v>
      </c>
      <c r="O140" s="212"/>
      <c r="P140" s="212">
        <f t="shared" si="36"/>
        <v>252</v>
      </c>
      <c r="Q140" s="319" t="str">
        <f t="shared" si="37"/>
        <v/>
      </c>
      <c r="R140" s="319"/>
      <c r="S140" s="324" t="str">
        <f t="shared" si="38"/>
        <v/>
      </c>
      <c r="T140" s="324"/>
      <c r="U140" s="295" t="str">
        <f t="shared" si="39"/>
        <v/>
      </c>
      <c r="V140" s="327"/>
    </row>
    <row r="141" spans="8:22" x14ac:dyDescent="0.25">
      <c r="H141" s="205">
        <v>42504</v>
      </c>
      <c r="I141" s="206">
        <f t="shared" si="31"/>
        <v>84.5</v>
      </c>
      <c r="J141" s="206">
        <f t="shared" si="32"/>
        <v>1791.5</v>
      </c>
      <c r="K141" s="204" t="str">
        <f t="shared" si="33"/>
        <v/>
      </c>
      <c r="L141" s="295">
        <f t="shared" si="35"/>
        <v>6</v>
      </c>
      <c r="M141" s="295"/>
      <c r="N141" s="212">
        <f t="shared" si="34"/>
        <v>42</v>
      </c>
      <c r="O141" s="212"/>
      <c r="P141" s="212">
        <f t="shared" si="36"/>
        <v>294</v>
      </c>
      <c r="Q141" s="319" t="str">
        <f t="shared" si="37"/>
        <v/>
      </c>
      <c r="R141" s="319"/>
      <c r="S141" s="324" t="str">
        <f t="shared" si="38"/>
        <v/>
      </c>
      <c r="T141" s="324"/>
      <c r="U141" s="295" t="str">
        <f t="shared" si="39"/>
        <v/>
      </c>
      <c r="V141" s="327"/>
    </row>
    <row r="142" spans="8:22" x14ac:dyDescent="0.25">
      <c r="H142" s="205">
        <v>42505</v>
      </c>
      <c r="I142" s="206">
        <f t="shared" si="31"/>
        <v>84.5</v>
      </c>
      <c r="J142" s="206">
        <f t="shared" si="32"/>
        <v>1876</v>
      </c>
      <c r="K142" s="204" t="str">
        <f t="shared" si="33"/>
        <v/>
      </c>
      <c r="L142" s="295">
        <f t="shared" si="35"/>
        <v>7</v>
      </c>
      <c r="M142" s="295"/>
      <c r="N142" s="212">
        <f t="shared" si="34"/>
        <v>42</v>
      </c>
      <c r="O142" s="212"/>
      <c r="P142" s="212">
        <f t="shared" si="36"/>
        <v>336</v>
      </c>
      <c r="Q142" s="319" t="str">
        <f t="shared" si="37"/>
        <v/>
      </c>
      <c r="R142" s="319"/>
      <c r="S142" s="324" t="str">
        <f t="shared" si="38"/>
        <v/>
      </c>
      <c r="T142" s="324"/>
      <c r="U142" s="295" t="str">
        <f t="shared" si="39"/>
        <v/>
      </c>
      <c r="V142" s="327"/>
    </row>
    <row r="143" spans="8:22" x14ac:dyDescent="0.25">
      <c r="H143" s="205">
        <v>42506</v>
      </c>
      <c r="I143" s="206">
        <f t="shared" si="31"/>
        <v>84.5</v>
      </c>
      <c r="J143" s="206">
        <f t="shared" si="32"/>
        <v>1960.5</v>
      </c>
      <c r="K143" s="204" t="str">
        <f t="shared" si="33"/>
        <v/>
      </c>
      <c r="L143" s="295">
        <f t="shared" si="35"/>
        <v>8</v>
      </c>
      <c r="M143" s="295"/>
      <c r="N143" s="212">
        <f t="shared" si="34"/>
        <v>42</v>
      </c>
      <c r="O143" s="212"/>
      <c r="P143" s="212">
        <f t="shared" si="36"/>
        <v>378</v>
      </c>
      <c r="Q143" s="319" t="str">
        <f t="shared" si="37"/>
        <v/>
      </c>
      <c r="R143" s="319"/>
      <c r="S143" s="324" t="str">
        <f t="shared" si="38"/>
        <v/>
      </c>
      <c r="T143" s="324"/>
      <c r="U143" s="295" t="str">
        <f t="shared" si="39"/>
        <v/>
      </c>
      <c r="V143" s="327"/>
    </row>
    <row r="144" spans="8:22" x14ac:dyDescent="0.25">
      <c r="H144" s="205">
        <v>42507</v>
      </c>
      <c r="I144" s="206">
        <f t="shared" si="31"/>
        <v>84.5</v>
      </c>
      <c r="J144" s="206">
        <f t="shared" si="32"/>
        <v>2045</v>
      </c>
      <c r="K144" s="204" t="str">
        <f t="shared" si="33"/>
        <v/>
      </c>
      <c r="L144" s="295">
        <f t="shared" si="35"/>
        <v>9</v>
      </c>
      <c r="M144" s="295"/>
      <c r="N144" s="212">
        <f t="shared" si="34"/>
        <v>42</v>
      </c>
      <c r="O144" s="212"/>
      <c r="P144" s="212">
        <f t="shared" si="36"/>
        <v>420</v>
      </c>
      <c r="Q144" s="319" t="str">
        <f t="shared" si="37"/>
        <v/>
      </c>
      <c r="R144" s="319"/>
      <c r="S144" s="324" t="str">
        <f t="shared" si="38"/>
        <v/>
      </c>
      <c r="T144" s="324"/>
      <c r="U144" s="295" t="str">
        <f t="shared" si="39"/>
        <v/>
      </c>
      <c r="V144" s="327"/>
    </row>
    <row r="145" spans="8:22" x14ac:dyDescent="0.25">
      <c r="H145" s="205">
        <v>42508</v>
      </c>
      <c r="I145" s="206">
        <f t="shared" si="31"/>
        <v>84.5</v>
      </c>
      <c r="J145" s="206">
        <f t="shared" si="32"/>
        <v>2129.5</v>
      </c>
      <c r="K145" s="204" t="str">
        <f t="shared" si="33"/>
        <v/>
      </c>
      <c r="L145" s="295">
        <f t="shared" si="35"/>
        <v>10</v>
      </c>
      <c r="M145" s="295"/>
      <c r="N145" s="212">
        <f t="shared" si="34"/>
        <v>42</v>
      </c>
      <c r="O145" s="212"/>
      <c r="P145" s="212">
        <f t="shared" si="36"/>
        <v>462</v>
      </c>
      <c r="Q145" s="319" t="str">
        <f t="shared" si="37"/>
        <v/>
      </c>
      <c r="R145" s="319"/>
      <c r="S145" s="324" t="str">
        <f t="shared" si="38"/>
        <v/>
      </c>
      <c r="T145" s="324"/>
      <c r="U145" s="295" t="str">
        <f t="shared" si="39"/>
        <v/>
      </c>
      <c r="V145" s="327"/>
    </row>
    <row r="146" spans="8:22" x14ac:dyDescent="0.25">
      <c r="H146" s="205">
        <v>42509</v>
      </c>
      <c r="I146" s="206">
        <f t="shared" si="31"/>
        <v>84.5</v>
      </c>
      <c r="J146" s="206">
        <f t="shared" si="32"/>
        <v>2214</v>
      </c>
      <c r="K146" s="204" t="str">
        <f t="shared" si="33"/>
        <v/>
      </c>
      <c r="L146" s="295">
        <f t="shared" si="35"/>
        <v>11</v>
      </c>
      <c r="M146" s="295"/>
      <c r="N146" s="212">
        <f t="shared" si="34"/>
        <v>42</v>
      </c>
      <c r="O146" s="212"/>
      <c r="P146" s="212">
        <f t="shared" si="36"/>
        <v>504</v>
      </c>
      <c r="Q146" s="319" t="str">
        <f t="shared" si="37"/>
        <v/>
      </c>
      <c r="R146" s="319"/>
      <c r="S146" s="324" t="str">
        <f t="shared" si="38"/>
        <v/>
      </c>
      <c r="T146" s="324"/>
      <c r="U146" s="295" t="str">
        <f t="shared" si="39"/>
        <v/>
      </c>
      <c r="V146" s="327"/>
    </row>
    <row r="147" spans="8:22" x14ac:dyDescent="0.25">
      <c r="H147" s="205">
        <v>42510</v>
      </c>
      <c r="I147" s="206">
        <f t="shared" si="31"/>
        <v>84.5</v>
      </c>
      <c r="J147" s="206">
        <f t="shared" si="32"/>
        <v>2298.5</v>
      </c>
      <c r="K147" s="204" t="str">
        <f t="shared" si="33"/>
        <v/>
      </c>
      <c r="L147" s="295">
        <f t="shared" si="35"/>
        <v>12</v>
      </c>
      <c r="M147" s="295"/>
      <c r="N147" s="212">
        <f t="shared" si="34"/>
        <v>42</v>
      </c>
      <c r="O147" s="212"/>
      <c r="P147" s="212">
        <f t="shared" si="36"/>
        <v>546</v>
      </c>
      <c r="Q147" s="319" t="str">
        <f t="shared" si="37"/>
        <v/>
      </c>
      <c r="R147" s="319"/>
      <c r="S147" s="324" t="str">
        <f t="shared" si="38"/>
        <v/>
      </c>
      <c r="T147" s="324"/>
      <c r="U147" s="295" t="str">
        <f t="shared" si="39"/>
        <v/>
      </c>
      <c r="V147" s="327"/>
    </row>
    <row r="148" spans="8:22" x14ac:dyDescent="0.25">
      <c r="H148" s="205">
        <v>42511</v>
      </c>
      <c r="I148" s="206">
        <f t="shared" si="31"/>
        <v>84.5</v>
      </c>
      <c r="J148" s="206">
        <f t="shared" si="32"/>
        <v>2383</v>
      </c>
      <c r="K148" s="204" t="str">
        <f t="shared" si="33"/>
        <v/>
      </c>
      <c r="L148" s="295">
        <f t="shared" si="35"/>
        <v>13</v>
      </c>
      <c r="M148" s="295"/>
      <c r="N148" s="212">
        <f t="shared" si="34"/>
        <v>42</v>
      </c>
      <c r="O148" s="212"/>
      <c r="P148" s="212">
        <f t="shared" si="36"/>
        <v>588</v>
      </c>
      <c r="Q148" s="319" t="str">
        <f t="shared" si="37"/>
        <v/>
      </c>
      <c r="R148" s="319"/>
      <c r="S148" s="324" t="str">
        <f t="shared" si="38"/>
        <v/>
      </c>
      <c r="T148" s="324"/>
      <c r="U148" s="295" t="str">
        <f t="shared" si="39"/>
        <v/>
      </c>
      <c r="V148" s="327"/>
    </row>
    <row r="149" spans="8:22" x14ac:dyDescent="0.25">
      <c r="H149" s="205">
        <v>42512</v>
      </c>
      <c r="I149" s="206">
        <f t="shared" si="31"/>
        <v>84.5</v>
      </c>
      <c r="J149" s="206">
        <f t="shared" si="32"/>
        <v>2467.5</v>
      </c>
      <c r="K149" s="204" t="str">
        <f t="shared" si="33"/>
        <v/>
      </c>
      <c r="L149" s="295">
        <f t="shared" si="35"/>
        <v>14</v>
      </c>
      <c r="M149" s="295"/>
      <c r="N149" s="212">
        <f t="shared" si="34"/>
        <v>42</v>
      </c>
      <c r="O149" s="212"/>
      <c r="P149" s="212">
        <f t="shared" si="36"/>
        <v>630</v>
      </c>
      <c r="Q149" s="319" t="str">
        <f t="shared" si="37"/>
        <v/>
      </c>
      <c r="R149" s="319"/>
      <c r="S149" s="324" t="str">
        <f t="shared" si="38"/>
        <v/>
      </c>
      <c r="T149" s="324"/>
      <c r="U149" s="295" t="str">
        <f t="shared" si="39"/>
        <v/>
      </c>
      <c r="V149" s="327"/>
    </row>
    <row r="150" spans="8:22" x14ac:dyDescent="0.25">
      <c r="H150" s="205">
        <v>42513</v>
      </c>
      <c r="I150" s="206">
        <f t="shared" si="31"/>
        <v>84.5</v>
      </c>
      <c r="J150" s="206">
        <f t="shared" si="32"/>
        <v>2552</v>
      </c>
      <c r="K150" s="204" t="str">
        <f t="shared" si="33"/>
        <v/>
      </c>
      <c r="L150" s="295">
        <f t="shared" si="35"/>
        <v>15</v>
      </c>
      <c r="M150" s="295"/>
      <c r="N150" s="212">
        <f t="shared" si="34"/>
        <v>42</v>
      </c>
      <c r="O150" s="212"/>
      <c r="P150" s="212">
        <f t="shared" si="36"/>
        <v>672</v>
      </c>
      <c r="Q150" s="319" t="str">
        <f t="shared" si="37"/>
        <v/>
      </c>
      <c r="R150" s="319"/>
      <c r="S150" s="324" t="str">
        <f t="shared" si="38"/>
        <v/>
      </c>
      <c r="T150" s="324"/>
      <c r="U150" s="295" t="str">
        <f t="shared" si="39"/>
        <v/>
      </c>
      <c r="V150" s="327"/>
    </row>
    <row r="151" spans="8:22" x14ac:dyDescent="0.25">
      <c r="H151" s="205">
        <v>42514</v>
      </c>
      <c r="I151" s="206">
        <f t="shared" si="31"/>
        <v>84.5</v>
      </c>
      <c r="J151" s="206">
        <f t="shared" si="32"/>
        <v>1284.5</v>
      </c>
      <c r="K151" s="204">
        <f t="shared" si="33"/>
        <v>42513</v>
      </c>
      <c r="L151" s="295">
        <f t="shared" si="35"/>
        <v>0</v>
      </c>
      <c r="M151" s="295"/>
      <c r="N151" s="212">
        <f t="shared" si="34"/>
        <v>42</v>
      </c>
      <c r="O151" s="212"/>
      <c r="P151" s="212">
        <f t="shared" si="36"/>
        <v>42</v>
      </c>
      <c r="Q151" s="319">
        <f t="shared" si="37"/>
        <v>44.8</v>
      </c>
      <c r="R151" s="319"/>
      <c r="S151" s="324">
        <f t="shared" si="38"/>
        <v>3.446153846153846E-2</v>
      </c>
      <c r="T151" s="324"/>
      <c r="U151" s="295">
        <f t="shared" si="39"/>
        <v>0.48461538461538461</v>
      </c>
      <c r="V151" s="327"/>
    </row>
    <row r="152" spans="8:22" x14ac:dyDescent="0.25">
      <c r="H152" s="205">
        <v>42515</v>
      </c>
      <c r="I152" s="206">
        <f t="shared" si="31"/>
        <v>84.5</v>
      </c>
      <c r="J152" s="206">
        <f t="shared" si="32"/>
        <v>1369</v>
      </c>
      <c r="K152" s="204" t="str">
        <f t="shared" si="33"/>
        <v/>
      </c>
      <c r="L152" s="295">
        <f t="shared" si="35"/>
        <v>1</v>
      </c>
      <c r="M152" s="295"/>
      <c r="N152" s="212">
        <f t="shared" si="34"/>
        <v>42</v>
      </c>
      <c r="O152" s="212"/>
      <c r="P152" s="212">
        <f t="shared" si="36"/>
        <v>84</v>
      </c>
      <c r="Q152" s="319" t="str">
        <f t="shared" si="37"/>
        <v/>
      </c>
      <c r="R152" s="319"/>
      <c r="S152" s="324" t="str">
        <f t="shared" si="38"/>
        <v/>
      </c>
      <c r="T152" s="324"/>
      <c r="U152" s="295" t="str">
        <f t="shared" si="39"/>
        <v/>
      </c>
      <c r="V152" s="327"/>
    </row>
    <row r="153" spans="8:22" x14ac:dyDescent="0.25">
      <c r="H153" s="205">
        <v>42516</v>
      </c>
      <c r="I153" s="206">
        <f t="shared" si="31"/>
        <v>84.5</v>
      </c>
      <c r="J153" s="206">
        <f t="shared" si="32"/>
        <v>1453.5</v>
      </c>
      <c r="K153" s="204" t="str">
        <f t="shared" si="33"/>
        <v/>
      </c>
      <c r="L153" s="295">
        <f t="shared" si="35"/>
        <v>2</v>
      </c>
      <c r="M153" s="295"/>
      <c r="N153" s="212">
        <f t="shared" si="34"/>
        <v>42</v>
      </c>
      <c r="O153" s="212"/>
      <c r="P153" s="212">
        <f t="shared" si="36"/>
        <v>126</v>
      </c>
      <c r="Q153" s="319" t="str">
        <f t="shared" si="37"/>
        <v/>
      </c>
      <c r="R153" s="319"/>
      <c r="S153" s="324" t="str">
        <f t="shared" si="38"/>
        <v/>
      </c>
      <c r="T153" s="324"/>
      <c r="U153" s="295" t="str">
        <f t="shared" si="39"/>
        <v/>
      </c>
      <c r="V153" s="327"/>
    </row>
    <row r="154" spans="8:22" x14ac:dyDescent="0.25">
      <c r="H154" s="205">
        <v>42517</v>
      </c>
      <c r="I154" s="206">
        <f t="shared" si="31"/>
        <v>84.5</v>
      </c>
      <c r="J154" s="206">
        <f t="shared" si="32"/>
        <v>1538</v>
      </c>
      <c r="K154" s="204" t="str">
        <f t="shared" si="33"/>
        <v/>
      </c>
      <c r="L154" s="295">
        <f t="shared" si="35"/>
        <v>3</v>
      </c>
      <c r="M154" s="295"/>
      <c r="N154" s="212">
        <f t="shared" si="34"/>
        <v>42</v>
      </c>
      <c r="O154" s="212"/>
      <c r="P154" s="212">
        <f t="shared" si="36"/>
        <v>168</v>
      </c>
      <c r="Q154" s="319" t="str">
        <f t="shared" si="37"/>
        <v/>
      </c>
      <c r="R154" s="319"/>
      <c r="S154" s="324" t="str">
        <f t="shared" si="38"/>
        <v/>
      </c>
      <c r="T154" s="324"/>
      <c r="U154" s="295" t="str">
        <f t="shared" si="39"/>
        <v/>
      </c>
      <c r="V154" s="327"/>
    </row>
    <row r="155" spans="8:22" x14ac:dyDescent="0.25">
      <c r="H155" s="205">
        <v>42518</v>
      </c>
      <c r="I155" s="206">
        <f t="shared" si="31"/>
        <v>84.5</v>
      </c>
      <c r="J155" s="206">
        <f t="shared" si="32"/>
        <v>1622.5</v>
      </c>
      <c r="K155" s="204" t="str">
        <f t="shared" si="33"/>
        <v/>
      </c>
      <c r="L155" s="295">
        <f t="shared" si="35"/>
        <v>4</v>
      </c>
      <c r="M155" s="295"/>
      <c r="N155" s="212">
        <f t="shared" si="34"/>
        <v>42</v>
      </c>
      <c r="O155" s="212"/>
      <c r="P155" s="212">
        <f t="shared" si="36"/>
        <v>210</v>
      </c>
      <c r="Q155" s="319" t="str">
        <f t="shared" si="37"/>
        <v/>
      </c>
      <c r="R155" s="319"/>
      <c r="S155" s="324" t="str">
        <f t="shared" si="38"/>
        <v/>
      </c>
      <c r="T155" s="324"/>
      <c r="U155" s="295" t="str">
        <f t="shared" si="39"/>
        <v/>
      </c>
      <c r="V155" s="327"/>
    </row>
    <row r="156" spans="8:22" x14ac:dyDescent="0.25">
      <c r="H156" s="205">
        <v>42519</v>
      </c>
      <c r="I156" s="206">
        <f t="shared" si="31"/>
        <v>84.5</v>
      </c>
      <c r="J156" s="206">
        <f t="shared" si="32"/>
        <v>1707</v>
      </c>
      <c r="K156" s="204" t="str">
        <f t="shared" si="33"/>
        <v/>
      </c>
      <c r="L156" s="295">
        <f t="shared" si="35"/>
        <v>5</v>
      </c>
      <c r="M156" s="295"/>
      <c r="N156" s="212">
        <f t="shared" si="34"/>
        <v>42</v>
      </c>
      <c r="O156" s="212"/>
      <c r="P156" s="212">
        <f t="shared" si="36"/>
        <v>252</v>
      </c>
      <c r="Q156" s="319" t="str">
        <f t="shared" si="37"/>
        <v/>
      </c>
      <c r="R156" s="319"/>
      <c r="S156" s="324" t="str">
        <f t="shared" si="38"/>
        <v/>
      </c>
      <c r="T156" s="324"/>
      <c r="U156" s="295" t="str">
        <f t="shared" si="39"/>
        <v/>
      </c>
      <c r="V156" s="327"/>
    </row>
    <row r="157" spans="8:22" x14ac:dyDescent="0.25">
      <c r="H157" s="205">
        <v>42520</v>
      </c>
      <c r="I157" s="206">
        <f t="shared" si="31"/>
        <v>84.5</v>
      </c>
      <c r="J157" s="206">
        <f t="shared" si="32"/>
        <v>1791.5</v>
      </c>
      <c r="K157" s="204" t="str">
        <f t="shared" si="33"/>
        <v/>
      </c>
      <c r="L157" s="295">
        <f t="shared" si="35"/>
        <v>6</v>
      </c>
      <c r="M157" s="295"/>
      <c r="N157" s="212">
        <f t="shared" si="34"/>
        <v>42</v>
      </c>
      <c r="O157" s="212"/>
      <c r="P157" s="212">
        <f t="shared" si="36"/>
        <v>294</v>
      </c>
      <c r="Q157" s="319" t="str">
        <f t="shared" si="37"/>
        <v/>
      </c>
      <c r="R157" s="319"/>
      <c r="S157" s="324" t="str">
        <f t="shared" si="38"/>
        <v/>
      </c>
      <c r="T157" s="324"/>
      <c r="U157" s="295" t="str">
        <f t="shared" si="39"/>
        <v/>
      </c>
      <c r="V157" s="327"/>
    </row>
    <row r="158" spans="8:22" x14ac:dyDescent="0.25">
      <c r="H158" s="205">
        <v>42521</v>
      </c>
      <c r="I158" s="206">
        <f t="shared" si="31"/>
        <v>84.5</v>
      </c>
      <c r="J158" s="206">
        <f t="shared" si="32"/>
        <v>1876</v>
      </c>
      <c r="K158" s="204" t="str">
        <f t="shared" si="33"/>
        <v/>
      </c>
      <c r="L158" s="295">
        <f t="shared" si="35"/>
        <v>7</v>
      </c>
      <c r="M158" s="295"/>
      <c r="N158" s="212">
        <f t="shared" si="34"/>
        <v>42</v>
      </c>
      <c r="O158" s="212"/>
      <c r="P158" s="212">
        <f t="shared" si="36"/>
        <v>336</v>
      </c>
      <c r="Q158" s="319" t="str">
        <f t="shared" si="37"/>
        <v/>
      </c>
      <c r="R158" s="319"/>
      <c r="S158" s="324" t="str">
        <f t="shared" si="38"/>
        <v/>
      </c>
      <c r="T158" s="324"/>
      <c r="U158" s="295" t="str">
        <f t="shared" si="39"/>
        <v/>
      </c>
      <c r="V158" s="327"/>
    </row>
    <row r="159" spans="8:22" x14ac:dyDescent="0.25">
      <c r="H159" s="205">
        <v>42522</v>
      </c>
      <c r="I159" s="206">
        <f t="shared" ref="I159:I188" si="40">$B$10</f>
        <v>78</v>
      </c>
      <c r="J159" s="206">
        <f>IF(J158&gt;$E$51,$D$51+I159,J158+I159)</f>
        <v>1954</v>
      </c>
      <c r="K159" s="204" t="str">
        <f>IF(J158&gt;$E$51,H158,"")</f>
        <v/>
      </c>
      <c r="L159" s="295">
        <f t="shared" si="35"/>
        <v>8</v>
      </c>
      <c r="M159" s="295"/>
      <c r="N159" s="212">
        <f>$D$31</f>
        <v>35</v>
      </c>
      <c r="O159" s="212"/>
      <c r="P159" s="212">
        <f t="shared" si="36"/>
        <v>371</v>
      </c>
      <c r="Q159" s="319" t="str">
        <f t="shared" si="37"/>
        <v/>
      </c>
      <c r="R159" s="319"/>
      <c r="S159" s="324" t="str">
        <f t="shared" si="38"/>
        <v/>
      </c>
      <c r="T159" s="324"/>
      <c r="U159" s="295" t="str">
        <f t="shared" si="39"/>
        <v/>
      </c>
      <c r="V159" s="327"/>
    </row>
    <row r="160" spans="8:22" x14ac:dyDescent="0.25">
      <c r="H160" s="205">
        <v>42523</v>
      </c>
      <c r="I160" s="206">
        <f t="shared" si="40"/>
        <v>78</v>
      </c>
      <c r="J160" s="206">
        <f t="shared" ref="J160:J188" si="41">IF(J159&gt;$E$51,$D$51+I160,J159+I160)</f>
        <v>2032</v>
      </c>
      <c r="K160" s="204" t="str">
        <f t="shared" ref="K160:K188" si="42">IF(J159&gt;$E$51,H159,"")</f>
        <v/>
      </c>
      <c r="L160" s="295">
        <f t="shared" si="35"/>
        <v>9</v>
      </c>
      <c r="M160" s="295"/>
      <c r="N160" s="212">
        <f t="shared" ref="N160:N188" si="43">$D$31</f>
        <v>35</v>
      </c>
      <c r="O160" s="212"/>
      <c r="P160" s="212">
        <f t="shared" si="36"/>
        <v>406</v>
      </c>
      <c r="Q160" s="319" t="str">
        <f t="shared" si="37"/>
        <v/>
      </c>
      <c r="R160" s="319"/>
      <c r="S160" s="324" t="str">
        <f t="shared" si="38"/>
        <v/>
      </c>
      <c r="T160" s="324"/>
      <c r="U160" s="295" t="str">
        <f t="shared" si="39"/>
        <v/>
      </c>
      <c r="V160" s="327"/>
    </row>
    <row r="161" spans="8:22" x14ac:dyDescent="0.25">
      <c r="H161" s="205">
        <v>42524</v>
      </c>
      <c r="I161" s="206">
        <f t="shared" si="40"/>
        <v>78</v>
      </c>
      <c r="J161" s="206">
        <f t="shared" si="41"/>
        <v>2110</v>
      </c>
      <c r="K161" s="204" t="str">
        <f t="shared" si="42"/>
        <v/>
      </c>
      <c r="L161" s="295">
        <f t="shared" si="35"/>
        <v>10</v>
      </c>
      <c r="M161" s="295"/>
      <c r="N161" s="212">
        <f t="shared" si="43"/>
        <v>35</v>
      </c>
      <c r="O161" s="212"/>
      <c r="P161" s="212">
        <f t="shared" si="36"/>
        <v>441</v>
      </c>
      <c r="Q161" s="319" t="str">
        <f t="shared" si="37"/>
        <v/>
      </c>
      <c r="R161" s="319"/>
      <c r="S161" s="324" t="str">
        <f t="shared" si="38"/>
        <v/>
      </c>
      <c r="T161" s="324"/>
      <c r="U161" s="295" t="str">
        <f t="shared" si="39"/>
        <v/>
      </c>
      <c r="V161" s="327"/>
    </row>
    <row r="162" spans="8:22" x14ac:dyDescent="0.25">
      <c r="H162" s="205">
        <v>42525</v>
      </c>
      <c r="I162" s="206">
        <f t="shared" si="40"/>
        <v>78</v>
      </c>
      <c r="J162" s="206">
        <f t="shared" si="41"/>
        <v>2188</v>
      </c>
      <c r="K162" s="204" t="str">
        <f t="shared" si="42"/>
        <v/>
      </c>
      <c r="L162" s="295">
        <f t="shared" si="35"/>
        <v>11</v>
      </c>
      <c r="M162" s="295"/>
      <c r="N162" s="212">
        <f t="shared" si="43"/>
        <v>35</v>
      </c>
      <c r="O162" s="212"/>
      <c r="P162" s="212">
        <f t="shared" si="36"/>
        <v>476</v>
      </c>
      <c r="Q162" s="319" t="str">
        <f t="shared" si="37"/>
        <v/>
      </c>
      <c r="R162" s="319"/>
      <c r="S162" s="324" t="str">
        <f t="shared" si="38"/>
        <v/>
      </c>
      <c r="T162" s="324"/>
      <c r="U162" s="295" t="str">
        <f t="shared" si="39"/>
        <v/>
      </c>
      <c r="V162" s="327"/>
    </row>
    <row r="163" spans="8:22" x14ac:dyDescent="0.25">
      <c r="H163" s="205">
        <v>42526</v>
      </c>
      <c r="I163" s="206">
        <f t="shared" si="40"/>
        <v>78</v>
      </c>
      <c r="J163" s="206">
        <f t="shared" si="41"/>
        <v>2266</v>
      </c>
      <c r="K163" s="204" t="str">
        <f t="shared" si="42"/>
        <v/>
      </c>
      <c r="L163" s="295">
        <f t="shared" si="35"/>
        <v>12</v>
      </c>
      <c r="M163" s="295"/>
      <c r="N163" s="212">
        <f t="shared" si="43"/>
        <v>35</v>
      </c>
      <c r="O163" s="212"/>
      <c r="P163" s="212">
        <f t="shared" si="36"/>
        <v>511</v>
      </c>
      <c r="Q163" s="319" t="str">
        <f t="shared" si="37"/>
        <v/>
      </c>
      <c r="R163" s="319"/>
      <c r="S163" s="324" t="str">
        <f t="shared" si="38"/>
        <v/>
      </c>
      <c r="T163" s="324"/>
      <c r="U163" s="295" t="str">
        <f t="shared" si="39"/>
        <v/>
      </c>
      <c r="V163" s="327"/>
    </row>
    <row r="164" spans="8:22" x14ac:dyDescent="0.25">
      <c r="H164" s="205">
        <v>42527</v>
      </c>
      <c r="I164" s="206">
        <f t="shared" si="40"/>
        <v>78</v>
      </c>
      <c r="J164" s="206">
        <f t="shared" si="41"/>
        <v>2344</v>
      </c>
      <c r="K164" s="204" t="str">
        <f t="shared" si="42"/>
        <v/>
      </c>
      <c r="L164" s="295">
        <f t="shared" si="35"/>
        <v>13</v>
      </c>
      <c r="M164" s="295"/>
      <c r="N164" s="212">
        <f t="shared" si="43"/>
        <v>35</v>
      </c>
      <c r="O164" s="212"/>
      <c r="P164" s="212">
        <f t="shared" si="36"/>
        <v>546</v>
      </c>
      <c r="Q164" s="319" t="str">
        <f t="shared" si="37"/>
        <v/>
      </c>
      <c r="R164" s="319"/>
      <c r="S164" s="324" t="str">
        <f t="shared" si="38"/>
        <v/>
      </c>
      <c r="T164" s="324"/>
      <c r="U164" s="295" t="str">
        <f t="shared" si="39"/>
        <v/>
      </c>
      <c r="V164" s="327"/>
    </row>
    <row r="165" spans="8:22" x14ac:dyDescent="0.25">
      <c r="H165" s="205">
        <v>42528</v>
      </c>
      <c r="I165" s="206">
        <f t="shared" si="40"/>
        <v>78</v>
      </c>
      <c r="J165" s="206">
        <f t="shared" si="41"/>
        <v>2422</v>
      </c>
      <c r="K165" s="204" t="str">
        <f t="shared" si="42"/>
        <v/>
      </c>
      <c r="L165" s="295">
        <f t="shared" si="35"/>
        <v>14</v>
      </c>
      <c r="M165" s="295"/>
      <c r="N165" s="212">
        <f t="shared" si="43"/>
        <v>35</v>
      </c>
      <c r="O165" s="212"/>
      <c r="P165" s="212">
        <f t="shared" si="36"/>
        <v>581</v>
      </c>
      <c r="Q165" s="319" t="str">
        <f t="shared" si="37"/>
        <v/>
      </c>
      <c r="R165" s="319"/>
      <c r="S165" s="324" t="str">
        <f t="shared" si="38"/>
        <v/>
      </c>
      <c r="T165" s="324"/>
      <c r="U165" s="295" t="str">
        <f t="shared" si="39"/>
        <v/>
      </c>
      <c r="V165" s="327"/>
    </row>
    <row r="166" spans="8:22" x14ac:dyDescent="0.25">
      <c r="H166" s="205">
        <v>42529</v>
      </c>
      <c r="I166" s="206">
        <f t="shared" si="40"/>
        <v>78</v>
      </c>
      <c r="J166" s="206">
        <f t="shared" si="41"/>
        <v>2500</v>
      </c>
      <c r="K166" s="204" t="str">
        <f t="shared" si="42"/>
        <v/>
      </c>
      <c r="L166" s="295">
        <f t="shared" si="35"/>
        <v>15</v>
      </c>
      <c r="M166" s="295"/>
      <c r="N166" s="212">
        <f t="shared" si="43"/>
        <v>35</v>
      </c>
      <c r="O166" s="212"/>
      <c r="P166" s="212">
        <f t="shared" si="36"/>
        <v>616</v>
      </c>
      <c r="Q166" s="319" t="str">
        <f t="shared" si="37"/>
        <v/>
      </c>
      <c r="R166" s="319"/>
      <c r="S166" s="324" t="str">
        <f t="shared" si="38"/>
        <v/>
      </c>
      <c r="T166" s="324"/>
      <c r="U166" s="295" t="str">
        <f t="shared" si="39"/>
        <v/>
      </c>
      <c r="V166" s="327"/>
    </row>
    <row r="167" spans="8:22" x14ac:dyDescent="0.25">
      <c r="H167" s="205">
        <v>42530</v>
      </c>
      <c r="I167" s="206">
        <f t="shared" si="40"/>
        <v>78</v>
      </c>
      <c r="J167" s="206">
        <f t="shared" si="41"/>
        <v>2578</v>
      </c>
      <c r="K167" s="204" t="str">
        <f t="shared" si="42"/>
        <v/>
      </c>
      <c r="L167" s="295">
        <f t="shared" si="35"/>
        <v>16</v>
      </c>
      <c r="M167" s="295"/>
      <c r="N167" s="212">
        <f t="shared" si="43"/>
        <v>35</v>
      </c>
      <c r="O167" s="212"/>
      <c r="P167" s="212">
        <f t="shared" si="36"/>
        <v>651</v>
      </c>
      <c r="Q167" s="319" t="str">
        <f t="shared" si="37"/>
        <v/>
      </c>
      <c r="R167" s="319"/>
      <c r="S167" s="324" t="str">
        <f t="shared" si="38"/>
        <v/>
      </c>
      <c r="T167" s="324"/>
      <c r="U167" s="295" t="str">
        <f t="shared" si="39"/>
        <v/>
      </c>
      <c r="V167" s="327"/>
    </row>
    <row r="168" spans="8:22" x14ac:dyDescent="0.25">
      <c r="H168" s="205">
        <v>42531</v>
      </c>
      <c r="I168" s="206">
        <f t="shared" si="40"/>
        <v>78</v>
      </c>
      <c r="J168" s="206">
        <f t="shared" si="41"/>
        <v>1278</v>
      </c>
      <c r="K168" s="204">
        <f t="shared" si="42"/>
        <v>42530</v>
      </c>
      <c r="L168" s="295">
        <f t="shared" si="35"/>
        <v>0</v>
      </c>
      <c r="M168" s="295"/>
      <c r="N168" s="212">
        <f t="shared" si="43"/>
        <v>35</v>
      </c>
      <c r="O168" s="212"/>
      <c r="P168" s="212">
        <f t="shared" si="36"/>
        <v>35</v>
      </c>
      <c r="Q168" s="319">
        <f t="shared" si="37"/>
        <v>40.6875</v>
      </c>
      <c r="R168" s="319"/>
      <c r="S168" s="324">
        <f t="shared" si="38"/>
        <v>3.1298076923076922E-2</v>
      </c>
      <c r="T168" s="324"/>
      <c r="U168" s="295">
        <f t="shared" si="39"/>
        <v>0.51692307692307693</v>
      </c>
      <c r="V168" s="327"/>
    </row>
    <row r="169" spans="8:22" x14ac:dyDescent="0.25">
      <c r="H169" s="205">
        <v>42532</v>
      </c>
      <c r="I169" s="206">
        <f t="shared" si="40"/>
        <v>78</v>
      </c>
      <c r="J169" s="206">
        <f t="shared" si="41"/>
        <v>1356</v>
      </c>
      <c r="K169" s="204" t="str">
        <f t="shared" si="42"/>
        <v/>
      </c>
      <c r="L169" s="295">
        <f t="shared" si="35"/>
        <v>1</v>
      </c>
      <c r="M169" s="295"/>
      <c r="N169" s="212">
        <f t="shared" si="43"/>
        <v>35</v>
      </c>
      <c r="O169" s="212"/>
      <c r="P169" s="212">
        <f t="shared" si="36"/>
        <v>70</v>
      </c>
      <c r="Q169" s="319" t="str">
        <f t="shared" si="37"/>
        <v/>
      </c>
      <c r="R169" s="319"/>
      <c r="S169" s="324" t="str">
        <f t="shared" si="38"/>
        <v/>
      </c>
      <c r="T169" s="324"/>
      <c r="U169" s="295" t="str">
        <f t="shared" si="39"/>
        <v/>
      </c>
      <c r="V169" s="327"/>
    </row>
    <row r="170" spans="8:22" x14ac:dyDescent="0.25">
      <c r="H170" s="205">
        <v>42533</v>
      </c>
      <c r="I170" s="206">
        <f t="shared" si="40"/>
        <v>78</v>
      </c>
      <c r="J170" s="206">
        <f t="shared" si="41"/>
        <v>1434</v>
      </c>
      <c r="K170" s="204" t="str">
        <f t="shared" si="42"/>
        <v/>
      </c>
      <c r="L170" s="295">
        <f t="shared" si="35"/>
        <v>2</v>
      </c>
      <c r="M170" s="295"/>
      <c r="N170" s="212">
        <f t="shared" si="43"/>
        <v>35</v>
      </c>
      <c r="O170" s="212"/>
      <c r="P170" s="212">
        <f t="shared" si="36"/>
        <v>105</v>
      </c>
      <c r="Q170" s="319" t="str">
        <f t="shared" si="37"/>
        <v/>
      </c>
      <c r="R170" s="319"/>
      <c r="S170" s="324" t="str">
        <f t="shared" si="38"/>
        <v/>
      </c>
      <c r="T170" s="324"/>
      <c r="U170" s="295" t="str">
        <f t="shared" si="39"/>
        <v/>
      </c>
      <c r="V170" s="327"/>
    </row>
    <row r="171" spans="8:22" x14ac:dyDescent="0.25">
      <c r="H171" s="205">
        <v>42534</v>
      </c>
      <c r="I171" s="206">
        <f t="shared" si="40"/>
        <v>78</v>
      </c>
      <c r="J171" s="206">
        <f t="shared" si="41"/>
        <v>1512</v>
      </c>
      <c r="K171" s="204" t="str">
        <f t="shared" si="42"/>
        <v/>
      </c>
      <c r="L171" s="295">
        <f t="shared" si="35"/>
        <v>3</v>
      </c>
      <c r="M171" s="295"/>
      <c r="N171" s="212">
        <f t="shared" si="43"/>
        <v>35</v>
      </c>
      <c r="O171" s="212"/>
      <c r="P171" s="212">
        <f t="shared" si="36"/>
        <v>140</v>
      </c>
      <c r="Q171" s="319" t="str">
        <f t="shared" si="37"/>
        <v/>
      </c>
      <c r="R171" s="319"/>
      <c r="S171" s="324" t="str">
        <f t="shared" si="38"/>
        <v/>
      </c>
      <c r="T171" s="324"/>
      <c r="U171" s="295" t="str">
        <f t="shared" si="39"/>
        <v/>
      </c>
      <c r="V171" s="327"/>
    </row>
    <row r="172" spans="8:22" x14ac:dyDescent="0.25">
      <c r="H172" s="205">
        <v>42535</v>
      </c>
      <c r="I172" s="206">
        <f t="shared" si="40"/>
        <v>78</v>
      </c>
      <c r="J172" s="206">
        <f t="shared" si="41"/>
        <v>1590</v>
      </c>
      <c r="K172" s="204" t="str">
        <f t="shared" si="42"/>
        <v/>
      </c>
      <c r="L172" s="295">
        <f t="shared" si="35"/>
        <v>4</v>
      </c>
      <c r="M172" s="295"/>
      <c r="N172" s="212">
        <f t="shared" si="43"/>
        <v>35</v>
      </c>
      <c r="O172" s="212"/>
      <c r="P172" s="212">
        <f t="shared" si="36"/>
        <v>175</v>
      </c>
      <c r="Q172" s="319" t="str">
        <f t="shared" si="37"/>
        <v/>
      </c>
      <c r="R172" s="319"/>
      <c r="S172" s="324" t="str">
        <f t="shared" si="38"/>
        <v/>
      </c>
      <c r="T172" s="324"/>
      <c r="U172" s="295" t="str">
        <f t="shared" si="39"/>
        <v/>
      </c>
      <c r="V172" s="327"/>
    </row>
    <row r="173" spans="8:22" x14ac:dyDescent="0.25">
      <c r="H173" s="205">
        <v>42536</v>
      </c>
      <c r="I173" s="206">
        <f t="shared" si="40"/>
        <v>78</v>
      </c>
      <c r="J173" s="206">
        <f t="shared" si="41"/>
        <v>1668</v>
      </c>
      <c r="K173" s="204" t="str">
        <f t="shared" si="42"/>
        <v/>
      </c>
      <c r="L173" s="295">
        <f t="shared" si="35"/>
        <v>5</v>
      </c>
      <c r="M173" s="295"/>
      <c r="N173" s="212">
        <f t="shared" si="43"/>
        <v>35</v>
      </c>
      <c r="O173" s="212"/>
      <c r="P173" s="212">
        <f t="shared" si="36"/>
        <v>210</v>
      </c>
      <c r="Q173" s="319" t="str">
        <f t="shared" si="37"/>
        <v/>
      </c>
      <c r="R173" s="319"/>
      <c r="S173" s="324" t="str">
        <f t="shared" si="38"/>
        <v/>
      </c>
      <c r="T173" s="324"/>
      <c r="U173" s="295" t="str">
        <f t="shared" si="39"/>
        <v/>
      </c>
      <c r="V173" s="327"/>
    </row>
    <row r="174" spans="8:22" x14ac:dyDescent="0.25">
      <c r="H174" s="205">
        <v>42537</v>
      </c>
      <c r="I174" s="206">
        <f t="shared" si="40"/>
        <v>78</v>
      </c>
      <c r="J174" s="206">
        <f t="shared" si="41"/>
        <v>1746</v>
      </c>
      <c r="K174" s="204" t="str">
        <f t="shared" si="42"/>
        <v/>
      </c>
      <c r="L174" s="295">
        <f t="shared" si="35"/>
        <v>6</v>
      </c>
      <c r="M174" s="295"/>
      <c r="N174" s="212">
        <f t="shared" si="43"/>
        <v>35</v>
      </c>
      <c r="O174" s="212"/>
      <c r="P174" s="212">
        <f t="shared" si="36"/>
        <v>245</v>
      </c>
      <c r="Q174" s="319" t="str">
        <f t="shared" si="37"/>
        <v/>
      </c>
      <c r="R174" s="319"/>
      <c r="S174" s="324" t="str">
        <f t="shared" si="38"/>
        <v/>
      </c>
      <c r="T174" s="324"/>
      <c r="U174" s="295" t="str">
        <f t="shared" si="39"/>
        <v/>
      </c>
      <c r="V174" s="327"/>
    </row>
    <row r="175" spans="8:22" x14ac:dyDescent="0.25">
      <c r="H175" s="205">
        <v>42538</v>
      </c>
      <c r="I175" s="206">
        <f t="shared" si="40"/>
        <v>78</v>
      </c>
      <c r="J175" s="206">
        <f t="shared" si="41"/>
        <v>1824</v>
      </c>
      <c r="K175" s="204" t="str">
        <f t="shared" si="42"/>
        <v/>
      </c>
      <c r="L175" s="295">
        <f t="shared" si="35"/>
        <v>7</v>
      </c>
      <c r="M175" s="295"/>
      <c r="N175" s="212">
        <f t="shared" si="43"/>
        <v>35</v>
      </c>
      <c r="O175" s="212"/>
      <c r="P175" s="212">
        <f t="shared" si="36"/>
        <v>280</v>
      </c>
      <c r="Q175" s="319" t="str">
        <f t="shared" si="37"/>
        <v/>
      </c>
      <c r="R175" s="319"/>
      <c r="S175" s="324" t="str">
        <f t="shared" si="38"/>
        <v/>
      </c>
      <c r="T175" s="324"/>
      <c r="U175" s="295" t="str">
        <f t="shared" si="39"/>
        <v/>
      </c>
      <c r="V175" s="327"/>
    </row>
    <row r="176" spans="8:22" x14ac:dyDescent="0.25">
      <c r="H176" s="205">
        <v>42539</v>
      </c>
      <c r="I176" s="206">
        <f t="shared" si="40"/>
        <v>78</v>
      </c>
      <c r="J176" s="206">
        <f t="shared" si="41"/>
        <v>1902</v>
      </c>
      <c r="K176" s="204" t="str">
        <f t="shared" si="42"/>
        <v/>
      </c>
      <c r="L176" s="295">
        <f t="shared" si="35"/>
        <v>8</v>
      </c>
      <c r="M176" s="295"/>
      <c r="N176" s="212">
        <f t="shared" si="43"/>
        <v>35</v>
      </c>
      <c r="O176" s="212"/>
      <c r="P176" s="212">
        <f t="shared" si="36"/>
        <v>315</v>
      </c>
      <c r="Q176" s="319" t="str">
        <f t="shared" si="37"/>
        <v/>
      </c>
      <c r="R176" s="319"/>
      <c r="S176" s="324" t="str">
        <f t="shared" si="38"/>
        <v/>
      </c>
      <c r="T176" s="324"/>
      <c r="U176" s="295" t="str">
        <f t="shared" si="39"/>
        <v/>
      </c>
      <c r="V176" s="327"/>
    </row>
    <row r="177" spans="8:22" x14ac:dyDescent="0.25">
      <c r="H177" s="205">
        <v>42540</v>
      </c>
      <c r="I177" s="206">
        <f t="shared" si="40"/>
        <v>78</v>
      </c>
      <c r="J177" s="206">
        <f t="shared" si="41"/>
        <v>1980</v>
      </c>
      <c r="K177" s="204" t="str">
        <f t="shared" si="42"/>
        <v/>
      </c>
      <c r="L177" s="295">
        <f t="shared" si="35"/>
        <v>9</v>
      </c>
      <c r="M177" s="295"/>
      <c r="N177" s="212">
        <f t="shared" si="43"/>
        <v>35</v>
      </c>
      <c r="O177" s="212"/>
      <c r="P177" s="212">
        <f t="shared" si="36"/>
        <v>350</v>
      </c>
      <c r="Q177" s="319" t="str">
        <f t="shared" si="37"/>
        <v/>
      </c>
      <c r="R177" s="319"/>
      <c r="S177" s="324" t="str">
        <f t="shared" si="38"/>
        <v/>
      </c>
      <c r="T177" s="324"/>
      <c r="U177" s="295" t="str">
        <f t="shared" si="39"/>
        <v/>
      </c>
      <c r="V177" s="327"/>
    </row>
    <row r="178" spans="8:22" x14ac:dyDescent="0.25">
      <c r="H178" s="205">
        <v>42541</v>
      </c>
      <c r="I178" s="206">
        <f t="shared" si="40"/>
        <v>78</v>
      </c>
      <c r="J178" s="206">
        <f t="shared" si="41"/>
        <v>2058</v>
      </c>
      <c r="K178" s="204" t="str">
        <f t="shared" si="42"/>
        <v/>
      </c>
      <c r="L178" s="295">
        <f t="shared" si="35"/>
        <v>10</v>
      </c>
      <c r="M178" s="295"/>
      <c r="N178" s="212">
        <f t="shared" si="43"/>
        <v>35</v>
      </c>
      <c r="O178" s="212"/>
      <c r="P178" s="212">
        <f t="shared" si="36"/>
        <v>385</v>
      </c>
      <c r="Q178" s="319" t="str">
        <f t="shared" si="37"/>
        <v/>
      </c>
      <c r="R178" s="319"/>
      <c r="S178" s="324" t="str">
        <f t="shared" si="38"/>
        <v/>
      </c>
      <c r="T178" s="324"/>
      <c r="U178" s="295" t="str">
        <f t="shared" si="39"/>
        <v/>
      </c>
      <c r="V178" s="327"/>
    </row>
    <row r="179" spans="8:22" x14ac:dyDescent="0.25">
      <c r="H179" s="205">
        <v>42542</v>
      </c>
      <c r="I179" s="206">
        <f t="shared" si="40"/>
        <v>78</v>
      </c>
      <c r="J179" s="206">
        <f t="shared" si="41"/>
        <v>2136</v>
      </c>
      <c r="K179" s="204" t="str">
        <f t="shared" si="42"/>
        <v/>
      </c>
      <c r="L179" s="295">
        <f t="shared" si="35"/>
        <v>11</v>
      </c>
      <c r="M179" s="295"/>
      <c r="N179" s="212">
        <f t="shared" si="43"/>
        <v>35</v>
      </c>
      <c r="O179" s="212"/>
      <c r="P179" s="212">
        <f t="shared" si="36"/>
        <v>420</v>
      </c>
      <c r="Q179" s="319" t="str">
        <f t="shared" si="37"/>
        <v/>
      </c>
      <c r="R179" s="319"/>
      <c r="S179" s="324" t="str">
        <f t="shared" si="38"/>
        <v/>
      </c>
      <c r="T179" s="324"/>
      <c r="U179" s="295" t="str">
        <f t="shared" si="39"/>
        <v/>
      </c>
      <c r="V179" s="327"/>
    </row>
    <row r="180" spans="8:22" x14ac:dyDescent="0.25">
      <c r="H180" s="205">
        <v>42543</v>
      </c>
      <c r="I180" s="206">
        <f t="shared" si="40"/>
        <v>78</v>
      </c>
      <c r="J180" s="206">
        <f t="shared" si="41"/>
        <v>2214</v>
      </c>
      <c r="K180" s="204" t="str">
        <f t="shared" si="42"/>
        <v/>
      </c>
      <c r="L180" s="295">
        <f t="shared" si="35"/>
        <v>12</v>
      </c>
      <c r="M180" s="295"/>
      <c r="N180" s="212">
        <f t="shared" si="43"/>
        <v>35</v>
      </c>
      <c r="O180" s="212"/>
      <c r="P180" s="212">
        <f t="shared" si="36"/>
        <v>455</v>
      </c>
      <c r="Q180" s="319" t="str">
        <f t="shared" si="37"/>
        <v/>
      </c>
      <c r="R180" s="319"/>
      <c r="S180" s="324" t="str">
        <f t="shared" si="38"/>
        <v/>
      </c>
      <c r="T180" s="324"/>
      <c r="U180" s="295" t="str">
        <f t="shared" si="39"/>
        <v/>
      </c>
      <c r="V180" s="327"/>
    </row>
    <row r="181" spans="8:22" x14ac:dyDescent="0.25">
      <c r="H181" s="205">
        <v>42544</v>
      </c>
      <c r="I181" s="206">
        <f t="shared" si="40"/>
        <v>78</v>
      </c>
      <c r="J181" s="206">
        <f t="shared" si="41"/>
        <v>2292</v>
      </c>
      <c r="K181" s="204" t="str">
        <f t="shared" si="42"/>
        <v/>
      </c>
      <c r="L181" s="295">
        <f t="shared" si="35"/>
        <v>13</v>
      </c>
      <c r="M181" s="295"/>
      <c r="N181" s="212">
        <f t="shared" si="43"/>
        <v>35</v>
      </c>
      <c r="O181" s="212"/>
      <c r="P181" s="212">
        <f t="shared" si="36"/>
        <v>490</v>
      </c>
      <c r="Q181" s="319" t="str">
        <f t="shared" si="37"/>
        <v/>
      </c>
      <c r="R181" s="319"/>
      <c r="S181" s="324" t="str">
        <f t="shared" si="38"/>
        <v/>
      </c>
      <c r="T181" s="324"/>
      <c r="U181" s="295" t="str">
        <f t="shared" si="39"/>
        <v/>
      </c>
      <c r="V181" s="327"/>
    </row>
    <row r="182" spans="8:22" x14ac:dyDescent="0.25">
      <c r="H182" s="205">
        <v>42545</v>
      </c>
      <c r="I182" s="206">
        <f t="shared" si="40"/>
        <v>78</v>
      </c>
      <c r="J182" s="206">
        <f t="shared" si="41"/>
        <v>2370</v>
      </c>
      <c r="K182" s="204" t="str">
        <f t="shared" si="42"/>
        <v/>
      </c>
      <c r="L182" s="295">
        <f t="shared" si="35"/>
        <v>14</v>
      </c>
      <c r="M182" s="295"/>
      <c r="N182" s="212">
        <f t="shared" si="43"/>
        <v>35</v>
      </c>
      <c r="O182" s="212"/>
      <c r="P182" s="212">
        <f t="shared" si="36"/>
        <v>525</v>
      </c>
      <c r="Q182" s="319" t="str">
        <f t="shared" si="37"/>
        <v/>
      </c>
      <c r="R182" s="319"/>
      <c r="S182" s="324" t="str">
        <f t="shared" si="38"/>
        <v/>
      </c>
      <c r="T182" s="324"/>
      <c r="U182" s="295" t="str">
        <f t="shared" si="39"/>
        <v/>
      </c>
      <c r="V182" s="327"/>
    </row>
    <row r="183" spans="8:22" x14ac:dyDescent="0.25">
      <c r="H183" s="205">
        <v>42546</v>
      </c>
      <c r="I183" s="206">
        <f t="shared" si="40"/>
        <v>78</v>
      </c>
      <c r="J183" s="206">
        <f t="shared" si="41"/>
        <v>2448</v>
      </c>
      <c r="K183" s="204" t="str">
        <f t="shared" si="42"/>
        <v/>
      </c>
      <c r="L183" s="295">
        <f t="shared" si="35"/>
        <v>15</v>
      </c>
      <c r="M183" s="295"/>
      <c r="N183" s="212">
        <f t="shared" si="43"/>
        <v>35</v>
      </c>
      <c r="O183" s="212"/>
      <c r="P183" s="212">
        <f t="shared" si="36"/>
        <v>560</v>
      </c>
      <c r="Q183" s="319" t="str">
        <f t="shared" si="37"/>
        <v/>
      </c>
      <c r="R183" s="319"/>
      <c r="S183" s="324" t="str">
        <f t="shared" si="38"/>
        <v/>
      </c>
      <c r="T183" s="324"/>
      <c r="U183" s="295" t="str">
        <f t="shared" si="39"/>
        <v/>
      </c>
      <c r="V183" s="327"/>
    </row>
    <row r="184" spans="8:22" x14ac:dyDescent="0.25">
      <c r="H184" s="205">
        <v>42547</v>
      </c>
      <c r="I184" s="206">
        <f t="shared" si="40"/>
        <v>78</v>
      </c>
      <c r="J184" s="206">
        <f t="shared" si="41"/>
        <v>2526</v>
      </c>
      <c r="K184" s="204" t="str">
        <f t="shared" si="42"/>
        <v/>
      </c>
      <c r="L184" s="295">
        <f t="shared" si="35"/>
        <v>16</v>
      </c>
      <c r="M184" s="295"/>
      <c r="N184" s="212">
        <f t="shared" si="43"/>
        <v>35</v>
      </c>
      <c r="O184" s="212"/>
      <c r="P184" s="212">
        <f t="shared" si="36"/>
        <v>595</v>
      </c>
      <c r="Q184" s="319" t="str">
        <f t="shared" si="37"/>
        <v/>
      </c>
      <c r="R184" s="319"/>
      <c r="S184" s="324" t="str">
        <f t="shared" si="38"/>
        <v/>
      </c>
      <c r="T184" s="324"/>
      <c r="U184" s="295" t="str">
        <f t="shared" si="39"/>
        <v/>
      </c>
      <c r="V184" s="327"/>
    </row>
    <row r="185" spans="8:22" x14ac:dyDescent="0.25">
      <c r="H185" s="205">
        <v>42548</v>
      </c>
      <c r="I185" s="206">
        <f t="shared" si="40"/>
        <v>78</v>
      </c>
      <c r="J185" s="206">
        <f t="shared" si="41"/>
        <v>1278</v>
      </c>
      <c r="K185" s="204">
        <f t="shared" si="42"/>
        <v>42547</v>
      </c>
      <c r="L185" s="295">
        <f t="shared" si="35"/>
        <v>0</v>
      </c>
      <c r="M185" s="295"/>
      <c r="N185" s="212">
        <f t="shared" si="43"/>
        <v>35</v>
      </c>
      <c r="O185" s="212"/>
      <c r="P185" s="212">
        <f t="shared" si="36"/>
        <v>35</v>
      </c>
      <c r="Q185" s="319">
        <f t="shared" si="37"/>
        <v>37.1875</v>
      </c>
      <c r="R185" s="319"/>
      <c r="S185" s="324">
        <f t="shared" si="38"/>
        <v>2.860576923076923E-2</v>
      </c>
      <c r="T185" s="324"/>
      <c r="U185" s="295">
        <f t="shared" si="39"/>
        <v>0.51692307692307693</v>
      </c>
      <c r="V185" s="327"/>
    </row>
    <row r="186" spans="8:22" x14ac:dyDescent="0.25">
      <c r="H186" s="205">
        <v>42549</v>
      </c>
      <c r="I186" s="206">
        <f t="shared" si="40"/>
        <v>78</v>
      </c>
      <c r="J186" s="206">
        <f t="shared" si="41"/>
        <v>1356</v>
      </c>
      <c r="K186" s="204" t="str">
        <f t="shared" si="42"/>
        <v/>
      </c>
      <c r="L186" s="295">
        <f t="shared" si="35"/>
        <v>1</v>
      </c>
      <c r="M186" s="295"/>
      <c r="N186" s="212">
        <f t="shared" si="43"/>
        <v>35</v>
      </c>
      <c r="O186" s="212"/>
      <c r="P186" s="212">
        <f t="shared" si="36"/>
        <v>70</v>
      </c>
      <c r="Q186" s="319" t="str">
        <f t="shared" si="37"/>
        <v/>
      </c>
      <c r="R186" s="319"/>
      <c r="S186" s="324" t="str">
        <f t="shared" si="38"/>
        <v/>
      </c>
      <c r="T186" s="324"/>
      <c r="U186" s="295" t="str">
        <f t="shared" si="39"/>
        <v/>
      </c>
      <c r="V186" s="327"/>
    </row>
    <row r="187" spans="8:22" x14ac:dyDescent="0.25">
      <c r="H187" s="205">
        <v>42550</v>
      </c>
      <c r="I187" s="206">
        <f t="shared" si="40"/>
        <v>78</v>
      </c>
      <c r="J187" s="206">
        <f t="shared" si="41"/>
        <v>1434</v>
      </c>
      <c r="K187" s="204" t="str">
        <f t="shared" si="42"/>
        <v/>
      </c>
      <c r="L187" s="295">
        <f t="shared" si="35"/>
        <v>2</v>
      </c>
      <c r="M187" s="295"/>
      <c r="N187" s="212">
        <f t="shared" si="43"/>
        <v>35</v>
      </c>
      <c r="O187" s="212"/>
      <c r="P187" s="212">
        <f t="shared" si="36"/>
        <v>105</v>
      </c>
      <c r="Q187" s="319" t="str">
        <f t="shared" si="37"/>
        <v/>
      </c>
      <c r="R187" s="319"/>
      <c r="S187" s="324" t="str">
        <f t="shared" si="38"/>
        <v/>
      </c>
      <c r="T187" s="324"/>
      <c r="U187" s="295" t="str">
        <f t="shared" si="39"/>
        <v/>
      </c>
      <c r="V187" s="327"/>
    </row>
    <row r="188" spans="8:22" x14ac:dyDescent="0.25">
      <c r="H188" s="205">
        <v>42551</v>
      </c>
      <c r="I188" s="206">
        <f t="shared" si="40"/>
        <v>78</v>
      </c>
      <c r="J188" s="206">
        <f t="shared" si="41"/>
        <v>1512</v>
      </c>
      <c r="K188" s="204" t="str">
        <f t="shared" si="42"/>
        <v/>
      </c>
      <c r="L188" s="295">
        <f t="shared" si="35"/>
        <v>3</v>
      </c>
      <c r="M188" s="295"/>
      <c r="N188" s="212">
        <f t="shared" si="43"/>
        <v>35</v>
      </c>
      <c r="O188" s="212"/>
      <c r="P188" s="212">
        <f t="shared" si="36"/>
        <v>140</v>
      </c>
      <c r="Q188" s="319" t="str">
        <f t="shared" si="37"/>
        <v/>
      </c>
      <c r="R188" s="319"/>
      <c r="S188" s="324" t="str">
        <f t="shared" si="38"/>
        <v/>
      </c>
      <c r="T188" s="324"/>
      <c r="U188" s="295" t="str">
        <f t="shared" si="39"/>
        <v/>
      </c>
      <c r="V188" s="327"/>
    </row>
    <row r="189" spans="8:22" x14ac:dyDescent="0.25">
      <c r="H189" s="205">
        <v>42552</v>
      </c>
      <c r="I189" s="206">
        <f t="shared" ref="I189:I219" si="44">$B$11</f>
        <v>58.5</v>
      </c>
      <c r="J189" s="206">
        <f>IF(J188&gt;$E$52,$D$52+I189,J188+I189)</f>
        <v>1570.5</v>
      </c>
      <c r="K189" s="204" t="str">
        <f>IF(J188&gt;$E$52,H188,"")</f>
        <v/>
      </c>
      <c r="L189" s="295">
        <f t="shared" si="35"/>
        <v>4</v>
      </c>
      <c r="M189" s="295"/>
      <c r="N189" s="212">
        <f>$D$32</f>
        <v>10.5</v>
      </c>
      <c r="O189" s="212"/>
      <c r="P189" s="212">
        <f t="shared" si="36"/>
        <v>150.5</v>
      </c>
      <c r="Q189" s="319" t="str">
        <f t="shared" si="37"/>
        <v/>
      </c>
      <c r="R189" s="319"/>
      <c r="S189" s="324" t="str">
        <f t="shared" si="38"/>
        <v/>
      </c>
      <c r="T189" s="324"/>
      <c r="U189" s="295" t="str">
        <f t="shared" si="39"/>
        <v/>
      </c>
      <c r="V189" s="327"/>
    </row>
    <row r="190" spans="8:22" x14ac:dyDescent="0.25">
      <c r="H190" s="205">
        <v>42553</v>
      </c>
      <c r="I190" s="206">
        <f t="shared" si="44"/>
        <v>58.5</v>
      </c>
      <c r="J190" s="206">
        <f t="shared" ref="J190:J219" si="45">IF(J189&gt;$E$52,$D$52+I190,J189+I190)</f>
        <v>1629</v>
      </c>
      <c r="K190" s="204" t="str">
        <f t="shared" ref="K190:K219" si="46">IF(J189&gt;$E$52,H189,"")</f>
        <v/>
      </c>
      <c r="L190" s="295">
        <f t="shared" si="35"/>
        <v>5</v>
      </c>
      <c r="M190" s="295"/>
      <c r="N190" s="212">
        <f t="shared" ref="N190:N219" si="47">$D$32</f>
        <v>10.5</v>
      </c>
      <c r="O190" s="212"/>
      <c r="P190" s="212">
        <f t="shared" si="36"/>
        <v>161</v>
      </c>
      <c r="Q190" s="319" t="str">
        <f t="shared" si="37"/>
        <v/>
      </c>
      <c r="R190" s="319"/>
      <c r="S190" s="324" t="str">
        <f t="shared" si="38"/>
        <v/>
      </c>
      <c r="T190" s="324"/>
      <c r="U190" s="295" t="str">
        <f t="shared" si="39"/>
        <v/>
      </c>
      <c r="V190" s="327"/>
    </row>
    <row r="191" spans="8:22" x14ac:dyDescent="0.25">
      <c r="H191" s="205">
        <v>42554</v>
      </c>
      <c r="I191" s="206">
        <f t="shared" si="44"/>
        <v>58.5</v>
      </c>
      <c r="J191" s="206">
        <f t="shared" si="45"/>
        <v>1687.5</v>
      </c>
      <c r="K191" s="204" t="str">
        <f t="shared" si="46"/>
        <v/>
      </c>
      <c r="L191" s="295">
        <f t="shared" si="35"/>
        <v>6</v>
      </c>
      <c r="M191" s="295"/>
      <c r="N191" s="212">
        <f t="shared" si="47"/>
        <v>10.5</v>
      </c>
      <c r="O191" s="212"/>
      <c r="P191" s="212">
        <f t="shared" si="36"/>
        <v>171.5</v>
      </c>
      <c r="Q191" s="319" t="str">
        <f t="shared" si="37"/>
        <v/>
      </c>
      <c r="R191" s="319"/>
      <c r="S191" s="324" t="str">
        <f t="shared" si="38"/>
        <v/>
      </c>
      <c r="T191" s="324"/>
      <c r="U191" s="295" t="str">
        <f t="shared" si="39"/>
        <v/>
      </c>
      <c r="V191" s="327"/>
    </row>
    <row r="192" spans="8:22" x14ac:dyDescent="0.25">
      <c r="H192" s="205">
        <v>42555</v>
      </c>
      <c r="I192" s="206">
        <f t="shared" si="44"/>
        <v>58.5</v>
      </c>
      <c r="J192" s="206">
        <f t="shared" si="45"/>
        <v>1746</v>
      </c>
      <c r="K192" s="204" t="str">
        <f t="shared" si="46"/>
        <v/>
      </c>
      <c r="L192" s="295">
        <f t="shared" si="35"/>
        <v>7</v>
      </c>
      <c r="M192" s="295"/>
      <c r="N192" s="212">
        <f t="shared" si="47"/>
        <v>10.5</v>
      </c>
      <c r="O192" s="212"/>
      <c r="P192" s="212">
        <f t="shared" si="36"/>
        <v>182</v>
      </c>
      <c r="Q192" s="319" t="str">
        <f t="shared" si="37"/>
        <v/>
      </c>
      <c r="R192" s="319"/>
      <c r="S192" s="324" t="str">
        <f t="shared" si="38"/>
        <v/>
      </c>
      <c r="T192" s="324"/>
      <c r="U192" s="295" t="str">
        <f t="shared" si="39"/>
        <v/>
      </c>
      <c r="V192" s="327"/>
    </row>
    <row r="193" spans="8:22" x14ac:dyDescent="0.25">
      <c r="H193" s="205">
        <v>42556</v>
      </c>
      <c r="I193" s="206">
        <f t="shared" si="44"/>
        <v>58.5</v>
      </c>
      <c r="J193" s="206">
        <f t="shared" si="45"/>
        <v>1804.5</v>
      </c>
      <c r="K193" s="204" t="str">
        <f t="shared" si="46"/>
        <v/>
      </c>
      <c r="L193" s="295">
        <f t="shared" si="35"/>
        <v>8</v>
      </c>
      <c r="M193" s="295"/>
      <c r="N193" s="212">
        <f t="shared" si="47"/>
        <v>10.5</v>
      </c>
      <c r="O193" s="212"/>
      <c r="P193" s="212">
        <f t="shared" si="36"/>
        <v>192.5</v>
      </c>
      <c r="Q193" s="319" t="str">
        <f t="shared" si="37"/>
        <v/>
      </c>
      <c r="R193" s="319"/>
      <c r="S193" s="324" t="str">
        <f t="shared" si="38"/>
        <v/>
      </c>
      <c r="T193" s="324"/>
      <c r="U193" s="295" t="str">
        <f t="shared" si="39"/>
        <v/>
      </c>
      <c r="V193" s="327"/>
    </row>
    <row r="194" spans="8:22" x14ac:dyDescent="0.25">
      <c r="H194" s="205">
        <v>42557</v>
      </c>
      <c r="I194" s="206">
        <f t="shared" si="44"/>
        <v>58.5</v>
      </c>
      <c r="J194" s="206">
        <f t="shared" si="45"/>
        <v>1863</v>
      </c>
      <c r="K194" s="204" t="str">
        <f t="shared" si="46"/>
        <v/>
      </c>
      <c r="L194" s="295">
        <f t="shared" si="35"/>
        <v>9</v>
      </c>
      <c r="M194" s="295"/>
      <c r="N194" s="212">
        <f t="shared" si="47"/>
        <v>10.5</v>
      </c>
      <c r="O194" s="212"/>
      <c r="P194" s="212">
        <f t="shared" si="36"/>
        <v>203</v>
      </c>
      <c r="Q194" s="319" t="str">
        <f t="shared" si="37"/>
        <v/>
      </c>
      <c r="R194" s="319"/>
      <c r="S194" s="324" t="str">
        <f t="shared" si="38"/>
        <v/>
      </c>
      <c r="T194" s="324"/>
      <c r="U194" s="295" t="str">
        <f t="shared" si="39"/>
        <v/>
      </c>
      <c r="V194" s="327"/>
    </row>
    <row r="195" spans="8:22" x14ac:dyDescent="0.25">
      <c r="H195" s="205">
        <v>42558</v>
      </c>
      <c r="I195" s="206">
        <f t="shared" si="44"/>
        <v>58.5</v>
      </c>
      <c r="J195" s="206">
        <f t="shared" si="45"/>
        <v>1921.5</v>
      </c>
      <c r="K195" s="204" t="str">
        <f t="shared" si="46"/>
        <v/>
      </c>
      <c r="L195" s="295">
        <f t="shared" si="35"/>
        <v>10</v>
      </c>
      <c r="M195" s="295"/>
      <c r="N195" s="212">
        <f t="shared" si="47"/>
        <v>10.5</v>
      </c>
      <c r="O195" s="212"/>
      <c r="P195" s="212">
        <f t="shared" si="36"/>
        <v>213.5</v>
      </c>
      <c r="Q195" s="319" t="str">
        <f t="shared" si="37"/>
        <v/>
      </c>
      <c r="R195" s="319"/>
      <c r="S195" s="324" t="str">
        <f t="shared" si="38"/>
        <v/>
      </c>
      <c r="T195" s="324"/>
      <c r="U195" s="295" t="str">
        <f t="shared" si="39"/>
        <v/>
      </c>
      <c r="V195" s="327"/>
    </row>
    <row r="196" spans="8:22" x14ac:dyDescent="0.25">
      <c r="H196" s="205">
        <v>42559</v>
      </c>
      <c r="I196" s="206">
        <f t="shared" si="44"/>
        <v>58.5</v>
      </c>
      <c r="J196" s="206">
        <f t="shared" si="45"/>
        <v>1980</v>
      </c>
      <c r="K196" s="204" t="str">
        <f t="shared" si="46"/>
        <v/>
      </c>
      <c r="L196" s="295">
        <f t="shared" si="35"/>
        <v>11</v>
      </c>
      <c r="M196" s="295"/>
      <c r="N196" s="212">
        <f t="shared" si="47"/>
        <v>10.5</v>
      </c>
      <c r="O196" s="212"/>
      <c r="P196" s="212">
        <f t="shared" si="36"/>
        <v>224</v>
      </c>
      <c r="Q196" s="319" t="str">
        <f t="shared" si="37"/>
        <v/>
      </c>
      <c r="R196" s="319"/>
      <c r="S196" s="324" t="str">
        <f t="shared" si="38"/>
        <v/>
      </c>
      <c r="T196" s="324"/>
      <c r="U196" s="295" t="str">
        <f t="shared" si="39"/>
        <v/>
      </c>
      <c r="V196" s="327"/>
    </row>
    <row r="197" spans="8:22" x14ac:dyDescent="0.25">
      <c r="H197" s="205">
        <v>42560</v>
      </c>
      <c r="I197" s="206">
        <f t="shared" si="44"/>
        <v>58.5</v>
      </c>
      <c r="J197" s="206">
        <f t="shared" si="45"/>
        <v>2038.5</v>
      </c>
      <c r="K197" s="204" t="str">
        <f t="shared" si="46"/>
        <v/>
      </c>
      <c r="L197" s="295">
        <f t="shared" si="35"/>
        <v>12</v>
      </c>
      <c r="M197" s="295"/>
      <c r="N197" s="212">
        <f t="shared" si="47"/>
        <v>10.5</v>
      </c>
      <c r="O197" s="212"/>
      <c r="P197" s="212">
        <f t="shared" si="36"/>
        <v>234.5</v>
      </c>
      <c r="Q197" s="319" t="str">
        <f t="shared" si="37"/>
        <v/>
      </c>
      <c r="R197" s="319"/>
      <c r="S197" s="324" t="str">
        <f t="shared" si="38"/>
        <v/>
      </c>
      <c r="T197" s="324"/>
      <c r="U197" s="295" t="str">
        <f t="shared" si="39"/>
        <v/>
      </c>
      <c r="V197" s="327"/>
    </row>
    <row r="198" spans="8:22" x14ac:dyDescent="0.25">
      <c r="H198" s="205">
        <v>42561</v>
      </c>
      <c r="I198" s="206">
        <f t="shared" si="44"/>
        <v>58.5</v>
      </c>
      <c r="J198" s="206">
        <f t="shared" si="45"/>
        <v>2097</v>
      </c>
      <c r="K198" s="204" t="str">
        <f t="shared" si="46"/>
        <v/>
      </c>
      <c r="L198" s="295">
        <f t="shared" si="35"/>
        <v>13</v>
      </c>
      <c r="M198" s="295"/>
      <c r="N198" s="212">
        <f t="shared" si="47"/>
        <v>10.5</v>
      </c>
      <c r="O198" s="212"/>
      <c r="P198" s="212">
        <f t="shared" si="36"/>
        <v>245</v>
      </c>
      <c r="Q198" s="319" t="str">
        <f t="shared" si="37"/>
        <v/>
      </c>
      <c r="R198" s="319"/>
      <c r="S198" s="324" t="str">
        <f t="shared" si="38"/>
        <v/>
      </c>
      <c r="T198" s="324"/>
      <c r="U198" s="295" t="str">
        <f t="shared" si="39"/>
        <v/>
      </c>
      <c r="V198" s="327"/>
    </row>
    <row r="199" spans="8:22" x14ac:dyDescent="0.25">
      <c r="H199" s="205">
        <v>42562</v>
      </c>
      <c r="I199" s="206">
        <f t="shared" si="44"/>
        <v>58.5</v>
      </c>
      <c r="J199" s="206">
        <f t="shared" si="45"/>
        <v>2155.5</v>
      </c>
      <c r="K199" s="204" t="str">
        <f t="shared" si="46"/>
        <v/>
      </c>
      <c r="L199" s="295">
        <f t="shared" si="35"/>
        <v>14</v>
      </c>
      <c r="M199" s="295"/>
      <c r="N199" s="212">
        <f t="shared" si="47"/>
        <v>10.5</v>
      </c>
      <c r="O199" s="212"/>
      <c r="P199" s="212">
        <f t="shared" si="36"/>
        <v>255.5</v>
      </c>
      <c r="Q199" s="319" t="str">
        <f t="shared" si="37"/>
        <v/>
      </c>
      <c r="R199" s="319"/>
      <c r="S199" s="324" t="str">
        <f t="shared" si="38"/>
        <v/>
      </c>
      <c r="T199" s="324"/>
      <c r="U199" s="295" t="str">
        <f t="shared" si="39"/>
        <v/>
      </c>
      <c r="V199" s="327"/>
    </row>
    <row r="200" spans="8:22" x14ac:dyDescent="0.25">
      <c r="H200" s="205">
        <v>42563</v>
      </c>
      <c r="I200" s="206">
        <f t="shared" si="44"/>
        <v>58.5</v>
      </c>
      <c r="J200" s="206">
        <f t="shared" si="45"/>
        <v>2214</v>
      </c>
      <c r="K200" s="204" t="str">
        <f t="shared" si="46"/>
        <v/>
      </c>
      <c r="L200" s="295">
        <f t="shared" si="35"/>
        <v>15</v>
      </c>
      <c r="M200" s="295"/>
      <c r="N200" s="212">
        <f t="shared" si="47"/>
        <v>10.5</v>
      </c>
      <c r="O200" s="212"/>
      <c r="P200" s="212">
        <f t="shared" si="36"/>
        <v>266</v>
      </c>
      <c r="Q200" s="319" t="str">
        <f t="shared" si="37"/>
        <v/>
      </c>
      <c r="R200" s="319"/>
      <c r="S200" s="324" t="str">
        <f t="shared" si="38"/>
        <v/>
      </c>
      <c r="T200" s="324"/>
      <c r="U200" s="295" t="str">
        <f t="shared" si="39"/>
        <v/>
      </c>
      <c r="V200" s="327"/>
    </row>
    <row r="201" spans="8:22" x14ac:dyDescent="0.25">
      <c r="H201" s="205">
        <v>42564</v>
      </c>
      <c r="I201" s="206">
        <f t="shared" si="44"/>
        <v>58.5</v>
      </c>
      <c r="J201" s="206">
        <f t="shared" si="45"/>
        <v>2272.5</v>
      </c>
      <c r="K201" s="204" t="str">
        <f t="shared" si="46"/>
        <v/>
      </c>
      <c r="L201" s="295">
        <f t="shared" ref="L201:L264" si="48">IF(K201="",1+L200,0)</f>
        <v>16</v>
      </c>
      <c r="M201" s="295"/>
      <c r="N201" s="212">
        <f t="shared" si="47"/>
        <v>10.5</v>
      </c>
      <c r="O201" s="212"/>
      <c r="P201" s="212">
        <f t="shared" ref="P201:P264" si="49">IF(L201=0,N201,N201+P200)</f>
        <v>276.5</v>
      </c>
      <c r="Q201" s="319" t="str">
        <f t="shared" ref="Q201:Q264" si="50">IF(L201=0,P200/L200,"")</f>
        <v/>
      </c>
      <c r="R201" s="319"/>
      <c r="S201" s="324" t="str">
        <f t="shared" ref="S201:S264" si="51">IFERROR(Q201/$D$21,"")</f>
        <v/>
      </c>
      <c r="T201" s="324"/>
      <c r="U201" s="295" t="str">
        <f t="shared" ref="U201:U264" si="52">IF(L201=0,$D$39*L200,"")</f>
        <v/>
      </c>
      <c r="V201" s="327"/>
    </row>
    <row r="202" spans="8:22" x14ac:dyDescent="0.25">
      <c r="H202" s="205">
        <v>42565</v>
      </c>
      <c r="I202" s="206">
        <f t="shared" si="44"/>
        <v>58.5</v>
      </c>
      <c r="J202" s="206">
        <f t="shared" si="45"/>
        <v>2331</v>
      </c>
      <c r="K202" s="204" t="str">
        <f t="shared" si="46"/>
        <v/>
      </c>
      <c r="L202" s="295">
        <f t="shared" si="48"/>
        <v>17</v>
      </c>
      <c r="M202" s="295"/>
      <c r="N202" s="212">
        <f t="shared" si="47"/>
        <v>10.5</v>
      </c>
      <c r="O202" s="212"/>
      <c r="P202" s="212">
        <f t="shared" si="49"/>
        <v>287</v>
      </c>
      <c r="Q202" s="319" t="str">
        <f t="shared" si="50"/>
        <v/>
      </c>
      <c r="R202" s="319"/>
      <c r="S202" s="324" t="str">
        <f t="shared" si="51"/>
        <v/>
      </c>
      <c r="T202" s="324"/>
      <c r="U202" s="295" t="str">
        <f t="shared" si="52"/>
        <v/>
      </c>
      <c r="V202" s="327"/>
    </row>
    <row r="203" spans="8:22" x14ac:dyDescent="0.25">
      <c r="H203" s="205">
        <v>42566</v>
      </c>
      <c r="I203" s="206">
        <f t="shared" si="44"/>
        <v>58.5</v>
      </c>
      <c r="J203" s="206">
        <f t="shared" si="45"/>
        <v>2389.5</v>
      </c>
      <c r="K203" s="204" t="str">
        <f t="shared" si="46"/>
        <v/>
      </c>
      <c r="L203" s="295">
        <f t="shared" si="48"/>
        <v>18</v>
      </c>
      <c r="M203" s="295"/>
      <c r="N203" s="212">
        <f t="shared" si="47"/>
        <v>10.5</v>
      </c>
      <c r="O203" s="212"/>
      <c r="P203" s="212">
        <f t="shared" si="49"/>
        <v>297.5</v>
      </c>
      <c r="Q203" s="319" t="str">
        <f t="shared" si="50"/>
        <v/>
      </c>
      <c r="R203" s="319"/>
      <c r="S203" s="324" t="str">
        <f t="shared" si="51"/>
        <v/>
      </c>
      <c r="T203" s="324"/>
      <c r="U203" s="295" t="str">
        <f t="shared" si="52"/>
        <v/>
      </c>
      <c r="V203" s="327"/>
    </row>
    <row r="204" spans="8:22" x14ac:dyDescent="0.25">
      <c r="H204" s="205">
        <v>42567</v>
      </c>
      <c r="I204" s="206">
        <f t="shared" si="44"/>
        <v>58.5</v>
      </c>
      <c r="J204" s="206">
        <f t="shared" si="45"/>
        <v>2448</v>
      </c>
      <c r="K204" s="204" t="str">
        <f t="shared" si="46"/>
        <v/>
      </c>
      <c r="L204" s="295">
        <f t="shared" si="48"/>
        <v>19</v>
      </c>
      <c r="M204" s="295"/>
      <c r="N204" s="212">
        <f t="shared" si="47"/>
        <v>10.5</v>
      </c>
      <c r="O204" s="212"/>
      <c r="P204" s="212">
        <f t="shared" si="49"/>
        <v>308</v>
      </c>
      <c r="Q204" s="319" t="str">
        <f t="shared" si="50"/>
        <v/>
      </c>
      <c r="R204" s="319"/>
      <c r="S204" s="324" t="str">
        <f t="shared" si="51"/>
        <v/>
      </c>
      <c r="T204" s="324"/>
      <c r="U204" s="295" t="str">
        <f t="shared" si="52"/>
        <v/>
      </c>
      <c r="V204" s="327"/>
    </row>
    <row r="205" spans="8:22" x14ac:dyDescent="0.25">
      <c r="H205" s="205">
        <v>42568</v>
      </c>
      <c r="I205" s="206">
        <f t="shared" si="44"/>
        <v>58.5</v>
      </c>
      <c r="J205" s="206">
        <f t="shared" si="45"/>
        <v>2506.5</v>
      </c>
      <c r="K205" s="204" t="str">
        <f t="shared" si="46"/>
        <v/>
      </c>
      <c r="L205" s="295">
        <f t="shared" si="48"/>
        <v>20</v>
      </c>
      <c r="M205" s="295"/>
      <c r="N205" s="212">
        <f t="shared" si="47"/>
        <v>10.5</v>
      </c>
      <c r="O205" s="212"/>
      <c r="P205" s="212">
        <f t="shared" si="49"/>
        <v>318.5</v>
      </c>
      <c r="Q205" s="319" t="str">
        <f t="shared" si="50"/>
        <v/>
      </c>
      <c r="R205" s="319"/>
      <c r="S205" s="324" t="str">
        <f t="shared" si="51"/>
        <v/>
      </c>
      <c r="T205" s="324"/>
      <c r="U205" s="295" t="str">
        <f t="shared" si="52"/>
        <v/>
      </c>
      <c r="V205" s="327"/>
    </row>
    <row r="206" spans="8:22" x14ac:dyDescent="0.25">
      <c r="H206" s="205">
        <v>42569</v>
      </c>
      <c r="I206" s="206">
        <f t="shared" si="44"/>
        <v>58.5</v>
      </c>
      <c r="J206" s="206">
        <f t="shared" si="45"/>
        <v>1258.5</v>
      </c>
      <c r="K206" s="204">
        <f t="shared" si="46"/>
        <v>42568</v>
      </c>
      <c r="L206" s="295">
        <f t="shared" si="48"/>
        <v>0</v>
      </c>
      <c r="M206" s="295"/>
      <c r="N206" s="212">
        <f t="shared" si="47"/>
        <v>10.5</v>
      </c>
      <c r="O206" s="212"/>
      <c r="P206" s="212">
        <f t="shared" si="49"/>
        <v>10.5</v>
      </c>
      <c r="Q206" s="319">
        <f t="shared" si="50"/>
        <v>15.925000000000001</v>
      </c>
      <c r="R206" s="319"/>
      <c r="S206" s="324">
        <f t="shared" si="51"/>
        <v>1.225E-2</v>
      </c>
      <c r="T206" s="324"/>
      <c r="U206" s="295">
        <f t="shared" si="52"/>
        <v>0.64615384615384619</v>
      </c>
      <c r="V206" s="327"/>
    </row>
    <row r="207" spans="8:22" x14ac:dyDescent="0.25">
      <c r="H207" s="205">
        <v>42570</v>
      </c>
      <c r="I207" s="206">
        <f t="shared" si="44"/>
        <v>58.5</v>
      </c>
      <c r="J207" s="206">
        <f t="shared" si="45"/>
        <v>1317</v>
      </c>
      <c r="K207" s="204" t="str">
        <f t="shared" si="46"/>
        <v/>
      </c>
      <c r="L207" s="295">
        <f t="shared" si="48"/>
        <v>1</v>
      </c>
      <c r="M207" s="295"/>
      <c r="N207" s="212">
        <f t="shared" si="47"/>
        <v>10.5</v>
      </c>
      <c r="O207" s="212"/>
      <c r="P207" s="212">
        <f t="shared" si="49"/>
        <v>21</v>
      </c>
      <c r="Q207" s="319" t="str">
        <f t="shared" si="50"/>
        <v/>
      </c>
      <c r="R207" s="319"/>
      <c r="S207" s="324" t="str">
        <f t="shared" si="51"/>
        <v/>
      </c>
      <c r="T207" s="324"/>
      <c r="U207" s="295" t="str">
        <f t="shared" si="52"/>
        <v/>
      </c>
      <c r="V207" s="327"/>
    </row>
    <row r="208" spans="8:22" x14ac:dyDescent="0.25">
      <c r="H208" s="205">
        <v>42571</v>
      </c>
      <c r="I208" s="206">
        <f t="shared" si="44"/>
        <v>58.5</v>
      </c>
      <c r="J208" s="206">
        <f t="shared" si="45"/>
        <v>1375.5</v>
      </c>
      <c r="K208" s="204" t="str">
        <f t="shared" si="46"/>
        <v/>
      </c>
      <c r="L208" s="295">
        <f t="shared" si="48"/>
        <v>2</v>
      </c>
      <c r="M208" s="295"/>
      <c r="N208" s="212">
        <f t="shared" si="47"/>
        <v>10.5</v>
      </c>
      <c r="O208" s="212"/>
      <c r="P208" s="212">
        <f t="shared" si="49"/>
        <v>31.5</v>
      </c>
      <c r="Q208" s="319" t="str">
        <f t="shared" si="50"/>
        <v/>
      </c>
      <c r="R208" s="319"/>
      <c r="S208" s="324" t="str">
        <f t="shared" si="51"/>
        <v/>
      </c>
      <c r="T208" s="324"/>
      <c r="U208" s="295" t="str">
        <f t="shared" si="52"/>
        <v/>
      </c>
      <c r="V208" s="327"/>
    </row>
    <row r="209" spans="8:22" x14ac:dyDescent="0.25">
      <c r="H209" s="205">
        <v>42572</v>
      </c>
      <c r="I209" s="206">
        <f t="shared" si="44"/>
        <v>58.5</v>
      </c>
      <c r="J209" s="206">
        <f t="shared" si="45"/>
        <v>1434</v>
      </c>
      <c r="K209" s="204" t="str">
        <f t="shared" si="46"/>
        <v/>
      </c>
      <c r="L209" s="295">
        <f t="shared" si="48"/>
        <v>3</v>
      </c>
      <c r="M209" s="295"/>
      <c r="N209" s="212">
        <f t="shared" si="47"/>
        <v>10.5</v>
      </c>
      <c r="O209" s="212"/>
      <c r="P209" s="212">
        <f t="shared" si="49"/>
        <v>42</v>
      </c>
      <c r="Q209" s="319" t="str">
        <f t="shared" si="50"/>
        <v/>
      </c>
      <c r="R209" s="319"/>
      <c r="S209" s="324" t="str">
        <f t="shared" si="51"/>
        <v/>
      </c>
      <c r="T209" s="324"/>
      <c r="U209" s="295" t="str">
        <f t="shared" si="52"/>
        <v/>
      </c>
      <c r="V209" s="327"/>
    </row>
    <row r="210" spans="8:22" x14ac:dyDescent="0.25">
      <c r="H210" s="205">
        <v>42573</v>
      </c>
      <c r="I210" s="206">
        <f t="shared" si="44"/>
        <v>58.5</v>
      </c>
      <c r="J210" s="206">
        <f t="shared" si="45"/>
        <v>1492.5</v>
      </c>
      <c r="K210" s="204" t="str">
        <f t="shared" si="46"/>
        <v/>
      </c>
      <c r="L210" s="295">
        <f t="shared" si="48"/>
        <v>4</v>
      </c>
      <c r="M210" s="295"/>
      <c r="N210" s="212">
        <f t="shared" si="47"/>
        <v>10.5</v>
      </c>
      <c r="O210" s="212"/>
      <c r="P210" s="212">
        <f t="shared" si="49"/>
        <v>52.5</v>
      </c>
      <c r="Q210" s="319" t="str">
        <f t="shared" si="50"/>
        <v/>
      </c>
      <c r="R210" s="319"/>
      <c r="S210" s="324" t="str">
        <f t="shared" si="51"/>
        <v/>
      </c>
      <c r="T210" s="324"/>
      <c r="U210" s="295" t="str">
        <f t="shared" si="52"/>
        <v/>
      </c>
      <c r="V210" s="327"/>
    </row>
    <row r="211" spans="8:22" x14ac:dyDescent="0.25">
      <c r="H211" s="205">
        <v>42574</v>
      </c>
      <c r="I211" s="206">
        <f t="shared" si="44"/>
        <v>58.5</v>
      </c>
      <c r="J211" s="206">
        <f t="shared" si="45"/>
        <v>1551</v>
      </c>
      <c r="K211" s="204" t="str">
        <f t="shared" si="46"/>
        <v/>
      </c>
      <c r="L211" s="295">
        <f t="shared" si="48"/>
        <v>5</v>
      </c>
      <c r="M211" s="295"/>
      <c r="N211" s="212">
        <f t="shared" si="47"/>
        <v>10.5</v>
      </c>
      <c r="O211" s="212"/>
      <c r="P211" s="212">
        <f t="shared" si="49"/>
        <v>63</v>
      </c>
      <c r="Q211" s="319" t="str">
        <f t="shared" si="50"/>
        <v/>
      </c>
      <c r="R211" s="319"/>
      <c r="S211" s="324" t="str">
        <f t="shared" si="51"/>
        <v/>
      </c>
      <c r="T211" s="324"/>
      <c r="U211" s="295" t="str">
        <f t="shared" si="52"/>
        <v/>
      </c>
      <c r="V211" s="327"/>
    </row>
    <row r="212" spans="8:22" x14ac:dyDescent="0.25">
      <c r="H212" s="205">
        <v>42575</v>
      </c>
      <c r="I212" s="206">
        <f t="shared" si="44"/>
        <v>58.5</v>
      </c>
      <c r="J212" s="206">
        <f t="shared" si="45"/>
        <v>1609.5</v>
      </c>
      <c r="K212" s="204" t="str">
        <f t="shared" si="46"/>
        <v/>
      </c>
      <c r="L212" s="295">
        <f t="shared" si="48"/>
        <v>6</v>
      </c>
      <c r="M212" s="295"/>
      <c r="N212" s="212">
        <f t="shared" si="47"/>
        <v>10.5</v>
      </c>
      <c r="O212" s="212"/>
      <c r="P212" s="212">
        <f t="shared" si="49"/>
        <v>73.5</v>
      </c>
      <c r="Q212" s="319" t="str">
        <f t="shared" si="50"/>
        <v/>
      </c>
      <c r="R212" s="319"/>
      <c r="S212" s="324" t="str">
        <f t="shared" si="51"/>
        <v/>
      </c>
      <c r="T212" s="324"/>
      <c r="U212" s="295" t="str">
        <f t="shared" si="52"/>
        <v/>
      </c>
      <c r="V212" s="327"/>
    </row>
    <row r="213" spans="8:22" x14ac:dyDescent="0.25">
      <c r="H213" s="205">
        <v>42576</v>
      </c>
      <c r="I213" s="206">
        <f t="shared" si="44"/>
        <v>58.5</v>
      </c>
      <c r="J213" s="206">
        <f t="shared" si="45"/>
        <v>1668</v>
      </c>
      <c r="K213" s="204" t="str">
        <f t="shared" si="46"/>
        <v/>
      </c>
      <c r="L213" s="295">
        <f t="shared" si="48"/>
        <v>7</v>
      </c>
      <c r="M213" s="295"/>
      <c r="N213" s="212">
        <f t="shared" si="47"/>
        <v>10.5</v>
      </c>
      <c r="O213" s="212"/>
      <c r="P213" s="212">
        <f t="shared" si="49"/>
        <v>84</v>
      </c>
      <c r="Q213" s="319" t="str">
        <f t="shared" si="50"/>
        <v/>
      </c>
      <c r="R213" s="319"/>
      <c r="S213" s="324" t="str">
        <f t="shared" si="51"/>
        <v/>
      </c>
      <c r="T213" s="324"/>
      <c r="U213" s="295" t="str">
        <f t="shared" si="52"/>
        <v/>
      </c>
      <c r="V213" s="327"/>
    </row>
    <row r="214" spans="8:22" x14ac:dyDescent="0.25">
      <c r="H214" s="205">
        <v>42577</v>
      </c>
      <c r="I214" s="206">
        <f t="shared" si="44"/>
        <v>58.5</v>
      </c>
      <c r="J214" s="206">
        <f t="shared" si="45"/>
        <v>1726.5</v>
      </c>
      <c r="K214" s="204" t="str">
        <f t="shared" si="46"/>
        <v/>
      </c>
      <c r="L214" s="295">
        <f t="shared" si="48"/>
        <v>8</v>
      </c>
      <c r="M214" s="295"/>
      <c r="N214" s="212">
        <f t="shared" si="47"/>
        <v>10.5</v>
      </c>
      <c r="O214" s="212"/>
      <c r="P214" s="212">
        <f t="shared" si="49"/>
        <v>94.5</v>
      </c>
      <c r="Q214" s="319" t="str">
        <f t="shared" si="50"/>
        <v/>
      </c>
      <c r="R214" s="319"/>
      <c r="S214" s="324" t="str">
        <f t="shared" si="51"/>
        <v/>
      </c>
      <c r="T214" s="324"/>
      <c r="U214" s="295" t="str">
        <f t="shared" si="52"/>
        <v/>
      </c>
      <c r="V214" s="327"/>
    </row>
    <row r="215" spans="8:22" x14ac:dyDescent="0.25">
      <c r="H215" s="205">
        <v>42578</v>
      </c>
      <c r="I215" s="206">
        <f t="shared" si="44"/>
        <v>58.5</v>
      </c>
      <c r="J215" s="206">
        <f t="shared" si="45"/>
        <v>1785</v>
      </c>
      <c r="K215" s="204" t="str">
        <f t="shared" si="46"/>
        <v/>
      </c>
      <c r="L215" s="295">
        <f t="shared" si="48"/>
        <v>9</v>
      </c>
      <c r="M215" s="295"/>
      <c r="N215" s="212">
        <f t="shared" si="47"/>
        <v>10.5</v>
      </c>
      <c r="O215" s="212"/>
      <c r="P215" s="212">
        <f t="shared" si="49"/>
        <v>105</v>
      </c>
      <c r="Q215" s="319" t="str">
        <f t="shared" si="50"/>
        <v/>
      </c>
      <c r="R215" s="319"/>
      <c r="S215" s="324" t="str">
        <f t="shared" si="51"/>
        <v/>
      </c>
      <c r="T215" s="324"/>
      <c r="U215" s="295" t="str">
        <f t="shared" si="52"/>
        <v/>
      </c>
      <c r="V215" s="327"/>
    </row>
    <row r="216" spans="8:22" x14ac:dyDescent="0.25">
      <c r="H216" s="205">
        <v>42579</v>
      </c>
      <c r="I216" s="206">
        <f t="shared" si="44"/>
        <v>58.5</v>
      </c>
      <c r="J216" s="206">
        <f t="shared" si="45"/>
        <v>1843.5</v>
      </c>
      <c r="K216" s="204" t="str">
        <f t="shared" si="46"/>
        <v/>
      </c>
      <c r="L216" s="295">
        <f t="shared" si="48"/>
        <v>10</v>
      </c>
      <c r="M216" s="295"/>
      <c r="N216" s="212">
        <f t="shared" si="47"/>
        <v>10.5</v>
      </c>
      <c r="O216" s="212"/>
      <c r="P216" s="212">
        <f t="shared" si="49"/>
        <v>115.5</v>
      </c>
      <c r="Q216" s="319" t="str">
        <f t="shared" si="50"/>
        <v/>
      </c>
      <c r="R216" s="319"/>
      <c r="S216" s="324" t="str">
        <f t="shared" si="51"/>
        <v/>
      </c>
      <c r="T216" s="324"/>
      <c r="U216" s="295" t="str">
        <f t="shared" si="52"/>
        <v/>
      </c>
      <c r="V216" s="327"/>
    </row>
    <row r="217" spans="8:22" x14ac:dyDescent="0.25">
      <c r="H217" s="205">
        <v>42580</v>
      </c>
      <c r="I217" s="206">
        <f t="shared" si="44"/>
        <v>58.5</v>
      </c>
      <c r="J217" s="206">
        <f t="shared" si="45"/>
        <v>1902</v>
      </c>
      <c r="K217" s="204" t="str">
        <f t="shared" si="46"/>
        <v/>
      </c>
      <c r="L217" s="295">
        <f t="shared" si="48"/>
        <v>11</v>
      </c>
      <c r="M217" s="295"/>
      <c r="N217" s="212">
        <f t="shared" si="47"/>
        <v>10.5</v>
      </c>
      <c r="O217" s="212"/>
      <c r="P217" s="212">
        <f t="shared" si="49"/>
        <v>126</v>
      </c>
      <c r="Q217" s="319" t="str">
        <f t="shared" si="50"/>
        <v/>
      </c>
      <c r="R217" s="319"/>
      <c r="S217" s="324" t="str">
        <f t="shared" si="51"/>
        <v/>
      </c>
      <c r="T217" s="324"/>
      <c r="U217" s="295" t="str">
        <f t="shared" si="52"/>
        <v/>
      </c>
      <c r="V217" s="327"/>
    </row>
    <row r="218" spans="8:22" x14ac:dyDescent="0.25">
      <c r="H218" s="205">
        <v>42581</v>
      </c>
      <c r="I218" s="206">
        <f t="shared" si="44"/>
        <v>58.5</v>
      </c>
      <c r="J218" s="206">
        <f t="shared" si="45"/>
        <v>1960.5</v>
      </c>
      <c r="K218" s="204" t="str">
        <f t="shared" si="46"/>
        <v/>
      </c>
      <c r="L218" s="295">
        <f t="shared" si="48"/>
        <v>12</v>
      </c>
      <c r="M218" s="295"/>
      <c r="N218" s="212">
        <f t="shared" si="47"/>
        <v>10.5</v>
      </c>
      <c r="O218" s="212"/>
      <c r="P218" s="212">
        <f t="shared" si="49"/>
        <v>136.5</v>
      </c>
      <c r="Q218" s="319" t="str">
        <f t="shared" si="50"/>
        <v/>
      </c>
      <c r="R218" s="319"/>
      <c r="S218" s="324" t="str">
        <f t="shared" si="51"/>
        <v/>
      </c>
      <c r="T218" s="324"/>
      <c r="U218" s="295" t="str">
        <f t="shared" si="52"/>
        <v/>
      </c>
      <c r="V218" s="327"/>
    </row>
    <row r="219" spans="8:22" x14ac:dyDescent="0.25">
      <c r="H219" s="205">
        <v>42582</v>
      </c>
      <c r="I219" s="206">
        <f t="shared" si="44"/>
        <v>58.5</v>
      </c>
      <c r="J219" s="206">
        <f t="shared" si="45"/>
        <v>2019</v>
      </c>
      <c r="K219" s="204" t="str">
        <f t="shared" si="46"/>
        <v/>
      </c>
      <c r="L219" s="295">
        <f t="shared" si="48"/>
        <v>13</v>
      </c>
      <c r="M219" s="295"/>
      <c r="N219" s="212">
        <f t="shared" si="47"/>
        <v>10.5</v>
      </c>
      <c r="O219" s="212"/>
      <c r="P219" s="212">
        <f t="shared" si="49"/>
        <v>147</v>
      </c>
      <c r="Q219" s="319" t="str">
        <f t="shared" si="50"/>
        <v/>
      </c>
      <c r="R219" s="319"/>
      <c r="S219" s="324" t="str">
        <f t="shared" si="51"/>
        <v/>
      </c>
      <c r="T219" s="324"/>
      <c r="U219" s="295" t="str">
        <f t="shared" si="52"/>
        <v/>
      </c>
      <c r="V219" s="327"/>
    </row>
    <row r="220" spans="8:22" x14ac:dyDescent="0.25">
      <c r="H220" s="205">
        <v>42583</v>
      </c>
      <c r="I220" s="206">
        <f t="shared" ref="I220:I250" si="53">$B$12</f>
        <v>29.900000000000002</v>
      </c>
      <c r="J220" s="206">
        <f>IF(J219&gt;$E$53,$D$53+I220,J219+I220)</f>
        <v>2048.9</v>
      </c>
      <c r="K220" s="204" t="str">
        <f>IF(J219&gt;$E$53,H219,"")</f>
        <v/>
      </c>
      <c r="L220" s="295">
        <f t="shared" si="48"/>
        <v>14</v>
      </c>
      <c r="M220" s="295"/>
      <c r="N220" s="212">
        <f>$D$33</f>
        <v>10.5</v>
      </c>
      <c r="O220" s="212"/>
      <c r="P220" s="212">
        <f t="shared" si="49"/>
        <v>157.5</v>
      </c>
      <c r="Q220" s="319" t="str">
        <f t="shared" si="50"/>
        <v/>
      </c>
      <c r="R220" s="319"/>
      <c r="S220" s="324" t="str">
        <f t="shared" si="51"/>
        <v/>
      </c>
      <c r="T220" s="324"/>
      <c r="U220" s="295" t="str">
        <f t="shared" si="52"/>
        <v/>
      </c>
      <c r="V220" s="327"/>
    </row>
    <row r="221" spans="8:22" x14ac:dyDescent="0.25">
      <c r="H221" s="205">
        <v>42584</v>
      </c>
      <c r="I221" s="206">
        <f t="shared" si="53"/>
        <v>29.900000000000002</v>
      </c>
      <c r="J221" s="206">
        <f t="shared" ref="J221:J250" si="54">IF(J220&gt;$E$53,$D$53+I221,J220+I221)</f>
        <v>2078.8000000000002</v>
      </c>
      <c r="K221" s="204" t="str">
        <f t="shared" ref="K221:K250" si="55">IF(J220&gt;$D$18,H220,"")</f>
        <v/>
      </c>
      <c r="L221" s="295">
        <f t="shared" si="48"/>
        <v>15</v>
      </c>
      <c r="M221" s="295"/>
      <c r="N221" s="212">
        <f t="shared" ref="N221:N250" si="56">$D$33</f>
        <v>10.5</v>
      </c>
      <c r="O221" s="212"/>
      <c r="P221" s="212">
        <f t="shared" si="49"/>
        <v>168</v>
      </c>
      <c r="Q221" s="319" t="str">
        <f t="shared" si="50"/>
        <v/>
      </c>
      <c r="R221" s="319"/>
      <c r="S221" s="324" t="str">
        <f t="shared" si="51"/>
        <v/>
      </c>
      <c r="T221" s="324"/>
      <c r="U221" s="295" t="str">
        <f t="shared" si="52"/>
        <v/>
      </c>
      <c r="V221" s="327"/>
    </row>
    <row r="222" spans="8:22" x14ac:dyDescent="0.25">
      <c r="H222" s="205">
        <v>42585</v>
      </c>
      <c r="I222" s="206">
        <f t="shared" si="53"/>
        <v>29.900000000000002</v>
      </c>
      <c r="J222" s="206">
        <f t="shared" si="54"/>
        <v>2108.7000000000003</v>
      </c>
      <c r="K222" s="204" t="str">
        <f t="shared" si="55"/>
        <v/>
      </c>
      <c r="L222" s="295">
        <f t="shared" si="48"/>
        <v>16</v>
      </c>
      <c r="M222" s="295"/>
      <c r="N222" s="212">
        <f t="shared" si="56"/>
        <v>10.5</v>
      </c>
      <c r="O222" s="212"/>
      <c r="P222" s="212">
        <f t="shared" si="49"/>
        <v>178.5</v>
      </c>
      <c r="Q222" s="319" t="str">
        <f t="shared" si="50"/>
        <v/>
      </c>
      <c r="R222" s="319"/>
      <c r="S222" s="324" t="str">
        <f t="shared" si="51"/>
        <v/>
      </c>
      <c r="T222" s="324"/>
      <c r="U222" s="295" t="str">
        <f t="shared" si="52"/>
        <v/>
      </c>
      <c r="V222" s="327"/>
    </row>
    <row r="223" spans="8:22" x14ac:dyDescent="0.25">
      <c r="H223" s="205">
        <v>42586</v>
      </c>
      <c r="I223" s="206">
        <f t="shared" si="53"/>
        <v>29.900000000000002</v>
      </c>
      <c r="J223" s="206">
        <f t="shared" si="54"/>
        <v>2138.6000000000004</v>
      </c>
      <c r="K223" s="204" t="str">
        <f t="shared" si="55"/>
        <v/>
      </c>
      <c r="L223" s="295">
        <f t="shared" si="48"/>
        <v>17</v>
      </c>
      <c r="M223" s="295"/>
      <c r="N223" s="212">
        <f t="shared" si="56"/>
        <v>10.5</v>
      </c>
      <c r="O223" s="212"/>
      <c r="P223" s="212">
        <f t="shared" si="49"/>
        <v>189</v>
      </c>
      <c r="Q223" s="319" t="str">
        <f t="shared" si="50"/>
        <v/>
      </c>
      <c r="R223" s="319"/>
      <c r="S223" s="324" t="str">
        <f t="shared" si="51"/>
        <v/>
      </c>
      <c r="T223" s="324"/>
      <c r="U223" s="295" t="str">
        <f t="shared" si="52"/>
        <v/>
      </c>
      <c r="V223" s="327"/>
    </row>
    <row r="224" spans="8:22" x14ac:dyDescent="0.25">
      <c r="H224" s="205">
        <v>42587</v>
      </c>
      <c r="I224" s="206">
        <f t="shared" si="53"/>
        <v>29.900000000000002</v>
      </c>
      <c r="J224" s="206">
        <f t="shared" si="54"/>
        <v>2168.5000000000005</v>
      </c>
      <c r="K224" s="204" t="str">
        <f t="shared" si="55"/>
        <v/>
      </c>
      <c r="L224" s="295">
        <f t="shared" si="48"/>
        <v>18</v>
      </c>
      <c r="M224" s="295"/>
      <c r="N224" s="212">
        <f t="shared" si="56"/>
        <v>10.5</v>
      </c>
      <c r="O224" s="212"/>
      <c r="P224" s="212">
        <f t="shared" si="49"/>
        <v>199.5</v>
      </c>
      <c r="Q224" s="319" t="str">
        <f t="shared" si="50"/>
        <v/>
      </c>
      <c r="R224" s="319"/>
      <c r="S224" s="324" t="str">
        <f t="shared" si="51"/>
        <v/>
      </c>
      <c r="T224" s="324"/>
      <c r="U224" s="295" t="str">
        <f t="shared" si="52"/>
        <v/>
      </c>
      <c r="V224" s="327"/>
    </row>
    <row r="225" spans="8:22" x14ac:dyDescent="0.25">
      <c r="H225" s="205">
        <v>42588</v>
      </c>
      <c r="I225" s="206">
        <f t="shared" si="53"/>
        <v>29.900000000000002</v>
      </c>
      <c r="J225" s="206">
        <f t="shared" si="54"/>
        <v>2198.4000000000005</v>
      </c>
      <c r="K225" s="204" t="str">
        <f t="shared" si="55"/>
        <v/>
      </c>
      <c r="L225" s="295">
        <f t="shared" si="48"/>
        <v>19</v>
      </c>
      <c r="M225" s="295"/>
      <c r="N225" s="212">
        <f t="shared" si="56"/>
        <v>10.5</v>
      </c>
      <c r="O225" s="212"/>
      <c r="P225" s="212">
        <f t="shared" si="49"/>
        <v>210</v>
      </c>
      <c r="Q225" s="319" t="str">
        <f t="shared" si="50"/>
        <v/>
      </c>
      <c r="R225" s="319"/>
      <c r="S225" s="324" t="str">
        <f t="shared" si="51"/>
        <v/>
      </c>
      <c r="T225" s="324"/>
      <c r="U225" s="295" t="str">
        <f t="shared" si="52"/>
        <v/>
      </c>
      <c r="V225" s="327"/>
    </row>
    <row r="226" spans="8:22" x14ac:dyDescent="0.25">
      <c r="H226" s="205">
        <v>42589</v>
      </c>
      <c r="I226" s="206">
        <f t="shared" si="53"/>
        <v>29.900000000000002</v>
      </c>
      <c r="J226" s="206">
        <f t="shared" si="54"/>
        <v>2228.3000000000006</v>
      </c>
      <c r="K226" s="204" t="str">
        <f t="shared" si="55"/>
        <v/>
      </c>
      <c r="L226" s="295">
        <f t="shared" si="48"/>
        <v>20</v>
      </c>
      <c r="M226" s="295"/>
      <c r="N226" s="212">
        <f t="shared" si="56"/>
        <v>10.5</v>
      </c>
      <c r="O226" s="212"/>
      <c r="P226" s="212">
        <f t="shared" si="49"/>
        <v>220.5</v>
      </c>
      <c r="Q226" s="319" t="str">
        <f t="shared" si="50"/>
        <v/>
      </c>
      <c r="R226" s="319"/>
      <c r="S226" s="324" t="str">
        <f t="shared" si="51"/>
        <v/>
      </c>
      <c r="T226" s="324"/>
      <c r="U226" s="295" t="str">
        <f t="shared" si="52"/>
        <v/>
      </c>
      <c r="V226" s="327"/>
    </row>
    <row r="227" spans="8:22" x14ac:dyDescent="0.25">
      <c r="H227" s="205">
        <v>42590</v>
      </c>
      <c r="I227" s="206">
        <f t="shared" si="53"/>
        <v>29.900000000000002</v>
      </c>
      <c r="J227" s="206">
        <f t="shared" si="54"/>
        <v>2258.2000000000007</v>
      </c>
      <c r="K227" s="204" t="str">
        <f t="shared" si="55"/>
        <v/>
      </c>
      <c r="L227" s="295">
        <f t="shared" si="48"/>
        <v>21</v>
      </c>
      <c r="M227" s="295"/>
      <c r="N227" s="212">
        <f t="shared" si="56"/>
        <v>10.5</v>
      </c>
      <c r="O227" s="212"/>
      <c r="P227" s="212">
        <f t="shared" si="49"/>
        <v>231</v>
      </c>
      <c r="Q227" s="319" t="str">
        <f t="shared" si="50"/>
        <v/>
      </c>
      <c r="R227" s="319"/>
      <c r="S227" s="324" t="str">
        <f t="shared" si="51"/>
        <v/>
      </c>
      <c r="T227" s="324"/>
      <c r="U227" s="295" t="str">
        <f t="shared" si="52"/>
        <v/>
      </c>
      <c r="V227" s="327"/>
    </row>
    <row r="228" spans="8:22" x14ac:dyDescent="0.25">
      <c r="H228" s="205">
        <v>42591</v>
      </c>
      <c r="I228" s="206">
        <f t="shared" si="53"/>
        <v>29.900000000000002</v>
      </c>
      <c r="J228" s="206">
        <f t="shared" si="54"/>
        <v>2288.1000000000008</v>
      </c>
      <c r="K228" s="204" t="str">
        <f t="shared" si="55"/>
        <v/>
      </c>
      <c r="L228" s="295">
        <f t="shared" si="48"/>
        <v>22</v>
      </c>
      <c r="M228" s="295"/>
      <c r="N228" s="212">
        <f t="shared" si="56"/>
        <v>10.5</v>
      </c>
      <c r="O228" s="212"/>
      <c r="P228" s="212">
        <f t="shared" si="49"/>
        <v>241.5</v>
      </c>
      <c r="Q228" s="319" t="str">
        <f t="shared" si="50"/>
        <v/>
      </c>
      <c r="R228" s="319"/>
      <c r="S228" s="324" t="str">
        <f t="shared" si="51"/>
        <v/>
      </c>
      <c r="T228" s="324"/>
      <c r="U228" s="295" t="str">
        <f t="shared" si="52"/>
        <v/>
      </c>
      <c r="V228" s="327"/>
    </row>
    <row r="229" spans="8:22" x14ac:dyDescent="0.25">
      <c r="H229" s="205">
        <v>42592</v>
      </c>
      <c r="I229" s="206">
        <f t="shared" si="53"/>
        <v>29.900000000000002</v>
      </c>
      <c r="J229" s="206">
        <f t="shared" si="54"/>
        <v>2318.0000000000009</v>
      </c>
      <c r="K229" s="204" t="str">
        <f t="shared" si="55"/>
        <v/>
      </c>
      <c r="L229" s="295">
        <f t="shared" si="48"/>
        <v>23</v>
      </c>
      <c r="M229" s="295"/>
      <c r="N229" s="212">
        <f t="shared" si="56"/>
        <v>10.5</v>
      </c>
      <c r="O229" s="212"/>
      <c r="P229" s="212">
        <f t="shared" si="49"/>
        <v>252</v>
      </c>
      <c r="Q229" s="319" t="str">
        <f t="shared" si="50"/>
        <v/>
      </c>
      <c r="R229" s="319"/>
      <c r="S229" s="324" t="str">
        <f t="shared" si="51"/>
        <v/>
      </c>
      <c r="T229" s="324"/>
      <c r="U229" s="295" t="str">
        <f t="shared" si="52"/>
        <v/>
      </c>
      <c r="V229" s="327"/>
    </row>
    <row r="230" spans="8:22" x14ac:dyDescent="0.25">
      <c r="H230" s="205">
        <v>42593</v>
      </c>
      <c r="I230" s="206">
        <f t="shared" si="53"/>
        <v>29.900000000000002</v>
      </c>
      <c r="J230" s="206">
        <f t="shared" si="54"/>
        <v>2347.900000000001</v>
      </c>
      <c r="K230" s="204" t="str">
        <f t="shared" si="55"/>
        <v/>
      </c>
      <c r="L230" s="295">
        <f t="shared" si="48"/>
        <v>24</v>
      </c>
      <c r="M230" s="295"/>
      <c r="N230" s="212">
        <f t="shared" si="56"/>
        <v>10.5</v>
      </c>
      <c r="O230" s="212"/>
      <c r="P230" s="212">
        <f t="shared" si="49"/>
        <v>262.5</v>
      </c>
      <c r="Q230" s="319" t="str">
        <f t="shared" si="50"/>
        <v/>
      </c>
      <c r="R230" s="319"/>
      <c r="S230" s="324" t="str">
        <f t="shared" si="51"/>
        <v/>
      </c>
      <c r="T230" s="324"/>
      <c r="U230" s="295" t="str">
        <f t="shared" si="52"/>
        <v/>
      </c>
      <c r="V230" s="327"/>
    </row>
    <row r="231" spans="8:22" x14ac:dyDescent="0.25">
      <c r="H231" s="205">
        <v>42594</v>
      </c>
      <c r="I231" s="206">
        <f t="shared" si="53"/>
        <v>29.900000000000002</v>
      </c>
      <c r="J231" s="206">
        <f t="shared" si="54"/>
        <v>2377.8000000000011</v>
      </c>
      <c r="K231" s="204" t="str">
        <f t="shared" si="55"/>
        <v/>
      </c>
      <c r="L231" s="295">
        <f t="shared" si="48"/>
        <v>25</v>
      </c>
      <c r="M231" s="295"/>
      <c r="N231" s="212">
        <f t="shared" si="56"/>
        <v>10.5</v>
      </c>
      <c r="O231" s="212"/>
      <c r="P231" s="212">
        <f t="shared" si="49"/>
        <v>273</v>
      </c>
      <c r="Q231" s="319" t="str">
        <f t="shared" si="50"/>
        <v/>
      </c>
      <c r="R231" s="319"/>
      <c r="S231" s="324" t="str">
        <f t="shared" si="51"/>
        <v/>
      </c>
      <c r="T231" s="324"/>
      <c r="U231" s="295" t="str">
        <f t="shared" si="52"/>
        <v/>
      </c>
      <c r="V231" s="327"/>
    </row>
    <row r="232" spans="8:22" x14ac:dyDescent="0.25">
      <c r="H232" s="205">
        <v>42595</v>
      </c>
      <c r="I232" s="206">
        <f t="shared" si="53"/>
        <v>29.900000000000002</v>
      </c>
      <c r="J232" s="206">
        <f t="shared" si="54"/>
        <v>2407.7000000000012</v>
      </c>
      <c r="K232" s="204" t="str">
        <f t="shared" si="55"/>
        <v/>
      </c>
      <c r="L232" s="295">
        <f t="shared" si="48"/>
        <v>26</v>
      </c>
      <c r="M232" s="295"/>
      <c r="N232" s="212">
        <f t="shared" si="56"/>
        <v>10.5</v>
      </c>
      <c r="O232" s="212"/>
      <c r="P232" s="212">
        <f t="shared" si="49"/>
        <v>283.5</v>
      </c>
      <c r="Q232" s="319" t="str">
        <f t="shared" si="50"/>
        <v/>
      </c>
      <c r="R232" s="319"/>
      <c r="S232" s="324" t="str">
        <f t="shared" si="51"/>
        <v/>
      </c>
      <c r="T232" s="324"/>
      <c r="U232" s="295" t="str">
        <f t="shared" si="52"/>
        <v/>
      </c>
      <c r="V232" s="327"/>
    </row>
    <row r="233" spans="8:22" x14ac:dyDescent="0.25">
      <c r="H233" s="205">
        <v>42596</v>
      </c>
      <c r="I233" s="206">
        <f t="shared" si="53"/>
        <v>29.900000000000002</v>
      </c>
      <c r="J233" s="206">
        <f t="shared" si="54"/>
        <v>2437.6000000000013</v>
      </c>
      <c r="K233" s="204" t="str">
        <f t="shared" si="55"/>
        <v/>
      </c>
      <c r="L233" s="295">
        <f t="shared" si="48"/>
        <v>27</v>
      </c>
      <c r="M233" s="295"/>
      <c r="N233" s="212">
        <f t="shared" si="56"/>
        <v>10.5</v>
      </c>
      <c r="O233" s="212"/>
      <c r="P233" s="212">
        <f t="shared" si="49"/>
        <v>294</v>
      </c>
      <c r="Q233" s="319" t="str">
        <f t="shared" si="50"/>
        <v/>
      </c>
      <c r="R233" s="319"/>
      <c r="S233" s="324" t="str">
        <f t="shared" si="51"/>
        <v/>
      </c>
      <c r="T233" s="324"/>
      <c r="U233" s="295" t="str">
        <f t="shared" si="52"/>
        <v/>
      </c>
      <c r="V233" s="327"/>
    </row>
    <row r="234" spans="8:22" x14ac:dyDescent="0.25">
      <c r="H234" s="205">
        <v>42597</v>
      </c>
      <c r="I234" s="206">
        <f t="shared" si="53"/>
        <v>29.900000000000002</v>
      </c>
      <c r="J234" s="206">
        <f t="shared" si="54"/>
        <v>2467.5000000000014</v>
      </c>
      <c r="K234" s="204" t="str">
        <f t="shared" si="55"/>
        <v/>
      </c>
      <c r="L234" s="295">
        <f t="shared" si="48"/>
        <v>28</v>
      </c>
      <c r="M234" s="295"/>
      <c r="N234" s="212">
        <f t="shared" si="56"/>
        <v>10.5</v>
      </c>
      <c r="O234" s="212"/>
      <c r="P234" s="212">
        <f t="shared" si="49"/>
        <v>304.5</v>
      </c>
      <c r="Q234" s="319" t="str">
        <f t="shared" si="50"/>
        <v/>
      </c>
      <c r="R234" s="319"/>
      <c r="S234" s="324" t="str">
        <f t="shared" si="51"/>
        <v/>
      </c>
      <c r="T234" s="324"/>
      <c r="U234" s="295" t="str">
        <f t="shared" si="52"/>
        <v/>
      </c>
      <c r="V234" s="327"/>
    </row>
    <row r="235" spans="8:22" x14ac:dyDescent="0.25">
      <c r="H235" s="205">
        <v>42598</v>
      </c>
      <c r="I235" s="206">
        <f t="shared" si="53"/>
        <v>29.900000000000002</v>
      </c>
      <c r="J235" s="206">
        <f t="shared" si="54"/>
        <v>2497.4000000000015</v>
      </c>
      <c r="K235" s="204" t="str">
        <f t="shared" si="55"/>
        <v/>
      </c>
      <c r="L235" s="295">
        <f t="shared" si="48"/>
        <v>29</v>
      </c>
      <c r="M235" s="295"/>
      <c r="N235" s="212">
        <f t="shared" si="56"/>
        <v>10.5</v>
      </c>
      <c r="O235" s="212"/>
      <c r="P235" s="212">
        <f t="shared" si="49"/>
        <v>315</v>
      </c>
      <c r="Q235" s="319" t="str">
        <f t="shared" si="50"/>
        <v/>
      </c>
      <c r="R235" s="319"/>
      <c r="S235" s="324" t="str">
        <f t="shared" si="51"/>
        <v/>
      </c>
      <c r="T235" s="324"/>
      <c r="U235" s="295" t="str">
        <f t="shared" si="52"/>
        <v/>
      </c>
      <c r="V235" s="327"/>
    </row>
    <row r="236" spans="8:22" x14ac:dyDescent="0.25">
      <c r="H236" s="205">
        <v>42599</v>
      </c>
      <c r="I236" s="206">
        <f t="shared" si="53"/>
        <v>29.900000000000002</v>
      </c>
      <c r="J236" s="206">
        <f t="shared" si="54"/>
        <v>2527.3000000000015</v>
      </c>
      <c r="K236" s="204" t="str">
        <f t="shared" si="55"/>
        <v/>
      </c>
      <c r="L236" s="295">
        <f t="shared" si="48"/>
        <v>30</v>
      </c>
      <c r="M236" s="295"/>
      <c r="N236" s="212">
        <f t="shared" si="56"/>
        <v>10.5</v>
      </c>
      <c r="O236" s="212"/>
      <c r="P236" s="212">
        <f t="shared" si="49"/>
        <v>325.5</v>
      </c>
      <c r="Q236" s="319" t="str">
        <f t="shared" si="50"/>
        <v/>
      </c>
      <c r="R236" s="319"/>
      <c r="S236" s="324" t="str">
        <f t="shared" si="51"/>
        <v/>
      </c>
      <c r="T236" s="324"/>
      <c r="U236" s="295" t="str">
        <f t="shared" si="52"/>
        <v/>
      </c>
      <c r="V236" s="327"/>
    </row>
    <row r="237" spans="8:22" x14ac:dyDescent="0.25">
      <c r="H237" s="205">
        <v>42600</v>
      </c>
      <c r="I237" s="206">
        <f t="shared" si="53"/>
        <v>29.900000000000002</v>
      </c>
      <c r="J237" s="206">
        <f t="shared" si="54"/>
        <v>1229.9000000000001</v>
      </c>
      <c r="K237" s="204">
        <f t="shared" si="55"/>
        <v>42599</v>
      </c>
      <c r="L237" s="295">
        <f t="shared" si="48"/>
        <v>0</v>
      </c>
      <c r="M237" s="295"/>
      <c r="N237" s="212">
        <f t="shared" si="56"/>
        <v>10.5</v>
      </c>
      <c r="O237" s="212"/>
      <c r="P237" s="212">
        <f t="shared" si="49"/>
        <v>10.5</v>
      </c>
      <c r="Q237" s="319">
        <f t="shared" si="50"/>
        <v>10.85</v>
      </c>
      <c r="R237" s="319"/>
      <c r="S237" s="324">
        <f t="shared" si="51"/>
        <v>8.3461538461538452E-3</v>
      </c>
      <c r="T237" s="324"/>
      <c r="U237" s="295">
        <f t="shared" si="52"/>
        <v>0.96923076923076923</v>
      </c>
      <c r="V237" s="327"/>
    </row>
    <row r="238" spans="8:22" x14ac:dyDescent="0.25">
      <c r="H238" s="205">
        <v>42601</v>
      </c>
      <c r="I238" s="206">
        <f t="shared" si="53"/>
        <v>29.900000000000002</v>
      </c>
      <c r="J238" s="206">
        <f t="shared" si="54"/>
        <v>1259.8000000000002</v>
      </c>
      <c r="K238" s="204" t="str">
        <f t="shared" si="55"/>
        <v/>
      </c>
      <c r="L238" s="295">
        <f t="shared" si="48"/>
        <v>1</v>
      </c>
      <c r="M238" s="295"/>
      <c r="N238" s="212">
        <f t="shared" si="56"/>
        <v>10.5</v>
      </c>
      <c r="O238" s="212"/>
      <c r="P238" s="212">
        <f t="shared" si="49"/>
        <v>21</v>
      </c>
      <c r="Q238" s="319" t="str">
        <f t="shared" si="50"/>
        <v/>
      </c>
      <c r="R238" s="319"/>
      <c r="S238" s="324" t="str">
        <f t="shared" si="51"/>
        <v/>
      </c>
      <c r="T238" s="324"/>
      <c r="U238" s="295" t="str">
        <f t="shared" si="52"/>
        <v/>
      </c>
      <c r="V238" s="327"/>
    </row>
    <row r="239" spans="8:22" x14ac:dyDescent="0.25">
      <c r="H239" s="205">
        <v>42602</v>
      </c>
      <c r="I239" s="206">
        <f t="shared" si="53"/>
        <v>29.900000000000002</v>
      </c>
      <c r="J239" s="206">
        <f t="shared" si="54"/>
        <v>1289.7000000000003</v>
      </c>
      <c r="K239" s="204" t="str">
        <f t="shared" si="55"/>
        <v/>
      </c>
      <c r="L239" s="295">
        <f t="shared" si="48"/>
        <v>2</v>
      </c>
      <c r="M239" s="295"/>
      <c r="N239" s="212">
        <f t="shared" si="56"/>
        <v>10.5</v>
      </c>
      <c r="O239" s="212"/>
      <c r="P239" s="212">
        <f t="shared" si="49"/>
        <v>31.5</v>
      </c>
      <c r="Q239" s="319" t="str">
        <f t="shared" si="50"/>
        <v/>
      </c>
      <c r="R239" s="319"/>
      <c r="S239" s="324" t="str">
        <f t="shared" si="51"/>
        <v/>
      </c>
      <c r="T239" s="324"/>
      <c r="U239" s="295" t="str">
        <f t="shared" si="52"/>
        <v/>
      </c>
      <c r="V239" s="327"/>
    </row>
    <row r="240" spans="8:22" x14ac:dyDescent="0.25">
      <c r="H240" s="205">
        <v>42603</v>
      </c>
      <c r="I240" s="206">
        <f t="shared" si="53"/>
        <v>29.900000000000002</v>
      </c>
      <c r="J240" s="206">
        <f t="shared" si="54"/>
        <v>1319.6000000000004</v>
      </c>
      <c r="K240" s="204" t="str">
        <f t="shared" si="55"/>
        <v/>
      </c>
      <c r="L240" s="295">
        <f t="shared" si="48"/>
        <v>3</v>
      </c>
      <c r="M240" s="295"/>
      <c r="N240" s="212">
        <f t="shared" si="56"/>
        <v>10.5</v>
      </c>
      <c r="O240" s="212"/>
      <c r="P240" s="212">
        <f t="shared" si="49"/>
        <v>42</v>
      </c>
      <c r="Q240" s="319" t="str">
        <f t="shared" si="50"/>
        <v/>
      </c>
      <c r="R240" s="319"/>
      <c r="S240" s="324" t="str">
        <f t="shared" si="51"/>
        <v/>
      </c>
      <c r="T240" s="324"/>
      <c r="U240" s="295" t="str">
        <f t="shared" si="52"/>
        <v/>
      </c>
      <c r="V240" s="327"/>
    </row>
    <row r="241" spans="8:22" x14ac:dyDescent="0.25">
      <c r="H241" s="205">
        <v>42604</v>
      </c>
      <c r="I241" s="206">
        <f t="shared" si="53"/>
        <v>29.900000000000002</v>
      </c>
      <c r="J241" s="206">
        <f t="shared" si="54"/>
        <v>1349.5000000000005</v>
      </c>
      <c r="K241" s="204" t="str">
        <f t="shared" si="55"/>
        <v/>
      </c>
      <c r="L241" s="295">
        <f t="shared" si="48"/>
        <v>4</v>
      </c>
      <c r="M241" s="295"/>
      <c r="N241" s="212">
        <f t="shared" si="56"/>
        <v>10.5</v>
      </c>
      <c r="O241" s="212"/>
      <c r="P241" s="212">
        <f t="shared" si="49"/>
        <v>52.5</v>
      </c>
      <c r="Q241" s="319" t="str">
        <f t="shared" si="50"/>
        <v/>
      </c>
      <c r="R241" s="319"/>
      <c r="S241" s="324" t="str">
        <f t="shared" si="51"/>
        <v/>
      </c>
      <c r="T241" s="324"/>
      <c r="U241" s="295" t="str">
        <f t="shared" si="52"/>
        <v/>
      </c>
      <c r="V241" s="327"/>
    </row>
    <row r="242" spans="8:22" x14ac:dyDescent="0.25">
      <c r="H242" s="205">
        <v>42605</v>
      </c>
      <c r="I242" s="206">
        <f t="shared" si="53"/>
        <v>29.900000000000002</v>
      </c>
      <c r="J242" s="206">
        <f t="shared" si="54"/>
        <v>1379.4000000000005</v>
      </c>
      <c r="K242" s="204" t="str">
        <f t="shared" si="55"/>
        <v/>
      </c>
      <c r="L242" s="295">
        <f t="shared" si="48"/>
        <v>5</v>
      </c>
      <c r="M242" s="295"/>
      <c r="N242" s="212">
        <f t="shared" si="56"/>
        <v>10.5</v>
      </c>
      <c r="O242" s="212"/>
      <c r="P242" s="212">
        <f t="shared" si="49"/>
        <v>63</v>
      </c>
      <c r="Q242" s="319" t="str">
        <f t="shared" si="50"/>
        <v/>
      </c>
      <c r="R242" s="319"/>
      <c r="S242" s="324" t="str">
        <f t="shared" si="51"/>
        <v/>
      </c>
      <c r="T242" s="324"/>
      <c r="U242" s="295" t="str">
        <f t="shared" si="52"/>
        <v/>
      </c>
      <c r="V242" s="327"/>
    </row>
    <row r="243" spans="8:22" x14ac:dyDescent="0.25">
      <c r="H243" s="205">
        <v>42606</v>
      </c>
      <c r="I243" s="206">
        <f t="shared" si="53"/>
        <v>29.900000000000002</v>
      </c>
      <c r="J243" s="206">
        <f t="shared" si="54"/>
        <v>1409.3000000000006</v>
      </c>
      <c r="K243" s="204" t="str">
        <f t="shared" si="55"/>
        <v/>
      </c>
      <c r="L243" s="295">
        <f t="shared" si="48"/>
        <v>6</v>
      </c>
      <c r="M243" s="295"/>
      <c r="N243" s="212">
        <f t="shared" si="56"/>
        <v>10.5</v>
      </c>
      <c r="O243" s="212"/>
      <c r="P243" s="212">
        <f t="shared" si="49"/>
        <v>73.5</v>
      </c>
      <c r="Q243" s="319" t="str">
        <f t="shared" si="50"/>
        <v/>
      </c>
      <c r="R243" s="319"/>
      <c r="S243" s="324" t="str">
        <f t="shared" si="51"/>
        <v/>
      </c>
      <c r="T243" s="324"/>
      <c r="U243" s="295" t="str">
        <f t="shared" si="52"/>
        <v/>
      </c>
      <c r="V243" s="327"/>
    </row>
    <row r="244" spans="8:22" x14ac:dyDescent="0.25">
      <c r="H244" s="205">
        <v>42607</v>
      </c>
      <c r="I244" s="206">
        <f t="shared" si="53"/>
        <v>29.900000000000002</v>
      </c>
      <c r="J244" s="206">
        <f t="shared" si="54"/>
        <v>1439.2000000000007</v>
      </c>
      <c r="K244" s="204" t="str">
        <f t="shared" si="55"/>
        <v/>
      </c>
      <c r="L244" s="295">
        <f t="shared" si="48"/>
        <v>7</v>
      </c>
      <c r="M244" s="295"/>
      <c r="N244" s="212">
        <f t="shared" si="56"/>
        <v>10.5</v>
      </c>
      <c r="O244" s="212"/>
      <c r="P244" s="212">
        <f t="shared" si="49"/>
        <v>84</v>
      </c>
      <c r="Q244" s="319" t="str">
        <f t="shared" si="50"/>
        <v/>
      </c>
      <c r="R244" s="319"/>
      <c r="S244" s="324" t="str">
        <f t="shared" si="51"/>
        <v/>
      </c>
      <c r="T244" s="324"/>
      <c r="U244" s="295" t="str">
        <f t="shared" si="52"/>
        <v/>
      </c>
      <c r="V244" s="327"/>
    </row>
    <row r="245" spans="8:22" x14ac:dyDescent="0.25">
      <c r="H245" s="205">
        <v>42608</v>
      </c>
      <c r="I245" s="206">
        <f t="shared" si="53"/>
        <v>29.900000000000002</v>
      </c>
      <c r="J245" s="206">
        <f t="shared" si="54"/>
        <v>1469.1000000000008</v>
      </c>
      <c r="K245" s="204" t="str">
        <f t="shared" si="55"/>
        <v/>
      </c>
      <c r="L245" s="295">
        <f t="shared" si="48"/>
        <v>8</v>
      </c>
      <c r="M245" s="295"/>
      <c r="N245" s="212">
        <f t="shared" si="56"/>
        <v>10.5</v>
      </c>
      <c r="O245" s="212"/>
      <c r="P245" s="212">
        <f t="shared" si="49"/>
        <v>94.5</v>
      </c>
      <c r="Q245" s="319" t="str">
        <f t="shared" si="50"/>
        <v/>
      </c>
      <c r="R245" s="319"/>
      <c r="S245" s="324" t="str">
        <f t="shared" si="51"/>
        <v/>
      </c>
      <c r="T245" s="324"/>
      <c r="U245" s="295" t="str">
        <f t="shared" si="52"/>
        <v/>
      </c>
      <c r="V245" s="327"/>
    </row>
    <row r="246" spans="8:22" x14ac:dyDescent="0.25">
      <c r="H246" s="205">
        <v>42609</v>
      </c>
      <c r="I246" s="206">
        <f t="shared" si="53"/>
        <v>29.900000000000002</v>
      </c>
      <c r="J246" s="206">
        <f t="shared" si="54"/>
        <v>1499.0000000000009</v>
      </c>
      <c r="K246" s="204" t="str">
        <f t="shared" si="55"/>
        <v/>
      </c>
      <c r="L246" s="295">
        <f t="shared" si="48"/>
        <v>9</v>
      </c>
      <c r="M246" s="295"/>
      <c r="N246" s="212">
        <f t="shared" si="56"/>
        <v>10.5</v>
      </c>
      <c r="O246" s="212"/>
      <c r="P246" s="212">
        <f t="shared" si="49"/>
        <v>105</v>
      </c>
      <c r="Q246" s="319" t="str">
        <f t="shared" si="50"/>
        <v/>
      </c>
      <c r="R246" s="319"/>
      <c r="S246" s="324" t="str">
        <f t="shared" si="51"/>
        <v/>
      </c>
      <c r="T246" s="324"/>
      <c r="U246" s="295" t="str">
        <f t="shared" si="52"/>
        <v/>
      </c>
      <c r="V246" s="327"/>
    </row>
    <row r="247" spans="8:22" x14ac:dyDescent="0.25">
      <c r="H247" s="205">
        <v>42610</v>
      </c>
      <c r="I247" s="206">
        <f t="shared" si="53"/>
        <v>29.900000000000002</v>
      </c>
      <c r="J247" s="206">
        <f t="shared" si="54"/>
        <v>1528.900000000001</v>
      </c>
      <c r="K247" s="204" t="str">
        <f t="shared" si="55"/>
        <v/>
      </c>
      <c r="L247" s="295">
        <f t="shared" si="48"/>
        <v>10</v>
      </c>
      <c r="M247" s="295"/>
      <c r="N247" s="212">
        <f t="shared" si="56"/>
        <v>10.5</v>
      </c>
      <c r="O247" s="212"/>
      <c r="P247" s="212">
        <f t="shared" si="49"/>
        <v>115.5</v>
      </c>
      <c r="Q247" s="319" t="str">
        <f t="shared" si="50"/>
        <v/>
      </c>
      <c r="R247" s="319"/>
      <c r="S247" s="324" t="str">
        <f t="shared" si="51"/>
        <v/>
      </c>
      <c r="T247" s="324"/>
      <c r="U247" s="295" t="str">
        <f t="shared" si="52"/>
        <v/>
      </c>
      <c r="V247" s="327"/>
    </row>
    <row r="248" spans="8:22" x14ac:dyDescent="0.25">
      <c r="H248" s="205">
        <v>42611</v>
      </c>
      <c r="I248" s="206">
        <f t="shared" si="53"/>
        <v>29.900000000000002</v>
      </c>
      <c r="J248" s="206">
        <f t="shared" si="54"/>
        <v>1558.8000000000011</v>
      </c>
      <c r="K248" s="204" t="str">
        <f t="shared" si="55"/>
        <v/>
      </c>
      <c r="L248" s="295">
        <f t="shared" si="48"/>
        <v>11</v>
      </c>
      <c r="M248" s="295"/>
      <c r="N248" s="212">
        <f t="shared" si="56"/>
        <v>10.5</v>
      </c>
      <c r="O248" s="212"/>
      <c r="P248" s="212">
        <f t="shared" si="49"/>
        <v>126</v>
      </c>
      <c r="Q248" s="319" t="str">
        <f t="shared" si="50"/>
        <v/>
      </c>
      <c r="R248" s="319"/>
      <c r="S248" s="324" t="str">
        <f t="shared" si="51"/>
        <v/>
      </c>
      <c r="T248" s="324"/>
      <c r="U248" s="295" t="str">
        <f t="shared" si="52"/>
        <v/>
      </c>
      <c r="V248" s="327"/>
    </row>
    <row r="249" spans="8:22" x14ac:dyDescent="0.25">
      <c r="H249" s="205">
        <v>42612</v>
      </c>
      <c r="I249" s="206">
        <f t="shared" si="53"/>
        <v>29.900000000000002</v>
      </c>
      <c r="J249" s="206">
        <f t="shared" si="54"/>
        <v>1588.7000000000012</v>
      </c>
      <c r="K249" s="204" t="str">
        <f t="shared" si="55"/>
        <v/>
      </c>
      <c r="L249" s="295">
        <f t="shared" si="48"/>
        <v>12</v>
      </c>
      <c r="M249" s="295"/>
      <c r="N249" s="212">
        <f t="shared" si="56"/>
        <v>10.5</v>
      </c>
      <c r="O249" s="212"/>
      <c r="P249" s="212">
        <f t="shared" si="49"/>
        <v>136.5</v>
      </c>
      <c r="Q249" s="319" t="str">
        <f t="shared" si="50"/>
        <v/>
      </c>
      <c r="R249" s="319"/>
      <c r="S249" s="324" t="str">
        <f t="shared" si="51"/>
        <v/>
      </c>
      <c r="T249" s="324"/>
      <c r="U249" s="295" t="str">
        <f t="shared" si="52"/>
        <v/>
      </c>
      <c r="V249" s="327"/>
    </row>
    <row r="250" spans="8:22" x14ac:dyDescent="0.25">
      <c r="H250" s="205">
        <v>42613</v>
      </c>
      <c r="I250" s="206">
        <f t="shared" si="53"/>
        <v>29.900000000000002</v>
      </c>
      <c r="J250" s="206">
        <f t="shared" si="54"/>
        <v>1618.6000000000013</v>
      </c>
      <c r="K250" s="204" t="str">
        <f t="shared" si="55"/>
        <v/>
      </c>
      <c r="L250" s="295">
        <f t="shared" si="48"/>
        <v>13</v>
      </c>
      <c r="M250" s="295"/>
      <c r="N250" s="212">
        <f t="shared" si="56"/>
        <v>10.5</v>
      </c>
      <c r="O250" s="212"/>
      <c r="P250" s="212">
        <f t="shared" si="49"/>
        <v>147</v>
      </c>
      <c r="Q250" s="319" t="str">
        <f t="shared" si="50"/>
        <v/>
      </c>
      <c r="R250" s="319"/>
      <c r="S250" s="324" t="str">
        <f t="shared" si="51"/>
        <v/>
      </c>
      <c r="T250" s="324"/>
      <c r="U250" s="295" t="str">
        <f t="shared" si="52"/>
        <v/>
      </c>
      <c r="V250" s="327"/>
    </row>
    <row r="251" spans="8:22" x14ac:dyDescent="0.25">
      <c r="H251" s="205">
        <v>42614</v>
      </c>
      <c r="I251" s="206">
        <f t="shared" ref="I251:I280" si="57">$B$13</f>
        <v>39</v>
      </c>
      <c r="J251" s="206">
        <f>IF(J250&gt;$E$54,$D$54+I251,J250+I251)</f>
        <v>1657.6000000000013</v>
      </c>
      <c r="K251" s="204" t="str">
        <f>IF(J250&gt;$E$54,H250,"")</f>
        <v/>
      </c>
      <c r="L251" s="295">
        <f t="shared" si="48"/>
        <v>14</v>
      </c>
      <c r="M251" s="295"/>
      <c r="N251" s="212">
        <f>$D$34</f>
        <v>12.6</v>
      </c>
      <c r="O251" s="212"/>
      <c r="P251" s="212">
        <f t="shared" si="49"/>
        <v>159.6</v>
      </c>
      <c r="Q251" s="319" t="str">
        <f t="shared" si="50"/>
        <v/>
      </c>
      <c r="R251" s="319"/>
      <c r="S251" s="324" t="str">
        <f t="shared" si="51"/>
        <v/>
      </c>
      <c r="T251" s="324"/>
      <c r="U251" s="295" t="str">
        <f t="shared" si="52"/>
        <v/>
      </c>
      <c r="V251" s="327"/>
    </row>
    <row r="252" spans="8:22" x14ac:dyDescent="0.25">
      <c r="H252" s="205">
        <v>42615</v>
      </c>
      <c r="I252" s="206">
        <f t="shared" si="57"/>
        <v>39</v>
      </c>
      <c r="J252" s="206">
        <f t="shared" ref="J252:J280" si="58">IF(J251&gt;$E$54,$D$54+I252,J251+I252)</f>
        <v>1696.6000000000013</v>
      </c>
      <c r="K252" s="204" t="str">
        <f t="shared" ref="K252:K280" si="59">IF(J251&gt;$E$54,H251,"")</f>
        <v/>
      </c>
      <c r="L252" s="295">
        <f t="shared" si="48"/>
        <v>15</v>
      </c>
      <c r="M252" s="295"/>
      <c r="N252" s="212">
        <f t="shared" ref="N252:N280" si="60">$D$34</f>
        <v>12.6</v>
      </c>
      <c r="O252" s="212"/>
      <c r="P252" s="212">
        <f t="shared" si="49"/>
        <v>172.2</v>
      </c>
      <c r="Q252" s="319" t="str">
        <f t="shared" si="50"/>
        <v/>
      </c>
      <c r="R252" s="319"/>
      <c r="S252" s="324" t="str">
        <f t="shared" si="51"/>
        <v/>
      </c>
      <c r="T252" s="324"/>
      <c r="U252" s="295" t="str">
        <f t="shared" si="52"/>
        <v/>
      </c>
      <c r="V252" s="327"/>
    </row>
    <row r="253" spans="8:22" x14ac:dyDescent="0.25">
      <c r="H253" s="205">
        <v>42616</v>
      </c>
      <c r="I253" s="206">
        <f t="shared" si="57"/>
        <v>39</v>
      </c>
      <c r="J253" s="206">
        <f t="shared" si="58"/>
        <v>1735.6000000000013</v>
      </c>
      <c r="K253" s="204" t="str">
        <f t="shared" si="59"/>
        <v/>
      </c>
      <c r="L253" s="295">
        <f t="shared" si="48"/>
        <v>16</v>
      </c>
      <c r="M253" s="295"/>
      <c r="N253" s="212">
        <f t="shared" si="60"/>
        <v>12.6</v>
      </c>
      <c r="O253" s="212"/>
      <c r="P253" s="212">
        <f t="shared" si="49"/>
        <v>184.79999999999998</v>
      </c>
      <c r="Q253" s="319" t="str">
        <f t="shared" si="50"/>
        <v/>
      </c>
      <c r="R253" s="319"/>
      <c r="S253" s="324" t="str">
        <f t="shared" si="51"/>
        <v/>
      </c>
      <c r="T253" s="324"/>
      <c r="U253" s="295" t="str">
        <f t="shared" si="52"/>
        <v/>
      </c>
      <c r="V253" s="327"/>
    </row>
    <row r="254" spans="8:22" x14ac:dyDescent="0.25">
      <c r="H254" s="205">
        <v>42617</v>
      </c>
      <c r="I254" s="206">
        <f t="shared" si="57"/>
        <v>39</v>
      </c>
      <c r="J254" s="206">
        <f t="shared" si="58"/>
        <v>1774.6000000000013</v>
      </c>
      <c r="K254" s="204" t="str">
        <f t="shared" si="59"/>
        <v/>
      </c>
      <c r="L254" s="295">
        <f t="shared" si="48"/>
        <v>17</v>
      </c>
      <c r="M254" s="295"/>
      <c r="N254" s="212">
        <f t="shared" si="60"/>
        <v>12.6</v>
      </c>
      <c r="O254" s="212"/>
      <c r="P254" s="212">
        <f t="shared" si="49"/>
        <v>197.39999999999998</v>
      </c>
      <c r="Q254" s="319" t="str">
        <f t="shared" si="50"/>
        <v/>
      </c>
      <c r="R254" s="319"/>
      <c r="S254" s="324" t="str">
        <f t="shared" si="51"/>
        <v/>
      </c>
      <c r="T254" s="324"/>
      <c r="U254" s="295" t="str">
        <f t="shared" si="52"/>
        <v/>
      </c>
      <c r="V254" s="327"/>
    </row>
    <row r="255" spans="8:22" x14ac:dyDescent="0.25">
      <c r="H255" s="205">
        <v>42618</v>
      </c>
      <c r="I255" s="206">
        <f t="shared" si="57"/>
        <v>39</v>
      </c>
      <c r="J255" s="206">
        <f t="shared" si="58"/>
        <v>1813.6000000000013</v>
      </c>
      <c r="K255" s="204" t="str">
        <f t="shared" si="59"/>
        <v/>
      </c>
      <c r="L255" s="295">
        <f t="shared" si="48"/>
        <v>18</v>
      </c>
      <c r="M255" s="295"/>
      <c r="N255" s="212">
        <f t="shared" si="60"/>
        <v>12.6</v>
      </c>
      <c r="O255" s="212"/>
      <c r="P255" s="212">
        <f t="shared" si="49"/>
        <v>209.99999999999997</v>
      </c>
      <c r="Q255" s="319" t="str">
        <f t="shared" si="50"/>
        <v/>
      </c>
      <c r="R255" s="319"/>
      <c r="S255" s="324" t="str">
        <f t="shared" si="51"/>
        <v/>
      </c>
      <c r="T255" s="324"/>
      <c r="U255" s="295" t="str">
        <f t="shared" si="52"/>
        <v/>
      </c>
      <c r="V255" s="327"/>
    </row>
    <row r="256" spans="8:22" x14ac:dyDescent="0.25">
      <c r="H256" s="205">
        <v>42619</v>
      </c>
      <c r="I256" s="206">
        <f t="shared" si="57"/>
        <v>39</v>
      </c>
      <c r="J256" s="206">
        <f t="shared" si="58"/>
        <v>1852.6000000000013</v>
      </c>
      <c r="K256" s="204" t="str">
        <f t="shared" si="59"/>
        <v/>
      </c>
      <c r="L256" s="295">
        <f t="shared" si="48"/>
        <v>19</v>
      </c>
      <c r="M256" s="295"/>
      <c r="N256" s="212">
        <f t="shared" si="60"/>
        <v>12.6</v>
      </c>
      <c r="O256" s="212"/>
      <c r="P256" s="212">
        <f t="shared" si="49"/>
        <v>222.59999999999997</v>
      </c>
      <c r="Q256" s="319" t="str">
        <f t="shared" si="50"/>
        <v/>
      </c>
      <c r="R256" s="319"/>
      <c r="S256" s="324" t="str">
        <f t="shared" si="51"/>
        <v/>
      </c>
      <c r="T256" s="324"/>
      <c r="U256" s="295" t="str">
        <f t="shared" si="52"/>
        <v/>
      </c>
      <c r="V256" s="327"/>
    </row>
    <row r="257" spans="8:22" x14ac:dyDescent="0.25">
      <c r="H257" s="205">
        <v>42620</v>
      </c>
      <c r="I257" s="206">
        <f t="shared" si="57"/>
        <v>39</v>
      </c>
      <c r="J257" s="206">
        <f t="shared" si="58"/>
        <v>1891.6000000000013</v>
      </c>
      <c r="K257" s="204" t="str">
        <f t="shared" si="59"/>
        <v/>
      </c>
      <c r="L257" s="295">
        <f t="shared" si="48"/>
        <v>20</v>
      </c>
      <c r="M257" s="295"/>
      <c r="N257" s="212">
        <f t="shared" si="60"/>
        <v>12.6</v>
      </c>
      <c r="O257" s="212"/>
      <c r="P257" s="212">
        <f t="shared" si="49"/>
        <v>235.19999999999996</v>
      </c>
      <c r="Q257" s="319" t="str">
        <f t="shared" si="50"/>
        <v/>
      </c>
      <c r="R257" s="319"/>
      <c r="S257" s="324" t="str">
        <f t="shared" si="51"/>
        <v/>
      </c>
      <c r="T257" s="324"/>
      <c r="U257" s="295" t="str">
        <f t="shared" si="52"/>
        <v/>
      </c>
      <c r="V257" s="327"/>
    </row>
    <row r="258" spans="8:22" x14ac:dyDescent="0.25">
      <c r="H258" s="205">
        <v>42621</v>
      </c>
      <c r="I258" s="206">
        <f t="shared" si="57"/>
        <v>39</v>
      </c>
      <c r="J258" s="206">
        <f t="shared" si="58"/>
        <v>1930.6000000000013</v>
      </c>
      <c r="K258" s="204" t="str">
        <f t="shared" si="59"/>
        <v/>
      </c>
      <c r="L258" s="295">
        <f t="shared" si="48"/>
        <v>21</v>
      </c>
      <c r="M258" s="295"/>
      <c r="N258" s="212">
        <f t="shared" si="60"/>
        <v>12.6</v>
      </c>
      <c r="O258" s="212"/>
      <c r="P258" s="212">
        <f t="shared" si="49"/>
        <v>247.79999999999995</v>
      </c>
      <c r="Q258" s="319" t="str">
        <f t="shared" si="50"/>
        <v/>
      </c>
      <c r="R258" s="319"/>
      <c r="S258" s="324" t="str">
        <f t="shared" si="51"/>
        <v/>
      </c>
      <c r="T258" s="324"/>
      <c r="U258" s="295" t="str">
        <f t="shared" si="52"/>
        <v/>
      </c>
      <c r="V258" s="327"/>
    </row>
    <row r="259" spans="8:22" x14ac:dyDescent="0.25">
      <c r="H259" s="205">
        <v>42622</v>
      </c>
      <c r="I259" s="206">
        <f t="shared" si="57"/>
        <v>39</v>
      </c>
      <c r="J259" s="206">
        <f t="shared" si="58"/>
        <v>1969.6000000000013</v>
      </c>
      <c r="K259" s="204" t="str">
        <f t="shared" si="59"/>
        <v/>
      </c>
      <c r="L259" s="295">
        <f t="shared" si="48"/>
        <v>22</v>
      </c>
      <c r="M259" s="295"/>
      <c r="N259" s="212">
        <f t="shared" si="60"/>
        <v>12.6</v>
      </c>
      <c r="O259" s="212"/>
      <c r="P259" s="212">
        <f t="shared" si="49"/>
        <v>260.39999999999998</v>
      </c>
      <c r="Q259" s="319" t="str">
        <f t="shared" si="50"/>
        <v/>
      </c>
      <c r="R259" s="319"/>
      <c r="S259" s="324" t="str">
        <f t="shared" si="51"/>
        <v/>
      </c>
      <c r="T259" s="324"/>
      <c r="U259" s="295" t="str">
        <f t="shared" si="52"/>
        <v/>
      </c>
      <c r="V259" s="327"/>
    </row>
    <row r="260" spans="8:22" x14ac:dyDescent="0.25">
      <c r="H260" s="205">
        <v>42623</v>
      </c>
      <c r="I260" s="206">
        <f t="shared" si="57"/>
        <v>39</v>
      </c>
      <c r="J260" s="206">
        <f t="shared" si="58"/>
        <v>2008.6000000000013</v>
      </c>
      <c r="K260" s="204" t="str">
        <f t="shared" si="59"/>
        <v/>
      </c>
      <c r="L260" s="295">
        <f t="shared" si="48"/>
        <v>23</v>
      </c>
      <c r="M260" s="295"/>
      <c r="N260" s="212">
        <f t="shared" si="60"/>
        <v>12.6</v>
      </c>
      <c r="O260" s="212"/>
      <c r="P260" s="212">
        <f t="shared" si="49"/>
        <v>273</v>
      </c>
      <c r="Q260" s="319" t="str">
        <f t="shared" si="50"/>
        <v/>
      </c>
      <c r="R260" s="319"/>
      <c r="S260" s="324" t="str">
        <f t="shared" si="51"/>
        <v/>
      </c>
      <c r="T260" s="324"/>
      <c r="U260" s="295" t="str">
        <f t="shared" si="52"/>
        <v/>
      </c>
      <c r="V260" s="327"/>
    </row>
    <row r="261" spans="8:22" x14ac:dyDescent="0.25">
      <c r="H261" s="205">
        <v>42624</v>
      </c>
      <c r="I261" s="206">
        <f t="shared" si="57"/>
        <v>39</v>
      </c>
      <c r="J261" s="206">
        <f t="shared" si="58"/>
        <v>2047.6000000000013</v>
      </c>
      <c r="K261" s="204" t="str">
        <f t="shared" si="59"/>
        <v/>
      </c>
      <c r="L261" s="295">
        <f t="shared" si="48"/>
        <v>24</v>
      </c>
      <c r="M261" s="295"/>
      <c r="N261" s="212">
        <f t="shared" si="60"/>
        <v>12.6</v>
      </c>
      <c r="O261" s="212"/>
      <c r="P261" s="212">
        <f t="shared" si="49"/>
        <v>285.60000000000002</v>
      </c>
      <c r="Q261" s="319" t="str">
        <f t="shared" si="50"/>
        <v/>
      </c>
      <c r="R261" s="319"/>
      <c r="S261" s="324" t="str">
        <f t="shared" si="51"/>
        <v/>
      </c>
      <c r="T261" s="324"/>
      <c r="U261" s="295" t="str">
        <f t="shared" si="52"/>
        <v/>
      </c>
      <c r="V261" s="327"/>
    </row>
    <row r="262" spans="8:22" x14ac:dyDescent="0.25">
      <c r="H262" s="205">
        <v>42625</v>
      </c>
      <c r="I262" s="206">
        <f t="shared" si="57"/>
        <v>39</v>
      </c>
      <c r="J262" s="206">
        <f t="shared" si="58"/>
        <v>2086.6000000000013</v>
      </c>
      <c r="K262" s="204" t="str">
        <f t="shared" si="59"/>
        <v/>
      </c>
      <c r="L262" s="295">
        <f t="shared" si="48"/>
        <v>25</v>
      </c>
      <c r="M262" s="295"/>
      <c r="N262" s="212">
        <f t="shared" si="60"/>
        <v>12.6</v>
      </c>
      <c r="O262" s="212"/>
      <c r="P262" s="212">
        <f t="shared" si="49"/>
        <v>298.20000000000005</v>
      </c>
      <c r="Q262" s="319" t="str">
        <f t="shared" si="50"/>
        <v/>
      </c>
      <c r="R262" s="319"/>
      <c r="S262" s="324" t="str">
        <f t="shared" si="51"/>
        <v/>
      </c>
      <c r="T262" s="324"/>
      <c r="U262" s="295" t="str">
        <f t="shared" si="52"/>
        <v/>
      </c>
      <c r="V262" s="327"/>
    </row>
    <row r="263" spans="8:22" x14ac:dyDescent="0.25">
      <c r="H263" s="205">
        <v>42626</v>
      </c>
      <c r="I263" s="206">
        <f t="shared" si="57"/>
        <v>39</v>
      </c>
      <c r="J263" s="206">
        <f t="shared" si="58"/>
        <v>2125.6000000000013</v>
      </c>
      <c r="K263" s="204" t="str">
        <f t="shared" si="59"/>
        <v/>
      </c>
      <c r="L263" s="295">
        <f t="shared" si="48"/>
        <v>26</v>
      </c>
      <c r="M263" s="295"/>
      <c r="N263" s="212">
        <f t="shared" si="60"/>
        <v>12.6</v>
      </c>
      <c r="O263" s="212"/>
      <c r="P263" s="212">
        <f t="shared" si="49"/>
        <v>310.80000000000007</v>
      </c>
      <c r="Q263" s="319" t="str">
        <f t="shared" si="50"/>
        <v/>
      </c>
      <c r="R263" s="319"/>
      <c r="S263" s="324" t="str">
        <f t="shared" si="51"/>
        <v/>
      </c>
      <c r="T263" s="324"/>
      <c r="U263" s="295" t="str">
        <f t="shared" si="52"/>
        <v/>
      </c>
      <c r="V263" s="327"/>
    </row>
    <row r="264" spans="8:22" x14ac:dyDescent="0.25">
      <c r="H264" s="205">
        <v>42627</v>
      </c>
      <c r="I264" s="206">
        <f t="shared" si="57"/>
        <v>39</v>
      </c>
      <c r="J264" s="206">
        <f t="shared" si="58"/>
        <v>2164.6000000000013</v>
      </c>
      <c r="K264" s="204" t="str">
        <f t="shared" si="59"/>
        <v/>
      </c>
      <c r="L264" s="295">
        <f t="shared" si="48"/>
        <v>27</v>
      </c>
      <c r="M264" s="295"/>
      <c r="N264" s="212">
        <f t="shared" si="60"/>
        <v>12.6</v>
      </c>
      <c r="O264" s="212"/>
      <c r="P264" s="212">
        <f t="shared" si="49"/>
        <v>323.40000000000009</v>
      </c>
      <c r="Q264" s="319" t="str">
        <f t="shared" si="50"/>
        <v/>
      </c>
      <c r="R264" s="319"/>
      <c r="S264" s="324" t="str">
        <f t="shared" si="51"/>
        <v/>
      </c>
      <c r="T264" s="324"/>
      <c r="U264" s="295" t="str">
        <f t="shared" si="52"/>
        <v/>
      </c>
      <c r="V264" s="327"/>
    </row>
    <row r="265" spans="8:22" x14ac:dyDescent="0.25">
      <c r="H265" s="205">
        <v>42628</v>
      </c>
      <c r="I265" s="206">
        <f t="shared" si="57"/>
        <v>39</v>
      </c>
      <c r="J265" s="206">
        <f t="shared" si="58"/>
        <v>2203.6000000000013</v>
      </c>
      <c r="K265" s="204" t="str">
        <f t="shared" si="59"/>
        <v/>
      </c>
      <c r="L265" s="295">
        <f t="shared" ref="L265:L328" si="61">IF(K265="",1+L264,0)</f>
        <v>28</v>
      </c>
      <c r="M265" s="295"/>
      <c r="N265" s="212">
        <f t="shared" si="60"/>
        <v>12.6</v>
      </c>
      <c r="O265" s="212"/>
      <c r="P265" s="212">
        <f t="shared" ref="P265:P324" si="62">IF(L265=0,N265,N265+P264)</f>
        <v>336.00000000000011</v>
      </c>
      <c r="Q265" s="319" t="str">
        <f t="shared" ref="Q265:Q328" si="63">IF(L265=0,P264/L264,"")</f>
        <v/>
      </c>
      <c r="R265" s="319"/>
      <c r="S265" s="324" t="str">
        <f t="shared" ref="S265:S328" si="64">IFERROR(Q265/$D$21,"")</f>
        <v/>
      </c>
      <c r="T265" s="324"/>
      <c r="U265" s="295" t="str">
        <f t="shared" ref="U265:U328" si="65">IF(L265=0,$D$39*L264,"")</f>
        <v/>
      </c>
      <c r="V265" s="327"/>
    </row>
    <row r="266" spans="8:22" x14ac:dyDescent="0.25">
      <c r="H266" s="205">
        <v>42629</v>
      </c>
      <c r="I266" s="206">
        <f t="shared" si="57"/>
        <v>39</v>
      </c>
      <c r="J266" s="206">
        <f t="shared" si="58"/>
        <v>2242.6000000000013</v>
      </c>
      <c r="K266" s="204" t="str">
        <f t="shared" si="59"/>
        <v/>
      </c>
      <c r="L266" s="295">
        <f t="shared" si="61"/>
        <v>29</v>
      </c>
      <c r="M266" s="295"/>
      <c r="N266" s="212">
        <f t="shared" si="60"/>
        <v>12.6</v>
      </c>
      <c r="O266" s="212"/>
      <c r="P266" s="212">
        <f t="shared" si="62"/>
        <v>348.60000000000014</v>
      </c>
      <c r="Q266" s="319" t="str">
        <f t="shared" si="63"/>
        <v/>
      </c>
      <c r="R266" s="319"/>
      <c r="S266" s="324" t="str">
        <f t="shared" si="64"/>
        <v/>
      </c>
      <c r="T266" s="324"/>
      <c r="U266" s="295" t="str">
        <f t="shared" si="65"/>
        <v/>
      </c>
      <c r="V266" s="327"/>
    </row>
    <row r="267" spans="8:22" x14ac:dyDescent="0.25">
      <c r="H267" s="205">
        <v>42630</v>
      </c>
      <c r="I267" s="206">
        <f t="shared" si="57"/>
        <v>39</v>
      </c>
      <c r="J267" s="206">
        <f t="shared" si="58"/>
        <v>2281.6000000000013</v>
      </c>
      <c r="K267" s="204" t="str">
        <f t="shared" si="59"/>
        <v/>
      </c>
      <c r="L267" s="295">
        <f t="shared" si="61"/>
        <v>30</v>
      </c>
      <c r="M267" s="295"/>
      <c r="N267" s="212">
        <f t="shared" si="60"/>
        <v>12.6</v>
      </c>
      <c r="O267" s="212"/>
      <c r="P267" s="212">
        <f t="shared" si="62"/>
        <v>361.20000000000016</v>
      </c>
      <c r="Q267" s="319" t="str">
        <f t="shared" si="63"/>
        <v/>
      </c>
      <c r="R267" s="319"/>
      <c r="S267" s="324" t="str">
        <f t="shared" si="64"/>
        <v/>
      </c>
      <c r="T267" s="324"/>
      <c r="U267" s="295" t="str">
        <f t="shared" si="65"/>
        <v/>
      </c>
      <c r="V267" s="327"/>
    </row>
    <row r="268" spans="8:22" x14ac:dyDescent="0.25">
      <c r="H268" s="205">
        <v>42631</v>
      </c>
      <c r="I268" s="206">
        <f t="shared" si="57"/>
        <v>39</v>
      </c>
      <c r="J268" s="206">
        <f t="shared" si="58"/>
        <v>2320.6000000000013</v>
      </c>
      <c r="K268" s="204" t="str">
        <f t="shared" si="59"/>
        <v/>
      </c>
      <c r="L268" s="295">
        <f t="shared" si="61"/>
        <v>31</v>
      </c>
      <c r="M268" s="295"/>
      <c r="N268" s="212">
        <f t="shared" si="60"/>
        <v>12.6</v>
      </c>
      <c r="O268" s="212"/>
      <c r="P268" s="212">
        <f t="shared" si="62"/>
        <v>373.80000000000018</v>
      </c>
      <c r="Q268" s="319" t="str">
        <f t="shared" si="63"/>
        <v/>
      </c>
      <c r="R268" s="319"/>
      <c r="S268" s="324" t="str">
        <f t="shared" si="64"/>
        <v/>
      </c>
      <c r="T268" s="324"/>
      <c r="U268" s="295" t="str">
        <f t="shared" si="65"/>
        <v/>
      </c>
      <c r="V268" s="327"/>
    </row>
    <row r="269" spans="8:22" x14ac:dyDescent="0.25">
      <c r="H269" s="205">
        <v>42632</v>
      </c>
      <c r="I269" s="206">
        <f t="shared" si="57"/>
        <v>39</v>
      </c>
      <c r="J269" s="206">
        <f t="shared" si="58"/>
        <v>2359.6000000000013</v>
      </c>
      <c r="K269" s="204" t="str">
        <f t="shared" si="59"/>
        <v/>
      </c>
      <c r="L269" s="295">
        <f t="shared" si="61"/>
        <v>32</v>
      </c>
      <c r="M269" s="295"/>
      <c r="N269" s="212">
        <f t="shared" si="60"/>
        <v>12.6</v>
      </c>
      <c r="O269" s="212"/>
      <c r="P269" s="212">
        <f t="shared" si="62"/>
        <v>386.4000000000002</v>
      </c>
      <c r="Q269" s="319" t="str">
        <f t="shared" si="63"/>
        <v/>
      </c>
      <c r="R269" s="319"/>
      <c r="S269" s="324" t="str">
        <f t="shared" si="64"/>
        <v/>
      </c>
      <c r="T269" s="324"/>
      <c r="U269" s="295" t="str">
        <f t="shared" si="65"/>
        <v/>
      </c>
      <c r="V269" s="327"/>
    </row>
    <row r="270" spans="8:22" x14ac:dyDescent="0.25">
      <c r="H270" s="205">
        <v>42633</v>
      </c>
      <c r="I270" s="206">
        <f t="shared" si="57"/>
        <v>39</v>
      </c>
      <c r="J270" s="206">
        <f t="shared" si="58"/>
        <v>2398.6000000000013</v>
      </c>
      <c r="K270" s="204" t="str">
        <f t="shared" si="59"/>
        <v/>
      </c>
      <c r="L270" s="295">
        <f t="shared" si="61"/>
        <v>33</v>
      </c>
      <c r="M270" s="295"/>
      <c r="N270" s="212">
        <f t="shared" si="60"/>
        <v>12.6</v>
      </c>
      <c r="O270" s="212"/>
      <c r="P270" s="212">
        <f t="shared" si="62"/>
        <v>399.00000000000023</v>
      </c>
      <c r="Q270" s="319" t="str">
        <f t="shared" si="63"/>
        <v/>
      </c>
      <c r="R270" s="319"/>
      <c r="S270" s="324" t="str">
        <f t="shared" si="64"/>
        <v/>
      </c>
      <c r="T270" s="324"/>
      <c r="U270" s="295" t="str">
        <f t="shared" si="65"/>
        <v/>
      </c>
      <c r="V270" s="327"/>
    </row>
    <row r="271" spans="8:22" x14ac:dyDescent="0.25">
      <c r="H271" s="205">
        <v>42634</v>
      </c>
      <c r="I271" s="206">
        <f t="shared" si="57"/>
        <v>39</v>
      </c>
      <c r="J271" s="206">
        <f t="shared" si="58"/>
        <v>2437.6000000000013</v>
      </c>
      <c r="K271" s="204" t="str">
        <f t="shared" si="59"/>
        <v/>
      </c>
      <c r="L271" s="295">
        <f t="shared" si="61"/>
        <v>34</v>
      </c>
      <c r="M271" s="295"/>
      <c r="N271" s="212">
        <f t="shared" si="60"/>
        <v>12.6</v>
      </c>
      <c r="O271" s="212"/>
      <c r="P271" s="212">
        <f t="shared" si="62"/>
        <v>411.60000000000025</v>
      </c>
      <c r="Q271" s="319" t="str">
        <f t="shared" si="63"/>
        <v/>
      </c>
      <c r="R271" s="319"/>
      <c r="S271" s="324" t="str">
        <f t="shared" si="64"/>
        <v/>
      </c>
      <c r="T271" s="324"/>
      <c r="U271" s="295" t="str">
        <f t="shared" si="65"/>
        <v/>
      </c>
      <c r="V271" s="327"/>
    </row>
    <row r="272" spans="8:22" x14ac:dyDescent="0.25">
      <c r="H272" s="205">
        <v>42635</v>
      </c>
      <c r="I272" s="206">
        <f t="shared" si="57"/>
        <v>39</v>
      </c>
      <c r="J272" s="206">
        <f t="shared" si="58"/>
        <v>2476.6000000000013</v>
      </c>
      <c r="K272" s="204" t="str">
        <f t="shared" si="59"/>
        <v/>
      </c>
      <c r="L272" s="295">
        <f t="shared" si="61"/>
        <v>35</v>
      </c>
      <c r="M272" s="295"/>
      <c r="N272" s="212">
        <f t="shared" si="60"/>
        <v>12.6</v>
      </c>
      <c r="O272" s="212"/>
      <c r="P272" s="212">
        <f t="shared" si="62"/>
        <v>424.20000000000027</v>
      </c>
      <c r="Q272" s="319" t="str">
        <f t="shared" si="63"/>
        <v/>
      </c>
      <c r="R272" s="319"/>
      <c r="S272" s="324" t="str">
        <f t="shared" si="64"/>
        <v/>
      </c>
      <c r="T272" s="324"/>
      <c r="U272" s="295" t="str">
        <f t="shared" si="65"/>
        <v/>
      </c>
      <c r="V272" s="327"/>
    </row>
    <row r="273" spans="8:22" x14ac:dyDescent="0.25">
      <c r="H273" s="205">
        <v>42636</v>
      </c>
      <c r="I273" s="206">
        <f t="shared" si="57"/>
        <v>39</v>
      </c>
      <c r="J273" s="206">
        <f t="shared" si="58"/>
        <v>2515.6000000000013</v>
      </c>
      <c r="K273" s="204" t="str">
        <f t="shared" si="59"/>
        <v/>
      </c>
      <c r="L273" s="295">
        <f t="shared" si="61"/>
        <v>36</v>
      </c>
      <c r="M273" s="295"/>
      <c r="N273" s="212">
        <f t="shared" si="60"/>
        <v>12.6</v>
      </c>
      <c r="O273" s="212"/>
      <c r="P273" s="212">
        <f t="shared" si="62"/>
        <v>436.8000000000003</v>
      </c>
      <c r="Q273" s="319" t="str">
        <f t="shared" si="63"/>
        <v/>
      </c>
      <c r="R273" s="319"/>
      <c r="S273" s="324" t="str">
        <f t="shared" si="64"/>
        <v/>
      </c>
      <c r="T273" s="324"/>
      <c r="U273" s="295" t="str">
        <f t="shared" si="65"/>
        <v/>
      </c>
      <c r="V273" s="327"/>
    </row>
    <row r="274" spans="8:22" x14ac:dyDescent="0.25">
      <c r="H274" s="205">
        <v>42637</v>
      </c>
      <c r="I274" s="206">
        <f t="shared" si="57"/>
        <v>39</v>
      </c>
      <c r="J274" s="206">
        <f t="shared" si="58"/>
        <v>1239</v>
      </c>
      <c r="K274" s="204">
        <f t="shared" si="59"/>
        <v>42636</v>
      </c>
      <c r="L274" s="295">
        <f t="shared" si="61"/>
        <v>0</v>
      </c>
      <c r="M274" s="295"/>
      <c r="N274" s="212">
        <f t="shared" si="60"/>
        <v>12.6</v>
      </c>
      <c r="O274" s="212"/>
      <c r="P274" s="212">
        <f t="shared" si="62"/>
        <v>12.6</v>
      </c>
      <c r="Q274" s="319">
        <f t="shared" si="63"/>
        <v>12.133333333333342</v>
      </c>
      <c r="R274" s="319"/>
      <c r="S274" s="324">
        <f t="shared" si="64"/>
        <v>9.3333333333333393E-3</v>
      </c>
      <c r="T274" s="324"/>
      <c r="U274" s="295">
        <f t="shared" si="65"/>
        <v>1.1630769230769231</v>
      </c>
      <c r="V274" s="327"/>
    </row>
    <row r="275" spans="8:22" x14ac:dyDescent="0.25">
      <c r="H275" s="205">
        <v>42638</v>
      </c>
      <c r="I275" s="206">
        <f t="shared" si="57"/>
        <v>39</v>
      </c>
      <c r="J275" s="206">
        <f t="shared" si="58"/>
        <v>1278</v>
      </c>
      <c r="K275" s="204" t="str">
        <f t="shared" si="59"/>
        <v/>
      </c>
      <c r="L275" s="295">
        <f t="shared" si="61"/>
        <v>1</v>
      </c>
      <c r="M275" s="295"/>
      <c r="N275" s="212">
        <f t="shared" si="60"/>
        <v>12.6</v>
      </c>
      <c r="O275" s="212"/>
      <c r="P275" s="212">
        <f t="shared" si="62"/>
        <v>25.2</v>
      </c>
      <c r="Q275" s="319" t="str">
        <f t="shared" si="63"/>
        <v/>
      </c>
      <c r="R275" s="319"/>
      <c r="S275" s="324" t="str">
        <f t="shared" si="64"/>
        <v/>
      </c>
      <c r="T275" s="324"/>
      <c r="U275" s="295" t="str">
        <f t="shared" si="65"/>
        <v/>
      </c>
      <c r="V275" s="327"/>
    </row>
    <row r="276" spans="8:22" x14ac:dyDescent="0.25">
      <c r="H276" s="205">
        <v>42639</v>
      </c>
      <c r="I276" s="206">
        <f t="shared" si="57"/>
        <v>39</v>
      </c>
      <c r="J276" s="206">
        <f t="shared" si="58"/>
        <v>1317</v>
      </c>
      <c r="K276" s="204" t="str">
        <f t="shared" si="59"/>
        <v/>
      </c>
      <c r="L276" s="295">
        <f t="shared" si="61"/>
        <v>2</v>
      </c>
      <c r="M276" s="295"/>
      <c r="N276" s="212">
        <f t="shared" si="60"/>
        <v>12.6</v>
      </c>
      <c r="O276" s="212"/>
      <c r="P276" s="212">
        <f t="shared" si="62"/>
        <v>37.799999999999997</v>
      </c>
      <c r="Q276" s="319" t="str">
        <f t="shared" si="63"/>
        <v/>
      </c>
      <c r="R276" s="319"/>
      <c r="S276" s="324" t="str">
        <f t="shared" si="64"/>
        <v/>
      </c>
      <c r="T276" s="324"/>
      <c r="U276" s="295" t="str">
        <f t="shared" si="65"/>
        <v/>
      </c>
      <c r="V276" s="327"/>
    </row>
    <row r="277" spans="8:22" x14ac:dyDescent="0.25">
      <c r="H277" s="205">
        <v>42640</v>
      </c>
      <c r="I277" s="206">
        <f t="shared" si="57"/>
        <v>39</v>
      </c>
      <c r="J277" s="206">
        <f t="shared" si="58"/>
        <v>1356</v>
      </c>
      <c r="K277" s="204" t="str">
        <f t="shared" si="59"/>
        <v/>
      </c>
      <c r="L277" s="295">
        <f t="shared" si="61"/>
        <v>3</v>
      </c>
      <c r="M277" s="295"/>
      <c r="N277" s="212">
        <f t="shared" si="60"/>
        <v>12.6</v>
      </c>
      <c r="O277" s="212"/>
      <c r="P277" s="212">
        <f t="shared" si="62"/>
        <v>50.4</v>
      </c>
      <c r="Q277" s="319" t="str">
        <f t="shared" si="63"/>
        <v/>
      </c>
      <c r="R277" s="319"/>
      <c r="S277" s="324" t="str">
        <f t="shared" si="64"/>
        <v/>
      </c>
      <c r="T277" s="324"/>
      <c r="U277" s="295" t="str">
        <f t="shared" si="65"/>
        <v/>
      </c>
      <c r="V277" s="327"/>
    </row>
    <row r="278" spans="8:22" x14ac:dyDescent="0.25">
      <c r="H278" s="205">
        <v>42641</v>
      </c>
      <c r="I278" s="206">
        <f t="shared" si="57"/>
        <v>39</v>
      </c>
      <c r="J278" s="206">
        <f t="shared" si="58"/>
        <v>1395</v>
      </c>
      <c r="K278" s="204" t="str">
        <f t="shared" si="59"/>
        <v/>
      </c>
      <c r="L278" s="295">
        <f t="shared" si="61"/>
        <v>4</v>
      </c>
      <c r="M278" s="295"/>
      <c r="N278" s="212">
        <f t="shared" si="60"/>
        <v>12.6</v>
      </c>
      <c r="O278" s="212"/>
      <c r="P278" s="212">
        <f t="shared" si="62"/>
        <v>63</v>
      </c>
      <c r="Q278" s="319" t="str">
        <f t="shared" si="63"/>
        <v/>
      </c>
      <c r="R278" s="319"/>
      <c r="S278" s="324" t="str">
        <f t="shared" si="64"/>
        <v/>
      </c>
      <c r="T278" s="324"/>
      <c r="U278" s="295" t="str">
        <f t="shared" si="65"/>
        <v/>
      </c>
      <c r="V278" s="327"/>
    </row>
    <row r="279" spans="8:22" x14ac:dyDescent="0.25">
      <c r="H279" s="205">
        <v>42642</v>
      </c>
      <c r="I279" s="206">
        <f t="shared" si="57"/>
        <v>39</v>
      </c>
      <c r="J279" s="206">
        <f t="shared" si="58"/>
        <v>1434</v>
      </c>
      <c r="K279" s="204" t="str">
        <f t="shared" si="59"/>
        <v/>
      </c>
      <c r="L279" s="295">
        <f t="shared" si="61"/>
        <v>5</v>
      </c>
      <c r="M279" s="295"/>
      <c r="N279" s="212">
        <f t="shared" si="60"/>
        <v>12.6</v>
      </c>
      <c r="O279" s="212"/>
      <c r="P279" s="212">
        <f t="shared" si="62"/>
        <v>75.599999999999994</v>
      </c>
      <c r="Q279" s="319" t="str">
        <f t="shared" si="63"/>
        <v/>
      </c>
      <c r="R279" s="319"/>
      <c r="S279" s="324" t="str">
        <f t="shared" si="64"/>
        <v/>
      </c>
      <c r="T279" s="324"/>
      <c r="U279" s="295" t="str">
        <f t="shared" si="65"/>
        <v/>
      </c>
      <c r="V279" s="327"/>
    </row>
    <row r="280" spans="8:22" x14ac:dyDescent="0.25">
      <c r="H280" s="205">
        <v>42643</v>
      </c>
      <c r="I280" s="206">
        <f t="shared" si="57"/>
        <v>39</v>
      </c>
      <c r="J280" s="206">
        <f t="shared" si="58"/>
        <v>1473</v>
      </c>
      <c r="K280" s="204" t="str">
        <f t="shared" si="59"/>
        <v/>
      </c>
      <c r="L280" s="295">
        <f t="shared" si="61"/>
        <v>6</v>
      </c>
      <c r="M280" s="295"/>
      <c r="N280" s="212">
        <f t="shared" si="60"/>
        <v>12.6</v>
      </c>
      <c r="O280" s="212"/>
      <c r="P280" s="212">
        <f t="shared" si="62"/>
        <v>88.199999999999989</v>
      </c>
      <c r="Q280" s="319" t="str">
        <f t="shared" si="63"/>
        <v/>
      </c>
      <c r="R280" s="319"/>
      <c r="S280" s="324" t="str">
        <f t="shared" si="64"/>
        <v/>
      </c>
      <c r="T280" s="324"/>
      <c r="U280" s="295" t="str">
        <f t="shared" si="65"/>
        <v/>
      </c>
      <c r="V280" s="327"/>
    </row>
    <row r="281" spans="8:22" x14ac:dyDescent="0.25">
      <c r="H281" s="205">
        <v>42644</v>
      </c>
      <c r="I281" s="206">
        <f t="shared" ref="I281:I311" si="66">$B$14</f>
        <v>26</v>
      </c>
      <c r="J281" s="206">
        <f>IF(J280&gt;$E$55,$D$55+I281,J280+I281)</f>
        <v>1499</v>
      </c>
      <c r="K281" s="204" t="str">
        <f>IF(J280&gt;$E$55,H280,"")</f>
        <v/>
      </c>
      <c r="L281" s="295">
        <f t="shared" si="61"/>
        <v>7</v>
      </c>
      <c r="M281" s="295"/>
      <c r="N281" s="212">
        <f>$D$35</f>
        <v>12.6</v>
      </c>
      <c r="O281" s="212"/>
      <c r="P281" s="212">
        <f t="shared" si="62"/>
        <v>100.79999999999998</v>
      </c>
      <c r="Q281" s="319" t="str">
        <f t="shared" si="63"/>
        <v/>
      </c>
      <c r="R281" s="319"/>
      <c r="S281" s="324" t="str">
        <f t="shared" si="64"/>
        <v/>
      </c>
      <c r="T281" s="324"/>
      <c r="U281" s="295" t="str">
        <f t="shared" si="65"/>
        <v/>
      </c>
      <c r="V281" s="327"/>
    </row>
    <row r="282" spans="8:22" x14ac:dyDescent="0.25">
      <c r="H282" s="205">
        <v>42645</v>
      </c>
      <c r="I282" s="206">
        <f t="shared" si="66"/>
        <v>26</v>
      </c>
      <c r="J282" s="206">
        <f t="shared" ref="J282:J311" si="67">IF(J281&gt;$E$55,$D$55+I282,J281+I282)</f>
        <v>1525</v>
      </c>
      <c r="K282" s="204" t="str">
        <f t="shared" ref="K282:K311" si="68">IF(J281&gt;$E$55,H281,"")</f>
        <v/>
      </c>
      <c r="L282" s="295">
        <f t="shared" si="61"/>
        <v>8</v>
      </c>
      <c r="M282" s="295"/>
      <c r="N282" s="212">
        <f t="shared" ref="N282:N311" si="69">$D$35</f>
        <v>12.6</v>
      </c>
      <c r="O282" s="212"/>
      <c r="P282" s="212">
        <f t="shared" si="62"/>
        <v>113.39999999999998</v>
      </c>
      <c r="Q282" s="319" t="str">
        <f t="shared" si="63"/>
        <v/>
      </c>
      <c r="R282" s="319"/>
      <c r="S282" s="324" t="str">
        <f t="shared" si="64"/>
        <v/>
      </c>
      <c r="T282" s="324"/>
      <c r="U282" s="295" t="str">
        <f t="shared" si="65"/>
        <v/>
      </c>
      <c r="V282" s="327"/>
    </row>
    <row r="283" spans="8:22" x14ac:dyDescent="0.25">
      <c r="H283" s="205">
        <v>42646</v>
      </c>
      <c r="I283" s="206">
        <f t="shared" si="66"/>
        <v>26</v>
      </c>
      <c r="J283" s="206">
        <f t="shared" si="67"/>
        <v>1551</v>
      </c>
      <c r="K283" s="204" t="str">
        <f t="shared" si="68"/>
        <v/>
      </c>
      <c r="L283" s="295">
        <f t="shared" si="61"/>
        <v>9</v>
      </c>
      <c r="M283" s="295"/>
      <c r="N283" s="212">
        <f t="shared" si="69"/>
        <v>12.6</v>
      </c>
      <c r="O283" s="212"/>
      <c r="P283" s="212">
        <f t="shared" si="62"/>
        <v>125.99999999999997</v>
      </c>
      <c r="Q283" s="319" t="str">
        <f t="shared" si="63"/>
        <v/>
      </c>
      <c r="R283" s="319"/>
      <c r="S283" s="324" t="str">
        <f t="shared" si="64"/>
        <v/>
      </c>
      <c r="T283" s="324"/>
      <c r="U283" s="295" t="str">
        <f t="shared" si="65"/>
        <v/>
      </c>
      <c r="V283" s="327"/>
    </row>
    <row r="284" spans="8:22" x14ac:dyDescent="0.25">
      <c r="H284" s="205">
        <v>42647</v>
      </c>
      <c r="I284" s="206">
        <f t="shared" si="66"/>
        <v>26</v>
      </c>
      <c r="J284" s="206">
        <f t="shared" si="67"/>
        <v>1577</v>
      </c>
      <c r="K284" s="204" t="str">
        <f t="shared" si="68"/>
        <v/>
      </c>
      <c r="L284" s="295">
        <f t="shared" si="61"/>
        <v>10</v>
      </c>
      <c r="M284" s="295"/>
      <c r="N284" s="212">
        <f t="shared" si="69"/>
        <v>12.6</v>
      </c>
      <c r="O284" s="212"/>
      <c r="P284" s="212">
        <f t="shared" si="62"/>
        <v>138.59999999999997</v>
      </c>
      <c r="Q284" s="319" t="str">
        <f t="shared" si="63"/>
        <v/>
      </c>
      <c r="R284" s="319"/>
      <c r="S284" s="324" t="str">
        <f t="shared" si="64"/>
        <v/>
      </c>
      <c r="T284" s="324"/>
      <c r="U284" s="295" t="str">
        <f t="shared" si="65"/>
        <v/>
      </c>
      <c r="V284" s="327"/>
    </row>
    <row r="285" spans="8:22" x14ac:dyDescent="0.25">
      <c r="H285" s="205">
        <v>42648</v>
      </c>
      <c r="I285" s="206">
        <f t="shared" si="66"/>
        <v>26</v>
      </c>
      <c r="J285" s="206">
        <f t="shared" si="67"/>
        <v>1603</v>
      </c>
      <c r="K285" s="204" t="str">
        <f t="shared" si="68"/>
        <v/>
      </c>
      <c r="L285" s="295">
        <f t="shared" si="61"/>
        <v>11</v>
      </c>
      <c r="M285" s="295"/>
      <c r="N285" s="212">
        <f t="shared" si="69"/>
        <v>12.6</v>
      </c>
      <c r="O285" s="212"/>
      <c r="P285" s="212">
        <f t="shared" si="62"/>
        <v>151.19999999999996</v>
      </c>
      <c r="Q285" s="319" t="str">
        <f t="shared" si="63"/>
        <v/>
      </c>
      <c r="R285" s="319"/>
      <c r="S285" s="324" t="str">
        <f t="shared" si="64"/>
        <v/>
      </c>
      <c r="T285" s="324"/>
      <c r="U285" s="295" t="str">
        <f t="shared" si="65"/>
        <v/>
      </c>
      <c r="V285" s="327"/>
    </row>
    <row r="286" spans="8:22" x14ac:dyDescent="0.25">
      <c r="H286" s="205">
        <v>42649</v>
      </c>
      <c r="I286" s="206">
        <f t="shared" si="66"/>
        <v>26</v>
      </c>
      <c r="J286" s="206">
        <f t="shared" si="67"/>
        <v>1629</v>
      </c>
      <c r="K286" s="204" t="str">
        <f t="shared" si="68"/>
        <v/>
      </c>
      <c r="L286" s="295">
        <f t="shared" si="61"/>
        <v>12</v>
      </c>
      <c r="M286" s="295"/>
      <c r="N286" s="212">
        <f t="shared" si="69"/>
        <v>12.6</v>
      </c>
      <c r="O286" s="212"/>
      <c r="P286" s="212">
        <f t="shared" si="62"/>
        <v>163.79999999999995</v>
      </c>
      <c r="Q286" s="319" t="str">
        <f t="shared" si="63"/>
        <v/>
      </c>
      <c r="R286" s="319"/>
      <c r="S286" s="324" t="str">
        <f t="shared" si="64"/>
        <v/>
      </c>
      <c r="T286" s="324"/>
      <c r="U286" s="295" t="str">
        <f t="shared" si="65"/>
        <v/>
      </c>
      <c r="V286" s="327"/>
    </row>
    <row r="287" spans="8:22" x14ac:dyDescent="0.25">
      <c r="H287" s="205">
        <v>42650</v>
      </c>
      <c r="I287" s="206">
        <f t="shared" si="66"/>
        <v>26</v>
      </c>
      <c r="J287" s="206">
        <f t="shared" si="67"/>
        <v>1655</v>
      </c>
      <c r="K287" s="204" t="str">
        <f t="shared" si="68"/>
        <v/>
      </c>
      <c r="L287" s="295">
        <f t="shared" si="61"/>
        <v>13</v>
      </c>
      <c r="M287" s="295"/>
      <c r="N287" s="212">
        <f t="shared" si="69"/>
        <v>12.6</v>
      </c>
      <c r="O287" s="212"/>
      <c r="P287" s="212">
        <f t="shared" si="62"/>
        <v>176.39999999999995</v>
      </c>
      <c r="Q287" s="319" t="str">
        <f t="shared" si="63"/>
        <v/>
      </c>
      <c r="R287" s="319"/>
      <c r="S287" s="324" t="str">
        <f t="shared" si="64"/>
        <v/>
      </c>
      <c r="T287" s="324"/>
      <c r="U287" s="295" t="str">
        <f t="shared" si="65"/>
        <v/>
      </c>
      <c r="V287" s="327"/>
    </row>
    <row r="288" spans="8:22" x14ac:dyDescent="0.25">
      <c r="H288" s="205">
        <v>42651</v>
      </c>
      <c r="I288" s="206">
        <f t="shared" si="66"/>
        <v>26</v>
      </c>
      <c r="J288" s="206">
        <f t="shared" si="67"/>
        <v>1681</v>
      </c>
      <c r="K288" s="204" t="str">
        <f t="shared" si="68"/>
        <v/>
      </c>
      <c r="L288" s="295">
        <f t="shared" si="61"/>
        <v>14</v>
      </c>
      <c r="M288" s="295"/>
      <c r="N288" s="212">
        <f t="shared" si="69"/>
        <v>12.6</v>
      </c>
      <c r="O288" s="212"/>
      <c r="P288" s="212">
        <f t="shared" si="62"/>
        <v>188.99999999999994</v>
      </c>
      <c r="Q288" s="319" t="str">
        <f t="shared" si="63"/>
        <v/>
      </c>
      <c r="R288" s="319"/>
      <c r="S288" s="324" t="str">
        <f t="shared" si="64"/>
        <v/>
      </c>
      <c r="T288" s="324"/>
      <c r="U288" s="295" t="str">
        <f t="shared" si="65"/>
        <v/>
      </c>
      <c r="V288" s="327"/>
    </row>
    <row r="289" spans="8:22" x14ac:dyDescent="0.25">
      <c r="H289" s="205">
        <v>42652</v>
      </c>
      <c r="I289" s="206">
        <f t="shared" si="66"/>
        <v>26</v>
      </c>
      <c r="J289" s="206">
        <f t="shared" si="67"/>
        <v>1707</v>
      </c>
      <c r="K289" s="204" t="str">
        <f t="shared" si="68"/>
        <v/>
      </c>
      <c r="L289" s="295">
        <f t="shared" si="61"/>
        <v>15</v>
      </c>
      <c r="M289" s="295"/>
      <c r="N289" s="212">
        <f t="shared" si="69"/>
        <v>12.6</v>
      </c>
      <c r="O289" s="212"/>
      <c r="P289" s="212">
        <f t="shared" si="62"/>
        <v>201.59999999999994</v>
      </c>
      <c r="Q289" s="319" t="str">
        <f t="shared" si="63"/>
        <v/>
      </c>
      <c r="R289" s="319"/>
      <c r="S289" s="324" t="str">
        <f t="shared" si="64"/>
        <v/>
      </c>
      <c r="T289" s="324"/>
      <c r="U289" s="295" t="str">
        <f t="shared" si="65"/>
        <v/>
      </c>
      <c r="V289" s="327"/>
    </row>
    <row r="290" spans="8:22" x14ac:dyDescent="0.25">
      <c r="H290" s="205">
        <v>42653</v>
      </c>
      <c r="I290" s="206">
        <f t="shared" si="66"/>
        <v>26</v>
      </c>
      <c r="J290" s="206">
        <f t="shared" si="67"/>
        <v>1733</v>
      </c>
      <c r="K290" s="204" t="str">
        <f t="shared" si="68"/>
        <v/>
      </c>
      <c r="L290" s="295">
        <f t="shared" si="61"/>
        <v>16</v>
      </c>
      <c r="M290" s="295"/>
      <c r="N290" s="212">
        <f t="shared" si="69"/>
        <v>12.6</v>
      </c>
      <c r="O290" s="212"/>
      <c r="P290" s="212">
        <f t="shared" si="62"/>
        <v>214.19999999999993</v>
      </c>
      <c r="Q290" s="319" t="str">
        <f t="shared" si="63"/>
        <v/>
      </c>
      <c r="R290" s="319"/>
      <c r="S290" s="324" t="str">
        <f t="shared" si="64"/>
        <v/>
      </c>
      <c r="T290" s="324"/>
      <c r="U290" s="295" t="str">
        <f t="shared" si="65"/>
        <v/>
      </c>
      <c r="V290" s="327"/>
    </row>
    <row r="291" spans="8:22" x14ac:dyDescent="0.25">
      <c r="H291" s="205">
        <v>42654</v>
      </c>
      <c r="I291" s="206">
        <f t="shared" si="66"/>
        <v>26</v>
      </c>
      <c r="J291" s="206">
        <f t="shared" si="67"/>
        <v>1759</v>
      </c>
      <c r="K291" s="204" t="str">
        <f t="shared" si="68"/>
        <v/>
      </c>
      <c r="L291" s="295">
        <f t="shared" si="61"/>
        <v>17</v>
      </c>
      <c r="M291" s="295"/>
      <c r="N291" s="212">
        <f t="shared" si="69"/>
        <v>12.6</v>
      </c>
      <c r="O291" s="212"/>
      <c r="P291" s="212">
        <f t="shared" si="62"/>
        <v>226.79999999999993</v>
      </c>
      <c r="Q291" s="319" t="str">
        <f t="shared" si="63"/>
        <v/>
      </c>
      <c r="R291" s="319"/>
      <c r="S291" s="324" t="str">
        <f t="shared" si="64"/>
        <v/>
      </c>
      <c r="T291" s="324"/>
      <c r="U291" s="295" t="str">
        <f t="shared" si="65"/>
        <v/>
      </c>
      <c r="V291" s="327"/>
    </row>
    <row r="292" spans="8:22" x14ac:dyDescent="0.25">
      <c r="H292" s="205">
        <v>42655</v>
      </c>
      <c r="I292" s="206">
        <f t="shared" si="66"/>
        <v>26</v>
      </c>
      <c r="J292" s="206">
        <f t="shared" si="67"/>
        <v>1785</v>
      </c>
      <c r="K292" s="204" t="str">
        <f t="shared" si="68"/>
        <v/>
      </c>
      <c r="L292" s="295">
        <f t="shared" si="61"/>
        <v>18</v>
      </c>
      <c r="M292" s="295"/>
      <c r="N292" s="212">
        <f t="shared" si="69"/>
        <v>12.6</v>
      </c>
      <c r="O292" s="212"/>
      <c r="P292" s="212">
        <f t="shared" si="62"/>
        <v>239.39999999999992</v>
      </c>
      <c r="Q292" s="319" t="str">
        <f t="shared" si="63"/>
        <v/>
      </c>
      <c r="R292" s="319"/>
      <c r="S292" s="324" t="str">
        <f t="shared" si="64"/>
        <v/>
      </c>
      <c r="T292" s="324"/>
      <c r="U292" s="295" t="str">
        <f t="shared" si="65"/>
        <v/>
      </c>
      <c r="V292" s="327"/>
    </row>
    <row r="293" spans="8:22" x14ac:dyDescent="0.25">
      <c r="H293" s="205">
        <v>42656</v>
      </c>
      <c r="I293" s="206">
        <f t="shared" si="66"/>
        <v>26</v>
      </c>
      <c r="J293" s="206">
        <f t="shared" si="67"/>
        <v>1811</v>
      </c>
      <c r="K293" s="204" t="str">
        <f t="shared" si="68"/>
        <v/>
      </c>
      <c r="L293" s="295">
        <f t="shared" si="61"/>
        <v>19</v>
      </c>
      <c r="M293" s="295"/>
      <c r="N293" s="212">
        <f t="shared" si="69"/>
        <v>12.6</v>
      </c>
      <c r="O293" s="212"/>
      <c r="P293" s="212">
        <f t="shared" si="62"/>
        <v>251.99999999999991</v>
      </c>
      <c r="Q293" s="319" t="str">
        <f t="shared" si="63"/>
        <v/>
      </c>
      <c r="R293" s="319"/>
      <c r="S293" s="324" t="str">
        <f t="shared" si="64"/>
        <v/>
      </c>
      <c r="T293" s="324"/>
      <c r="U293" s="295" t="str">
        <f t="shared" si="65"/>
        <v/>
      </c>
      <c r="V293" s="327"/>
    </row>
    <row r="294" spans="8:22" x14ac:dyDescent="0.25">
      <c r="H294" s="205">
        <v>42657</v>
      </c>
      <c r="I294" s="206">
        <f t="shared" si="66"/>
        <v>26</v>
      </c>
      <c r="J294" s="206">
        <f t="shared" si="67"/>
        <v>1837</v>
      </c>
      <c r="K294" s="204" t="str">
        <f t="shared" si="68"/>
        <v/>
      </c>
      <c r="L294" s="295">
        <f t="shared" si="61"/>
        <v>20</v>
      </c>
      <c r="M294" s="295"/>
      <c r="N294" s="212">
        <f t="shared" si="69"/>
        <v>12.6</v>
      </c>
      <c r="O294" s="212"/>
      <c r="P294" s="212">
        <f t="shared" si="62"/>
        <v>264.59999999999991</v>
      </c>
      <c r="Q294" s="319" t="str">
        <f t="shared" si="63"/>
        <v/>
      </c>
      <c r="R294" s="319"/>
      <c r="S294" s="324" t="str">
        <f t="shared" si="64"/>
        <v/>
      </c>
      <c r="T294" s="324"/>
      <c r="U294" s="295" t="str">
        <f t="shared" si="65"/>
        <v/>
      </c>
      <c r="V294" s="327"/>
    </row>
    <row r="295" spans="8:22" x14ac:dyDescent="0.25">
      <c r="H295" s="205">
        <v>42658</v>
      </c>
      <c r="I295" s="206">
        <f t="shared" si="66"/>
        <v>26</v>
      </c>
      <c r="J295" s="206">
        <f t="shared" si="67"/>
        <v>1863</v>
      </c>
      <c r="K295" s="204" t="str">
        <f t="shared" si="68"/>
        <v/>
      </c>
      <c r="L295" s="295">
        <f t="shared" si="61"/>
        <v>21</v>
      </c>
      <c r="M295" s="295"/>
      <c r="N295" s="212">
        <f t="shared" si="69"/>
        <v>12.6</v>
      </c>
      <c r="O295" s="212"/>
      <c r="P295" s="212">
        <f t="shared" si="62"/>
        <v>277.19999999999993</v>
      </c>
      <c r="Q295" s="319" t="str">
        <f t="shared" si="63"/>
        <v/>
      </c>
      <c r="R295" s="319"/>
      <c r="S295" s="324" t="str">
        <f t="shared" si="64"/>
        <v/>
      </c>
      <c r="T295" s="324"/>
      <c r="U295" s="295" t="str">
        <f t="shared" si="65"/>
        <v/>
      </c>
      <c r="V295" s="327"/>
    </row>
    <row r="296" spans="8:22" x14ac:dyDescent="0.25">
      <c r="H296" s="205">
        <v>42659</v>
      </c>
      <c r="I296" s="206">
        <f t="shared" si="66"/>
        <v>26</v>
      </c>
      <c r="J296" s="206">
        <f t="shared" si="67"/>
        <v>1889</v>
      </c>
      <c r="K296" s="204" t="str">
        <f t="shared" si="68"/>
        <v/>
      </c>
      <c r="L296" s="295">
        <f t="shared" si="61"/>
        <v>22</v>
      </c>
      <c r="M296" s="295"/>
      <c r="N296" s="212">
        <f t="shared" si="69"/>
        <v>12.6</v>
      </c>
      <c r="O296" s="212"/>
      <c r="P296" s="212">
        <f t="shared" si="62"/>
        <v>289.79999999999995</v>
      </c>
      <c r="Q296" s="319" t="str">
        <f t="shared" si="63"/>
        <v/>
      </c>
      <c r="R296" s="319"/>
      <c r="S296" s="324" t="str">
        <f t="shared" si="64"/>
        <v/>
      </c>
      <c r="T296" s="324"/>
      <c r="U296" s="295" t="str">
        <f t="shared" si="65"/>
        <v/>
      </c>
      <c r="V296" s="327"/>
    </row>
    <row r="297" spans="8:22" x14ac:dyDescent="0.25">
      <c r="H297" s="205">
        <v>42660</v>
      </c>
      <c r="I297" s="206">
        <f t="shared" si="66"/>
        <v>26</v>
      </c>
      <c r="J297" s="206">
        <f t="shared" si="67"/>
        <v>1915</v>
      </c>
      <c r="K297" s="204" t="str">
        <f t="shared" si="68"/>
        <v/>
      </c>
      <c r="L297" s="295">
        <f t="shared" si="61"/>
        <v>23</v>
      </c>
      <c r="M297" s="295"/>
      <c r="N297" s="212">
        <f t="shared" si="69"/>
        <v>12.6</v>
      </c>
      <c r="O297" s="212"/>
      <c r="P297" s="212">
        <f t="shared" si="62"/>
        <v>302.39999999999998</v>
      </c>
      <c r="Q297" s="319" t="str">
        <f t="shared" si="63"/>
        <v/>
      </c>
      <c r="R297" s="319"/>
      <c r="S297" s="324" t="str">
        <f t="shared" si="64"/>
        <v/>
      </c>
      <c r="T297" s="324"/>
      <c r="U297" s="295" t="str">
        <f t="shared" si="65"/>
        <v/>
      </c>
      <c r="V297" s="327"/>
    </row>
    <row r="298" spans="8:22" x14ac:dyDescent="0.25">
      <c r="H298" s="205">
        <v>42661</v>
      </c>
      <c r="I298" s="206">
        <f t="shared" si="66"/>
        <v>26</v>
      </c>
      <c r="J298" s="206">
        <f t="shared" si="67"/>
        <v>1941</v>
      </c>
      <c r="K298" s="204" t="str">
        <f t="shared" si="68"/>
        <v/>
      </c>
      <c r="L298" s="295">
        <f t="shared" si="61"/>
        <v>24</v>
      </c>
      <c r="M298" s="295"/>
      <c r="N298" s="212">
        <f t="shared" si="69"/>
        <v>12.6</v>
      </c>
      <c r="O298" s="212"/>
      <c r="P298" s="212">
        <f t="shared" si="62"/>
        <v>315</v>
      </c>
      <c r="Q298" s="319" t="str">
        <f t="shared" si="63"/>
        <v/>
      </c>
      <c r="R298" s="319"/>
      <c r="S298" s="324" t="str">
        <f t="shared" si="64"/>
        <v/>
      </c>
      <c r="T298" s="324"/>
      <c r="U298" s="295" t="str">
        <f t="shared" si="65"/>
        <v/>
      </c>
      <c r="V298" s="327"/>
    </row>
    <row r="299" spans="8:22" x14ac:dyDescent="0.25">
      <c r="H299" s="205">
        <v>42662</v>
      </c>
      <c r="I299" s="206">
        <f t="shared" si="66"/>
        <v>26</v>
      </c>
      <c r="J299" s="206">
        <f t="shared" si="67"/>
        <v>1967</v>
      </c>
      <c r="K299" s="204" t="str">
        <f t="shared" si="68"/>
        <v/>
      </c>
      <c r="L299" s="295">
        <f t="shared" si="61"/>
        <v>25</v>
      </c>
      <c r="M299" s="295"/>
      <c r="N299" s="212">
        <f t="shared" si="69"/>
        <v>12.6</v>
      </c>
      <c r="O299" s="212"/>
      <c r="P299" s="212">
        <f t="shared" si="62"/>
        <v>327.60000000000002</v>
      </c>
      <c r="Q299" s="319" t="str">
        <f t="shared" si="63"/>
        <v/>
      </c>
      <c r="R299" s="319"/>
      <c r="S299" s="324" t="str">
        <f t="shared" si="64"/>
        <v/>
      </c>
      <c r="T299" s="324"/>
      <c r="U299" s="295" t="str">
        <f t="shared" si="65"/>
        <v/>
      </c>
      <c r="V299" s="327"/>
    </row>
    <row r="300" spans="8:22" x14ac:dyDescent="0.25">
      <c r="H300" s="205">
        <v>42663</v>
      </c>
      <c r="I300" s="206">
        <f t="shared" si="66"/>
        <v>26</v>
      </c>
      <c r="J300" s="206">
        <f t="shared" si="67"/>
        <v>1993</v>
      </c>
      <c r="K300" s="204" t="str">
        <f t="shared" si="68"/>
        <v/>
      </c>
      <c r="L300" s="295">
        <f t="shared" si="61"/>
        <v>26</v>
      </c>
      <c r="M300" s="295"/>
      <c r="N300" s="212">
        <f t="shared" si="69"/>
        <v>12.6</v>
      </c>
      <c r="O300" s="212"/>
      <c r="P300" s="212">
        <f t="shared" si="62"/>
        <v>340.20000000000005</v>
      </c>
      <c r="Q300" s="319" t="str">
        <f t="shared" si="63"/>
        <v/>
      </c>
      <c r="R300" s="319"/>
      <c r="S300" s="324" t="str">
        <f t="shared" si="64"/>
        <v/>
      </c>
      <c r="T300" s="324"/>
      <c r="U300" s="295" t="str">
        <f t="shared" si="65"/>
        <v/>
      </c>
      <c r="V300" s="327"/>
    </row>
    <row r="301" spans="8:22" x14ac:dyDescent="0.25">
      <c r="H301" s="205">
        <v>42664</v>
      </c>
      <c r="I301" s="206">
        <f t="shared" si="66"/>
        <v>26</v>
      </c>
      <c r="J301" s="206">
        <f t="shared" si="67"/>
        <v>2019</v>
      </c>
      <c r="K301" s="204" t="str">
        <f t="shared" si="68"/>
        <v/>
      </c>
      <c r="L301" s="295">
        <f t="shared" si="61"/>
        <v>27</v>
      </c>
      <c r="M301" s="295"/>
      <c r="N301" s="212">
        <f t="shared" si="69"/>
        <v>12.6</v>
      </c>
      <c r="O301" s="212"/>
      <c r="P301" s="212">
        <f t="shared" si="62"/>
        <v>352.80000000000007</v>
      </c>
      <c r="Q301" s="319" t="str">
        <f t="shared" si="63"/>
        <v/>
      </c>
      <c r="R301" s="319"/>
      <c r="S301" s="324" t="str">
        <f t="shared" si="64"/>
        <v/>
      </c>
      <c r="T301" s="324"/>
      <c r="U301" s="295" t="str">
        <f t="shared" si="65"/>
        <v/>
      </c>
      <c r="V301" s="327"/>
    </row>
    <row r="302" spans="8:22" x14ac:dyDescent="0.25">
      <c r="H302" s="205">
        <v>42665</v>
      </c>
      <c r="I302" s="206">
        <f t="shared" si="66"/>
        <v>26</v>
      </c>
      <c r="J302" s="206">
        <f t="shared" si="67"/>
        <v>2045</v>
      </c>
      <c r="K302" s="204" t="str">
        <f t="shared" si="68"/>
        <v/>
      </c>
      <c r="L302" s="295">
        <f t="shared" si="61"/>
        <v>28</v>
      </c>
      <c r="M302" s="295"/>
      <c r="N302" s="212">
        <f t="shared" si="69"/>
        <v>12.6</v>
      </c>
      <c r="O302" s="212"/>
      <c r="P302" s="212">
        <f t="shared" si="62"/>
        <v>365.40000000000009</v>
      </c>
      <c r="Q302" s="319" t="str">
        <f t="shared" si="63"/>
        <v/>
      </c>
      <c r="R302" s="319"/>
      <c r="S302" s="324" t="str">
        <f t="shared" si="64"/>
        <v/>
      </c>
      <c r="T302" s="324"/>
      <c r="U302" s="295" t="str">
        <f t="shared" si="65"/>
        <v/>
      </c>
      <c r="V302" s="327"/>
    </row>
    <row r="303" spans="8:22" x14ac:dyDescent="0.25">
      <c r="H303" s="205">
        <v>42666</v>
      </c>
      <c r="I303" s="206">
        <f t="shared" si="66"/>
        <v>26</v>
      </c>
      <c r="J303" s="206">
        <f t="shared" si="67"/>
        <v>2071</v>
      </c>
      <c r="K303" s="204" t="str">
        <f t="shared" si="68"/>
        <v/>
      </c>
      <c r="L303" s="295">
        <f t="shared" si="61"/>
        <v>29</v>
      </c>
      <c r="M303" s="295"/>
      <c r="N303" s="212">
        <f t="shared" si="69"/>
        <v>12.6</v>
      </c>
      <c r="O303" s="212"/>
      <c r="P303" s="212">
        <f t="shared" si="62"/>
        <v>378.00000000000011</v>
      </c>
      <c r="Q303" s="319" t="str">
        <f t="shared" si="63"/>
        <v/>
      </c>
      <c r="R303" s="319"/>
      <c r="S303" s="324" t="str">
        <f t="shared" si="64"/>
        <v/>
      </c>
      <c r="T303" s="324"/>
      <c r="U303" s="295" t="str">
        <f t="shared" si="65"/>
        <v/>
      </c>
      <c r="V303" s="327"/>
    </row>
    <row r="304" spans="8:22" x14ac:dyDescent="0.25">
      <c r="H304" s="205">
        <v>42667</v>
      </c>
      <c r="I304" s="206">
        <f t="shared" si="66"/>
        <v>26</v>
      </c>
      <c r="J304" s="206">
        <f t="shared" si="67"/>
        <v>2097</v>
      </c>
      <c r="K304" s="204" t="str">
        <f t="shared" si="68"/>
        <v/>
      </c>
      <c r="L304" s="295">
        <f t="shared" si="61"/>
        <v>30</v>
      </c>
      <c r="M304" s="295"/>
      <c r="N304" s="212">
        <f t="shared" si="69"/>
        <v>12.6</v>
      </c>
      <c r="O304" s="212"/>
      <c r="P304" s="212">
        <f t="shared" si="62"/>
        <v>390.60000000000014</v>
      </c>
      <c r="Q304" s="319" t="str">
        <f t="shared" si="63"/>
        <v/>
      </c>
      <c r="R304" s="319"/>
      <c r="S304" s="324" t="str">
        <f t="shared" si="64"/>
        <v/>
      </c>
      <c r="T304" s="324"/>
      <c r="U304" s="295" t="str">
        <f t="shared" si="65"/>
        <v/>
      </c>
      <c r="V304" s="327"/>
    </row>
    <row r="305" spans="8:22" x14ac:dyDescent="0.25">
      <c r="H305" s="205">
        <v>42668</v>
      </c>
      <c r="I305" s="206">
        <f t="shared" si="66"/>
        <v>26</v>
      </c>
      <c r="J305" s="206">
        <f t="shared" si="67"/>
        <v>2123</v>
      </c>
      <c r="K305" s="204" t="str">
        <f t="shared" si="68"/>
        <v/>
      </c>
      <c r="L305" s="295">
        <f t="shared" si="61"/>
        <v>31</v>
      </c>
      <c r="M305" s="295"/>
      <c r="N305" s="212">
        <f t="shared" si="69"/>
        <v>12.6</v>
      </c>
      <c r="O305" s="212"/>
      <c r="P305" s="212">
        <f t="shared" si="62"/>
        <v>403.20000000000016</v>
      </c>
      <c r="Q305" s="319" t="str">
        <f t="shared" si="63"/>
        <v/>
      </c>
      <c r="R305" s="319"/>
      <c r="S305" s="324" t="str">
        <f t="shared" si="64"/>
        <v/>
      </c>
      <c r="T305" s="324"/>
      <c r="U305" s="295" t="str">
        <f t="shared" si="65"/>
        <v/>
      </c>
      <c r="V305" s="327"/>
    </row>
    <row r="306" spans="8:22" x14ac:dyDescent="0.25">
      <c r="H306" s="205">
        <v>42669</v>
      </c>
      <c r="I306" s="206">
        <f t="shared" si="66"/>
        <v>26</v>
      </c>
      <c r="J306" s="206">
        <f t="shared" si="67"/>
        <v>2149</v>
      </c>
      <c r="K306" s="204" t="str">
        <f t="shared" si="68"/>
        <v/>
      </c>
      <c r="L306" s="295">
        <f t="shared" si="61"/>
        <v>32</v>
      </c>
      <c r="M306" s="295"/>
      <c r="N306" s="212">
        <f t="shared" si="69"/>
        <v>12.6</v>
      </c>
      <c r="O306" s="212"/>
      <c r="P306" s="212">
        <f t="shared" si="62"/>
        <v>415.80000000000018</v>
      </c>
      <c r="Q306" s="319" t="str">
        <f t="shared" si="63"/>
        <v/>
      </c>
      <c r="R306" s="319"/>
      <c r="S306" s="324" t="str">
        <f t="shared" si="64"/>
        <v/>
      </c>
      <c r="T306" s="324"/>
      <c r="U306" s="295" t="str">
        <f t="shared" si="65"/>
        <v/>
      </c>
      <c r="V306" s="327"/>
    </row>
    <row r="307" spans="8:22" x14ac:dyDescent="0.25">
      <c r="H307" s="205">
        <v>42670</v>
      </c>
      <c r="I307" s="206">
        <f t="shared" si="66"/>
        <v>26</v>
      </c>
      <c r="J307" s="206">
        <f t="shared" si="67"/>
        <v>2175</v>
      </c>
      <c r="K307" s="204" t="str">
        <f t="shared" si="68"/>
        <v/>
      </c>
      <c r="L307" s="295">
        <f t="shared" si="61"/>
        <v>33</v>
      </c>
      <c r="M307" s="295"/>
      <c r="N307" s="212">
        <f t="shared" si="69"/>
        <v>12.6</v>
      </c>
      <c r="O307" s="212"/>
      <c r="P307" s="212">
        <f t="shared" si="62"/>
        <v>428.4000000000002</v>
      </c>
      <c r="Q307" s="319" t="str">
        <f t="shared" si="63"/>
        <v/>
      </c>
      <c r="R307" s="319"/>
      <c r="S307" s="324" t="str">
        <f t="shared" si="64"/>
        <v/>
      </c>
      <c r="T307" s="324"/>
      <c r="U307" s="295" t="str">
        <f t="shared" si="65"/>
        <v/>
      </c>
      <c r="V307" s="327"/>
    </row>
    <row r="308" spans="8:22" x14ac:dyDescent="0.25">
      <c r="H308" s="205">
        <v>42671</v>
      </c>
      <c r="I308" s="206">
        <f t="shared" si="66"/>
        <v>26</v>
      </c>
      <c r="J308" s="206">
        <f t="shared" si="67"/>
        <v>2201</v>
      </c>
      <c r="K308" s="204" t="str">
        <f t="shared" si="68"/>
        <v/>
      </c>
      <c r="L308" s="295">
        <f t="shared" si="61"/>
        <v>34</v>
      </c>
      <c r="M308" s="295"/>
      <c r="N308" s="212">
        <f t="shared" si="69"/>
        <v>12.6</v>
      </c>
      <c r="O308" s="212"/>
      <c r="P308" s="212">
        <f t="shared" si="62"/>
        <v>441.00000000000023</v>
      </c>
      <c r="Q308" s="319" t="str">
        <f t="shared" si="63"/>
        <v/>
      </c>
      <c r="R308" s="319"/>
      <c r="S308" s="324" t="str">
        <f t="shared" si="64"/>
        <v/>
      </c>
      <c r="T308" s="324"/>
      <c r="U308" s="295" t="str">
        <f t="shared" si="65"/>
        <v/>
      </c>
      <c r="V308" s="327"/>
    </row>
    <row r="309" spans="8:22" x14ac:dyDescent="0.25">
      <c r="H309" s="205">
        <v>42672</v>
      </c>
      <c r="I309" s="206">
        <f t="shared" si="66"/>
        <v>26</v>
      </c>
      <c r="J309" s="206">
        <f t="shared" si="67"/>
        <v>2227</v>
      </c>
      <c r="K309" s="204" t="str">
        <f t="shared" si="68"/>
        <v/>
      </c>
      <c r="L309" s="295">
        <f t="shared" si="61"/>
        <v>35</v>
      </c>
      <c r="M309" s="295"/>
      <c r="N309" s="212">
        <f t="shared" si="69"/>
        <v>12.6</v>
      </c>
      <c r="O309" s="212"/>
      <c r="P309" s="212">
        <f t="shared" si="62"/>
        <v>453.60000000000025</v>
      </c>
      <c r="Q309" s="319" t="str">
        <f t="shared" si="63"/>
        <v/>
      </c>
      <c r="R309" s="319"/>
      <c r="S309" s="324" t="str">
        <f t="shared" si="64"/>
        <v/>
      </c>
      <c r="T309" s="324"/>
      <c r="U309" s="295" t="str">
        <f t="shared" si="65"/>
        <v/>
      </c>
      <c r="V309" s="327"/>
    </row>
    <row r="310" spans="8:22" x14ac:dyDescent="0.25">
      <c r="H310" s="205">
        <v>42673</v>
      </c>
      <c r="I310" s="206">
        <f t="shared" si="66"/>
        <v>26</v>
      </c>
      <c r="J310" s="206">
        <f t="shared" si="67"/>
        <v>2253</v>
      </c>
      <c r="K310" s="204" t="str">
        <f t="shared" si="68"/>
        <v/>
      </c>
      <c r="L310" s="295">
        <f t="shared" si="61"/>
        <v>36</v>
      </c>
      <c r="M310" s="295"/>
      <c r="N310" s="212">
        <f t="shared" si="69"/>
        <v>12.6</v>
      </c>
      <c r="O310" s="212"/>
      <c r="P310" s="212">
        <f t="shared" si="62"/>
        <v>466.20000000000027</v>
      </c>
      <c r="Q310" s="319" t="str">
        <f t="shared" si="63"/>
        <v/>
      </c>
      <c r="R310" s="319"/>
      <c r="S310" s="324" t="str">
        <f t="shared" si="64"/>
        <v/>
      </c>
      <c r="T310" s="324"/>
      <c r="U310" s="295" t="str">
        <f t="shared" si="65"/>
        <v/>
      </c>
      <c r="V310" s="327"/>
    </row>
    <row r="311" spans="8:22" x14ac:dyDescent="0.25">
      <c r="H311" s="205">
        <v>42674</v>
      </c>
      <c r="I311" s="206">
        <f t="shared" si="66"/>
        <v>26</v>
      </c>
      <c r="J311" s="206">
        <f t="shared" si="67"/>
        <v>2279</v>
      </c>
      <c r="K311" s="204" t="str">
        <f t="shared" si="68"/>
        <v/>
      </c>
      <c r="L311" s="295">
        <f t="shared" si="61"/>
        <v>37</v>
      </c>
      <c r="M311" s="295"/>
      <c r="N311" s="212">
        <f t="shared" si="69"/>
        <v>12.6</v>
      </c>
      <c r="O311" s="212"/>
      <c r="P311" s="212">
        <f t="shared" si="62"/>
        <v>478.8000000000003</v>
      </c>
      <c r="Q311" s="319" t="str">
        <f t="shared" si="63"/>
        <v/>
      </c>
      <c r="R311" s="319"/>
      <c r="S311" s="324" t="str">
        <f t="shared" si="64"/>
        <v/>
      </c>
      <c r="T311" s="324"/>
      <c r="U311" s="295" t="str">
        <f t="shared" si="65"/>
        <v/>
      </c>
      <c r="V311" s="327"/>
    </row>
    <row r="312" spans="8:22" x14ac:dyDescent="0.25">
      <c r="H312" s="205">
        <v>42675</v>
      </c>
      <c r="I312" s="206">
        <f t="shared" ref="I312:I341" si="70">$B$15</f>
        <v>13</v>
      </c>
      <c r="J312" s="206">
        <f>IF(J311&gt;$E$56,$D$56+I312,J311+I312)</f>
        <v>2292</v>
      </c>
      <c r="K312" s="204" t="str">
        <f>IF(J311&gt;$E$56,H311,"")</f>
        <v/>
      </c>
      <c r="L312" s="295">
        <f t="shared" si="61"/>
        <v>38</v>
      </c>
      <c r="M312" s="295"/>
      <c r="N312" s="212">
        <f>$D$36</f>
        <v>11.200000000000001</v>
      </c>
      <c r="O312" s="212"/>
      <c r="P312" s="212">
        <f t="shared" si="62"/>
        <v>490.00000000000028</v>
      </c>
      <c r="Q312" s="319" t="str">
        <f t="shared" si="63"/>
        <v/>
      </c>
      <c r="R312" s="319"/>
      <c r="S312" s="324" t="str">
        <f t="shared" si="64"/>
        <v/>
      </c>
      <c r="T312" s="324"/>
      <c r="U312" s="295" t="str">
        <f t="shared" si="65"/>
        <v/>
      </c>
      <c r="V312" s="327"/>
    </row>
    <row r="313" spans="8:22" x14ac:dyDescent="0.25">
      <c r="H313" s="205">
        <v>42676</v>
      </c>
      <c r="I313" s="206">
        <f t="shared" si="70"/>
        <v>13</v>
      </c>
      <c r="J313" s="206">
        <f t="shared" ref="J313:J341" si="71">IF(J312&gt;$E$56,$D$56+I313,J312+I313)</f>
        <v>2305</v>
      </c>
      <c r="K313" s="204" t="str">
        <f t="shared" ref="K313:K341" si="72">IF(J312&gt;$E$56,H312,"")</f>
        <v/>
      </c>
      <c r="L313" s="295">
        <f t="shared" si="61"/>
        <v>39</v>
      </c>
      <c r="M313" s="295"/>
      <c r="N313" s="212">
        <f t="shared" ref="N313:N341" si="73">$D$36</f>
        <v>11.200000000000001</v>
      </c>
      <c r="O313" s="212"/>
      <c r="P313" s="212">
        <f t="shared" si="62"/>
        <v>501.20000000000027</v>
      </c>
      <c r="Q313" s="319" t="str">
        <f t="shared" si="63"/>
        <v/>
      </c>
      <c r="R313" s="319"/>
      <c r="S313" s="324" t="str">
        <f t="shared" si="64"/>
        <v/>
      </c>
      <c r="T313" s="324"/>
      <c r="U313" s="295" t="str">
        <f t="shared" si="65"/>
        <v/>
      </c>
      <c r="V313" s="327"/>
    </row>
    <row r="314" spans="8:22" x14ac:dyDescent="0.25">
      <c r="H314" s="205">
        <v>42677</v>
      </c>
      <c r="I314" s="206">
        <f t="shared" si="70"/>
        <v>13</v>
      </c>
      <c r="J314" s="206">
        <f t="shared" si="71"/>
        <v>2318</v>
      </c>
      <c r="K314" s="204" t="str">
        <f t="shared" si="72"/>
        <v/>
      </c>
      <c r="L314" s="295">
        <f t="shared" si="61"/>
        <v>40</v>
      </c>
      <c r="M314" s="295"/>
      <c r="N314" s="212">
        <f t="shared" si="73"/>
        <v>11.200000000000001</v>
      </c>
      <c r="O314" s="212"/>
      <c r="P314" s="212">
        <f t="shared" si="62"/>
        <v>512.40000000000032</v>
      </c>
      <c r="Q314" s="319" t="str">
        <f t="shared" si="63"/>
        <v/>
      </c>
      <c r="R314" s="319"/>
      <c r="S314" s="324" t="str">
        <f t="shared" si="64"/>
        <v/>
      </c>
      <c r="T314" s="324"/>
      <c r="U314" s="295" t="str">
        <f t="shared" si="65"/>
        <v/>
      </c>
      <c r="V314" s="327"/>
    </row>
    <row r="315" spans="8:22" x14ac:dyDescent="0.25">
      <c r="H315" s="205">
        <v>42678</v>
      </c>
      <c r="I315" s="206">
        <f t="shared" si="70"/>
        <v>13</v>
      </c>
      <c r="J315" s="206">
        <f t="shared" si="71"/>
        <v>2331</v>
      </c>
      <c r="K315" s="204" t="str">
        <f t="shared" si="72"/>
        <v/>
      </c>
      <c r="L315" s="295">
        <f t="shared" si="61"/>
        <v>41</v>
      </c>
      <c r="M315" s="295"/>
      <c r="N315" s="212">
        <f t="shared" si="73"/>
        <v>11.200000000000001</v>
      </c>
      <c r="O315" s="212"/>
      <c r="P315" s="212">
        <f t="shared" si="62"/>
        <v>523.60000000000036</v>
      </c>
      <c r="Q315" s="319" t="str">
        <f t="shared" si="63"/>
        <v/>
      </c>
      <c r="R315" s="319"/>
      <c r="S315" s="324" t="str">
        <f t="shared" si="64"/>
        <v/>
      </c>
      <c r="T315" s="324"/>
      <c r="U315" s="295" t="str">
        <f t="shared" si="65"/>
        <v/>
      </c>
      <c r="V315" s="327"/>
    </row>
    <row r="316" spans="8:22" x14ac:dyDescent="0.25">
      <c r="H316" s="205">
        <v>42679</v>
      </c>
      <c r="I316" s="206">
        <f t="shared" si="70"/>
        <v>13</v>
      </c>
      <c r="J316" s="206">
        <f t="shared" si="71"/>
        <v>2344</v>
      </c>
      <c r="K316" s="204" t="str">
        <f t="shared" si="72"/>
        <v/>
      </c>
      <c r="L316" s="295">
        <f t="shared" si="61"/>
        <v>42</v>
      </c>
      <c r="M316" s="295"/>
      <c r="N316" s="212">
        <f t="shared" si="73"/>
        <v>11.200000000000001</v>
      </c>
      <c r="O316" s="212"/>
      <c r="P316" s="212">
        <f t="shared" si="62"/>
        <v>534.80000000000041</v>
      </c>
      <c r="Q316" s="319" t="str">
        <f t="shared" si="63"/>
        <v/>
      </c>
      <c r="R316" s="319"/>
      <c r="S316" s="324" t="str">
        <f t="shared" si="64"/>
        <v/>
      </c>
      <c r="T316" s="324"/>
      <c r="U316" s="295" t="str">
        <f t="shared" si="65"/>
        <v/>
      </c>
      <c r="V316" s="327"/>
    </row>
    <row r="317" spans="8:22" x14ac:dyDescent="0.25">
      <c r="H317" s="205">
        <v>42680</v>
      </c>
      <c r="I317" s="206">
        <f t="shared" si="70"/>
        <v>13</v>
      </c>
      <c r="J317" s="206">
        <f t="shared" si="71"/>
        <v>2357</v>
      </c>
      <c r="K317" s="204" t="str">
        <f t="shared" si="72"/>
        <v/>
      </c>
      <c r="L317" s="295">
        <f t="shared" si="61"/>
        <v>43</v>
      </c>
      <c r="M317" s="295"/>
      <c r="N317" s="212">
        <f t="shared" si="73"/>
        <v>11.200000000000001</v>
      </c>
      <c r="O317" s="212"/>
      <c r="P317" s="212">
        <f t="shared" si="62"/>
        <v>546.00000000000045</v>
      </c>
      <c r="Q317" s="319" t="str">
        <f t="shared" si="63"/>
        <v/>
      </c>
      <c r="R317" s="319"/>
      <c r="S317" s="324" t="str">
        <f t="shared" si="64"/>
        <v/>
      </c>
      <c r="T317" s="324"/>
      <c r="U317" s="295" t="str">
        <f t="shared" si="65"/>
        <v/>
      </c>
      <c r="V317" s="327"/>
    </row>
    <row r="318" spans="8:22" x14ac:dyDescent="0.25">
      <c r="H318" s="205">
        <v>42681</v>
      </c>
      <c r="I318" s="206">
        <f t="shared" si="70"/>
        <v>13</v>
      </c>
      <c r="J318" s="206">
        <f t="shared" si="71"/>
        <v>2370</v>
      </c>
      <c r="K318" s="204" t="str">
        <f t="shared" si="72"/>
        <v/>
      </c>
      <c r="L318" s="295">
        <f t="shared" si="61"/>
        <v>44</v>
      </c>
      <c r="M318" s="295"/>
      <c r="N318" s="212">
        <f t="shared" si="73"/>
        <v>11.200000000000001</v>
      </c>
      <c r="O318" s="212"/>
      <c r="P318" s="212">
        <f t="shared" si="62"/>
        <v>557.2000000000005</v>
      </c>
      <c r="Q318" s="319" t="str">
        <f t="shared" si="63"/>
        <v/>
      </c>
      <c r="R318" s="319"/>
      <c r="S318" s="324" t="str">
        <f t="shared" si="64"/>
        <v/>
      </c>
      <c r="T318" s="324"/>
      <c r="U318" s="295" t="str">
        <f t="shared" si="65"/>
        <v/>
      </c>
      <c r="V318" s="327"/>
    </row>
    <row r="319" spans="8:22" x14ac:dyDescent="0.25">
      <c r="H319" s="205">
        <v>42682</v>
      </c>
      <c r="I319" s="206">
        <f t="shared" si="70"/>
        <v>13</v>
      </c>
      <c r="J319" s="206">
        <f t="shared" si="71"/>
        <v>2383</v>
      </c>
      <c r="K319" s="204" t="str">
        <f t="shared" si="72"/>
        <v/>
      </c>
      <c r="L319" s="295">
        <f t="shared" si="61"/>
        <v>45</v>
      </c>
      <c r="M319" s="295"/>
      <c r="N319" s="212">
        <f t="shared" si="73"/>
        <v>11.200000000000001</v>
      </c>
      <c r="O319" s="212"/>
      <c r="P319" s="212">
        <f t="shared" si="62"/>
        <v>568.40000000000055</v>
      </c>
      <c r="Q319" s="319" t="str">
        <f t="shared" si="63"/>
        <v/>
      </c>
      <c r="R319" s="319"/>
      <c r="S319" s="324" t="str">
        <f t="shared" si="64"/>
        <v/>
      </c>
      <c r="T319" s="324"/>
      <c r="U319" s="295" t="str">
        <f t="shared" si="65"/>
        <v/>
      </c>
      <c r="V319" s="327"/>
    </row>
    <row r="320" spans="8:22" x14ac:dyDescent="0.25">
      <c r="H320" s="205">
        <v>42683</v>
      </c>
      <c r="I320" s="206">
        <f t="shared" si="70"/>
        <v>13</v>
      </c>
      <c r="J320" s="206">
        <f t="shared" si="71"/>
        <v>2396</v>
      </c>
      <c r="K320" s="204" t="str">
        <f t="shared" si="72"/>
        <v/>
      </c>
      <c r="L320" s="295">
        <f t="shared" si="61"/>
        <v>46</v>
      </c>
      <c r="M320" s="295"/>
      <c r="N320" s="212">
        <f t="shared" si="73"/>
        <v>11.200000000000001</v>
      </c>
      <c r="O320" s="212"/>
      <c r="P320" s="212">
        <f t="shared" si="62"/>
        <v>579.60000000000059</v>
      </c>
      <c r="Q320" s="319" t="str">
        <f t="shared" si="63"/>
        <v/>
      </c>
      <c r="R320" s="319"/>
      <c r="S320" s="324" t="str">
        <f t="shared" si="64"/>
        <v/>
      </c>
      <c r="T320" s="324"/>
      <c r="U320" s="295" t="str">
        <f t="shared" si="65"/>
        <v/>
      </c>
      <c r="V320" s="327"/>
    </row>
    <row r="321" spans="8:22" x14ac:dyDescent="0.25">
      <c r="H321" s="205">
        <v>42684</v>
      </c>
      <c r="I321" s="206">
        <f t="shared" si="70"/>
        <v>13</v>
      </c>
      <c r="J321" s="206">
        <f t="shared" si="71"/>
        <v>2409</v>
      </c>
      <c r="K321" s="204" t="str">
        <f t="shared" si="72"/>
        <v/>
      </c>
      <c r="L321" s="295">
        <f t="shared" si="61"/>
        <v>47</v>
      </c>
      <c r="M321" s="295"/>
      <c r="N321" s="212">
        <f t="shared" si="73"/>
        <v>11.200000000000001</v>
      </c>
      <c r="O321" s="212"/>
      <c r="P321" s="212">
        <f t="shared" si="62"/>
        <v>590.80000000000064</v>
      </c>
      <c r="Q321" s="319" t="str">
        <f t="shared" si="63"/>
        <v/>
      </c>
      <c r="R321" s="319"/>
      <c r="S321" s="324" t="str">
        <f t="shared" si="64"/>
        <v/>
      </c>
      <c r="T321" s="324"/>
      <c r="U321" s="295" t="str">
        <f t="shared" si="65"/>
        <v/>
      </c>
      <c r="V321" s="327"/>
    </row>
    <row r="322" spans="8:22" x14ac:dyDescent="0.25">
      <c r="H322" s="205">
        <v>42685</v>
      </c>
      <c r="I322" s="206">
        <f t="shared" si="70"/>
        <v>13</v>
      </c>
      <c r="J322" s="206">
        <f t="shared" si="71"/>
        <v>2422</v>
      </c>
      <c r="K322" s="204" t="str">
        <f t="shared" si="72"/>
        <v/>
      </c>
      <c r="L322" s="295">
        <f t="shared" si="61"/>
        <v>48</v>
      </c>
      <c r="M322" s="295"/>
      <c r="N322" s="212">
        <f t="shared" si="73"/>
        <v>11.200000000000001</v>
      </c>
      <c r="O322" s="212"/>
      <c r="P322" s="212">
        <f t="shared" si="62"/>
        <v>602.00000000000068</v>
      </c>
      <c r="Q322" s="319" t="str">
        <f t="shared" si="63"/>
        <v/>
      </c>
      <c r="R322" s="319"/>
      <c r="S322" s="324" t="str">
        <f t="shared" si="64"/>
        <v/>
      </c>
      <c r="T322" s="324"/>
      <c r="U322" s="295" t="str">
        <f t="shared" si="65"/>
        <v/>
      </c>
      <c r="V322" s="327"/>
    </row>
    <row r="323" spans="8:22" x14ac:dyDescent="0.25">
      <c r="H323" s="205">
        <v>42686</v>
      </c>
      <c r="I323" s="206">
        <f t="shared" si="70"/>
        <v>13</v>
      </c>
      <c r="J323" s="206">
        <f t="shared" si="71"/>
        <v>2435</v>
      </c>
      <c r="K323" s="204" t="str">
        <f t="shared" si="72"/>
        <v/>
      </c>
      <c r="L323" s="295">
        <f t="shared" si="61"/>
        <v>49</v>
      </c>
      <c r="M323" s="295"/>
      <c r="N323" s="212">
        <f t="shared" si="73"/>
        <v>11.200000000000001</v>
      </c>
      <c r="O323" s="212"/>
      <c r="P323" s="212">
        <f t="shared" si="62"/>
        <v>613.20000000000073</v>
      </c>
      <c r="Q323" s="319" t="str">
        <f t="shared" si="63"/>
        <v/>
      </c>
      <c r="R323" s="319"/>
      <c r="S323" s="324" t="str">
        <f t="shared" si="64"/>
        <v/>
      </c>
      <c r="T323" s="324"/>
      <c r="U323" s="295" t="str">
        <f t="shared" si="65"/>
        <v/>
      </c>
      <c r="V323" s="327"/>
    </row>
    <row r="324" spans="8:22" x14ac:dyDescent="0.25">
      <c r="H324" s="205">
        <v>42687</v>
      </c>
      <c r="I324" s="206">
        <f t="shared" si="70"/>
        <v>13</v>
      </c>
      <c r="J324" s="206">
        <f t="shared" si="71"/>
        <v>2448</v>
      </c>
      <c r="K324" s="204" t="str">
        <f t="shared" si="72"/>
        <v/>
      </c>
      <c r="L324" s="295">
        <f t="shared" si="61"/>
        <v>50</v>
      </c>
      <c r="M324" s="295"/>
      <c r="N324" s="212">
        <f t="shared" si="73"/>
        <v>11.200000000000001</v>
      </c>
      <c r="O324" s="212"/>
      <c r="P324" s="212">
        <f t="shared" si="62"/>
        <v>624.40000000000077</v>
      </c>
      <c r="Q324" s="319" t="str">
        <f t="shared" si="63"/>
        <v/>
      </c>
      <c r="R324" s="319"/>
      <c r="S324" s="324" t="str">
        <f t="shared" si="64"/>
        <v/>
      </c>
      <c r="T324" s="324"/>
      <c r="U324" s="295" t="str">
        <f t="shared" si="65"/>
        <v/>
      </c>
      <c r="V324" s="327"/>
    </row>
    <row r="325" spans="8:22" x14ac:dyDescent="0.25">
      <c r="H325" s="205">
        <v>42688</v>
      </c>
      <c r="I325" s="206">
        <f t="shared" si="70"/>
        <v>13</v>
      </c>
      <c r="J325" s="206">
        <f t="shared" si="71"/>
        <v>2461</v>
      </c>
      <c r="K325" s="204" t="str">
        <f t="shared" si="72"/>
        <v/>
      </c>
      <c r="L325" s="295">
        <f t="shared" si="61"/>
        <v>51</v>
      </c>
      <c r="M325" s="295"/>
      <c r="N325" s="212">
        <f t="shared" si="73"/>
        <v>11.200000000000001</v>
      </c>
      <c r="O325" s="212"/>
      <c r="P325" s="212">
        <f>IF(L325=0,N325,N325+P324)</f>
        <v>635.60000000000082</v>
      </c>
      <c r="Q325" s="319" t="str">
        <f t="shared" si="63"/>
        <v/>
      </c>
      <c r="R325" s="319"/>
      <c r="S325" s="324" t="str">
        <f t="shared" si="64"/>
        <v/>
      </c>
      <c r="T325" s="324"/>
      <c r="U325" s="295" t="str">
        <f t="shared" si="65"/>
        <v/>
      </c>
      <c r="V325" s="327"/>
    </row>
    <row r="326" spans="8:22" x14ac:dyDescent="0.25">
      <c r="H326" s="205">
        <v>42689</v>
      </c>
      <c r="I326" s="206">
        <f t="shared" si="70"/>
        <v>13</v>
      </c>
      <c r="J326" s="206">
        <f t="shared" si="71"/>
        <v>2474</v>
      </c>
      <c r="K326" s="204" t="str">
        <f t="shared" si="72"/>
        <v/>
      </c>
      <c r="L326" s="295">
        <f t="shared" si="61"/>
        <v>52</v>
      </c>
      <c r="M326" s="295"/>
      <c r="N326" s="212">
        <f t="shared" si="73"/>
        <v>11.200000000000001</v>
      </c>
      <c r="O326" s="212"/>
      <c r="P326" s="212">
        <f t="shared" ref="P326:P372" si="74">IF(L326=0,N326,N326+P325)</f>
        <v>646.80000000000086</v>
      </c>
      <c r="Q326" s="319" t="str">
        <f t="shared" si="63"/>
        <v/>
      </c>
      <c r="R326" s="319"/>
      <c r="S326" s="324" t="str">
        <f t="shared" si="64"/>
        <v/>
      </c>
      <c r="T326" s="324"/>
      <c r="U326" s="295" t="str">
        <f t="shared" si="65"/>
        <v/>
      </c>
      <c r="V326" s="327"/>
    </row>
    <row r="327" spans="8:22" x14ac:dyDescent="0.25">
      <c r="H327" s="205">
        <v>42690</v>
      </c>
      <c r="I327" s="206">
        <f t="shared" si="70"/>
        <v>13</v>
      </c>
      <c r="J327" s="206">
        <f t="shared" si="71"/>
        <v>2487</v>
      </c>
      <c r="K327" s="204" t="str">
        <f t="shared" si="72"/>
        <v/>
      </c>
      <c r="L327" s="295">
        <f t="shared" si="61"/>
        <v>53</v>
      </c>
      <c r="M327" s="295"/>
      <c r="N327" s="212">
        <f t="shared" si="73"/>
        <v>11.200000000000001</v>
      </c>
      <c r="O327" s="212"/>
      <c r="P327" s="212">
        <f t="shared" si="74"/>
        <v>658.00000000000091</v>
      </c>
      <c r="Q327" s="319" t="str">
        <f t="shared" si="63"/>
        <v/>
      </c>
      <c r="R327" s="319"/>
      <c r="S327" s="324" t="str">
        <f t="shared" si="64"/>
        <v/>
      </c>
      <c r="T327" s="324"/>
      <c r="U327" s="295" t="str">
        <f t="shared" si="65"/>
        <v/>
      </c>
      <c r="V327" s="327"/>
    </row>
    <row r="328" spans="8:22" x14ac:dyDescent="0.25">
      <c r="H328" s="205">
        <v>42691</v>
      </c>
      <c r="I328" s="206">
        <f t="shared" si="70"/>
        <v>13</v>
      </c>
      <c r="J328" s="206">
        <f t="shared" si="71"/>
        <v>2500</v>
      </c>
      <c r="K328" s="204" t="str">
        <f t="shared" si="72"/>
        <v/>
      </c>
      <c r="L328" s="295">
        <f t="shared" si="61"/>
        <v>54</v>
      </c>
      <c r="M328" s="295"/>
      <c r="N328" s="212">
        <f t="shared" si="73"/>
        <v>11.200000000000001</v>
      </c>
      <c r="O328" s="212"/>
      <c r="P328" s="212">
        <f t="shared" si="74"/>
        <v>669.20000000000095</v>
      </c>
      <c r="Q328" s="319" t="str">
        <f t="shared" si="63"/>
        <v/>
      </c>
      <c r="R328" s="319"/>
      <c r="S328" s="324" t="str">
        <f t="shared" si="64"/>
        <v/>
      </c>
      <c r="T328" s="324"/>
      <c r="U328" s="295" t="str">
        <f t="shared" si="65"/>
        <v/>
      </c>
      <c r="V328" s="327"/>
    </row>
    <row r="329" spans="8:22" x14ac:dyDescent="0.25">
      <c r="H329" s="205">
        <v>42692</v>
      </c>
      <c r="I329" s="206">
        <f t="shared" si="70"/>
        <v>13</v>
      </c>
      <c r="J329" s="206">
        <f t="shared" si="71"/>
        <v>2513</v>
      </c>
      <c r="K329" s="204" t="str">
        <f t="shared" si="72"/>
        <v/>
      </c>
      <c r="L329" s="295">
        <f t="shared" ref="L329:L372" si="75">IF(K329="",1+L328,0)</f>
        <v>55</v>
      </c>
      <c r="M329" s="295"/>
      <c r="N329" s="212">
        <f t="shared" si="73"/>
        <v>11.200000000000001</v>
      </c>
      <c r="O329" s="212"/>
      <c r="P329" s="212">
        <f t="shared" si="74"/>
        <v>680.400000000001</v>
      </c>
      <c r="Q329" s="319" t="str">
        <f t="shared" ref="Q329:Q372" si="76">IF(L329=0,P328/L328,"")</f>
        <v/>
      </c>
      <c r="R329" s="319"/>
      <c r="S329" s="324" t="str">
        <f t="shared" ref="S329:S372" si="77">IFERROR(Q329/$D$21,"")</f>
        <v/>
      </c>
      <c r="T329" s="324"/>
      <c r="U329" s="295" t="str">
        <f t="shared" ref="U329:U372" si="78">IF(L329=0,$D$39*L328,"")</f>
        <v/>
      </c>
      <c r="V329" s="327"/>
    </row>
    <row r="330" spans="8:22" x14ac:dyDescent="0.25">
      <c r="H330" s="205">
        <v>42693</v>
      </c>
      <c r="I330" s="206">
        <f t="shared" si="70"/>
        <v>13</v>
      </c>
      <c r="J330" s="206">
        <f t="shared" si="71"/>
        <v>1213</v>
      </c>
      <c r="K330" s="204">
        <f t="shared" si="72"/>
        <v>42692</v>
      </c>
      <c r="L330" s="295">
        <f t="shared" si="75"/>
        <v>0</v>
      </c>
      <c r="M330" s="295"/>
      <c r="N330" s="212">
        <f t="shared" si="73"/>
        <v>11.200000000000001</v>
      </c>
      <c r="O330" s="212"/>
      <c r="P330" s="212">
        <f t="shared" si="74"/>
        <v>11.200000000000001</v>
      </c>
      <c r="Q330" s="319">
        <f t="shared" si="76"/>
        <v>12.370909090909109</v>
      </c>
      <c r="R330" s="319"/>
      <c r="S330" s="324">
        <f t="shared" si="77"/>
        <v>9.516083916083929E-3</v>
      </c>
      <c r="T330" s="324"/>
      <c r="U330" s="295">
        <f t="shared" si="78"/>
        <v>1.776923076923077</v>
      </c>
      <c r="V330" s="327"/>
    </row>
    <row r="331" spans="8:22" x14ac:dyDescent="0.25">
      <c r="H331" s="205">
        <v>42694</v>
      </c>
      <c r="I331" s="206">
        <f t="shared" si="70"/>
        <v>13</v>
      </c>
      <c r="J331" s="206">
        <f t="shared" si="71"/>
        <v>1226</v>
      </c>
      <c r="K331" s="204" t="str">
        <f t="shared" si="72"/>
        <v/>
      </c>
      <c r="L331" s="295">
        <f t="shared" si="75"/>
        <v>1</v>
      </c>
      <c r="M331" s="295"/>
      <c r="N331" s="212">
        <f t="shared" si="73"/>
        <v>11.200000000000001</v>
      </c>
      <c r="O331" s="212"/>
      <c r="P331" s="212">
        <f t="shared" si="74"/>
        <v>22.400000000000002</v>
      </c>
      <c r="Q331" s="319" t="str">
        <f t="shared" si="76"/>
        <v/>
      </c>
      <c r="R331" s="319"/>
      <c r="S331" s="324" t="str">
        <f t="shared" si="77"/>
        <v/>
      </c>
      <c r="T331" s="324"/>
      <c r="U331" s="295" t="str">
        <f t="shared" si="78"/>
        <v/>
      </c>
      <c r="V331" s="327"/>
    </row>
    <row r="332" spans="8:22" x14ac:dyDescent="0.25">
      <c r="H332" s="205">
        <v>42695</v>
      </c>
      <c r="I332" s="206">
        <f t="shared" si="70"/>
        <v>13</v>
      </c>
      <c r="J332" s="206">
        <f t="shared" si="71"/>
        <v>1239</v>
      </c>
      <c r="K332" s="204" t="str">
        <f t="shared" si="72"/>
        <v/>
      </c>
      <c r="L332" s="295">
        <f t="shared" si="75"/>
        <v>2</v>
      </c>
      <c r="M332" s="295"/>
      <c r="N332" s="212">
        <f t="shared" si="73"/>
        <v>11.200000000000001</v>
      </c>
      <c r="O332" s="212"/>
      <c r="P332" s="212">
        <f t="shared" si="74"/>
        <v>33.6</v>
      </c>
      <c r="Q332" s="319" t="str">
        <f t="shared" si="76"/>
        <v/>
      </c>
      <c r="R332" s="319"/>
      <c r="S332" s="324" t="str">
        <f t="shared" si="77"/>
        <v/>
      </c>
      <c r="T332" s="324"/>
      <c r="U332" s="295" t="str">
        <f t="shared" si="78"/>
        <v/>
      </c>
      <c r="V332" s="327"/>
    </row>
    <row r="333" spans="8:22" x14ac:dyDescent="0.25">
      <c r="H333" s="205">
        <v>42696</v>
      </c>
      <c r="I333" s="206">
        <f t="shared" si="70"/>
        <v>13</v>
      </c>
      <c r="J333" s="206">
        <f t="shared" si="71"/>
        <v>1252</v>
      </c>
      <c r="K333" s="204" t="str">
        <f t="shared" si="72"/>
        <v/>
      </c>
      <c r="L333" s="295">
        <f t="shared" si="75"/>
        <v>3</v>
      </c>
      <c r="M333" s="295"/>
      <c r="N333" s="212">
        <f t="shared" si="73"/>
        <v>11.200000000000001</v>
      </c>
      <c r="O333" s="212"/>
      <c r="P333" s="212">
        <f t="shared" si="74"/>
        <v>44.800000000000004</v>
      </c>
      <c r="Q333" s="319" t="str">
        <f t="shared" si="76"/>
        <v/>
      </c>
      <c r="R333" s="319"/>
      <c r="S333" s="324" t="str">
        <f t="shared" si="77"/>
        <v/>
      </c>
      <c r="T333" s="324"/>
      <c r="U333" s="295" t="str">
        <f t="shared" si="78"/>
        <v/>
      </c>
      <c r="V333" s="327"/>
    </row>
    <row r="334" spans="8:22" x14ac:dyDescent="0.25">
      <c r="H334" s="205">
        <v>42697</v>
      </c>
      <c r="I334" s="206">
        <f t="shared" si="70"/>
        <v>13</v>
      </c>
      <c r="J334" s="206">
        <f t="shared" si="71"/>
        <v>1265</v>
      </c>
      <c r="K334" s="204" t="str">
        <f t="shared" si="72"/>
        <v/>
      </c>
      <c r="L334" s="295">
        <f t="shared" si="75"/>
        <v>4</v>
      </c>
      <c r="M334" s="295"/>
      <c r="N334" s="212">
        <f t="shared" si="73"/>
        <v>11.200000000000001</v>
      </c>
      <c r="O334" s="212"/>
      <c r="P334" s="212">
        <f t="shared" si="74"/>
        <v>56.000000000000007</v>
      </c>
      <c r="Q334" s="319" t="str">
        <f t="shared" si="76"/>
        <v/>
      </c>
      <c r="R334" s="319"/>
      <c r="S334" s="324" t="str">
        <f t="shared" si="77"/>
        <v/>
      </c>
      <c r="T334" s="324"/>
      <c r="U334" s="295" t="str">
        <f t="shared" si="78"/>
        <v/>
      </c>
      <c r="V334" s="327"/>
    </row>
    <row r="335" spans="8:22" x14ac:dyDescent="0.25">
      <c r="H335" s="205">
        <v>42698</v>
      </c>
      <c r="I335" s="206">
        <f t="shared" si="70"/>
        <v>13</v>
      </c>
      <c r="J335" s="206">
        <f t="shared" si="71"/>
        <v>1278</v>
      </c>
      <c r="K335" s="204" t="str">
        <f t="shared" si="72"/>
        <v/>
      </c>
      <c r="L335" s="295">
        <f t="shared" si="75"/>
        <v>5</v>
      </c>
      <c r="M335" s="295"/>
      <c r="N335" s="212">
        <f t="shared" si="73"/>
        <v>11.200000000000001</v>
      </c>
      <c r="O335" s="212"/>
      <c r="P335" s="212">
        <f t="shared" si="74"/>
        <v>67.2</v>
      </c>
      <c r="Q335" s="319" t="str">
        <f t="shared" si="76"/>
        <v/>
      </c>
      <c r="R335" s="319"/>
      <c r="S335" s="324" t="str">
        <f t="shared" si="77"/>
        <v/>
      </c>
      <c r="T335" s="324"/>
      <c r="U335" s="295" t="str">
        <f t="shared" si="78"/>
        <v/>
      </c>
      <c r="V335" s="327"/>
    </row>
    <row r="336" spans="8:22" x14ac:dyDescent="0.25">
      <c r="H336" s="205">
        <v>42699</v>
      </c>
      <c r="I336" s="206">
        <f t="shared" si="70"/>
        <v>13</v>
      </c>
      <c r="J336" s="206">
        <f t="shared" si="71"/>
        <v>1291</v>
      </c>
      <c r="K336" s="204" t="str">
        <f t="shared" si="72"/>
        <v/>
      </c>
      <c r="L336" s="295">
        <f t="shared" si="75"/>
        <v>6</v>
      </c>
      <c r="M336" s="295"/>
      <c r="N336" s="212">
        <f t="shared" si="73"/>
        <v>11.200000000000001</v>
      </c>
      <c r="O336" s="212"/>
      <c r="P336" s="212">
        <f t="shared" si="74"/>
        <v>78.400000000000006</v>
      </c>
      <c r="Q336" s="319" t="str">
        <f t="shared" si="76"/>
        <v/>
      </c>
      <c r="R336" s="319"/>
      <c r="S336" s="324" t="str">
        <f t="shared" si="77"/>
        <v/>
      </c>
      <c r="T336" s="324"/>
      <c r="U336" s="295" t="str">
        <f t="shared" si="78"/>
        <v/>
      </c>
      <c r="V336" s="327"/>
    </row>
    <row r="337" spans="8:22" x14ac:dyDescent="0.25">
      <c r="H337" s="205">
        <v>42700</v>
      </c>
      <c r="I337" s="206">
        <f t="shared" si="70"/>
        <v>13</v>
      </c>
      <c r="J337" s="206">
        <f t="shared" si="71"/>
        <v>1304</v>
      </c>
      <c r="K337" s="204" t="str">
        <f t="shared" si="72"/>
        <v/>
      </c>
      <c r="L337" s="295">
        <f t="shared" si="75"/>
        <v>7</v>
      </c>
      <c r="M337" s="295"/>
      <c r="N337" s="212">
        <f t="shared" si="73"/>
        <v>11.200000000000001</v>
      </c>
      <c r="O337" s="212"/>
      <c r="P337" s="212">
        <f t="shared" si="74"/>
        <v>89.600000000000009</v>
      </c>
      <c r="Q337" s="319" t="str">
        <f t="shared" si="76"/>
        <v/>
      </c>
      <c r="R337" s="319"/>
      <c r="S337" s="324" t="str">
        <f t="shared" si="77"/>
        <v/>
      </c>
      <c r="T337" s="324"/>
      <c r="U337" s="295" t="str">
        <f t="shared" si="78"/>
        <v/>
      </c>
      <c r="V337" s="327"/>
    </row>
    <row r="338" spans="8:22" x14ac:dyDescent="0.25">
      <c r="H338" s="205">
        <v>42701</v>
      </c>
      <c r="I338" s="206">
        <f t="shared" si="70"/>
        <v>13</v>
      </c>
      <c r="J338" s="206">
        <f t="shared" si="71"/>
        <v>1317</v>
      </c>
      <c r="K338" s="204" t="str">
        <f t="shared" si="72"/>
        <v/>
      </c>
      <c r="L338" s="295">
        <f t="shared" si="75"/>
        <v>8</v>
      </c>
      <c r="M338" s="295"/>
      <c r="N338" s="212">
        <f t="shared" si="73"/>
        <v>11.200000000000001</v>
      </c>
      <c r="O338" s="212"/>
      <c r="P338" s="212">
        <f t="shared" si="74"/>
        <v>100.80000000000001</v>
      </c>
      <c r="Q338" s="319" t="str">
        <f t="shared" si="76"/>
        <v/>
      </c>
      <c r="R338" s="319"/>
      <c r="S338" s="324" t="str">
        <f t="shared" si="77"/>
        <v/>
      </c>
      <c r="T338" s="324"/>
      <c r="U338" s="295" t="str">
        <f t="shared" si="78"/>
        <v/>
      </c>
      <c r="V338" s="327"/>
    </row>
    <row r="339" spans="8:22" x14ac:dyDescent="0.25">
      <c r="H339" s="205">
        <v>42702</v>
      </c>
      <c r="I339" s="206">
        <f t="shared" si="70"/>
        <v>13</v>
      </c>
      <c r="J339" s="206">
        <f t="shared" si="71"/>
        <v>1330</v>
      </c>
      <c r="K339" s="204" t="str">
        <f t="shared" si="72"/>
        <v/>
      </c>
      <c r="L339" s="295">
        <f t="shared" si="75"/>
        <v>9</v>
      </c>
      <c r="M339" s="295"/>
      <c r="N339" s="212">
        <f t="shared" si="73"/>
        <v>11.200000000000001</v>
      </c>
      <c r="O339" s="212"/>
      <c r="P339" s="212">
        <f t="shared" si="74"/>
        <v>112.00000000000001</v>
      </c>
      <c r="Q339" s="319" t="str">
        <f t="shared" si="76"/>
        <v/>
      </c>
      <c r="R339" s="319"/>
      <c r="S339" s="324" t="str">
        <f t="shared" si="77"/>
        <v/>
      </c>
      <c r="T339" s="324"/>
      <c r="U339" s="295" t="str">
        <f t="shared" si="78"/>
        <v/>
      </c>
      <c r="V339" s="327"/>
    </row>
    <row r="340" spans="8:22" x14ac:dyDescent="0.25">
      <c r="H340" s="205">
        <v>42703</v>
      </c>
      <c r="I340" s="206">
        <f t="shared" si="70"/>
        <v>13</v>
      </c>
      <c r="J340" s="206">
        <f t="shared" si="71"/>
        <v>1343</v>
      </c>
      <c r="K340" s="204" t="str">
        <f t="shared" si="72"/>
        <v/>
      </c>
      <c r="L340" s="295">
        <f t="shared" si="75"/>
        <v>10</v>
      </c>
      <c r="M340" s="295"/>
      <c r="N340" s="212">
        <f t="shared" si="73"/>
        <v>11.200000000000001</v>
      </c>
      <c r="O340" s="212"/>
      <c r="P340" s="212">
        <f t="shared" si="74"/>
        <v>123.20000000000002</v>
      </c>
      <c r="Q340" s="319" t="str">
        <f t="shared" si="76"/>
        <v/>
      </c>
      <c r="R340" s="319"/>
      <c r="S340" s="324" t="str">
        <f t="shared" si="77"/>
        <v/>
      </c>
      <c r="T340" s="324"/>
      <c r="U340" s="295" t="str">
        <f t="shared" si="78"/>
        <v/>
      </c>
      <c r="V340" s="327"/>
    </row>
    <row r="341" spans="8:22" x14ac:dyDescent="0.25">
      <c r="H341" s="205">
        <v>42704</v>
      </c>
      <c r="I341" s="206">
        <f t="shared" si="70"/>
        <v>13</v>
      </c>
      <c r="J341" s="206">
        <f t="shared" si="71"/>
        <v>1356</v>
      </c>
      <c r="K341" s="204" t="str">
        <f t="shared" si="72"/>
        <v/>
      </c>
      <c r="L341" s="295">
        <f t="shared" si="75"/>
        <v>11</v>
      </c>
      <c r="M341" s="295"/>
      <c r="N341" s="212">
        <f t="shared" si="73"/>
        <v>11.200000000000001</v>
      </c>
      <c r="O341" s="212"/>
      <c r="P341" s="212">
        <f t="shared" si="74"/>
        <v>134.4</v>
      </c>
      <c r="Q341" s="319" t="str">
        <f t="shared" si="76"/>
        <v/>
      </c>
      <c r="R341" s="319"/>
      <c r="S341" s="324" t="str">
        <f t="shared" si="77"/>
        <v/>
      </c>
      <c r="T341" s="324"/>
      <c r="U341" s="295" t="str">
        <f t="shared" si="78"/>
        <v/>
      </c>
      <c r="V341" s="327"/>
    </row>
    <row r="342" spans="8:22" x14ac:dyDescent="0.25">
      <c r="H342" s="205">
        <v>42705</v>
      </c>
      <c r="I342" s="206">
        <f t="shared" ref="I342:I372" si="79">$B$16</f>
        <v>3.9000000000000004</v>
      </c>
      <c r="J342" s="206">
        <f>IF(J341&gt;$E$57,$D$57+I342,J341+I342)</f>
        <v>1359.9</v>
      </c>
      <c r="K342" s="204" t="str">
        <f>IF(J341&gt;$E$57,H341,"")</f>
        <v/>
      </c>
      <c r="L342" s="295">
        <f t="shared" si="75"/>
        <v>12</v>
      </c>
      <c r="M342" s="295"/>
      <c r="N342" s="212">
        <f>$D$37</f>
        <v>10.5</v>
      </c>
      <c r="O342" s="212"/>
      <c r="P342" s="212">
        <f t="shared" si="74"/>
        <v>144.9</v>
      </c>
      <c r="Q342" s="319" t="str">
        <f t="shared" si="76"/>
        <v/>
      </c>
      <c r="R342" s="319"/>
      <c r="S342" s="324" t="str">
        <f t="shared" si="77"/>
        <v/>
      </c>
      <c r="T342" s="324"/>
      <c r="U342" s="295" t="str">
        <f t="shared" si="78"/>
        <v/>
      </c>
      <c r="V342" s="327"/>
    </row>
    <row r="343" spans="8:22" x14ac:dyDescent="0.25">
      <c r="H343" s="205">
        <v>42706</v>
      </c>
      <c r="I343" s="206">
        <f t="shared" si="79"/>
        <v>3.9000000000000004</v>
      </c>
      <c r="J343" s="206">
        <f t="shared" ref="J343:J372" si="80">IF(J342&gt;$D$18,$D$19+I343,J342+I343)</f>
        <v>1363.8000000000002</v>
      </c>
      <c r="K343" s="204" t="str">
        <f t="shared" ref="K343:K372" si="81">IF(J342&gt;$E$57,H342,"")</f>
        <v/>
      </c>
      <c r="L343" s="295">
        <f t="shared" si="75"/>
        <v>13</v>
      </c>
      <c r="M343" s="295"/>
      <c r="N343" s="212">
        <f t="shared" ref="N343:N372" si="82">$D$37</f>
        <v>10.5</v>
      </c>
      <c r="O343" s="212"/>
      <c r="P343" s="212">
        <f t="shared" si="74"/>
        <v>155.4</v>
      </c>
      <c r="Q343" s="319" t="str">
        <f t="shared" si="76"/>
        <v/>
      </c>
      <c r="R343" s="319"/>
      <c r="S343" s="324" t="str">
        <f t="shared" si="77"/>
        <v/>
      </c>
      <c r="T343" s="324"/>
      <c r="U343" s="295" t="str">
        <f t="shared" si="78"/>
        <v/>
      </c>
      <c r="V343" s="327"/>
    </row>
    <row r="344" spans="8:22" x14ac:dyDescent="0.25">
      <c r="H344" s="205">
        <v>42707</v>
      </c>
      <c r="I344" s="206">
        <f t="shared" si="79"/>
        <v>3.9000000000000004</v>
      </c>
      <c r="J344" s="206">
        <f t="shared" si="80"/>
        <v>1367.7000000000003</v>
      </c>
      <c r="K344" s="204" t="str">
        <f t="shared" si="81"/>
        <v/>
      </c>
      <c r="L344" s="295">
        <f t="shared" si="75"/>
        <v>14</v>
      </c>
      <c r="M344" s="295"/>
      <c r="N344" s="212">
        <f t="shared" si="82"/>
        <v>10.5</v>
      </c>
      <c r="O344" s="212"/>
      <c r="P344" s="212">
        <f t="shared" si="74"/>
        <v>165.9</v>
      </c>
      <c r="Q344" s="319" t="str">
        <f t="shared" si="76"/>
        <v/>
      </c>
      <c r="R344" s="319"/>
      <c r="S344" s="324" t="str">
        <f t="shared" si="77"/>
        <v/>
      </c>
      <c r="T344" s="324"/>
      <c r="U344" s="295" t="str">
        <f t="shared" si="78"/>
        <v/>
      </c>
      <c r="V344" s="327"/>
    </row>
    <row r="345" spans="8:22" x14ac:dyDescent="0.25">
      <c r="H345" s="205">
        <v>42708</v>
      </c>
      <c r="I345" s="206">
        <f t="shared" si="79"/>
        <v>3.9000000000000004</v>
      </c>
      <c r="J345" s="206">
        <f t="shared" si="80"/>
        <v>1371.6000000000004</v>
      </c>
      <c r="K345" s="204" t="str">
        <f t="shared" si="81"/>
        <v/>
      </c>
      <c r="L345" s="295">
        <f t="shared" si="75"/>
        <v>15</v>
      </c>
      <c r="M345" s="295"/>
      <c r="N345" s="212">
        <f t="shared" si="82"/>
        <v>10.5</v>
      </c>
      <c r="O345" s="212"/>
      <c r="P345" s="212">
        <f t="shared" si="74"/>
        <v>176.4</v>
      </c>
      <c r="Q345" s="319" t="str">
        <f t="shared" si="76"/>
        <v/>
      </c>
      <c r="R345" s="319"/>
      <c r="S345" s="324" t="str">
        <f t="shared" si="77"/>
        <v/>
      </c>
      <c r="T345" s="324"/>
      <c r="U345" s="295" t="str">
        <f t="shared" si="78"/>
        <v/>
      </c>
      <c r="V345" s="327"/>
    </row>
    <row r="346" spans="8:22" x14ac:dyDescent="0.25">
      <c r="H346" s="205">
        <v>42709</v>
      </c>
      <c r="I346" s="206">
        <f t="shared" si="79"/>
        <v>3.9000000000000004</v>
      </c>
      <c r="J346" s="206">
        <f t="shared" si="80"/>
        <v>1375.5000000000005</v>
      </c>
      <c r="K346" s="204" t="str">
        <f t="shared" si="81"/>
        <v/>
      </c>
      <c r="L346" s="295">
        <f t="shared" si="75"/>
        <v>16</v>
      </c>
      <c r="M346" s="295"/>
      <c r="N346" s="212">
        <f t="shared" si="82"/>
        <v>10.5</v>
      </c>
      <c r="O346" s="212"/>
      <c r="P346" s="212">
        <f t="shared" si="74"/>
        <v>186.9</v>
      </c>
      <c r="Q346" s="319" t="str">
        <f t="shared" si="76"/>
        <v/>
      </c>
      <c r="R346" s="319"/>
      <c r="S346" s="324" t="str">
        <f t="shared" si="77"/>
        <v/>
      </c>
      <c r="T346" s="324"/>
      <c r="U346" s="295" t="str">
        <f t="shared" si="78"/>
        <v/>
      </c>
      <c r="V346" s="327"/>
    </row>
    <row r="347" spans="8:22" x14ac:dyDescent="0.25">
      <c r="H347" s="205">
        <v>42710</v>
      </c>
      <c r="I347" s="206">
        <f t="shared" si="79"/>
        <v>3.9000000000000004</v>
      </c>
      <c r="J347" s="206">
        <f t="shared" si="80"/>
        <v>1379.4000000000005</v>
      </c>
      <c r="K347" s="204" t="str">
        <f t="shared" si="81"/>
        <v/>
      </c>
      <c r="L347" s="295">
        <f t="shared" si="75"/>
        <v>17</v>
      </c>
      <c r="M347" s="295"/>
      <c r="N347" s="212">
        <f t="shared" si="82"/>
        <v>10.5</v>
      </c>
      <c r="O347" s="212"/>
      <c r="P347" s="212">
        <f t="shared" si="74"/>
        <v>197.4</v>
      </c>
      <c r="Q347" s="319" t="str">
        <f t="shared" si="76"/>
        <v/>
      </c>
      <c r="R347" s="319"/>
      <c r="S347" s="324" t="str">
        <f t="shared" si="77"/>
        <v/>
      </c>
      <c r="T347" s="324"/>
      <c r="U347" s="295" t="str">
        <f t="shared" si="78"/>
        <v/>
      </c>
      <c r="V347" s="327"/>
    </row>
    <row r="348" spans="8:22" x14ac:dyDescent="0.25">
      <c r="H348" s="205">
        <v>42711</v>
      </c>
      <c r="I348" s="206">
        <f t="shared" si="79"/>
        <v>3.9000000000000004</v>
      </c>
      <c r="J348" s="206">
        <f t="shared" si="80"/>
        <v>1383.3000000000006</v>
      </c>
      <c r="K348" s="204" t="str">
        <f t="shared" si="81"/>
        <v/>
      </c>
      <c r="L348" s="295">
        <f t="shared" si="75"/>
        <v>18</v>
      </c>
      <c r="M348" s="295"/>
      <c r="N348" s="212">
        <f t="shared" si="82"/>
        <v>10.5</v>
      </c>
      <c r="O348" s="212"/>
      <c r="P348" s="212">
        <f t="shared" si="74"/>
        <v>207.9</v>
      </c>
      <c r="Q348" s="319" t="str">
        <f t="shared" si="76"/>
        <v/>
      </c>
      <c r="R348" s="319"/>
      <c r="S348" s="324" t="str">
        <f t="shared" si="77"/>
        <v/>
      </c>
      <c r="T348" s="324"/>
      <c r="U348" s="295" t="str">
        <f t="shared" si="78"/>
        <v/>
      </c>
      <c r="V348" s="327"/>
    </row>
    <row r="349" spans="8:22" x14ac:dyDescent="0.25">
      <c r="H349" s="205">
        <v>42712</v>
      </c>
      <c r="I349" s="206">
        <f t="shared" si="79"/>
        <v>3.9000000000000004</v>
      </c>
      <c r="J349" s="206">
        <f t="shared" si="80"/>
        <v>1387.2000000000007</v>
      </c>
      <c r="K349" s="204" t="str">
        <f t="shared" si="81"/>
        <v/>
      </c>
      <c r="L349" s="295">
        <f t="shared" si="75"/>
        <v>19</v>
      </c>
      <c r="M349" s="295"/>
      <c r="N349" s="212">
        <f t="shared" si="82"/>
        <v>10.5</v>
      </c>
      <c r="O349" s="212"/>
      <c r="P349" s="212">
        <f t="shared" si="74"/>
        <v>218.4</v>
      </c>
      <c r="Q349" s="319" t="str">
        <f t="shared" si="76"/>
        <v/>
      </c>
      <c r="R349" s="319"/>
      <c r="S349" s="324" t="str">
        <f t="shared" si="77"/>
        <v/>
      </c>
      <c r="T349" s="324"/>
      <c r="U349" s="295" t="str">
        <f t="shared" si="78"/>
        <v/>
      </c>
      <c r="V349" s="327"/>
    </row>
    <row r="350" spans="8:22" x14ac:dyDescent="0.25">
      <c r="H350" s="205">
        <v>42713</v>
      </c>
      <c r="I350" s="206">
        <f t="shared" si="79"/>
        <v>3.9000000000000004</v>
      </c>
      <c r="J350" s="206">
        <f t="shared" si="80"/>
        <v>1391.1000000000008</v>
      </c>
      <c r="K350" s="204" t="str">
        <f t="shared" si="81"/>
        <v/>
      </c>
      <c r="L350" s="295">
        <f t="shared" si="75"/>
        <v>20</v>
      </c>
      <c r="M350" s="295"/>
      <c r="N350" s="212">
        <f t="shared" si="82"/>
        <v>10.5</v>
      </c>
      <c r="O350" s="212"/>
      <c r="P350" s="212">
        <f t="shared" si="74"/>
        <v>228.9</v>
      </c>
      <c r="Q350" s="319" t="str">
        <f t="shared" si="76"/>
        <v/>
      </c>
      <c r="R350" s="319"/>
      <c r="S350" s="324" t="str">
        <f t="shared" si="77"/>
        <v/>
      </c>
      <c r="T350" s="324"/>
      <c r="U350" s="295" t="str">
        <f t="shared" si="78"/>
        <v/>
      </c>
      <c r="V350" s="327"/>
    </row>
    <row r="351" spans="8:22" x14ac:dyDescent="0.25">
      <c r="H351" s="205">
        <v>42714</v>
      </c>
      <c r="I351" s="206">
        <f t="shared" si="79"/>
        <v>3.9000000000000004</v>
      </c>
      <c r="J351" s="206">
        <f t="shared" si="80"/>
        <v>1395.0000000000009</v>
      </c>
      <c r="K351" s="204" t="str">
        <f t="shared" si="81"/>
        <v/>
      </c>
      <c r="L351" s="295">
        <f t="shared" si="75"/>
        <v>21</v>
      </c>
      <c r="M351" s="295"/>
      <c r="N351" s="212">
        <f t="shared" si="82"/>
        <v>10.5</v>
      </c>
      <c r="O351" s="212"/>
      <c r="P351" s="212">
        <f t="shared" si="74"/>
        <v>239.4</v>
      </c>
      <c r="Q351" s="319" t="str">
        <f t="shared" si="76"/>
        <v/>
      </c>
      <c r="R351" s="319"/>
      <c r="S351" s="324" t="str">
        <f t="shared" si="77"/>
        <v/>
      </c>
      <c r="T351" s="324"/>
      <c r="U351" s="295" t="str">
        <f t="shared" si="78"/>
        <v/>
      </c>
      <c r="V351" s="327"/>
    </row>
    <row r="352" spans="8:22" x14ac:dyDescent="0.25">
      <c r="H352" s="205">
        <v>42715</v>
      </c>
      <c r="I352" s="206">
        <f t="shared" si="79"/>
        <v>3.9000000000000004</v>
      </c>
      <c r="J352" s="206">
        <f t="shared" si="80"/>
        <v>1398.900000000001</v>
      </c>
      <c r="K352" s="204" t="str">
        <f t="shared" si="81"/>
        <v/>
      </c>
      <c r="L352" s="295">
        <f t="shared" si="75"/>
        <v>22</v>
      </c>
      <c r="M352" s="295"/>
      <c r="N352" s="212">
        <f t="shared" si="82"/>
        <v>10.5</v>
      </c>
      <c r="O352" s="212"/>
      <c r="P352" s="212">
        <f t="shared" si="74"/>
        <v>249.9</v>
      </c>
      <c r="Q352" s="319" t="str">
        <f t="shared" si="76"/>
        <v/>
      </c>
      <c r="R352" s="319"/>
      <c r="S352" s="324" t="str">
        <f t="shared" si="77"/>
        <v/>
      </c>
      <c r="T352" s="324"/>
      <c r="U352" s="295" t="str">
        <f t="shared" si="78"/>
        <v/>
      </c>
      <c r="V352" s="327"/>
    </row>
    <row r="353" spans="8:22" x14ac:dyDescent="0.25">
      <c r="H353" s="205">
        <v>42716</v>
      </c>
      <c r="I353" s="206">
        <f t="shared" si="79"/>
        <v>3.9000000000000004</v>
      </c>
      <c r="J353" s="206">
        <f t="shared" si="80"/>
        <v>1402.8000000000011</v>
      </c>
      <c r="K353" s="204" t="str">
        <f t="shared" si="81"/>
        <v/>
      </c>
      <c r="L353" s="295">
        <f t="shared" si="75"/>
        <v>23</v>
      </c>
      <c r="M353" s="295"/>
      <c r="N353" s="212">
        <f t="shared" si="82"/>
        <v>10.5</v>
      </c>
      <c r="O353" s="212"/>
      <c r="P353" s="212">
        <f t="shared" si="74"/>
        <v>260.39999999999998</v>
      </c>
      <c r="Q353" s="319" t="str">
        <f t="shared" si="76"/>
        <v/>
      </c>
      <c r="R353" s="319"/>
      <c r="S353" s="324" t="str">
        <f t="shared" si="77"/>
        <v/>
      </c>
      <c r="T353" s="324"/>
      <c r="U353" s="295" t="str">
        <f t="shared" si="78"/>
        <v/>
      </c>
      <c r="V353" s="327"/>
    </row>
    <row r="354" spans="8:22" x14ac:dyDescent="0.25">
      <c r="H354" s="205">
        <v>42717</v>
      </c>
      <c r="I354" s="206">
        <f t="shared" si="79"/>
        <v>3.9000000000000004</v>
      </c>
      <c r="J354" s="206">
        <f t="shared" si="80"/>
        <v>1406.7000000000012</v>
      </c>
      <c r="K354" s="204" t="str">
        <f t="shared" si="81"/>
        <v/>
      </c>
      <c r="L354" s="295">
        <f t="shared" si="75"/>
        <v>24</v>
      </c>
      <c r="M354" s="295"/>
      <c r="N354" s="212">
        <f t="shared" si="82"/>
        <v>10.5</v>
      </c>
      <c r="O354" s="212"/>
      <c r="P354" s="212">
        <f t="shared" si="74"/>
        <v>270.89999999999998</v>
      </c>
      <c r="Q354" s="319" t="str">
        <f t="shared" si="76"/>
        <v/>
      </c>
      <c r="R354" s="319"/>
      <c r="S354" s="324" t="str">
        <f t="shared" si="77"/>
        <v/>
      </c>
      <c r="T354" s="324"/>
      <c r="U354" s="295" t="str">
        <f t="shared" si="78"/>
        <v/>
      </c>
      <c r="V354" s="327"/>
    </row>
    <row r="355" spans="8:22" x14ac:dyDescent="0.25">
      <c r="H355" s="205">
        <v>42718</v>
      </c>
      <c r="I355" s="206">
        <f t="shared" si="79"/>
        <v>3.9000000000000004</v>
      </c>
      <c r="J355" s="206">
        <f t="shared" si="80"/>
        <v>1410.6000000000013</v>
      </c>
      <c r="K355" s="204" t="str">
        <f t="shared" si="81"/>
        <v/>
      </c>
      <c r="L355" s="295">
        <f t="shared" si="75"/>
        <v>25</v>
      </c>
      <c r="M355" s="295"/>
      <c r="N355" s="212">
        <f t="shared" si="82"/>
        <v>10.5</v>
      </c>
      <c r="O355" s="212"/>
      <c r="P355" s="212">
        <f t="shared" si="74"/>
        <v>281.39999999999998</v>
      </c>
      <c r="Q355" s="319" t="str">
        <f t="shared" si="76"/>
        <v/>
      </c>
      <c r="R355" s="319"/>
      <c r="S355" s="324" t="str">
        <f t="shared" si="77"/>
        <v/>
      </c>
      <c r="T355" s="324"/>
      <c r="U355" s="295" t="str">
        <f t="shared" si="78"/>
        <v/>
      </c>
      <c r="V355" s="327"/>
    </row>
    <row r="356" spans="8:22" x14ac:dyDescent="0.25">
      <c r="H356" s="205">
        <v>42719</v>
      </c>
      <c r="I356" s="206">
        <f t="shared" si="79"/>
        <v>3.9000000000000004</v>
      </c>
      <c r="J356" s="206">
        <f t="shared" si="80"/>
        <v>1414.5000000000014</v>
      </c>
      <c r="K356" s="204" t="str">
        <f t="shared" si="81"/>
        <v/>
      </c>
      <c r="L356" s="295">
        <f t="shared" si="75"/>
        <v>26</v>
      </c>
      <c r="M356" s="295"/>
      <c r="N356" s="212">
        <f t="shared" si="82"/>
        <v>10.5</v>
      </c>
      <c r="O356" s="212"/>
      <c r="P356" s="212">
        <f t="shared" si="74"/>
        <v>291.89999999999998</v>
      </c>
      <c r="Q356" s="319" t="str">
        <f t="shared" si="76"/>
        <v/>
      </c>
      <c r="R356" s="319"/>
      <c r="S356" s="324" t="str">
        <f t="shared" si="77"/>
        <v/>
      </c>
      <c r="T356" s="324"/>
      <c r="U356" s="295" t="str">
        <f t="shared" si="78"/>
        <v/>
      </c>
      <c r="V356" s="327"/>
    </row>
    <row r="357" spans="8:22" x14ac:dyDescent="0.25">
      <c r="H357" s="205">
        <v>42720</v>
      </c>
      <c r="I357" s="206">
        <f t="shared" si="79"/>
        <v>3.9000000000000004</v>
      </c>
      <c r="J357" s="206">
        <f t="shared" si="80"/>
        <v>1418.4000000000015</v>
      </c>
      <c r="K357" s="204" t="str">
        <f t="shared" si="81"/>
        <v/>
      </c>
      <c r="L357" s="295">
        <f t="shared" si="75"/>
        <v>27</v>
      </c>
      <c r="M357" s="295"/>
      <c r="N357" s="212">
        <f t="shared" si="82"/>
        <v>10.5</v>
      </c>
      <c r="O357" s="212"/>
      <c r="P357" s="212">
        <f t="shared" si="74"/>
        <v>302.39999999999998</v>
      </c>
      <c r="Q357" s="319" t="str">
        <f t="shared" si="76"/>
        <v/>
      </c>
      <c r="R357" s="319"/>
      <c r="S357" s="324" t="str">
        <f t="shared" si="77"/>
        <v/>
      </c>
      <c r="T357" s="324"/>
      <c r="U357" s="295" t="str">
        <f t="shared" si="78"/>
        <v/>
      </c>
      <c r="V357" s="327"/>
    </row>
    <row r="358" spans="8:22" x14ac:dyDescent="0.25">
      <c r="H358" s="205">
        <v>42721</v>
      </c>
      <c r="I358" s="206">
        <f t="shared" si="79"/>
        <v>3.9000000000000004</v>
      </c>
      <c r="J358" s="206">
        <f t="shared" si="80"/>
        <v>1422.3000000000015</v>
      </c>
      <c r="K358" s="204" t="str">
        <f t="shared" si="81"/>
        <v/>
      </c>
      <c r="L358" s="295">
        <f t="shared" si="75"/>
        <v>28</v>
      </c>
      <c r="M358" s="295"/>
      <c r="N358" s="212">
        <f t="shared" si="82"/>
        <v>10.5</v>
      </c>
      <c r="O358" s="212"/>
      <c r="P358" s="212">
        <f t="shared" si="74"/>
        <v>312.89999999999998</v>
      </c>
      <c r="Q358" s="319" t="str">
        <f t="shared" si="76"/>
        <v/>
      </c>
      <c r="R358" s="319"/>
      <c r="S358" s="324" t="str">
        <f t="shared" si="77"/>
        <v/>
      </c>
      <c r="T358" s="324"/>
      <c r="U358" s="295" t="str">
        <f t="shared" si="78"/>
        <v/>
      </c>
      <c r="V358" s="327"/>
    </row>
    <row r="359" spans="8:22" x14ac:dyDescent="0.25">
      <c r="H359" s="205">
        <v>42722</v>
      </c>
      <c r="I359" s="206">
        <f t="shared" si="79"/>
        <v>3.9000000000000004</v>
      </c>
      <c r="J359" s="206">
        <f t="shared" si="80"/>
        <v>1426.2000000000016</v>
      </c>
      <c r="K359" s="204" t="str">
        <f t="shared" si="81"/>
        <v/>
      </c>
      <c r="L359" s="295">
        <f t="shared" si="75"/>
        <v>29</v>
      </c>
      <c r="M359" s="295"/>
      <c r="N359" s="212">
        <f t="shared" si="82"/>
        <v>10.5</v>
      </c>
      <c r="O359" s="212"/>
      <c r="P359" s="212">
        <f t="shared" si="74"/>
        <v>323.39999999999998</v>
      </c>
      <c r="Q359" s="319" t="str">
        <f t="shared" si="76"/>
        <v/>
      </c>
      <c r="R359" s="319"/>
      <c r="S359" s="324" t="str">
        <f t="shared" si="77"/>
        <v/>
      </c>
      <c r="T359" s="324"/>
      <c r="U359" s="295" t="str">
        <f t="shared" si="78"/>
        <v/>
      </c>
      <c r="V359" s="327"/>
    </row>
    <row r="360" spans="8:22" x14ac:dyDescent="0.25">
      <c r="H360" s="205">
        <v>42723</v>
      </c>
      <c r="I360" s="206">
        <f t="shared" si="79"/>
        <v>3.9000000000000004</v>
      </c>
      <c r="J360" s="206">
        <f t="shared" si="80"/>
        <v>1430.1000000000017</v>
      </c>
      <c r="K360" s="204" t="str">
        <f t="shared" si="81"/>
        <v/>
      </c>
      <c r="L360" s="295">
        <f t="shared" si="75"/>
        <v>30</v>
      </c>
      <c r="M360" s="295"/>
      <c r="N360" s="212">
        <f t="shared" si="82"/>
        <v>10.5</v>
      </c>
      <c r="O360" s="212"/>
      <c r="P360" s="212">
        <f t="shared" si="74"/>
        <v>333.9</v>
      </c>
      <c r="Q360" s="319" t="str">
        <f t="shared" si="76"/>
        <v/>
      </c>
      <c r="R360" s="319"/>
      <c r="S360" s="324" t="str">
        <f t="shared" si="77"/>
        <v/>
      </c>
      <c r="T360" s="324"/>
      <c r="U360" s="295" t="str">
        <f t="shared" si="78"/>
        <v/>
      </c>
      <c r="V360" s="327"/>
    </row>
    <row r="361" spans="8:22" x14ac:dyDescent="0.25">
      <c r="H361" s="205">
        <v>42724</v>
      </c>
      <c r="I361" s="206">
        <f t="shared" si="79"/>
        <v>3.9000000000000004</v>
      </c>
      <c r="J361" s="206">
        <f t="shared" si="80"/>
        <v>1434.0000000000018</v>
      </c>
      <c r="K361" s="204" t="str">
        <f t="shared" si="81"/>
        <v/>
      </c>
      <c r="L361" s="295">
        <f t="shared" si="75"/>
        <v>31</v>
      </c>
      <c r="M361" s="295"/>
      <c r="N361" s="212">
        <f t="shared" si="82"/>
        <v>10.5</v>
      </c>
      <c r="O361" s="212"/>
      <c r="P361" s="212">
        <f t="shared" si="74"/>
        <v>344.4</v>
      </c>
      <c r="Q361" s="319" t="str">
        <f t="shared" si="76"/>
        <v/>
      </c>
      <c r="R361" s="319"/>
      <c r="S361" s="324" t="str">
        <f t="shared" si="77"/>
        <v/>
      </c>
      <c r="T361" s="324"/>
      <c r="U361" s="295" t="str">
        <f t="shared" si="78"/>
        <v/>
      </c>
      <c r="V361" s="327"/>
    </row>
    <row r="362" spans="8:22" x14ac:dyDescent="0.25">
      <c r="H362" s="205">
        <v>42725</v>
      </c>
      <c r="I362" s="206">
        <f t="shared" si="79"/>
        <v>3.9000000000000004</v>
      </c>
      <c r="J362" s="206">
        <f t="shared" si="80"/>
        <v>1437.9000000000019</v>
      </c>
      <c r="K362" s="204" t="str">
        <f t="shared" si="81"/>
        <v/>
      </c>
      <c r="L362" s="295">
        <f t="shared" si="75"/>
        <v>32</v>
      </c>
      <c r="M362" s="295"/>
      <c r="N362" s="212">
        <f t="shared" si="82"/>
        <v>10.5</v>
      </c>
      <c r="O362" s="212"/>
      <c r="P362" s="212">
        <f t="shared" si="74"/>
        <v>354.9</v>
      </c>
      <c r="Q362" s="319" t="str">
        <f t="shared" si="76"/>
        <v/>
      </c>
      <c r="R362" s="319"/>
      <c r="S362" s="324" t="str">
        <f t="shared" si="77"/>
        <v/>
      </c>
      <c r="T362" s="324"/>
      <c r="U362" s="295" t="str">
        <f t="shared" si="78"/>
        <v/>
      </c>
      <c r="V362" s="327"/>
    </row>
    <row r="363" spans="8:22" x14ac:dyDescent="0.25">
      <c r="H363" s="205">
        <v>42726</v>
      </c>
      <c r="I363" s="206">
        <f t="shared" si="79"/>
        <v>3.9000000000000004</v>
      </c>
      <c r="J363" s="206">
        <f t="shared" si="80"/>
        <v>1441.800000000002</v>
      </c>
      <c r="K363" s="204" t="str">
        <f t="shared" si="81"/>
        <v/>
      </c>
      <c r="L363" s="295">
        <f t="shared" si="75"/>
        <v>33</v>
      </c>
      <c r="M363" s="295"/>
      <c r="N363" s="212">
        <f t="shared" si="82"/>
        <v>10.5</v>
      </c>
      <c r="O363" s="212"/>
      <c r="P363" s="212">
        <f t="shared" si="74"/>
        <v>365.4</v>
      </c>
      <c r="Q363" s="319" t="str">
        <f t="shared" si="76"/>
        <v/>
      </c>
      <c r="R363" s="319"/>
      <c r="S363" s="324" t="str">
        <f t="shared" si="77"/>
        <v/>
      </c>
      <c r="T363" s="324"/>
      <c r="U363" s="295" t="str">
        <f t="shared" si="78"/>
        <v/>
      </c>
      <c r="V363" s="327"/>
    </row>
    <row r="364" spans="8:22" x14ac:dyDescent="0.25">
      <c r="H364" s="205">
        <v>42727</v>
      </c>
      <c r="I364" s="206">
        <f t="shared" si="79"/>
        <v>3.9000000000000004</v>
      </c>
      <c r="J364" s="206">
        <f t="shared" si="80"/>
        <v>1445.7000000000021</v>
      </c>
      <c r="K364" s="204" t="str">
        <f t="shared" si="81"/>
        <v/>
      </c>
      <c r="L364" s="295">
        <f t="shared" si="75"/>
        <v>34</v>
      </c>
      <c r="M364" s="295"/>
      <c r="N364" s="212">
        <f t="shared" si="82"/>
        <v>10.5</v>
      </c>
      <c r="O364" s="212"/>
      <c r="P364" s="212">
        <f t="shared" si="74"/>
        <v>375.9</v>
      </c>
      <c r="Q364" s="319" t="str">
        <f t="shared" si="76"/>
        <v/>
      </c>
      <c r="R364" s="319"/>
      <c r="S364" s="324" t="str">
        <f t="shared" si="77"/>
        <v/>
      </c>
      <c r="T364" s="324"/>
      <c r="U364" s="295" t="str">
        <f t="shared" si="78"/>
        <v/>
      </c>
      <c r="V364" s="327"/>
    </row>
    <row r="365" spans="8:22" x14ac:dyDescent="0.25">
      <c r="H365" s="205">
        <v>42728</v>
      </c>
      <c r="I365" s="206">
        <f t="shared" si="79"/>
        <v>3.9000000000000004</v>
      </c>
      <c r="J365" s="206">
        <f t="shared" si="80"/>
        <v>1449.6000000000022</v>
      </c>
      <c r="K365" s="204" t="str">
        <f t="shared" si="81"/>
        <v/>
      </c>
      <c r="L365" s="295">
        <f t="shared" si="75"/>
        <v>35</v>
      </c>
      <c r="M365" s="295"/>
      <c r="N365" s="212">
        <f t="shared" si="82"/>
        <v>10.5</v>
      </c>
      <c r="O365" s="212"/>
      <c r="P365" s="212">
        <f t="shared" si="74"/>
        <v>386.4</v>
      </c>
      <c r="Q365" s="319" t="str">
        <f t="shared" si="76"/>
        <v/>
      </c>
      <c r="R365" s="319"/>
      <c r="S365" s="324" t="str">
        <f t="shared" si="77"/>
        <v/>
      </c>
      <c r="T365" s="324"/>
      <c r="U365" s="295" t="str">
        <f t="shared" si="78"/>
        <v/>
      </c>
      <c r="V365" s="327"/>
    </row>
    <row r="366" spans="8:22" x14ac:dyDescent="0.25">
      <c r="H366" s="205">
        <v>42729</v>
      </c>
      <c r="I366" s="206">
        <f t="shared" si="79"/>
        <v>3.9000000000000004</v>
      </c>
      <c r="J366" s="206">
        <f t="shared" si="80"/>
        <v>1453.5000000000023</v>
      </c>
      <c r="K366" s="204" t="str">
        <f t="shared" si="81"/>
        <v/>
      </c>
      <c r="L366" s="295">
        <f t="shared" si="75"/>
        <v>36</v>
      </c>
      <c r="M366" s="295"/>
      <c r="N366" s="212">
        <f t="shared" si="82"/>
        <v>10.5</v>
      </c>
      <c r="O366" s="212"/>
      <c r="P366" s="212">
        <f t="shared" si="74"/>
        <v>396.9</v>
      </c>
      <c r="Q366" s="319" t="str">
        <f t="shared" si="76"/>
        <v/>
      </c>
      <c r="R366" s="319"/>
      <c r="S366" s="324" t="str">
        <f t="shared" si="77"/>
        <v/>
      </c>
      <c r="T366" s="324"/>
      <c r="U366" s="295" t="str">
        <f t="shared" si="78"/>
        <v/>
      </c>
      <c r="V366" s="327"/>
    </row>
    <row r="367" spans="8:22" x14ac:dyDescent="0.25">
      <c r="H367" s="205">
        <v>42730</v>
      </c>
      <c r="I367" s="206">
        <f t="shared" si="79"/>
        <v>3.9000000000000004</v>
      </c>
      <c r="J367" s="206">
        <f t="shared" si="80"/>
        <v>1457.4000000000024</v>
      </c>
      <c r="K367" s="204" t="str">
        <f t="shared" si="81"/>
        <v/>
      </c>
      <c r="L367" s="295">
        <f t="shared" si="75"/>
        <v>37</v>
      </c>
      <c r="M367" s="295"/>
      <c r="N367" s="212">
        <f t="shared" si="82"/>
        <v>10.5</v>
      </c>
      <c r="O367" s="212"/>
      <c r="P367" s="212">
        <f t="shared" si="74"/>
        <v>407.4</v>
      </c>
      <c r="Q367" s="319" t="str">
        <f t="shared" si="76"/>
        <v/>
      </c>
      <c r="R367" s="319"/>
      <c r="S367" s="324" t="str">
        <f t="shared" si="77"/>
        <v/>
      </c>
      <c r="T367" s="324"/>
      <c r="U367" s="295" t="str">
        <f t="shared" si="78"/>
        <v/>
      </c>
      <c r="V367" s="327"/>
    </row>
    <row r="368" spans="8:22" x14ac:dyDescent="0.25">
      <c r="H368" s="205">
        <v>42731</v>
      </c>
      <c r="I368" s="206">
        <f t="shared" si="79"/>
        <v>3.9000000000000004</v>
      </c>
      <c r="J368" s="206">
        <f t="shared" si="80"/>
        <v>1461.3000000000025</v>
      </c>
      <c r="K368" s="204" t="str">
        <f t="shared" si="81"/>
        <v/>
      </c>
      <c r="L368" s="295">
        <f t="shared" si="75"/>
        <v>38</v>
      </c>
      <c r="M368" s="295"/>
      <c r="N368" s="212">
        <f t="shared" si="82"/>
        <v>10.5</v>
      </c>
      <c r="O368" s="212"/>
      <c r="P368" s="212">
        <f t="shared" si="74"/>
        <v>417.9</v>
      </c>
      <c r="Q368" s="319" t="str">
        <f t="shared" si="76"/>
        <v/>
      </c>
      <c r="R368" s="319"/>
      <c r="S368" s="324" t="str">
        <f t="shared" si="77"/>
        <v/>
      </c>
      <c r="T368" s="324"/>
      <c r="U368" s="295" t="str">
        <f t="shared" si="78"/>
        <v/>
      </c>
      <c r="V368" s="327"/>
    </row>
    <row r="369" spans="8:22" x14ac:dyDescent="0.25">
      <c r="H369" s="205">
        <v>42732</v>
      </c>
      <c r="I369" s="206">
        <f t="shared" si="79"/>
        <v>3.9000000000000004</v>
      </c>
      <c r="J369" s="206">
        <f t="shared" si="80"/>
        <v>1465.2000000000025</v>
      </c>
      <c r="K369" s="204" t="str">
        <f t="shared" si="81"/>
        <v/>
      </c>
      <c r="L369" s="295">
        <f t="shared" si="75"/>
        <v>39</v>
      </c>
      <c r="M369" s="295"/>
      <c r="N369" s="212">
        <f t="shared" si="82"/>
        <v>10.5</v>
      </c>
      <c r="O369" s="212"/>
      <c r="P369" s="212">
        <f t="shared" si="74"/>
        <v>428.4</v>
      </c>
      <c r="Q369" s="319" t="str">
        <f t="shared" si="76"/>
        <v/>
      </c>
      <c r="R369" s="319"/>
      <c r="S369" s="324" t="str">
        <f t="shared" si="77"/>
        <v/>
      </c>
      <c r="T369" s="324"/>
      <c r="U369" s="295" t="str">
        <f t="shared" si="78"/>
        <v/>
      </c>
      <c r="V369" s="327"/>
    </row>
    <row r="370" spans="8:22" x14ac:dyDescent="0.25">
      <c r="H370" s="205">
        <v>42733</v>
      </c>
      <c r="I370" s="206">
        <f t="shared" si="79"/>
        <v>3.9000000000000004</v>
      </c>
      <c r="J370" s="206">
        <f t="shared" si="80"/>
        <v>1469.1000000000026</v>
      </c>
      <c r="K370" s="204" t="str">
        <f t="shared" si="81"/>
        <v/>
      </c>
      <c r="L370" s="295">
        <f t="shared" si="75"/>
        <v>40</v>
      </c>
      <c r="M370" s="295"/>
      <c r="N370" s="212">
        <f t="shared" si="82"/>
        <v>10.5</v>
      </c>
      <c r="O370" s="212"/>
      <c r="P370" s="212">
        <f t="shared" si="74"/>
        <v>438.9</v>
      </c>
      <c r="Q370" s="319" t="str">
        <f t="shared" si="76"/>
        <v/>
      </c>
      <c r="R370" s="319"/>
      <c r="S370" s="324" t="str">
        <f t="shared" si="77"/>
        <v/>
      </c>
      <c r="T370" s="324"/>
      <c r="U370" s="295" t="str">
        <f t="shared" si="78"/>
        <v/>
      </c>
      <c r="V370" s="327"/>
    </row>
    <row r="371" spans="8:22" x14ac:dyDescent="0.25">
      <c r="H371" s="205">
        <v>42734</v>
      </c>
      <c r="I371" s="206">
        <f t="shared" si="79"/>
        <v>3.9000000000000004</v>
      </c>
      <c r="J371" s="206">
        <f t="shared" si="80"/>
        <v>1473.0000000000027</v>
      </c>
      <c r="K371" s="204" t="str">
        <f t="shared" si="81"/>
        <v/>
      </c>
      <c r="L371" s="295">
        <f t="shared" si="75"/>
        <v>41</v>
      </c>
      <c r="M371" s="295"/>
      <c r="N371" s="212">
        <f t="shared" si="82"/>
        <v>10.5</v>
      </c>
      <c r="O371" s="212"/>
      <c r="P371" s="212">
        <f t="shared" si="74"/>
        <v>449.4</v>
      </c>
      <c r="Q371" s="319" t="str">
        <f t="shared" si="76"/>
        <v/>
      </c>
      <c r="R371" s="319"/>
      <c r="S371" s="324" t="str">
        <f t="shared" si="77"/>
        <v/>
      </c>
      <c r="T371" s="324"/>
      <c r="U371" s="295" t="str">
        <f t="shared" si="78"/>
        <v/>
      </c>
      <c r="V371" s="327"/>
    </row>
    <row r="372" spans="8:22" ht="15.75" thickBot="1" x14ac:dyDescent="0.3">
      <c r="H372" s="207">
        <v>42735</v>
      </c>
      <c r="I372" s="208">
        <f t="shared" si="79"/>
        <v>3.9000000000000004</v>
      </c>
      <c r="J372" s="208">
        <f t="shared" si="80"/>
        <v>1476.9000000000028</v>
      </c>
      <c r="K372" s="209" t="str">
        <f t="shared" si="81"/>
        <v/>
      </c>
      <c r="L372" s="282">
        <f t="shared" si="75"/>
        <v>42</v>
      </c>
      <c r="M372" s="282"/>
      <c r="N372" s="210">
        <f t="shared" si="82"/>
        <v>10.5</v>
      </c>
      <c r="O372" s="210"/>
      <c r="P372" s="210">
        <f t="shared" si="74"/>
        <v>459.9</v>
      </c>
      <c r="Q372" s="325" t="str">
        <f t="shared" si="76"/>
        <v/>
      </c>
      <c r="R372" s="325"/>
      <c r="S372" s="326" t="str">
        <f t="shared" si="77"/>
        <v/>
      </c>
      <c r="T372" s="326"/>
      <c r="U372" s="282" t="str">
        <f t="shared" si="78"/>
        <v/>
      </c>
      <c r="V372" s="330"/>
    </row>
  </sheetData>
  <mergeCells count="1568">
    <mergeCell ref="A38:D38"/>
    <mergeCell ref="C39:C40"/>
    <mergeCell ref="D39:D40"/>
    <mergeCell ref="A44:C44"/>
    <mergeCell ref="D44:E44"/>
    <mergeCell ref="A58:C60"/>
    <mergeCell ref="D58:E58"/>
    <mergeCell ref="X4:X5"/>
    <mergeCell ref="Y4:Y5"/>
    <mergeCell ref="AC33:AD33"/>
    <mergeCell ref="AC34:AD34"/>
    <mergeCell ref="AC35:AD35"/>
    <mergeCell ref="AC36:AD36"/>
    <mergeCell ref="AC37:AD37"/>
    <mergeCell ref="AC38:AD38"/>
    <mergeCell ref="AC39:AD39"/>
    <mergeCell ref="AE30:AF30"/>
    <mergeCell ref="AE31:AF31"/>
    <mergeCell ref="AE32:AF32"/>
    <mergeCell ref="AE33:AF33"/>
    <mergeCell ref="AE34:AF34"/>
    <mergeCell ref="AE35:AF35"/>
    <mergeCell ref="AE36:AF36"/>
    <mergeCell ref="AE37:AF37"/>
    <mergeCell ref="AE38:AF38"/>
    <mergeCell ref="AE39:AF39"/>
    <mergeCell ref="Y33:Z33"/>
    <mergeCell ref="Y34:Z34"/>
    <mergeCell ref="Y35:Z35"/>
    <mergeCell ref="Y36:Z36"/>
    <mergeCell ref="Y37:Z37"/>
    <mergeCell ref="Y38:Z38"/>
    <mergeCell ref="Y39:Z39"/>
    <mergeCell ref="AA30:AB30"/>
    <mergeCell ref="AA31:AB31"/>
    <mergeCell ref="AA32:AB32"/>
    <mergeCell ref="AA33:AB33"/>
    <mergeCell ref="AA34:AB34"/>
    <mergeCell ref="AA35:AB35"/>
    <mergeCell ref="AA36:AB36"/>
    <mergeCell ref="AA37:AB37"/>
    <mergeCell ref="AA38:AB38"/>
    <mergeCell ref="AA39:AB39"/>
    <mergeCell ref="X28:X29"/>
    <mergeCell ref="Y28:Z29"/>
    <mergeCell ref="AA28:AB29"/>
    <mergeCell ref="AC28:AD29"/>
    <mergeCell ref="AE28:AF29"/>
    <mergeCell ref="Y30:Z30"/>
    <mergeCell ref="Y31:Z31"/>
    <mergeCell ref="Y32:Z32"/>
    <mergeCell ref="AC30:AD30"/>
    <mergeCell ref="AC31:AD31"/>
    <mergeCell ref="AC32:AD32"/>
    <mergeCell ref="U337:V337"/>
    <mergeCell ref="U338:V338"/>
    <mergeCell ref="U339:V339"/>
    <mergeCell ref="U340:V340"/>
    <mergeCell ref="U341:V341"/>
    <mergeCell ref="U342:V342"/>
    <mergeCell ref="U343:V343"/>
    <mergeCell ref="U344:V344"/>
    <mergeCell ref="U345:V345"/>
    <mergeCell ref="U328:V328"/>
    <mergeCell ref="U329:V329"/>
    <mergeCell ref="U330:V330"/>
    <mergeCell ref="U331:V331"/>
    <mergeCell ref="U332:V332"/>
    <mergeCell ref="U333:V333"/>
    <mergeCell ref="U334:V334"/>
    <mergeCell ref="U335:V335"/>
    <mergeCell ref="U336:V336"/>
    <mergeCell ref="U370:V370"/>
    <mergeCell ref="U371:V371"/>
    <mergeCell ref="U372:V372"/>
    <mergeCell ref="U355:V355"/>
    <mergeCell ref="U356:V356"/>
    <mergeCell ref="U357:V357"/>
    <mergeCell ref="U358:V358"/>
    <mergeCell ref="U359:V359"/>
    <mergeCell ref="U360:V360"/>
    <mergeCell ref="U361:V361"/>
    <mergeCell ref="U362:V362"/>
    <mergeCell ref="U363:V363"/>
    <mergeCell ref="U346:V346"/>
    <mergeCell ref="U347:V347"/>
    <mergeCell ref="U348:V348"/>
    <mergeCell ref="U349:V349"/>
    <mergeCell ref="U350:V350"/>
    <mergeCell ref="U351:V351"/>
    <mergeCell ref="U352:V352"/>
    <mergeCell ref="U353:V353"/>
    <mergeCell ref="U354:V354"/>
    <mergeCell ref="U364:V364"/>
    <mergeCell ref="U365:V365"/>
    <mergeCell ref="U366:V366"/>
    <mergeCell ref="U367:V367"/>
    <mergeCell ref="U368:V368"/>
    <mergeCell ref="U369:V369"/>
    <mergeCell ref="U319:V319"/>
    <mergeCell ref="U320:V320"/>
    <mergeCell ref="U321:V321"/>
    <mergeCell ref="U322:V322"/>
    <mergeCell ref="U323:V323"/>
    <mergeCell ref="U324:V324"/>
    <mergeCell ref="U325:V325"/>
    <mergeCell ref="U326:V326"/>
    <mergeCell ref="U327:V327"/>
    <mergeCell ref="U310:V310"/>
    <mergeCell ref="U311:V311"/>
    <mergeCell ref="U312:V312"/>
    <mergeCell ref="U313:V313"/>
    <mergeCell ref="U314:V314"/>
    <mergeCell ref="U315:V315"/>
    <mergeCell ref="U316:V316"/>
    <mergeCell ref="U317:V317"/>
    <mergeCell ref="U318:V318"/>
    <mergeCell ref="U301:V301"/>
    <mergeCell ref="U302:V302"/>
    <mergeCell ref="U303:V303"/>
    <mergeCell ref="U304:V304"/>
    <mergeCell ref="U305:V305"/>
    <mergeCell ref="U306:V306"/>
    <mergeCell ref="U307:V307"/>
    <mergeCell ref="U308:V308"/>
    <mergeCell ref="U309:V309"/>
    <mergeCell ref="U292:V292"/>
    <mergeCell ref="U293:V293"/>
    <mergeCell ref="U294:V294"/>
    <mergeCell ref="U295:V295"/>
    <mergeCell ref="U296:V296"/>
    <mergeCell ref="U297:V297"/>
    <mergeCell ref="U298:V298"/>
    <mergeCell ref="U299:V299"/>
    <mergeCell ref="U300:V300"/>
    <mergeCell ref="U283:V283"/>
    <mergeCell ref="U284:V284"/>
    <mergeCell ref="U285:V285"/>
    <mergeCell ref="U286:V286"/>
    <mergeCell ref="U287:V287"/>
    <mergeCell ref="U288:V288"/>
    <mergeCell ref="U289:V289"/>
    <mergeCell ref="U290:V290"/>
    <mergeCell ref="U291:V291"/>
    <mergeCell ref="U274:V274"/>
    <mergeCell ref="U275:V275"/>
    <mergeCell ref="U276:V276"/>
    <mergeCell ref="U277:V277"/>
    <mergeCell ref="U278:V278"/>
    <mergeCell ref="U279:V279"/>
    <mergeCell ref="U280:V280"/>
    <mergeCell ref="U281:V281"/>
    <mergeCell ref="U282:V282"/>
    <mergeCell ref="U265:V265"/>
    <mergeCell ref="U266:V266"/>
    <mergeCell ref="U267:V267"/>
    <mergeCell ref="U268:V268"/>
    <mergeCell ref="U269:V269"/>
    <mergeCell ref="U270:V270"/>
    <mergeCell ref="U271:V271"/>
    <mergeCell ref="U272:V272"/>
    <mergeCell ref="U273:V273"/>
    <mergeCell ref="U256:V256"/>
    <mergeCell ref="U257:V257"/>
    <mergeCell ref="U258:V258"/>
    <mergeCell ref="U259:V259"/>
    <mergeCell ref="U260:V260"/>
    <mergeCell ref="U261:V261"/>
    <mergeCell ref="U262:V262"/>
    <mergeCell ref="U263:V263"/>
    <mergeCell ref="U264:V264"/>
    <mergeCell ref="U247:V247"/>
    <mergeCell ref="U248:V248"/>
    <mergeCell ref="U249:V249"/>
    <mergeCell ref="U250:V250"/>
    <mergeCell ref="U251:V251"/>
    <mergeCell ref="U252:V252"/>
    <mergeCell ref="U253:V253"/>
    <mergeCell ref="U254:V254"/>
    <mergeCell ref="U255:V255"/>
    <mergeCell ref="U238:V238"/>
    <mergeCell ref="U239:V239"/>
    <mergeCell ref="U240:V240"/>
    <mergeCell ref="U241:V241"/>
    <mergeCell ref="U242:V242"/>
    <mergeCell ref="U243:V243"/>
    <mergeCell ref="U244:V244"/>
    <mergeCell ref="U245:V245"/>
    <mergeCell ref="U246:V246"/>
    <mergeCell ref="U229:V229"/>
    <mergeCell ref="U230:V230"/>
    <mergeCell ref="U231:V231"/>
    <mergeCell ref="U232:V232"/>
    <mergeCell ref="U233:V233"/>
    <mergeCell ref="U234:V234"/>
    <mergeCell ref="U235:V235"/>
    <mergeCell ref="U236:V236"/>
    <mergeCell ref="U237:V237"/>
    <mergeCell ref="U220:V220"/>
    <mergeCell ref="U221:V221"/>
    <mergeCell ref="U222:V222"/>
    <mergeCell ref="U223:V223"/>
    <mergeCell ref="U224:V224"/>
    <mergeCell ref="U225:V225"/>
    <mergeCell ref="U226:V226"/>
    <mergeCell ref="U227:V227"/>
    <mergeCell ref="U228:V228"/>
    <mergeCell ref="U211:V211"/>
    <mergeCell ref="U212:V212"/>
    <mergeCell ref="U213:V213"/>
    <mergeCell ref="U214:V214"/>
    <mergeCell ref="U215:V215"/>
    <mergeCell ref="U216:V216"/>
    <mergeCell ref="U217:V217"/>
    <mergeCell ref="U218:V218"/>
    <mergeCell ref="U219:V219"/>
    <mergeCell ref="U202:V202"/>
    <mergeCell ref="U203:V203"/>
    <mergeCell ref="U204:V204"/>
    <mergeCell ref="U205:V205"/>
    <mergeCell ref="U206:V206"/>
    <mergeCell ref="U207:V207"/>
    <mergeCell ref="U208:V208"/>
    <mergeCell ref="U209:V209"/>
    <mergeCell ref="U210:V210"/>
    <mergeCell ref="U193:V193"/>
    <mergeCell ref="U194:V194"/>
    <mergeCell ref="U195:V195"/>
    <mergeCell ref="U196:V196"/>
    <mergeCell ref="U197:V197"/>
    <mergeCell ref="U198:V198"/>
    <mergeCell ref="U199:V199"/>
    <mergeCell ref="U200:V200"/>
    <mergeCell ref="U201:V201"/>
    <mergeCell ref="U184:V184"/>
    <mergeCell ref="U185:V185"/>
    <mergeCell ref="U186:V186"/>
    <mergeCell ref="U187:V187"/>
    <mergeCell ref="U188:V188"/>
    <mergeCell ref="U189:V189"/>
    <mergeCell ref="U190:V190"/>
    <mergeCell ref="U191:V191"/>
    <mergeCell ref="U192:V192"/>
    <mergeCell ref="U175:V175"/>
    <mergeCell ref="U176:V176"/>
    <mergeCell ref="U177:V177"/>
    <mergeCell ref="U178:V178"/>
    <mergeCell ref="U179:V179"/>
    <mergeCell ref="U180:V180"/>
    <mergeCell ref="U181:V181"/>
    <mergeCell ref="U182:V182"/>
    <mergeCell ref="U183:V183"/>
    <mergeCell ref="U166:V166"/>
    <mergeCell ref="U167:V167"/>
    <mergeCell ref="U168:V168"/>
    <mergeCell ref="U169:V169"/>
    <mergeCell ref="U170:V170"/>
    <mergeCell ref="U171:V171"/>
    <mergeCell ref="U172:V172"/>
    <mergeCell ref="U173:V173"/>
    <mergeCell ref="U174:V174"/>
    <mergeCell ref="U157:V157"/>
    <mergeCell ref="U158:V158"/>
    <mergeCell ref="U159:V159"/>
    <mergeCell ref="U160:V160"/>
    <mergeCell ref="U161:V161"/>
    <mergeCell ref="U162:V162"/>
    <mergeCell ref="U163:V163"/>
    <mergeCell ref="U164:V164"/>
    <mergeCell ref="U165:V165"/>
    <mergeCell ref="U148:V148"/>
    <mergeCell ref="U149:V149"/>
    <mergeCell ref="U150:V150"/>
    <mergeCell ref="U151:V151"/>
    <mergeCell ref="U152:V152"/>
    <mergeCell ref="U153:V153"/>
    <mergeCell ref="U154:V154"/>
    <mergeCell ref="U155:V155"/>
    <mergeCell ref="U156:V156"/>
    <mergeCell ref="U139:V139"/>
    <mergeCell ref="U140:V140"/>
    <mergeCell ref="U141:V141"/>
    <mergeCell ref="U142:V142"/>
    <mergeCell ref="U143:V143"/>
    <mergeCell ref="U144:V144"/>
    <mergeCell ref="U145:V145"/>
    <mergeCell ref="U146:V146"/>
    <mergeCell ref="U147:V147"/>
    <mergeCell ref="U130:V130"/>
    <mergeCell ref="U131:V131"/>
    <mergeCell ref="U132:V132"/>
    <mergeCell ref="U133:V133"/>
    <mergeCell ref="U134:V134"/>
    <mergeCell ref="U135:V135"/>
    <mergeCell ref="U136:V136"/>
    <mergeCell ref="U137:V137"/>
    <mergeCell ref="U138:V138"/>
    <mergeCell ref="U121:V121"/>
    <mergeCell ref="U122:V122"/>
    <mergeCell ref="U123:V123"/>
    <mergeCell ref="U124:V124"/>
    <mergeCell ref="U125:V125"/>
    <mergeCell ref="U126:V126"/>
    <mergeCell ref="U127:V127"/>
    <mergeCell ref="U128:V128"/>
    <mergeCell ref="U129:V129"/>
    <mergeCell ref="U112:V112"/>
    <mergeCell ref="U113:V113"/>
    <mergeCell ref="U114:V114"/>
    <mergeCell ref="U115:V115"/>
    <mergeCell ref="U116:V116"/>
    <mergeCell ref="U117:V117"/>
    <mergeCell ref="U118:V118"/>
    <mergeCell ref="U119:V119"/>
    <mergeCell ref="U120:V120"/>
    <mergeCell ref="U103:V103"/>
    <mergeCell ref="U104:V104"/>
    <mergeCell ref="U105:V105"/>
    <mergeCell ref="U106:V106"/>
    <mergeCell ref="U107:V107"/>
    <mergeCell ref="U108:V108"/>
    <mergeCell ref="U109:V109"/>
    <mergeCell ref="U110:V110"/>
    <mergeCell ref="U111:V111"/>
    <mergeCell ref="U94:V94"/>
    <mergeCell ref="U95:V95"/>
    <mergeCell ref="U96:V96"/>
    <mergeCell ref="U97:V97"/>
    <mergeCell ref="U98:V98"/>
    <mergeCell ref="U99:V99"/>
    <mergeCell ref="U100:V100"/>
    <mergeCell ref="U101:V101"/>
    <mergeCell ref="U102:V102"/>
    <mergeCell ref="U85:V85"/>
    <mergeCell ref="U86:V86"/>
    <mergeCell ref="U87:V87"/>
    <mergeCell ref="U88:V88"/>
    <mergeCell ref="U89:V89"/>
    <mergeCell ref="U90:V90"/>
    <mergeCell ref="U91:V91"/>
    <mergeCell ref="U92:V92"/>
    <mergeCell ref="U93:V93"/>
    <mergeCell ref="U76:V76"/>
    <mergeCell ref="U77:V77"/>
    <mergeCell ref="U78:V78"/>
    <mergeCell ref="U79:V79"/>
    <mergeCell ref="U80:V80"/>
    <mergeCell ref="U81:V81"/>
    <mergeCell ref="U82:V82"/>
    <mergeCell ref="U83:V83"/>
    <mergeCell ref="U84:V84"/>
    <mergeCell ref="U67:V67"/>
    <mergeCell ref="U68:V68"/>
    <mergeCell ref="U69:V69"/>
    <mergeCell ref="U70:V70"/>
    <mergeCell ref="U71:V71"/>
    <mergeCell ref="U72:V72"/>
    <mergeCell ref="U73:V73"/>
    <mergeCell ref="U74:V74"/>
    <mergeCell ref="U75:V75"/>
    <mergeCell ref="U58:V58"/>
    <mergeCell ref="U59:V59"/>
    <mergeCell ref="U60:V60"/>
    <mergeCell ref="U61:V61"/>
    <mergeCell ref="U62:V62"/>
    <mergeCell ref="U63:V63"/>
    <mergeCell ref="U64:V64"/>
    <mergeCell ref="U65:V65"/>
    <mergeCell ref="U66:V66"/>
    <mergeCell ref="U49:V49"/>
    <mergeCell ref="U50:V50"/>
    <mergeCell ref="U51:V51"/>
    <mergeCell ref="U52:V52"/>
    <mergeCell ref="U53:V53"/>
    <mergeCell ref="U54:V54"/>
    <mergeCell ref="U55:V55"/>
    <mergeCell ref="U56:V56"/>
    <mergeCell ref="U57:V57"/>
    <mergeCell ref="U40:V40"/>
    <mergeCell ref="U41:V41"/>
    <mergeCell ref="U42:V42"/>
    <mergeCell ref="U43:V43"/>
    <mergeCell ref="U44:V44"/>
    <mergeCell ref="U45:V45"/>
    <mergeCell ref="U46:V46"/>
    <mergeCell ref="U47:V47"/>
    <mergeCell ref="U48:V48"/>
    <mergeCell ref="U31:V31"/>
    <mergeCell ref="U32:V32"/>
    <mergeCell ref="U33:V33"/>
    <mergeCell ref="U34:V34"/>
    <mergeCell ref="U35:V35"/>
    <mergeCell ref="U36:V36"/>
    <mergeCell ref="U37:V37"/>
    <mergeCell ref="U38:V38"/>
    <mergeCell ref="U39:V39"/>
    <mergeCell ref="U22:V22"/>
    <mergeCell ref="U23:V23"/>
    <mergeCell ref="U24:V24"/>
    <mergeCell ref="U25:V25"/>
    <mergeCell ref="U26:V26"/>
    <mergeCell ref="U27:V27"/>
    <mergeCell ref="U28:V28"/>
    <mergeCell ref="U29:V29"/>
    <mergeCell ref="U30:V30"/>
    <mergeCell ref="U13:V13"/>
    <mergeCell ref="U14:V14"/>
    <mergeCell ref="U15:V15"/>
    <mergeCell ref="U16:V16"/>
    <mergeCell ref="U17:V17"/>
    <mergeCell ref="U18:V18"/>
    <mergeCell ref="U19:V19"/>
    <mergeCell ref="U20:V20"/>
    <mergeCell ref="U21:V21"/>
    <mergeCell ref="S5:T6"/>
    <mergeCell ref="U7:V7"/>
    <mergeCell ref="U8:V8"/>
    <mergeCell ref="U9:V9"/>
    <mergeCell ref="U10:V10"/>
    <mergeCell ref="U11:V11"/>
    <mergeCell ref="U12:V12"/>
    <mergeCell ref="U5:V6"/>
    <mergeCell ref="S364:T364"/>
    <mergeCell ref="S365:T365"/>
    <mergeCell ref="S366:T366"/>
    <mergeCell ref="S367:T367"/>
    <mergeCell ref="S368:T368"/>
    <mergeCell ref="S369:T369"/>
    <mergeCell ref="S370:T370"/>
    <mergeCell ref="S371:T371"/>
    <mergeCell ref="S372:T372"/>
    <mergeCell ref="S355:T355"/>
    <mergeCell ref="S356:T356"/>
    <mergeCell ref="S357:T357"/>
    <mergeCell ref="S358:T358"/>
    <mergeCell ref="S359:T359"/>
    <mergeCell ref="S360:T360"/>
    <mergeCell ref="S361:T361"/>
    <mergeCell ref="S362:T362"/>
    <mergeCell ref="S363:T363"/>
    <mergeCell ref="S346:T346"/>
    <mergeCell ref="S347:T347"/>
    <mergeCell ref="S348:T348"/>
    <mergeCell ref="S349:T349"/>
    <mergeCell ref="S350:T350"/>
    <mergeCell ref="S351:T351"/>
    <mergeCell ref="S352:T352"/>
    <mergeCell ref="S353:T353"/>
    <mergeCell ref="S354:T354"/>
    <mergeCell ref="S337:T337"/>
    <mergeCell ref="S338:T338"/>
    <mergeCell ref="S339:T339"/>
    <mergeCell ref="S340:T340"/>
    <mergeCell ref="S341:T341"/>
    <mergeCell ref="S342:T342"/>
    <mergeCell ref="S343:T343"/>
    <mergeCell ref="S344:T344"/>
    <mergeCell ref="S345:T345"/>
    <mergeCell ref="S328:T328"/>
    <mergeCell ref="S329:T329"/>
    <mergeCell ref="S330:T330"/>
    <mergeCell ref="S331:T331"/>
    <mergeCell ref="S332:T332"/>
    <mergeCell ref="S333:T333"/>
    <mergeCell ref="S334:T334"/>
    <mergeCell ref="S335:T335"/>
    <mergeCell ref="S336:T336"/>
    <mergeCell ref="S319:T319"/>
    <mergeCell ref="S320:T320"/>
    <mergeCell ref="S321:T321"/>
    <mergeCell ref="S322:T322"/>
    <mergeCell ref="S323:T323"/>
    <mergeCell ref="S324:T324"/>
    <mergeCell ref="S325:T325"/>
    <mergeCell ref="S326:T326"/>
    <mergeCell ref="S327:T327"/>
    <mergeCell ref="S310:T310"/>
    <mergeCell ref="S311:T311"/>
    <mergeCell ref="S312:T312"/>
    <mergeCell ref="S313:T313"/>
    <mergeCell ref="S314:T314"/>
    <mergeCell ref="S315:T315"/>
    <mergeCell ref="S316:T316"/>
    <mergeCell ref="S317:T317"/>
    <mergeCell ref="S318:T318"/>
    <mergeCell ref="S301:T301"/>
    <mergeCell ref="S302:T302"/>
    <mergeCell ref="S303:T303"/>
    <mergeCell ref="S304:T304"/>
    <mergeCell ref="S305:T305"/>
    <mergeCell ref="S306:T306"/>
    <mergeCell ref="S307:T307"/>
    <mergeCell ref="S308:T308"/>
    <mergeCell ref="S309:T309"/>
    <mergeCell ref="S292:T292"/>
    <mergeCell ref="S293:T293"/>
    <mergeCell ref="S294:T294"/>
    <mergeCell ref="S295:T295"/>
    <mergeCell ref="S296:T296"/>
    <mergeCell ref="S297:T297"/>
    <mergeCell ref="S298:T298"/>
    <mergeCell ref="S299:T299"/>
    <mergeCell ref="S300:T300"/>
    <mergeCell ref="S283:T283"/>
    <mergeCell ref="S284:T284"/>
    <mergeCell ref="S285:T285"/>
    <mergeCell ref="S286:T286"/>
    <mergeCell ref="S287:T287"/>
    <mergeCell ref="S288:T288"/>
    <mergeCell ref="S289:T289"/>
    <mergeCell ref="S290:T290"/>
    <mergeCell ref="S291:T291"/>
    <mergeCell ref="S274:T274"/>
    <mergeCell ref="S275:T275"/>
    <mergeCell ref="S276:T276"/>
    <mergeCell ref="S277:T277"/>
    <mergeCell ref="S278:T278"/>
    <mergeCell ref="S279:T279"/>
    <mergeCell ref="S280:T280"/>
    <mergeCell ref="S281:T281"/>
    <mergeCell ref="S282:T282"/>
    <mergeCell ref="S265:T265"/>
    <mergeCell ref="S266:T266"/>
    <mergeCell ref="S267:T267"/>
    <mergeCell ref="S268:T268"/>
    <mergeCell ref="S269:T269"/>
    <mergeCell ref="S270:T270"/>
    <mergeCell ref="S271:T271"/>
    <mergeCell ref="S272:T272"/>
    <mergeCell ref="S273:T273"/>
    <mergeCell ref="S256:T256"/>
    <mergeCell ref="S257:T257"/>
    <mergeCell ref="S258:T258"/>
    <mergeCell ref="S259:T259"/>
    <mergeCell ref="S260:T260"/>
    <mergeCell ref="S261:T261"/>
    <mergeCell ref="S262:T262"/>
    <mergeCell ref="S263:T263"/>
    <mergeCell ref="S264:T264"/>
    <mergeCell ref="S247:T247"/>
    <mergeCell ref="S248:T248"/>
    <mergeCell ref="S249:T249"/>
    <mergeCell ref="S250:T250"/>
    <mergeCell ref="S251:T251"/>
    <mergeCell ref="S252:T252"/>
    <mergeCell ref="S253:T253"/>
    <mergeCell ref="S254:T254"/>
    <mergeCell ref="S255:T255"/>
    <mergeCell ref="S238:T238"/>
    <mergeCell ref="S239:T239"/>
    <mergeCell ref="S240:T240"/>
    <mergeCell ref="S241:T241"/>
    <mergeCell ref="S242:T242"/>
    <mergeCell ref="S243:T243"/>
    <mergeCell ref="S244:T244"/>
    <mergeCell ref="S245:T245"/>
    <mergeCell ref="S246:T246"/>
    <mergeCell ref="S229:T229"/>
    <mergeCell ref="S230:T230"/>
    <mergeCell ref="S231:T231"/>
    <mergeCell ref="S232:T232"/>
    <mergeCell ref="S233:T233"/>
    <mergeCell ref="S234:T234"/>
    <mergeCell ref="S235:T235"/>
    <mergeCell ref="S236:T236"/>
    <mergeCell ref="S237:T237"/>
    <mergeCell ref="S220:T220"/>
    <mergeCell ref="S221:T221"/>
    <mergeCell ref="S222:T222"/>
    <mergeCell ref="S223:T223"/>
    <mergeCell ref="S224:T224"/>
    <mergeCell ref="S225:T225"/>
    <mergeCell ref="S226:T226"/>
    <mergeCell ref="S227:T227"/>
    <mergeCell ref="S228:T228"/>
    <mergeCell ref="S211:T211"/>
    <mergeCell ref="S212:T212"/>
    <mergeCell ref="S213:T213"/>
    <mergeCell ref="S214:T214"/>
    <mergeCell ref="S215:T215"/>
    <mergeCell ref="S216:T216"/>
    <mergeCell ref="S217:T217"/>
    <mergeCell ref="S218:T218"/>
    <mergeCell ref="S219:T219"/>
    <mergeCell ref="S202:T202"/>
    <mergeCell ref="S203:T203"/>
    <mergeCell ref="S204:T204"/>
    <mergeCell ref="S205:T205"/>
    <mergeCell ref="S206:T206"/>
    <mergeCell ref="S207:T207"/>
    <mergeCell ref="S208:T208"/>
    <mergeCell ref="S209:T209"/>
    <mergeCell ref="S210:T210"/>
    <mergeCell ref="S193:T193"/>
    <mergeCell ref="S194:T194"/>
    <mergeCell ref="S195:T195"/>
    <mergeCell ref="S196:T196"/>
    <mergeCell ref="S197:T197"/>
    <mergeCell ref="S198:T198"/>
    <mergeCell ref="S199:T199"/>
    <mergeCell ref="S200:T200"/>
    <mergeCell ref="S201:T201"/>
    <mergeCell ref="S184:T184"/>
    <mergeCell ref="S185:T185"/>
    <mergeCell ref="S186:T186"/>
    <mergeCell ref="S187:T187"/>
    <mergeCell ref="S188:T188"/>
    <mergeCell ref="S189:T189"/>
    <mergeCell ref="S190:T190"/>
    <mergeCell ref="S191:T191"/>
    <mergeCell ref="S192:T192"/>
    <mergeCell ref="S175:T175"/>
    <mergeCell ref="S176:T176"/>
    <mergeCell ref="S177:T177"/>
    <mergeCell ref="S178:T178"/>
    <mergeCell ref="S179:T179"/>
    <mergeCell ref="S180:T180"/>
    <mergeCell ref="S181:T181"/>
    <mergeCell ref="S182:T182"/>
    <mergeCell ref="S183:T183"/>
    <mergeCell ref="S166:T166"/>
    <mergeCell ref="S167:T167"/>
    <mergeCell ref="S168:T168"/>
    <mergeCell ref="S169:T169"/>
    <mergeCell ref="S170:T170"/>
    <mergeCell ref="S171:T171"/>
    <mergeCell ref="S172:T172"/>
    <mergeCell ref="S173:T173"/>
    <mergeCell ref="S174:T174"/>
    <mergeCell ref="S157:T157"/>
    <mergeCell ref="S158:T158"/>
    <mergeCell ref="S159:T159"/>
    <mergeCell ref="S160:T160"/>
    <mergeCell ref="S161:T161"/>
    <mergeCell ref="S162:T162"/>
    <mergeCell ref="S163:T163"/>
    <mergeCell ref="S164:T164"/>
    <mergeCell ref="S165:T165"/>
    <mergeCell ref="S148:T148"/>
    <mergeCell ref="S149:T149"/>
    <mergeCell ref="S150:T150"/>
    <mergeCell ref="S151:T151"/>
    <mergeCell ref="S152:T152"/>
    <mergeCell ref="S153:T153"/>
    <mergeCell ref="S154:T154"/>
    <mergeCell ref="S155:T155"/>
    <mergeCell ref="S156:T156"/>
    <mergeCell ref="S139:T139"/>
    <mergeCell ref="S140:T140"/>
    <mergeCell ref="S141:T141"/>
    <mergeCell ref="S142:T142"/>
    <mergeCell ref="S143:T143"/>
    <mergeCell ref="S144:T144"/>
    <mergeCell ref="S145:T145"/>
    <mergeCell ref="S146:T146"/>
    <mergeCell ref="S147:T147"/>
    <mergeCell ref="S130:T130"/>
    <mergeCell ref="S131:T131"/>
    <mergeCell ref="S132:T132"/>
    <mergeCell ref="S133:T133"/>
    <mergeCell ref="S134:T134"/>
    <mergeCell ref="S135:T135"/>
    <mergeCell ref="S136:T136"/>
    <mergeCell ref="S137:T137"/>
    <mergeCell ref="S138:T138"/>
    <mergeCell ref="S121:T121"/>
    <mergeCell ref="S122:T122"/>
    <mergeCell ref="S123:T123"/>
    <mergeCell ref="S124:T124"/>
    <mergeCell ref="S125:T125"/>
    <mergeCell ref="S126:T126"/>
    <mergeCell ref="S127:T127"/>
    <mergeCell ref="S128:T128"/>
    <mergeCell ref="S129:T129"/>
    <mergeCell ref="S112:T112"/>
    <mergeCell ref="S113:T113"/>
    <mergeCell ref="S114:T114"/>
    <mergeCell ref="S115:T115"/>
    <mergeCell ref="S116:T116"/>
    <mergeCell ref="S117:T117"/>
    <mergeCell ref="S118:T118"/>
    <mergeCell ref="S119:T119"/>
    <mergeCell ref="S120:T120"/>
    <mergeCell ref="S103:T103"/>
    <mergeCell ref="S104:T104"/>
    <mergeCell ref="S105:T105"/>
    <mergeCell ref="S106:T106"/>
    <mergeCell ref="S107:T107"/>
    <mergeCell ref="S108:T108"/>
    <mergeCell ref="S109:T109"/>
    <mergeCell ref="S110:T110"/>
    <mergeCell ref="S111:T111"/>
    <mergeCell ref="S94:T94"/>
    <mergeCell ref="S95:T95"/>
    <mergeCell ref="S96:T96"/>
    <mergeCell ref="S97:T97"/>
    <mergeCell ref="S98:T98"/>
    <mergeCell ref="S99:T99"/>
    <mergeCell ref="S100:T100"/>
    <mergeCell ref="S101:T101"/>
    <mergeCell ref="S102:T102"/>
    <mergeCell ref="S85:T85"/>
    <mergeCell ref="S86:T86"/>
    <mergeCell ref="S87:T87"/>
    <mergeCell ref="S88:T88"/>
    <mergeCell ref="S89:T89"/>
    <mergeCell ref="S90:T90"/>
    <mergeCell ref="S91:T91"/>
    <mergeCell ref="S92:T92"/>
    <mergeCell ref="S93:T93"/>
    <mergeCell ref="S76:T76"/>
    <mergeCell ref="S77:T77"/>
    <mergeCell ref="S78:T78"/>
    <mergeCell ref="S79:T79"/>
    <mergeCell ref="S80:T80"/>
    <mergeCell ref="S81:T81"/>
    <mergeCell ref="S82:T82"/>
    <mergeCell ref="S83:T83"/>
    <mergeCell ref="S84:T84"/>
    <mergeCell ref="S67:T67"/>
    <mergeCell ref="S68:T68"/>
    <mergeCell ref="S69:T69"/>
    <mergeCell ref="S70:T70"/>
    <mergeCell ref="S71:T71"/>
    <mergeCell ref="S72:T72"/>
    <mergeCell ref="S73:T73"/>
    <mergeCell ref="S74:T74"/>
    <mergeCell ref="S75:T75"/>
    <mergeCell ref="S58:T58"/>
    <mergeCell ref="S59:T59"/>
    <mergeCell ref="S60:T60"/>
    <mergeCell ref="S61:T61"/>
    <mergeCell ref="S62:T62"/>
    <mergeCell ref="S63:T63"/>
    <mergeCell ref="S64:T64"/>
    <mergeCell ref="S65:T65"/>
    <mergeCell ref="S66:T66"/>
    <mergeCell ref="S49:T49"/>
    <mergeCell ref="S50:T50"/>
    <mergeCell ref="S51:T51"/>
    <mergeCell ref="S52:T52"/>
    <mergeCell ref="S53:T53"/>
    <mergeCell ref="S54:T54"/>
    <mergeCell ref="S55:T55"/>
    <mergeCell ref="S56:T56"/>
    <mergeCell ref="S57:T57"/>
    <mergeCell ref="S40:T40"/>
    <mergeCell ref="S41:T41"/>
    <mergeCell ref="S42:T42"/>
    <mergeCell ref="S43:T43"/>
    <mergeCell ref="S44:T44"/>
    <mergeCell ref="S45:T45"/>
    <mergeCell ref="S46:T46"/>
    <mergeCell ref="S47:T47"/>
    <mergeCell ref="S48:T48"/>
    <mergeCell ref="S31:T31"/>
    <mergeCell ref="S32:T32"/>
    <mergeCell ref="S33:T33"/>
    <mergeCell ref="S34:T34"/>
    <mergeCell ref="S35:T35"/>
    <mergeCell ref="S36:T36"/>
    <mergeCell ref="S37:T37"/>
    <mergeCell ref="S38:T38"/>
    <mergeCell ref="S39:T39"/>
    <mergeCell ref="S22:T22"/>
    <mergeCell ref="S23:T23"/>
    <mergeCell ref="S24:T24"/>
    <mergeCell ref="S25:T25"/>
    <mergeCell ref="S26:T26"/>
    <mergeCell ref="S27:T27"/>
    <mergeCell ref="S28:T28"/>
    <mergeCell ref="S29:T29"/>
    <mergeCell ref="S30:T30"/>
    <mergeCell ref="Q366:R366"/>
    <mergeCell ref="Q367:R367"/>
    <mergeCell ref="Q368:R368"/>
    <mergeCell ref="Q369:R369"/>
    <mergeCell ref="Q370:R370"/>
    <mergeCell ref="Q371:R371"/>
    <mergeCell ref="Q372:R372"/>
    <mergeCell ref="S7:T7"/>
    <mergeCell ref="S8:T8"/>
    <mergeCell ref="S9:T9"/>
    <mergeCell ref="S10:T10"/>
    <mergeCell ref="S11:T11"/>
    <mergeCell ref="S12:T12"/>
    <mergeCell ref="S13:T13"/>
    <mergeCell ref="S14:T14"/>
    <mergeCell ref="S15:T15"/>
    <mergeCell ref="S16:T16"/>
    <mergeCell ref="S17:T17"/>
    <mergeCell ref="S18:T18"/>
    <mergeCell ref="S19:T19"/>
    <mergeCell ref="S20:T20"/>
    <mergeCell ref="S21:T21"/>
    <mergeCell ref="Q357:R357"/>
    <mergeCell ref="Q358:R358"/>
    <mergeCell ref="Q359:R359"/>
    <mergeCell ref="Q360:R360"/>
    <mergeCell ref="Q361:R361"/>
    <mergeCell ref="Q362:R362"/>
    <mergeCell ref="Q363:R363"/>
    <mergeCell ref="Q364:R364"/>
    <mergeCell ref="Q365:R365"/>
    <mergeCell ref="Q348:R348"/>
    <mergeCell ref="Q349:R349"/>
    <mergeCell ref="Q350:R350"/>
    <mergeCell ref="Q351:R351"/>
    <mergeCell ref="Q352:R352"/>
    <mergeCell ref="Q353:R353"/>
    <mergeCell ref="Q354:R354"/>
    <mergeCell ref="Q355:R355"/>
    <mergeCell ref="Q356:R356"/>
    <mergeCell ref="Q339:R339"/>
    <mergeCell ref="Q340:R340"/>
    <mergeCell ref="Q341:R341"/>
    <mergeCell ref="Q342:R342"/>
    <mergeCell ref="Q343:R343"/>
    <mergeCell ref="Q344:R344"/>
    <mergeCell ref="Q345:R345"/>
    <mergeCell ref="Q346:R346"/>
    <mergeCell ref="Q347:R347"/>
    <mergeCell ref="Q330:R330"/>
    <mergeCell ref="Q331:R331"/>
    <mergeCell ref="Q332:R332"/>
    <mergeCell ref="Q333:R333"/>
    <mergeCell ref="Q334:R334"/>
    <mergeCell ref="Q335:R335"/>
    <mergeCell ref="Q336:R336"/>
    <mergeCell ref="Q337:R337"/>
    <mergeCell ref="Q338:R338"/>
    <mergeCell ref="Q321:R321"/>
    <mergeCell ref="Q322:R322"/>
    <mergeCell ref="Q323:R323"/>
    <mergeCell ref="Q324:R324"/>
    <mergeCell ref="Q325:R325"/>
    <mergeCell ref="Q326:R326"/>
    <mergeCell ref="Q327:R327"/>
    <mergeCell ref="Q328:R328"/>
    <mergeCell ref="Q329:R329"/>
    <mergeCell ref="Q312:R312"/>
    <mergeCell ref="Q313:R313"/>
    <mergeCell ref="Q314:R314"/>
    <mergeCell ref="Q315:R315"/>
    <mergeCell ref="Q316:R316"/>
    <mergeCell ref="Q317:R317"/>
    <mergeCell ref="Q318:R318"/>
    <mergeCell ref="Q319:R319"/>
    <mergeCell ref="Q320:R320"/>
    <mergeCell ref="Q303:R303"/>
    <mergeCell ref="Q304:R304"/>
    <mergeCell ref="Q305:R305"/>
    <mergeCell ref="Q306:R306"/>
    <mergeCell ref="Q307:R307"/>
    <mergeCell ref="Q308:R308"/>
    <mergeCell ref="Q309:R309"/>
    <mergeCell ref="Q310:R310"/>
    <mergeCell ref="Q311:R311"/>
    <mergeCell ref="Q294:R294"/>
    <mergeCell ref="Q295:R295"/>
    <mergeCell ref="Q296:R296"/>
    <mergeCell ref="Q297:R297"/>
    <mergeCell ref="Q298:R298"/>
    <mergeCell ref="Q299:R299"/>
    <mergeCell ref="Q300:R300"/>
    <mergeCell ref="Q301:R301"/>
    <mergeCell ref="Q302:R302"/>
    <mergeCell ref="Q285:R285"/>
    <mergeCell ref="Q286:R286"/>
    <mergeCell ref="Q287:R287"/>
    <mergeCell ref="Q288:R288"/>
    <mergeCell ref="Q289:R289"/>
    <mergeCell ref="Q290:R290"/>
    <mergeCell ref="Q291:R291"/>
    <mergeCell ref="Q292:R292"/>
    <mergeCell ref="Q293:R293"/>
    <mergeCell ref="Q276:R276"/>
    <mergeCell ref="Q277:R277"/>
    <mergeCell ref="Q278:R278"/>
    <mergeCell ref="Q279:R279"/>
    <mergeCell ref="Q280:R280"/>
    <mergeCell ref="Q281:R281"/>
    <mergeCell ref="Q282:R282"/>
    <mergeCell ref="Q283:R283"/>
    <mergeCell ref="Q284:R284"/>
    <mergeCell ref="Q267:R267"/>
    <mergeCell ref="Q268:R268"/>
    <mergeCell ref="Q269:R269"/>
    <mergeCell ref="Q270:R270"/>
    <mergeCell ref="Q271:R271"/>
    <mergeCell ref="Q272:R272"/>
    <mergeCell ref="Q273:R273"/>
    <mergeCell ref="Q274:R274"/>
    <mergeCell ref="Q275:R275"/>
    <mergeCell ref="Q258:R258"/>
    <mergeCell ref="Q259:R259"/>
    <mergeCell ref="Q260:R260"/>
    <mergeCell ref="Q261:R261"/>
    <mergeCell ref="Q262:R262"/>
    <mergeCell ref="Q263:R263"/>
    <mergeCell ref="Q264:R264"/>
    <mergeCell ref="Q265:R265"/>
    <mergeCell ref="Q266:R266"/>
    <mergeCell ref="Q249:R249"/>
    <mergeCell ref="Q250:R250"/>
    <mergeCell ref="Q251:R251"/>
    <mergeCell ref="Q252:R252"/>
    <mergeCell ref="Q253:R253"/>
    <mergeCell ref="Q254:R254"/>
    <mergeCell ref="Q255:R255"/>
    <mergeCell ref="Q256:R256"/>
    <mergeCell ref="Q257:R257"/>
    <mergeCell ref="Q240:R240"/>
    <mergeCell ref="Q241:R241"/>
    <mergeCell ref="Q242:R242"/>
    <mergeCell ref="Q243:R243"/>
    <mergeCell ref="Q244:R244"/>
    <mergeCell ref="Q245:R245"/>
    <mergeCell ref="Q246:R246"/>
    <mergeCell ref="Q247:R247"/>
    <mergeCell ref="Q248:R248"/>
    <mergeCell ref="Q231:R231"/>
    <mergeCell ref="Q232:R232"/>
    <mergeCell ref="Q233:R233"/>
    <mergeCell ref="Q234:R234"/>
    <mergeCell ref="Q235:R235"/>
    <mergeCell ref="Q236:R236"/>
    <mergeCell ref="Q237:R237"/>
    <mergeCell ref="Q238:R238"/>
    <mergeCell ref="Q239:R239"/>
    <mergeCell ref="Q222:R222"/>
    <mergeCell ref="Q223:R223"/>
    <mergeCell ref="Q224:R224"/>
    <mergeCell ref="Q225:R225"/>
    <mergeCell ref="Q226:R226"/>
    <mergeCell ref="Q227:R227"/>
    <mergeCell ref="Q228:R228"/>
    <mergeCell ref="Q229:R229"/>
    <mergeCell ref="Q230:R230"/>
    <mergeCell ref="Q213:R213"/>
    <mergeCell ref="Q214:R214"/>
    <mergeCell ref="Q215:R215"/>
    <mergeCell ref="Q216:R216"/>
    <mergeCell ref="Q217:R217"/>
    <mergeCell ref="Q218:R218"/>
    <mergeCell ref="Q219:R219"/>
    <mergeCell ref="Q220:R220"/>
    <mergeCell ref="Q221:R221"/>
    <mergeCell ref="Q204:R204"/>
    <mergeCell ref="Q205:R205"/>
    <mergeCell ref="Q206:R206"/>
    <mergeCell ref="Q207:R207"/>
    <mergeCell ref="Q208:R208"/>
    <mergeCell ref="Q209:R209"/>
    <mergeCell ref="Q210:R210"/>
    <mergeCell ref="Q211:R211"/>
    <mergeCell ref="Q212:R212"/>
    <mergeCell ref="Q195:R195"/>
    <mergeCell ref="Q196:R196"/>
    <mergeCell ref="Q197:R197"/>
    <mergeCell ref="Q198:R198"/>
    <mergeCell ref="Q199:R199"/>
    <mergeCell ref="Q200:R200"/>
    <mergeCell ref="Q201:R201"/>
    <mergeCell ref="Q202:R202"/>
    <mergeCell ref="Q203:R203"/>
    <mergeCell ref="Q186:R186"/>
    <mergeCell ref="Q187:R187"/>
    <mergeCell ref="Q188:R188"/>
    <mergeCell ref="Q189:R189"/>
    <mergeCell ref="Q190:R190"/>
    <mergeCell ref="Q191:R191"/>
    <mergeCell ref="Q192:R192"/>
    <mergeCell ref="Q193:R193"/>
    <mergeCell ref="Q194:R194"/>
    <mergeCell ref="Q177:R177"/>
    <mergeCell ref="Q178:R178"/>
    <mergeCell ref="Q179:R179"/>
    <mergeCell ref="Q180:R180"/>
    <mergeCell ref="Q181:R181"/>
    <mergeCell ref="Q182:R182"/>
    <mergeCell ref="Q183:R183"/>
    <mergeCell ref="Q184:R184"/>
    <mergeCell ref="Q185:R185"/>
    <mergeCell ref="Q168:R168"/>
    <mergeCell ref="Q169:R169"/>
    <mergeCell ref="Q170:R170"/>
    <mergeCell ref="Q171:R171"/>
    <mergeCell ref="Q172:R172"/>
    <mergeCell ref="Q173:R173"/>
    <mergeCell ref="Q174:R174"/>
    <mergeCell ref="Q175:R175"/>
    <mergeCell ref="Q176:R176"/>
    <mergeCell ref="Q159:R159"/>
    <mergeCell ref="Q160:R160"/>
    <mergeCell ref="Q161:R161"/>
    <mergeCell ref="Q162:R162"/>
    <mergeCell ref="Q163:R163"/>
    <mergeCell ref="Q164:R164"/>
    <mergeCell ref="Q165:R165"/>
    <mergeCell ref="Q166:R166"/>
    <mergeCell ref="Q167:R167"/>
    <mergeCell ref="Q150:R150"/>
    <mergeCell ref="Q151:R151"/>
    <mergeCell ref="Q152:R152"/>
    <mergeCell ref="Q153:R153"/>
    <mergeCell ref="Q154:R154"/>
    <mergeCell ref="Q155:R155"/>
    <mergeCell ref="Q156:R156"/>
    <mergeCell ref="Q157:R157"/>
    <mergeCell ref="Q158:R158"/>
    <mergeCell ref="Q141:R141"/>
    <mergeCell ref="Q142:R142"/>
    <mergeCell ref="Q143:R143"/>
    <mergeCell ref="Q144:R144"/>
    <mergeCell ref="Q145:R145"/>
    <mergeCell ref="Q146:R146"/>
    <mergeCell ref="Q147:R147"/>
    <mergeCell ref="Q148:R148"/>
    <mergeCell ref="Q149:R149"/>
    <mergeCell ref="Q132:R132"/>
    <mergeCell ref="Q133:R133"/>
    <mergeCell ref="Q134:R134"/>
    <mergeCell ref="Q135:R135"/>
    <mergeCell ref="Q136:R136"/>
    <mergeCell ref="Q137:R137"/>
    <mergeCell ref="Q138:R138"/>
    <mergeCell ref="Q139:R139"/>
    <mergeCell ref="Q140:R140"/>
    <mergeCell ref="Q123:R123"/>
    <mergeCell ref="Q124:R124"/>
    <mergeCell ref="Q125:R125"/>
    <mergeCell ref="Q126:R126"/>
    <mergeCell ref="Q127:R127"/>
    <mergeCell ref="Q128:R128"/>
    <mergeCell ref="Q129:R129"/>
    <mergeCell ref="Q130:R130"/>
    <mergeCell ref="Q131:R131"/>
    <mergeCell ref="Q114:R114"/>
    <mergeCell ref="Q115:R115"/>
    <mergeCell ref="Q116:R116"/>
    <mergeCell ref="Q117:R117"/>
    <mergeCell ref="Q118:R118"/>
    <mergeCell ref="Q119:R119"/>
    <mergeCell ref="Q120:R120"/>
    <mergeCell ref="Q121:R121"/>
    <mergeCell ref="Q122:R122"/>
    <mergeCell ref="Q105:R105"/>
    <mergeCell ref="Q106:R106"/>
    <mergeCell ref="Q107:R107"/>
    <mergeCell ref="Q108:R108"/>
    <mergeCell ref="Q109:R109"/>
    <mergeCell ref="Q110:R110"/>
    <mergeCell ref="Q111:R111"/>
    <mergeCell ref="Q112:R112"/>
    <mergeCell ref="Q113:R113"/>
    <mergeCell ref="Q96:R96"/>
    <mergeCell ref="Q97:R97"/>
    <mergeCell ref="Q98:R98"/>
    <mergeCell ref="Q99:R99"/>
    <mergeCell ref="Q100:R100"/>
    <mergeCell ref="Q101:R101"/>
    <mergeCell ref="Q102:R102"/>
    <mergeCell ref="Q103:R103"/>
    <mergeCell ref="Q104:R104"/>
    <mergeCell ref="Q87:R87"/>
    <mergeCell ref="Q88:R88"/>
    <mergeCell ref="Q89:R89"/>
    <mergeCell ref="Q90:R90"/>
    <mergeCell ref="Q91:R91"/>
    <mergeCell ref="Q92:R92"/>
    <mergeCell ref="Q93:R93"/>
    <mergeCell ref="Q94:R94"/>
    <mergeCell ref="Q95:R95"/>
    <mergeCell ref="Q78:R78"/>
    <mergeCell ref="Q79:R79"/>
    <mergeCell ref="Q80:R80"/>
    <mergeCell ref="Q81:R81"/>
    <mergeCell ref="Q82:R82"/>
    <mergeCell ref="Q83:R83"/>
    <mergeCell ref="Q84:R84"/>
    <mergeCell ref="Q85:R85"/>
    <mergeCell ref="Q86:R86"/>
    <mergeCell ref="Q69:R69"/>
    <mergeCell ref="Q70:R70"/>
    <mergeCell ref="Q71:R71"/>
    <mergeCell ref="Q72:R72"/>
    <mergeCell ref="Q73:R73"/>
    <mergeCell ref="Q74:R74"/>
    <mergeCell ref="Q75:R75"/>
    <mergeCell ref="Q76:R76"/>
    <mergeCell ref="Q77:R77"/>
    <mergeCell ref="Q60:R60"/>
    <mergeCell ref="Q61:R61"/>
    <mergeCell ref="Q62:R62"/>
    <mergeCell ref="Q63:R63"/>
    <mergeCell ref="Q64:R64"/>
    <mergeCell ref="Q65:R65"/>
    <mergeCell ref="Q66:R66"/>
    <mergeCell ref="Q67:R67"/>
    <mergeCell ref="Q68:R68"/>
    <mergeCell ref="Q51:R51"/>
    <mergeCell ref="Q52:R52"/>
    <mergeCell ref="Q53:R53"/>
    <mergeCell ref="Q54:R54"/>
    <mergeCell ref="Q55:R55"/>
    <mergeCell ref="Q56:R56"/>
    <mergeCell ref="Q57:R57"/>
    <mergeCell ref="Q58:R58"/>
    <mergeCell ref="Q59:R59"/>
    <mergeCell ref="Q42:R42"/>
    <mergeCell ref="Q43:R43"/>
    <mergeCell ref="Q44:R44"/>
    <mergeCell ref="Q45:R45"/>
    <mergeCell ref="Q46:R46"/>
    <mergeCell ref="Q47:R47"/>
    <mergeCell ref="Q48:R48"/>
    <mergeCell ref="Q49:R49"/>
    <mergeCell ref="Q50:R50"/>
    <mergeCell ref="Q5:R6"/>
    <mergeCell ref="Q8:R8"/>
    <mergeCell ref="Q9:R9"/>
    <mergeCell ref="Q10:R10"/>
    <mergeCell ref="Q11:R11"/>
    <mergeCell ref="Q12:R12"/>
    <mergeCell ref="Q13:R13"/>
    <mergeCell ref="Q14:R14"/>
    <mergeCell ref="Q33:R33"/>
    <mergeCell ref="Q34:R34"/>
    <mergeCell ref="Q35:R35"/>
    <mergeCell ref="Q36:R36"/>
    <mergeCell ref="Q37:R37"/>
    <mergeCell ref="Q38:R38"/>
    <mergeCell ref="Q39:R39"/>
    <mergeCell ref="Q40:R40"/>
    <mergeCell ref="Q41:R41"/>
    <mergeCell ref="Q24:R24"/>
    <mergeCell ref="Q25:R25"/>
    <mergeCell ref="Q26:R26"/>
    <mergeCell ref="Q27:R27"/>
    <mergeCell ref="Q28:R28"/>
    <mergeCell ref="Q29:R29"/>
    <mergeCell ref="Q30:R30"/>
    <mergeCell ref="Q31:R31"/>
    <mergeCell ref="Q32:R32"/>
    <mergeCell ref="D30:E30"/>
    <mergeCell ref="D31:E31"/>
    <mergeCell ref="D32:E32"/>
    <mergeCell ref="D33:E33"/>
    <mergeCell ref="D34:E34"/>
    <mergeCell ref="D35:E35"/>
    <mergeCell ref="D36:E36"/>
    <mergeCell ref="D37:E37"/>
    <mergeCell ref="B30:C30"/>
    <mergeCell ref="L32:M32"/>
    <mergeCell ref="L33:M33"/>
    <mergeCell ref="L34:M34"/>
    <mergeCell ref="Q15:R15"/>
    <mergeCell ref="Q16:R16"/>
    <mergeCell ref="Q17:R17"/>
    <mergeCell ref="Q18:R18"/>
    <mergeCell ref="Q19:R19"/>
    <mergeCell ref="Q20:R20"/>
    <mergeCell ref="Q21:R21"/>
    <mergeCell ref="Q22:R22"/>
    <mergeCell ref="Q23:R23"/>
    <mergeCell ref="B3:F3"/>
    <mergeCell ref="B4:F4"/>
    <mergeCell ref="B5:F5"/>
    <mergeCell ref="B6:F6"/>
    <mergeCell ref="B7:F7"/>
    <mergeCell ref="I1:L3"/>
    <mergeCell ref="B8:F8"/>
    <mergeCell ref="B9:F9"/>
    <mergeCell ref="B10:F10"/>
    <mergeCell ref="L15:M15"/>
    <mergeCell ref="L16:M16"/>
    <mergeCell ref="L17:M17"/>
    <mergeCell ref="L18:M18"/>
    <mergeCell ref="L19:M19"/>
    <mergeCell ref="B15:F15"/>
    <mergeCell ref="B16:F16"/>
    <mergeCell ref="B17:F17"/>
    <mergeCell ref="L5:M6"/>
    <mergeCell ref="K5:K6"/>
    <mergeCell ref="J5:J6"/>
    <mergeCell ref="I5:I6"/>
    <mergeCell ref="H5:H6"/>
    <mergeCell ref="L8:M8"/>
    <mergeCell ref="L9:M9"/>
    <mergeCell ref="L10:M10"/>
    <mergeCell ref="L11:M11"/>
    <mergeCell ref="B11:F11"/>
    <mergeCell ref="B12:F12"/>
    <mergeCell ref="B13:F13"/>
    <mergeCell ref="B14:F14"/>
    <mergeCell ref="L12:M12"/>
    <mergeCell ref="L13:M13"/>
    <mergeCell ref="L14:M14"/>
    <mergeCell ref="L50:M50"/>
    <mergeCell ref="L25:M25"/>
    <mergeCell ref="L26:M26"/>
    <mergeCell ref="L27:M27"/>
    <mergeCell ref="L28:M28"/>
    <mergeCell ref="L29:M29"/>
    <mergeCell ref="L20:M20"/>
    <mergeCell ref="L21:M21"/>
    <mergeCell ref="L22:M22"/>
    <mergeCell ref="L23:M23"/>
    <mergeCell ref="L24:M24"/>
    <mergeCell ref="A24:A25"/>
    <mergeCell ref="B26:C26"/>
    <mergeCell ref="B27:C27"/>
    <mergeCell ref="B28:C28"/>
    <mergeCell ref="B29:C29"/>
    <mergeCell ref="L30:M30"/>
    <mergeCell ref="L31:M31"/>
    <mergeCell ref="B31:C31"/>
    <mergeCell ref="B32:C32"/>
    <mergeCell ref="B33:C33"/>
    <mergeCell ref="B34:C34"/>
    <mergeCell ref="B35:C35"/>
    <mergeCell ref="B36:C36"/>
    <mergeCell ref="B37:C37"/>
    <mergeCell ref="B24:C25"/>
    <mergeCell ref="D24:E25"/>
    <mergeCell ref="D26:E26"/>
    <mergeCell ref="D27:E27"/>
    <mergeCell ref="D28:E28"/>
    <mergeCell ref="D29:E29"/>
    <mergeCell ref="L51:M51"/>
    <mergeCell ref="L52:M52"/>
    <mergeCell ref="L53:M53"/>
    <mergeCell ref="L54:M54"/>
    <mergeCell ref="L65:M65"/>
    <mergeCell ref="L66:M66"/>
    <mergeCell ref="L67:M67"/>
    <mergeCell ref="L68:M68"/>
    <mergeCell ref="L69:M69"/>
    <mergeCell ref="L60:M60"/>
    <mergeCell ref="L61:M61"/>
    <mergeCell ref="L62:M62"/>
    <mergeCell ref="L63:M63"/>
    <mergeCell ref="L64:M64"/>
    <mergeCell ref="L35:M35"/>
    <mergeCell ref="L36:M36"/>
    <mergeCell ref="L37:M37"/>
    <mergeCell ref="L38:M38"/>
    <mergeCell ref="L39:M39"/>
    <mergeCell ref="L45:M45"/>
    <mergeCell ref="L46:M46"/>
    <mergeCell ref="L47:M47"/>
    <mergeCell ref="L48:M48"/>
    <mergeCell ref="L49:M49"/>
    <mergeCell ref="L40:M40"/>
    <mergeCell ref="L41:M41"/>
    <mergeCell ref="L42:M42"/>
    <mergeCell ref="L43:M43"/>
    <mergeCell ref="L44:M44"/>
    <mergeCell ref="L70:M70"/>
    <mergeCell ref="L71:M71"/>
    <mergeCell ref="L72:M72"/>
    <mergeCell ref="L73:M73"/>
    <mergeCell ref="L74:M74"/>
    <mergeCell ref="L85:M85"/>
    <mergeCell ref="L86:M86"/>
    <mergeCell ref="L87:M87"/>
    <mergeCell ref="L88:M88"/>
    <mergeCell ref="L89:M89"/>
    <mergeCell ref="L80:M80"/>
    <mergeCell ref="L81:M81"/>
    <mergeCell ref="L82:M82"/>
    <mergeCell ref="L83:M83"/>
    <mergeCell ref="L84:M84"/>
    <mergeCell ref="L55:M55"/>
    <mergeCell ref="L56:M56"/>
    <mergeCell ref="L57:M57"/>
    <mergeCell ref="L58:M58"/>
    <mergeCell ref="L59:M59"/>
    <mergeCell ref="L90:M90"/>
    <mergeCell ref="L91:M91"/>
    <mergeCell ref="L92:M92"/>
    <mergeCell ref="L93:M93"/>
    <mergeCell ref="L94:M94"/>
    <mergeCell ref="L105:M105"/>
    <mergeCell ref="L106:M106"/>
    <mergeCell ref="L107:M107"/>
    <mergeCell ref="L108:M108"/>
    <mergeCell ref="L109:M109"/>
    <mergeCell ref="L100:M100"/>
    <mergeCell ref="L101:M101"/>
    <mergeCell ref="L102:M102"/>
    <mergeCell ref="L103:M103"/>
    <mergeCell ref="L104:M104"/>
    <mergeCell ref="L75:M75"/>
    <mergeCell ref="L76:M76"/>
    <mergeCell ref="L77:M77"/>
    <mergeCell ref="L78:M78"/>
    <mergeCell ref="L79:M79"/>
    <mergeCell ref="L110:M110"/>
    <mergeCell ref="L111:M111"/>
    <mergeCell ref="L112:M112"/>
    <mergeCell ref="L113:M113"/>
    <mergeCell ref="L114:M114"/>
    <mergeCell ref="L125:M125"/>
    <mergeCell ref="L126:M126"/>
    <mergeCell ref="L127:M127"/>
    <mergeCell ref="L128:M128"/>
    <mergeCell ref="L129:M129"/>
    <mergeCell ref="L120:M120"/>
    <mergeCell ref="L121:M121"/>
    <mergeCell ref="L122:M122"/>
    <mergeCell ref="L123:M123"/>
    <mergeCell ref="L124:M124"/>
    <mergeCell ref="L95:M95"/>
    <mergeCell ref="L96:M96"/>
    <mergeCell ref="L97:M97"/>
    <mergeCell ref="L98:M98"/>
    <mergeCell ref="L99:M99"/>
    <mergeCell ref="L130:M130"/>
    <mergeCell ref="L131:M131"/>
    <mergeCell ref="L132:M132"/>
    <mergeCell ref="L133:M133"/>
    <mergeCell ref="L134:M134"/>
    <mergeCell ref="L145:M145"/>
    <mergeCell ref="L146:M146"/>
    <mergeCell ref="L147:M147"/>
    <mergeCell ref="L148:M148"/>
    <mergeCell ref="L149:M149"/>
    <mergeCell ref="L140:M140"/>
    <mergeCell ref="L141:M141"/>
    <mergeCell ref="L142:M142"/>
    <mergeCell ref="L143:M143"/>
    <mergeCell ref="L144:M144"/>
    <mergeCell ref="L115:M115"/>
    <mergeCell ref="L116:M116"/>
    <mergeCell ref="L117:M117"/>
    <mergeCell ref="L118:M118"/>
    <mergeCell ref="L119:M119"/>
    <mergeCell ref="L150:M150"/>
    <mergeCell ref="L151:M151"/>
    <mergeCell ref="L152:M152"/>
    <mergeCell ref="L153:M153"/>
    <mergeCell ref="L154:M154"/>
    <mergeCell ref="L165:M165"/>
    <mergeCell ref="L166:M166"/>
    <mergeCell ref="L167:M167"/>
    <mergeCell ref="L168:M168"/>
    <mergeCell ref="L169:M169"/>
    <mergeCell ref="L160:M160"/>
    <mergeCell ref="L161:M161"/>
    <mergeCell ref="L162:M162"/>
    <mergeCell ref="L163:M163"/>
    <mergeCell ref="L164:M164"/>
    <mergeCell ref="L135:M135"/>
    <mergeCell ref="L136:M136"/>
    <mergeCell ref="L137:M137"/>
    <mergeCell ref="L138:M138"/>
    <mergeCell ref="L139:M139"/>
    <mergeCell ref="L170:M170"/>
    <mergeCell ref="L171:M171"/>
    <mergeCell ref="L172:M172"/>
    <mergeCell ref="L173:M173"/>
    <mergeCell ref="L174:M174"/>
    <mergeCell ref="L185:M185"/>
    <mergeCell ref="L186:M186"/>
    <mergeCell ref="L187:M187"/>
    <mergeCell ref="L188:M188"/>
    <mergeCell ref="L189:M189"/>
    <mergeCell ref="L180:M180"/>
    <mergeCell ref="L181:M181"/>
    <mergeCell ref="L182:M182"/>
    <mergeCell ref="L183:M183"/>
    <mergeCell ref="L184:M184"/>
    <mergeCell ref="L155:M155"/>
    <mergeCell ref="L156:M156"/>
    <mergeCell ref="L157:M157"/>
    <mergeCell ref="L158:M158"/>
    <mergeCell ref="L159:M159"/>
    <mergeCell ref="L190:M190"/>
    <mergeCell ref="L191:M191"/>
    <mergeCell ref="L192:M192"/>
    <mergeCell ref="L193:M193"/>
    <mergeCell ref="L194:M194"/>
    <mergeCell ref="L205:M205"/>
    <mergeCell ref="L206:M206"/>
    <mergeCell ref="L207:M207"/>
    <mergeCell ref="L208:M208"/>
    <mergeCell ref="L209:M209"/>
    <mergeCell ref="L200:M200"/>
    <mergeCell ref="L201:M201"/>
    <mergeCell ref="L202:M202"/>
    <mergeCell ref="L203:M203"/>
    <mergeCell ref="L204:M204"/>
    <mergeCell ref="L175:M175"/>
    <mergeCell ref="L176:M176"/>
    <mergeCell ref="L177:M177"/>
    <mergeCell ref="L178:M178"/>
    <mergeCell ref="L179:M179"/>
    <mergeCell ref="L210:M210"/>
    <mergeCell ref="L211:M211"/>
    <mergeCell ref="L212:M212"/>
    <mergeCell ref="L213:M213"/>
    <mergeCell ref="L214:M214"/>
    <mergeCell ref="L225:M225"/>
    <mergeCell ref="L226:M226"/>
    <mergeCell ref="L227:M227"/>
    <mergeCell ref="L228:M228"/>
    <mergeCell ref="L229:M229"/>
    <mergeCell ref="L220:M220"/>
    <mergeCell ref="L221:M221"/>
    <mergeCell ref="L222:M222"/>
    <mergeCell ref="L223:M223"/>
    <mergeCell ref="L224:M224"/>
    <mergeCell ref="L195:M195"/>
    <mergeCell ref="L196:M196"/>
    <mergeCell ref="L197:M197"/>
    <mergeCell ref="L198:M198"/>
    <mergeCell ref="L199:M199"/>
    <mergeCell ref="L230:M230"/>
    <mergeCell ref="L231:M231"/>
    <mergeCell ref="L232:M232"/>
    <mergeCell ref="L233:M233"/>
    <mergeCell ref="L234:M234"/>
    <mergeCell ref="L245:M245"/>
    <mergeCell ref="L246:M246"/>
    <mergeCell ref="L247:M247"/>
    <mergeCell ref="L248:M248"/>
    <mergeCell ref="L249:M249"/>
    <mergeCell ref="L240:M240"/>
    <mergeCell ref="L241:M241"/>
    <mergeCell ref="L242:M242"/>
    <mergeCell ref="L243:M243"/>
    <mergeCell ref="L244:M244"/>
    <mergeCell ref="L215:M215"/>
    <mergeCell ref="L216:M216"/>
    <mergeCell ref="L217:M217"/>
    <mergeCell ref="L218:M218"/>
    <mergeCell ref="L219:M219"/>
    <mergeCell ref="L250:M250"/>
    <mergeCell ref="L251:M251"/>
    <mergeCell ref="L252:M252"/>
    <mergeCell ref="L253:M253"/>
    <mergeCell ref="L254:M254"/>
    <mergeCell ref="L265:M265"/>
    <mergeCell ref="L266:M266"/>
    <mergeCell ref="L267:M267"/>
    <mergeCell ref="L268:M268"/>
    <mergeCell ref="L269:M269"/>
    <mergeCell ref="L260:M260"/>
    <mergeCell ref="L261:M261"/>
    <mergeCell ref="L262:M262"/>
    <mergeCell ref="L263:M263"/>
    <mergeCell ref="L264:M264"/>
    <mergeCell ref="L235:M235"/>
    <mergeCell ref="L236:M236"/>
    <mergeCell ref="L237:M237"/>
    <mergeCell ref="L238:M238"/>
    <mergeCell ref="L239:M239"/>
    <mergeCell ref="L270:M270"/>
    <mergeCell ref="L271:M271"/>
    <mergeCell ref="L272:M272"/>
    <mergeCell ref="L273:M273"/>
    <mergeCell ref="L274:M274"/>
    <mergeCell ref="L285:M285"/>
    <mergeCell ref="L286:M286"/>
    <mergeCell ref="L287:M287"/>
    <mergeCell ref="L288:M288"/>
    <mergeCell ref="L289:M289"/>
    <mergeCell ref="L280:M280"/>
    <mergeCell ref="L281:M281"/>
    <mergeCell ref="L282:M282"/>
    <mergeCell ref="L283:M283"/>
    <mergeCell ref="L284:M284"/>
    <mergeCell ref="L255:M255"/>
    <mergeCell ref="L256:M256"/>
    <mergeCell ref="L257:M257"/>
    <mergeCell ref="L258:M258"/>
    <mergeCell ref="L259:M259"/>
    <mergeCell ref="L290:M290"/>
    <mergeCell ref="L291:M291"/>
    <mergeCell ref="L292:M292"/>
    <mergeCell ref="L293:M293"/>
    <mergeCell ref="L294:M294"/>
    <mergeCell ref="L305:M305"/>
    <mergeCell ref="L306:M306"/>
    <mergeCell ref="L307:M307"/>
    <mergeCell ref="L308:M308"/>
    <mergeCell ref="L309:M309"/>
    <mergeCell ref="L300:M300"/>
    <mergeCell ref="L301:M301"/>
    <mergeCell ref="L302:M302"/>
    <mergeCell ref="L303:M303"/>
    <mergeCell ref="L304:M304"/>
    <mergeCell ref="L275:M275"/>
    <mergeCell ref="L276:M276"/>
    <mergeCell ref="L277:M277"/>
    <mergeCell ref="L278:M278"/>
    <mergeCell ref="L279:M279"/>
    <mergeCell ref="L310:M310"/>
    <mergeCell ref="L311:M311"/>
    <mergeCell ref="L312:M312"/>
    <mergeCell ref="L313:M313"/>
    <mergeCell ref="L314:M314"/>
    <mergeCell ref="L325:M325"/>
    <mergeCell ref="L326:M326"/>
    <mergeCell ref="L327:M327"/>
    <mergeCell ref="L328:M328"/>
    <mergeCell ref="L329:M329"/>
    <mergeCell ref="L320:M320"/>
    <mergeCell ref="L321:M321"/>
    <mergeCell ref="L322:M322"/>
    <mergeCell ref="L323:M323"/>
    <mergeCell ref="L324:M324"/>
    <mergeCell ref="L295:M295"/>
    <mergeCell ref="L296:M296"/>
    <mergeCell ref="L297:M297"/>
    <mergeCell ref="L298:M298"/>
    <mergeCell ref="L299:M299"/>
    <mergeCell ref="L333:M333"/>
    <mergeCell ref="L334:M334"/>
    <mergeCell ref="L345:M345"/>
    <mergeCell ref="L346:M346"/>
    <mergeCell ref="L347:M347"/>
    <mergeCell ref="L348:M348"/>
    <mergeCell ref="L349:M349"/>
    <mergeCell ref="L340:M340"/>
    <mergeCell ref="L341:M341"/>
    <mergeCell ref="L342:M342"/>
    <mergeCell ref="L343:M343"/>
    <mergeCell ref="L344:M344"/>
    <mergeCell ref="L315:M315"/>
    <mergeCell ref="L316:M316"/>
    <mergeCell ref="L317:M317"/>
    <mergeCell ref="L318:M318"/>
    <mergeCell ref="L319:M319"/>
    <mergeCell ref="L370:M370"/>
    <mergeCell ref="L371:M371"/>
    <mergeCell ref="L372:M372"/>
    <mergeCell ref="C20:D20"/>
    <mergeCell ref="L365:M365"/>
    <mergeCell ref="L366:M366"/>
    <mergeCell ref="L367:M367"/>
    <mergeCell ref="L368:M368"/>
    <mergeCell ref="L369:M369"/>
    <mergeCell ref="L360:M360"/>
    <mergeCell ref="L361:M361"/>
    <mergeCell ref="L362:M362"/>
    <mergeCell ref="L363:M363"/>
    <mergeCell ref="L364:M364"/>
    <mergeCell ref="L355:M355"/>
    <mergeCell ref="L356:M356"/>
    <mergeCell ref="L357:M357"/>
    <mergeCell ref="L358:M358"/>
    <mergeCell ref="L359:M359"/>
    <mergeCell ref="L350:M350"/>
    <mergeCell ref="L351:M351"/>
    <mergeCell ref="L352:M352"/>
    <mergeCell ref="L353:M353"/>
    <mergeCell ref="L354:M354"/>
    <mergeCell ref="L335:M335"/>
    <mergeCell ref="L336:M336"/>
    <mergeCell ref="L337:M337"/>
    <mergeCell ref="L338:M338"/>
    <mergeCell ref="L339:M339"/>
    <mergeCell ref="L330:M330"/>
    <mergeCell ref="L331:M331"/>
    <mergeCell ref="L332:M332"/>
  </mergeCell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L36"/>
  <sheetViews>
    <sheetView workbookViewId="0">
      <selection activeCell="I2" sqref="I2:K2"/>
    </sheetView>
  </sheetViews>
  <sheetFormatPr baseColWidth="10" defaultRowHeight="15" x14ac:dyDescent="0.25"/>
  <cols>
    <col min="2" max="2" width="17.5703125" customWidth="1"/>
    <col min="3" max="3" width="18.7109375" customWidth="1"/>
    <col min="4" max="4" width="16.5703125" customWidth="1"/>
    <col min="6" max="8" width="18.5703125" customWidth="1"/>
    <col min="9" max="9" width="15.7109375" customWidth="1"/>
    <col min="10" max="10" width="15.85546875" customWidth="1"/>
    <col min="11" max="11" width="21.7109375" customWidth="1"/>
  </cols>
  <sheetData>
    <row r="2" spans="1:12" x14ac:dyDescent="0.25">
      <c r="B2" s="352" t="s">
        <v>47</v>
      </c>
      <c r="C2" s="352"/>
      <c r="D2" s="352"/>
      <c r="I2" s="353" t="s">
        <v>145</v>
      </c>
      <c r="J2" s="353"/>
      <c r="K2" s="353"/>
    </row>
    <row r="3" spans="1:12" x14ac:dyDescent="0.25">
      <c r="B3" s="9" t="s">
        <v>70</v>
      </c>
      <c r="C3" s="10" t="s">
        <v>71</v>
      </c>
      <c r="D3" s="31" t="s">
        <v>72</v>
      </c>
      <c r="E3" s="55" t="s">
        <v>76</v>
      </c>
      <c r="I3" s="37" t="s">
        <v>73</v>
      </c>
      <c r="J3" s="38" t="s">
        <v>74</v>
      </c>
      <c r="K3" s="39" t="s">
        <v>75</v>
      </c>
      <c r="L3" s="56" t="s">
        <v>77</v>
      </c>
    </row>
    <row r="4" spans="1:12" x14ac:dyDescent="0.25">
      <c r="B4" s="32"/>
      <c r="C4" s="32"/>
      <c r="D4" s="33"/>
      <c r="E4" s="54"/>
      <c r="I4" s="36"/>
      <c r="J4" s="36"/>
      <c r="K4" s="36"/>
      <c r="L4" s="49"/>
    </row>
    <row r="5" spans="1:12" x14ac:dyDescent="0.25">
      <c r="B5" s="34"/>
      <c r="C5" s="35"/>
      <c r="D5" s="33"/>
      <c r="E5" s="54"/>
      <c r="I5" s="36"/>
      <c r="J5" s="36"/>
      <c r="K5" s="36"/>
      <c r="L5" s="49"/>
    </row>
    <row r="6" spans="1:12" x14ac:dyDescent="0.25">
      <c r="A6">
        <v>1</v>
      </c>
      <c r="B6" s="24">
        <v>8.5</v>
      </c>
      <c r="C6" s="24">
        <v>7</v>
      </c>
      <c r="D6" s="24">
        <v>9</v>
      </c>
      <c r="E6" s="67">
        <v>7</v>
      </c>
      <c r="H6">
        <v>1</v>
      </c>
      <c r="I6" s="24">
        <v>9</v>
      </c>
      <c r="J6" s="24">
        <v>8.5</v>
      </c>
      <c r="K6" s="24">
        <v>8.5</v>
      </c>
      <c r="L6" s="69">
        <v>10</v>
      </c>
    </row>
    <row r="7" spans="1:12" x14ac:dyDescent="0.25">
      <c r="A7">
        <v>2</v>
      </c>
      <c r="B7" s="24">
        <v>9.5</v>
      </c>
      <c r="C7" s="24">
        <v>7</v>
      </c>
      <c r="D7" s="24">
        <v>10</v>
      </c>
      <c r="E7" s="67">
        <v>8</v>
      </c>
      <c r="H7">
        <v>2</v>
      </c>
      <c r="I7" s="24">
        <v>10</v>
      </c>
      <c r="J7" s="24">
        <v>9.5</v>
      </c>
      <c r="K7" s="24">
        <v>9.5</v>
      </c>
      <c r="L7" s="69">
        <v>11</v>
      </c>
    </row>
    <row r="8" spans="1:12" x14ac:dyDescent="0.25">
      <c r="A8">
        <v>3</v>
      </c>
      <c r="B8" s="24">
        <v>10.5</v>
      </c>
      <c r="C8" s="24">
        <v>8</v>
      </c>
      <c r="D8" s="24">
        <v>11</v>
      </c>
      <c r="E8" s="67">
        <v>10</v>
      </c>
      <c r="H8">
        <v>3</v>
      </c>
      <c r="I8" s="24">
        <v>11</v>
      </c>
      <c r="J8" s="24">
        <v>10.5</v>
      </c>
      <c r="K8" s="24">
        <v>10.5</v>
      </c>
      <c r="L8" s="69">
        <v>11</v>
      </c>
    </row>
    <row r="9" spans="1:12" x14ac:dyDescent="0.25">
      <c r="A9">
        <v>4</v>
      </c>
      <c r="B9" s="24">
        <v>11.5</v>
      </c>
      <c r="C9" s="24">
        <v>10.5</v>
      </c>
      <c r="D9" s="24">
        <v>12</v>
      </c>
      <c r="E9" s="67">
        <v>10.5</v>
      </c>
      <c r="H9">
        <v>4</v>
      </c>
      <c r="I9" s="24">
        <v>12</v>
      </c>
      <c r="J9" s="24">
        <v>11.5</v>
      </c>
      <c r="K9" s="24">
        <v>11.5</v>
      </c>
      <c r="L9" s="69">
        <v>12</v>
      </c>
    </row>
    <row r="10" spans="1:12" x14ac:dyDescent="0.25">
      <c r="A10">
        <v>5</v>
      </c>
      <c r="B10" s="24">
        <v>12</v>
      </c>
      <c r="C10" s="24">
        <v>11</v>
      </c>
      <c r="D10" s="24">
        <v>12.5</v>
      </c>
      <c r="E10" s="67">
        <v>12</v>
      </c>
      <c r="H10">
        <v>5</v>
      </c>
      <c r="I10" s="24">
        <v>12.5</v>
      </c>
      <c r="J10" s="24">
        <v>12</v>
      </c>
      <c r="K10" s="24">
        <v>12</v>
      </c>
      <c r="L10" s="69">
        <v>12</v>
      </c>
    </row>
    <row r="11" spans="1:12" x14ac:dyDescent="0.25">
      <c r="A11">
        <v>6</v>
      </c>
      <c r="B11" s="24">
        <v>11</v>
      </c>
      <c r="C11" s="24">
        <v>12</v>
      </c>
      <c r="D11" s="24">
        <v>12</v>
      </c>
      <c r="E11" s="67">
        <v>11</v>
      </c>
      <c r="H11">
        <v>6</v>
      </c>
      <c r="I11" s="24">
        <v>12</v>
      </c>
      <c r="J11" s="24">
        <v>11</v>
      </c>
      <c r="K11" s="24">
        <v>11</v>
      </c>
      <c r="L11" s="69">
        <v>12</v>
      </c>
    </row>
    <row r="12" spans="1:12" x14ac:dyDescent="0.25">
      <c r="A12">
        <v>7</v>
      </c>
      <c r="B12" s="24">
        <v>9</v>
      </c>
      <c r="C12" s="24">
        <v>12</v>
      </c>
      <c r="D12" s="24">
        <v>11.5</v>
      </c>
      <c r="E12" s="67">
        <v>9</v>
      </c>
      <c r="H12">
        <v>7</v>
      </c>
      <c r="I12" s="24">
        <v>11.5</v>
      </c>
      <c r="J12" s="24">
        <v>9</v>
      </c>
      <c r="K12" s="24">
        <v>9</v>
      </c>
      <c r="L12" s="69">
        <v>10</v>
      </c>
    </row>
    <row r="13" spans="1:12" x14ac:dyDescent="0.25">
      <c r="A13">
        <v>8</v>
      </c>
      <c r="B13" s="24">
        <v>7</v>
      </c>
      <c r="C13" s="24">
        <v>11</v>
      </c>
      <c r="D13" s="24">
        <v>11</v>
      </c>
      <c r="E13" s="67">
        <v>6</v>
      </c>
      <c r="H13">
        <v>8</v>
      </c>
      <c r="I13" s="24">
        <v>11</v>
      </c>
      <c r="J13" s="24">
        <v>7</v>
      </c>
      <c r="K13" s="24">
        <v>7</v>
      </c>
      <c r="L13" s="69">
        <v>9</v>
      </c>
    </row>
    <row r="14" spans="1:12" x14ac:dyDescent="0.25">
      <c r="A14">
        <v>9</v>
      </c>
      <c r="B14" s="24">
        <v>9.5</v>
      </c>
      <c r="C14" s="24">
        <v>11.5</v>
      </c>
      <c r="D14" s="24">
        <v>11.5</v>
      </c>
      <c r="E14" s="67">
        <v>10</v>
      </c>
      <c r="H14">
        <v>9</v>
      </c>
      <c r="I14" s="24">
        <v>11.5</v>
      </c>
      <c r="J14" s="24">
        <v>9.5</v>
      </c>
      <c r="K14" s="24">
        <v>9.5</v>
      </c>
      <c r="L14" s="69">
        <v>10</v>
      </c>
    </row>
    <row r="15" spans="1:12" x14ac:dyDescent="0.25">
      <c r="A15">
        <v>10</v>
      </c>
      <c r="B15" s="24">
        <v>10.5</v>
      </c>
      <c r="C15" s="24">
        <v>9</v>
      </c>
      <c r="D15" s="24">
        <v>10.5</v>
      </c>
      <c r="E15" s="67">
        <v>11</v>
      </c>
      <c r="H15">
        <v>10</v>
      </c>
      <c r="I15" s="24">
        <v>10.5</v>
      </c>
      <c r="J15" s="24">
        <v>10.5</v>
      </c>
      <c r="K15" s="24">
        <v>10.5</v>
      </c>
      <c r="L15" s="69">
        <v>11</v>
      </c>
    </row>
    <row r="16" spans="1:12" x14ac:dyDescent="0.25">
      <c r="A16">
        <v>11</v>
      </c>
      <c r="B16" s="24">
        <v>9.5</v>
      </c>
      <c r="C16" s="24">
        <v>8</v>
      </c>
      <c r="D16" s="24">
        <v>10</v>
      </c>
      <c r="E16" s="67">
        <v>9</v>
      </c>
      <c r="H16">
        <v>11</v>
      </c>
      <c r="I16" s="24">
        <v>10</v>
      </c>
      <c r="J16" s="24">
        <v>9.5</v>
      </c>
      <c r="K16" s="24">
        <v>9.5</v>
      </c>
      <c r="L16" s="69">
        <v>10</v>
      </c>
    </row>
    <row r="17" spans="1:12" x14ac:dyDescent="0.25">
      <c r="A17">
        <v>12</v>
      </c>
      <c r="B17" s="24">
        <v>9</v>
      </c>
      <c r="C17" s="24">
        <v>7</v>
      </c>
      <c r="D17" s="24">
        <v>9</v>
      </c>
      <c r="E17" s="67">
        <v>7</v>
      </c>
      <c r="H17">
        <v>12</v>
      </c>
      <c r="I17" s="24">
        <v>9</v>
      </c>
      <c r="J17" s="24">
        <v>9</v>
      </c>
      <c r="K17" s="24">
        <v>9</v>
      </c>
      <c r="L17" s="69">
        <v>9</v>
      </c>
    </row>
    <row r="19" spans="1:12" x14ac:dyDescent="0.25">
      <c r="B19" s="354" t="s">
        <v>78</v>
      </c>
      <c r="C19" s="354"/>
      <c r="D19" s="354"/>
      <c r="I19" s="355" t="s">
        <v>144</v>
      </c>
      <c r="J19" s="355"/>
      <c r="K19" s="355"/>
    </row>
    <row r="20" spans="1:12" x14ac:dyDescent="0.25">
      <c r="B20" s="9" t="s">
        <v>70</v>
      </c>
      <c r="C20" s="10" t="s">
        <v>71</v>
      </c>
      <c r="D20" s="31" t="s">
        <v>72</v>
      </c>
      <c r="E20" s="55" t="s">
        <v>76</v>
      </c>
      <c r="I20" s="50" t="s">
        <v>73</v>
      </c>
      <c r="J20" s="50" t="s">
        <v>74</v>
      </c>
      <c r="K20" s="50" t="s">
        <v>75</v>
      </c>
      <c r="L20" s="57" t="s">
        <v>76</v>
      </c>
    </row>
    <row r="21" spans="1:12" x14ac:dyDescent="0.25">
      <c r="B21" s="32"/>
      <c r="C21" s="32"/>
      <c r="D21" s="33"/>
      <c r="E21" s="58"/>
      <c r="I21" s="51"/>
      <c r="J21" s="51"/>
      <c r="K21" s="51"/>
      <c r="L21" s="49"/>
    </row>
    <row r="22" spans="1:12" x14ac:dyDescent="0.25">
      <c r="B22" s="34"/>
      <c r="C22" s="35"/>
      <c r="D22" s="33"/>
      <c r="E22" s="58"/>
      <c r="I22" s="49"/>
      <c r="J22" s="49"/>
      <c r="K22" s="49"/>
      <c r="L22" s="49"/>
    </row>
    <row r="23" spans="1:12" x14ac:dyDescent="0.25">
      <c r="B23" s="25">
        <v>5</v>
      </c>
      <c r="C23" s="25">
        <v>2</v>
      </c>
      <c r="D23" s="25">
        <v>8</v>
      </c>
      <c r="E23" s="68">
        <v>2</v>
      </c>
      <c r="H23">
        <v>1</v>
      </c>
      <c r="I23" s="23">
        <v>14</v>
      </c>
      <c r="J23" s="23">
        <v>12</v>
      </c>
      <c r="K23" s="23">
        <v>1.8</v>
      </c>
      <c r="L23" s="60">
        <v>1.5</v>
      </c>
    </row>
    <row r="24" spans="1:12" x14ac:dyDescent="0.25">
      <c r="B24" s="25">
        <v>10</v>
      </c>
      <c r="C24" s="25">
        <v>6</v>
      </c>
      <c r="D24" s="25">
        <v>14</v>
      </c>
      <c r="E24" s="68">
        <v>7</v>
      </c>
      <c r="H24">
        <v>2</v>
      </c>
      <c r="I24" s="23">
        <v>16</v>
      </c>
      <c r="J24" s="23">
        <v>14</v>
      </c>
      <c r="K24" s="23">
        <v>2.8</v>
      </c>
      <c r="L24" s="60">
        <v>2.5</v>
      </c>
    </row>
    <row r="25" spans="1:12" x14ac:dyDescent="0.25">
      <c r="B25" s="25">
        <v>15</v>
      </c>
      <c r="C25" s="25">
        <v>12</v>
      </c>
      <c r="D25" s="25">
        <v>22</v>
      </c>
      <c r="E25" s="68">
        <v>15</v>
      </c>
      <c r="H25">
        <v>3</v>
      </c>
      <c r="I25" s="23">
        <v>16</v>
      </c>
      <c r="J25" s="23">
        <v>14</v>
      </c>
      <c r="K25" s="23">
        <v>3.25</v>
      </c>
      <c r="L25" s="60">
        <v>2.8</v>
      </c>
    </row>
    <row r="26" spans="1:12" x14ac:dyDescent="0.25">
      <c r="B26" s="25">
        <v>38</v>
      </c>
      <c r="C26" s="25">
        <v>20</v>
      </c>
      <c r="D26" s="25">
        <v>38</v>
      </c>
      <c r="E26" s="68">
        <v>30</v>
      </c>
      <c r="H26">
        <v>4</v>
      </c>
      <c r="I26" s="23">
        <v>16</v>
      </c>
      <c r="J26" s="23">
        <v>16</v>
      </c>
      <c r="K26" s="23">
        <v>4.4000000000000004</v>
      </c>
      <c r="L26" s="60">
        <v>4.5</v>
      </c>
    </row>
    <row r="27" spans="1:12" x14ac:dyDescent="0.25">
      <c r="B27" s="25">
        <v>60</v>
      </c>
      <c r="C27" s="25">
        <v>50</v>
      </c>
      <c r="D27" s="25">
        <v>66</v>
      </c>
      <c r="E27" s="68">
        <v>65</v>
      </c>
      <c r="H27">
        <v>5</v>
      </c>
      <c r="I27" s="23">
        <v>18</v>
      </c>
      <c r="J27" s="23">
        <v>16</v>
      </c>
      <c r="K27" s="23">
        <v>5</v>
      </c>
      <c r="L27" s="60">
        <v>6</v>
      </c>
    </row>
    <row r="28" spans="1:12" x14ac:dyDescent="0.25">
      <c r="B28" s="25">
        <v>50</v>
      </c>
      <c r="C28" s="25">
        <v>60</v>
      </c>
      <c r="D28" s="25">
        <v>60</v>
      </c>
      <c r="E28" s="68">
        <v>60</v>
      </c>
      <c r="H28">
        <v>6</v>
      </c>
      <c r="I28" s="23">
        <v>18</v>
      </c>
      <c r="J28" s="23">
        <v>16</v>
      </c>
      <c r="K28" s="23">
        <v>5.5</v>
      </c>
      <c r="L28" s="60">
        <v>5</v>
      </c>
    </row>
    <row r="29" spans="1:12" x14ac:dyDescent="0.25">
      <c r="B29" s="25">
        <v>25</v>
      </c>
      <c r="C29" s="25">
        <v>50</v>
      </c>
      <c r="D29" s="25">
        <v>54</v>
      </c>
      <c r="E29" s="68">
        <v>45</v>
      </c>
      <c r="H29">
        <v>7</v>
      </c>
      <c r="I29" s="23">
        <v>18</v>
      </c>
      <c r="J29" s="23">
        <v>18</v>
      </c>
      <c r="K29" s="23">
        <v>1.2</v>
      </c>
      <c r="L29" s="60">
        <v>1.5</v>
      </c>
    </row>
    <row r="30" spans="1:12" x14ac:dyDescent="0.25">
      <c r="B30" s="25">
        <v>5</v>
      </c>
      <c r="C30" s="25">
        <v>30</v>
      </c>
      <c r="D30" s="25">
        <v>48</v>
      </c>
      <c r="E30" s="68">
        <v>23</v>
      </c>
      <c r="H30">
        <v>8</v>
      </c>
      <c r="I30" s="23">
        <v>16</v>
      </c>
      <c r="J30" s="23">
        <v>18</v>
      </c>
      <c r="K30" s="23">
        <v>1.4</v>
      </c>
      <c r="L30" s="60">
        <v>1.5</v>
      </c>
    </row>
    <row r="31" spans="1:12" x14ac:dyDescent="0.25">
      <c r="B31" s="25">
        <v>25</v>
      </c>
      <c r="C31" s="25">
        <v>20</v>
      </c>
      <c r="D31" s="25">
        <v>44</v>
      </c>
      <c r="E31" s="68">
        <v>30</v>
      </c>
      <c r="H31">
        <v>9</v>
      </c>
      <c r="I31" s="23">
        <v>14</v>
      </c>
      <c r="J31" s="23">
        <v>18</v>
      </c>
      <c r="K31" s="23">
        <v>1.5</v>
      </c>
      <c r="L31" s="60">
        <v>1.8</v>
      </c>
    </row>
    <row r="32" spans="1:12" x14ac:dyDescent="0.25">
      <c r="B32" s="25">
        <v>20</v>
      </c>
      <c r="C32" s="25">
        <v>10</v>
      </c>
      <c r="D32" s="25">
        <v>34</v>
      </c>
      <c r="E32" s="68">
        <v>20</v>
      </c>
      <c r="H32">
        <v>10</v>
      </c>
      <c r="I32" s="23">
        <v>14</v>
      </c>
      <c r="J32" s="23">
        <v>14</v>
      </c>
      <c r="K32" s="23">
        <v>1.4</v>
      </c>
      <c r="L32" s="60">
        <v>1.8</v>
      </c>
    </row>
    <row r="33" spans="2:12" x14ac:dyDescent="0.25">
      <c r="B33" s="25">
        <v>15</v>
      </c>
      <c r="C33" s="25">
        <v>8</v>
      </c>
      <c r="D33" s="25">
        <v>20</v>
      </c>
      <c r="E33" s="68">
        <v>10</v>
      </c>
      <c r="H33">
        <v>11</v>
      </c>
      <c r="I33" s="23">
        <v>12</v>
      </c>
      <c r="J33" s="23">
        <v>12</v>
      </c>
      <c r="K33" s="23">
        <v>1.3</v>
      </c>
      <c r="L33" s="60">
        <v>1.6</v>
      </c>
    </row>
    <row r="34" spans="2:12" x14ac:dyDescent="0.25">
      <c r="B34" s="25">
        <v>10</v>
      </c>
      <c r="C34" s="25">
        <v>4</v>
      </c>
      <c r="D34" s="25">
        <v>12</v>
      </c>
      <c r="E34" s="68">
        <v>3</v>
      </c>
      <c r="H34">
        <v>12</v>
      </c>
      <c r="I34" s="23">
        <v>10</v>
      </c>
      <c r="J34" s="23">
        <v>12</v>
      </c>
      <c r="K34" s="23">
        <v>1.4</v>
      </c>
      <c r="L34" s="60">
        <v>1.5</v>
      </c>
    </row>
    <row r="35" spans="2:12" x14ac:dyDescent="0.25">
      <c r="B35" s="7"/>
      <c r="C35" s="7"/>
      <c r="D35" s="7"/>
    </row>
    <row r="36" spans="2:12" x14ac:dyDescent="0.25">
      <c r="B36" s="7"/>
      <c r="C36" s="7"/>
      <c r="D36" s="7"/>
    </row>
  </sheetData>
  <mergeCells count="4">
    <mergeCell ref="B2:D2"/>
    <mergeCell ref="I2:K2"/>
    <mergeCell ref="B19:D19"/>
    <mergeCell ref="I19:K19"/>
  </mergeCells>
  <pageMargins left="0.7" right="0.7" top="0.75" bottom="0.75" header="0.3" footer="0.3"/>
  <pageSetup paperSize="9" orientation="portrait" r:id="rId1"/>
  <drawing r:id="rId2"/>
  <tableParts count="4">
    <tablePart r:id="rId3"/>
    <tablePart r:id="rId4"/>
    <tablePart r:id="rId5"/>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11</vt:i4>
      </vt:variant>
    </vt:vector>
  </HeadingPairs>
  <TitlesOfParts>
    <vt:vector size="17" baseType="lpstr">
      <vt:lpstr>Demande d'aide</vt:lpstr>
      <vt:lpstr>Accueuil</vt:lpstr>
      <vt:lpstr>Calcul Et Courbes </vt:lpstr>
      <vt:lpstr>Diffentre Besoin et dispo</vt:lpstr>
      <vt:lpstr>Decoupage et Rotation</vt:lpstr>
      <vt:lpstr>Base de donnée simple</vt:lpstr>
      <vt:lpstr>active</vt:lpstr>
      <vt:lpstr>Chaptel</vt:lpstr>
      <vt:lpstr>chaptel2</vt:lpstr>
      <vt:lpstr>flore</vt:lpstr>
      <vt:lpstr>ouinon</vt:lpstr>
      <vt:lpstr>passive</vt:lpstr>
      <vt:lpstr>tab</vt:lpstr>
      <vt:lpstr>tableau2</vt:lpstr>
      <vt:lpstr>Tableau6</vt:lpstr>
      <vt:lpstr>tableaupass</vt:lpstr>
      <vt:lpstr>typechaptel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Joey Bailey</dc:creator>
  <cp:lastModifiedBy>benjamin berteloot</cp:lastModifiedBy>
  <cp:lastPrinted>2016-01-20T07:04:38Z</cp:lastPrinted>
  <dcterms:created xsi:type="dcterms:W3CDTF">2016-01-20T06:29:36Z</dcterms:created>
  <dcterms:modified xsi:type="dcterms:W3CDTF">2016-07-13T17:49:05Z</dcterms:modified>
</cp:coreProperties>
</file>