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bane\Desktop\"/>
    </mc:Choice>
  </mc:AlternateContent>
  <bookViews>
    <workbookView xWindow="0" yWindow="0" windowWidth="16815" windowHeight="7905" activeTab="2"/>
  </bookViews>
  <sheets>
    <sheet name="Entrées" sheetId="4" r:id="rId1"/>
    <sheet name="Plats" sheetId="1" r:id="rId2"/>
    <sheet name="Feuil2" sheetId="11" r:id="rId3"/>
    <sheet name="Desserts" sheetId="9" r:id="rId4"/>
    <sheet name="&quot;Total&quot;" sheetId="6" r:id="rId5"/>
    <sheet name="Historique simplifié" sheetId="7" r:id="rId6"/>
    <sheet name="Historique détaillé" sheetId="3" r:id="rId7"/>
    <sheet name="Tickets" sheetId="8" r:id="rId8"/>
  </sheets>
  <definedNames>
    <definedName name="Choix1">Feuil2!$A$13:$A$17</definedName>
    <definedName name="Entrées">#REF!</definedName>
    <definedName name="Entrées1">Feuil2!$B$13:$B$17</definedName>
    <definedName name="Liste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N16" i="1"/>
  <c r="N17" i="1"/>
  <c r="N18" i="1"/>
  <c r="N19" i="1"/>
  <c r="N14" i="1"/>
  <c r="M16" i="1"/>
  <c r="M17" i="1"/>
  <c r="M18" i="1"/>
  <c r="M19" i="1"/>
  <c r="N7" i="1"/>
  <c r="N8" i="1"/>
  <c r="N9" i="1"/>
  <c r="N10" i="1"/>
  <c r="N11" i="1"/>
  <c r="N12" i="1"/>
  <c r="F6" i="1"/>
  <c r="F8" i="1"/>
  <c r="F9" i="1"/>
  <c r="F10" i="1"/>
  <c r="F11" i="1"/>
  <c r="F12" i="1"/>
  <c r="M43" i="1"/>
  <c r="D43" i="1"/>
  <c r="M42" i="1"/>
  <c r="F42" i="1"/>
  <c r="N42" i="1" s="1"/>
  <c r="O42" i="1" s="1"/>
  <c r="N41" i="1"/>
  <c r="M41" i="1"/>
  <c r="L41" i="1"/>
  <c r="N40" i="1"/>
  <c r="M40" i="1"/>
  <c r="L40" i="1"/>
  <c r="N39" i="1"/>
  <c r="M39" i="1"/>
  <c r="L39" i="1"/>
  <c r="N38" i="1"/>
  <c r="M38" i="1"/>
  <c r="L38" i="1"/>
  <c r="N37" i="1"/>
  <c r="M37" i="1"/>
  <c r="L37" i="1"/>
  <c r="N36" i="1"/>
  <c r="M36" i="1"/>
  <c r="L36" i="1"/>
  <c r="M35" i="1"/>
  <c r="N35" i="1" s="1"/>
  <c r="O35" i="1" s="1"/>
  <c r="F35" i="1"/>
  <c r="F43" i="1" s="1"/>
  <c r="N34" i="1"/>
  <c r="M34" i="1"/>
  <c r="L34" i="1"/>
  <c r="F34" i="1"/>
  <c r="N33" i="1"/>
  <c r="M33" i="1"/>
  <c r="L33" i="1"/>
  <c r="F33" i="1"/>
  <c r="N32" i="1"/>
  <c r="M32" i="1"/>
  <c r="L32" i="1"/>
  <c r="F32" i="1"/>
  <c r="N31" i="1"/>
  <c r="M31" i="1"/>
  <c r="L31" i="1"/>
  <c r="F31" i="1"/>
  <c r="N30" i="1"/>
  <c r="M30" i="1"/>
  <c r="L30" i="1"/>
  <c r="F30" i="1"/>
  <c r="N29" i="1"/>
  <c r="M29" i="1"/>
  <c r="L29" i="1"/>
  <c r="F29" i="1"/>
  <c r="N28" i="1"/>
  <c r="M28" i="1"/>
  <c r="L28" i="1"/>
  <c r="F28" i="1"/>
  <c r="B23" i="1"/>
  <c r="M66" i="1"/>
  <c r="D66" i="1"/>
  <c r="M65" i="1"/>
  <c r="N65" i="1" s="1"/>
  <c r="O65" i="1" s="1"/>
  <c r="F65" i="1"/>
  <c r="N64" i="1"/>
  <c r="M64" i="1"/>
  <c r="L64" i="1"/>
  <c r="N63" i="1"/>
  <c r="M63" i="1"/>
  <c r="L63" i="1"/>
  <c r="N62" i="1"/>
  <c r="M62" i="1"/>
  <c r="L62" i="1"/>
  <c r="N61" i="1"/>
  <c r="M61" i="1"/>
  <c r="L61" i="1"/>
  <c r="N60" i="1"/>
  <c r="M60" i="1"/>
  <c r="L60" i="1"/>
  <c r="N59" i="1"/>
  <c r="M59" i="1"/>
  <c r="L59" i="1"/>
  <c r="M58" i="1"/>
  <c r="N58" i="1" s="1"/>
  <c r="O58" i="1" s="1"/>
  <c r="F58" i="1"/>
  <c r="F66" i="1" s="1"/>
  <c r="N57" i="1"/>
  <c r="M57" i="1"/>
  <c r="L57" i="1"/>
  <c r="F57" i="1"/>
  <c r="N56" i="1"/>
  <c r="M56" i="1"/>
  <c r="L56" i="1"/>
  <c r="F56" i="1"/>
  <c r="N55" i="1"/>
  <c r="M55" i="1"/>
  <c r="L55" i="1"/>
  <c r="F55" i="1"/>
  <c r="N54" i="1"/>
  <c r="M54" i="1"/>
  <c r="L54" i="1"/>
  <c r="F54" i="1"/>
  <c r="N53" i="1"/>
  <c r="M53" i="1"/>
  <c r="L53" i="1"/>
  <c r="F53" i="1"/>
  <c r="N52" i="1"/>
  <c r="M52" i="1"/>
  <c r="L52" i="1"/>
  <c r="F52" i="1"/>
  <c r="N51" i="1"/>
  <c r="M51" i="1"/>
  <c r="L51" i="1"/>
  <c r="F51" i="1"/>
  <c r="B46" i="1"/>
  <c r="K28" i="9" l="1"/>
  <c r="J28" i="9"/>
  <c r="E28" i="9"/>
  <c r="L28" i="9" s="1"/>
  <c r="K27" i="9"/>
  <c r="J27" i="9"/>
  <c r="E27" i="9"/>
  <c r="L27" i="9" s="1"/>
  <c r="K26" i="9"/>
  <c r="J26" i="9"/>
  <c r="E26" i="9"/>
  <c r="L26" i="9" s="1"/>
  <c r="K25" i="9"/>
  <c r="J25" i="9"/>
  <c r="E25" i="9"/>
  <c r="L25" i="9" s="1"/>
  <c r="K24" i="9"/>
  <c r="J24" i="9"/>
  <c r="E24" i="9"/>
  <c r="L24" i="9" s="1"/>
  <c r="K23" i="9"/>
  <c r="J23" i="9"/>
  <c r="E23" i="9"/>
  <c r="L23" i="9" s="1"/>
  <c r="B18" i="9"/>
  <c r="M89" i="1"/>
  <c r="D89" i="1"/>
  <c r="M88" i="1"/>
  <c r="N88" i="1" s="1"/>
  <c r="O88" i="1" s="1"/>
  <c r="F88" i="1"/>
  <c r="N87" i="1"/>
  <c r="M87" i="1"/>
  <c r="L87" i="1"/>
  <c r="N86" i="1"/>
  <c r="M86" i="1"/>
  <c r="L86" i="1"/>
  <c r="N85" i="1"/>
  <c r="M85" i="1"/>
  <c r="L85" i="1"/>
  <c r="N84" i="1"/>
  <c r="M84" i="1"/>
  <c r="L84" i="1"/>
  <c r="N83" i="1"/>
  <c r="M83" i="1"/>
  <c r="L83" i="1"/>
  <c r="N82" i="1"/>
  <c r="M82" i="1"/>
  <c r="L82" i="1"/>
  <c r="M81" i="1"/>
  <c r="N81" i="1" s="1"/>
  <c r="O81" i="1" s="1"/>
  <c r="F81" i="1"/>
  <c r="F89" i="1" s="1"/>
  <c r="N80" i="1"/>
  <c r="M80" i="1"/>
  <c r="L80" i="1"/>
  <c r="F80" i="1"/>
  <c r="N79" i="1"/>
  <c r="M79" i="1"/>
  <c r="L79" i="1"/>
  <c r="F79" i="1"/>
  <c r="N78" i="1"/>
  <c r="M78" i="1"/>
  <c r="L78" i="1"/>
  <c r="F78" i="1"/>
  <c r="N77" i="1"/>
  <c r="M77" i="1"/>
  <c r="L77" i="1"/>
  <c r="F77" i="1"/>
  <c r="N76" i="1"/>
  <c r="M76" i="1"/>
  <c r="L76" i="1"/>
  <c r="F76" i="1"/>
  <c r="N75" i="1"/>
  <c r="M75" i="1"/>
  <c r="L75" i="1"/>
  <c r="F75" i="1"/>
  <c r="N74" i="1"/>
  <c r="M74" i="1"/>
  <c r="L74" i="1"/>
  <c r="F74" i="1"/>
  <c r="B69" i="1"/>
  <c r="K45" i="9" l="1"/>
  <c r="J45" i="9"/>
  <c r="E45" i="9"/>
  <c r="L45" i="9" s="1"/>
  <c r="K44" i="9"/>
  <c r="J44" i="9"/>
  <c r="E44" i="9"/>
  <c r="L44" i="9" s="1"/>
  <c r="K43" i="9"/>
  <c r="J43" i="9"/>
  <c r="E43" i="9"/>
  <c r="L43" i="9" s="1"/>
  <c r="K42" i="9"/>
  <c r="J42" i="9"/>
  <c r="E42" i="9"/>
  <c r="L42" i="9" s="1"/>
  <c r="K41" i="9"/>
  <c r="J41" i="9"/>
  <c r="E41" i="9"/>
  <c r="L41" i="9" s="1"/>
  <c r="K40" i="9"/>
  <c r="J40" i="9"/>
  <c r="E40" i="9"/>
  <c r="L40" i="9" s="1"/>
  <c r="B35" i="9"/>
  <c r="K62" i="9" l="1"/>
  <c r="J62" i="9"/>
  <c r="E62" i="9"/>
  <c r="L62" i="9" s="1"/>
  <c r="K61" i="9"/>
  <c r="J61" i="9"/>
  <c r="E61" i="9"/>
  <c r="L61" i="9" s="1"/>
  <c r="K60" i="9"/>
  <c r="J60" i="9"/>
  <c r="E60" i="9"/>
  <c r="L60" i="9" s="1"/>
  <c r="K59" i="9"/>
  <c r="J59" i="9"/>
  <c r="E59" i="9"/>
  <c r="L59" i="9" s="1"/>
  <c r="K58" i="9"/>
  <c r="J58" i="9"/>
  <c r="E58" i="9"/>
  <c r="L58" i="9" s="1"/>
  <c r="K57" i="9"/>
  <c r="J57" i="9"/>
  <c r="E57" i="9"/>
  <c r="L57" i="9" s="1"/>
  <c r="B52" i="9"/>
  <c r="K79" i="9"/>
  <c r="J79" i="9"/>
  <c r="E79" i="9"/>
  <c r="L79" i="9" s="1"/>
  <c r="K78" i="9"/>
  <c r="J78" i="9"/>
  <c r="E78" i="9"/>
  <c r="L78" i="9" s="1"/>
  <c r="L77" i="9"/>
  <c r="K77" i="9"/>
  <c r="J77" i="9"/>
  <c r="E77" i="9"/>
  <c r="L76" i="9"/>
  <c r="K76" i="9"/>
  <c r="J76" i="9"/>
  <c r="E76" i="9"/>
  <c r="L75" i="9"/>
  <c r="K75" i="9"/>
  <c r="J75" i="9"/>
  <c r="E75" i="9"/>
  <c r="L74" i="9"/>
  <c r="K74" i="9"/>
  <c r="J74" i="9"/>
  <c r="E74" i="9"/>
  <c r="B69" i="9"/>
  <c r="K96" i="9"/>
  <c r="J96" i="9"/>
  <c r="E96" i="9"/>
  <c r="L96" i="9" s="1"/>
  <c r="K95" i="9"/>
  <c r="J95" i="9"/>
  <c r="E95" i="9"/>
  <c r="L95" i="9" s="1"/>
  <c r="K94" i="9"/>
  <c r="J94" i="9"/>
  <c r="E94" i="9"/>
  <c r="L94" i="9" s="1"/>
  <c r="K93" i="9"/>
  <c r="J93" i="9"/>
  <c r="E93" i="9"/>
  <c r="L93" i="9" s="1"/>
  <c r="K92" i="9"/>
  <c r="J92" i="9"/>
  <c r="E92" i="9"/>
  <c r="L92" i="9" s="1"/>
  <c r="K91" i="9"/>
  <c r="J91" i="9"/>
  <c r="E91" i="9"/>
  <c r="L91" i="9" s="1"/>
  <c r="B86" i="9"/>
  <c r="K11" i="9"/>
  <c r="J11" i="9"/>
  <c r="E11" i="9"/>
  <c r="L11" i="9" s="1"/>
  <c r="K10" i="9"/>
  <c r="J10" i="9"/>
  <c r="E10" i="9"/>
  <c r="L10" i="9" s="1"/>
  <c r="K9" i="9"/>
  <c r="J9" i="9"/>
  <c r="E9" i="9"/>
  <c r="L9" i="9" s="1"/>
  <c r="K8" i="9"/>
  <c r="J8" i="9"/>
  <c r="E8" i="9"/>
  <c r="L8" i="9" s="1"/>
  <c r="K7" i="9"/>
  <c r="J7" i="9"/>
  <c r="E7" i="9"/>
  <c r="L7" i="9" s="1"/>
  <c r="K6" i="9"/>
  <c r="J6" i="9"/>
  <c r="E6" i="9"/>
  <c r="L6" i="9" s="1"/>
  <c r="B1" i="9"/>
  <c r="M112" i="1" l="1"/>
  <c r="F112" i="1"/>
  <c r="D112" i="1"/>
  <c r="M111" i="1"/>
  <c r="N111" i="1" s="1"/>
  <c r="O111" i="1" s="1"/>
  <c r="F111" i="1"/>
  <c r="N110" i="1"/>
  <c r="M110" i="1"/>
  <c r="L110" i="1"/>
  <c r="N109" i="1"/>
  <c r="M109" i="1"/>
  <c r="L109" i="1"/>
  <c r="N108" i="1"/>
  <c r="M108" i="1"/>
  <c r="L108" i="1"/>
  <c r="N107" i="1"/>
  <c r="M107" i="1"/>
  <c r="L107" i="1"/>
  <c r="N106" i="1"/>
  <c r="M106" i="1"/>
  <c r="L106" i="1"/>
  <c r="N105" i="1"/>
  <c r="M105" i="1"/>
  <c r="L105" i="1"/>
  <c r="M104" i="1"/>
  <c r="N104" i="1" s="1"/>
  <c r="O104" i="1" s="1"/>
  <c r="F104" i="1"/>
  <c r="N103" i="1"/>
  <c r="M103" i="1"/>
  <c r="L103" i="1"/>
  <c r="F103" i="1"/>
  <c r="N102" i="1"/>
  <c r="M102" i="1"/>
  <c r="L102" i="1"/>
  <c r="F102" i="1"/>
  <c r="N101" i="1"/>
  <c r="M101" i="1"/>
  <c r="L101" i="1"/>
  <c r="F101" i="1"/>
  <c r="N100" i="1"/>
  <c r="M100" i="1"/>
  <c r="L100" i="1"/>
  <c r="F100" i="1"/>
  <c r="N99" i="1"/>
  <c r="M99" i="1"/>
  <c r="L99" i="1"/>
  <c r="F99" i="1"/>
  <c r="N98" i="1"/>
  <c r="M98" i="1"/>
  <c r="L98" i="1"/>
  <c r="F98" i="1"/>
  <c r="N97" i="1"/>
  <c r="M97" i="1"/>
  <c r="L97" i="1"/>
  <c r="F97" i="1"/>
  <c r="B92" i="1"/>
  <c r="M135" i="1"/>
  <c r="F135" i="1"/>
  <c r="D135" i="1"/>
  <c r="M134" i="1"/>
  <c r="N134" i="1" s="1"/>
  <c r="O134" i="1" s="1"/>
  <c r="F134" i="1"/>
  <c r="N133" i="1"/>
  <c r="M133" i="1"/>
  <c r="L133" i="1"/>
  <c r="N132" i="1"/>
  <c r="M132" i="1"/>
  <c r="L132" i="1"/>
  <c r="N131" i="1"/>
  <c r="M131" i="1"/>
  <c r="L131" i="1"/>
  <c r="N130" i="1"/>
  <c r="M130" i="1"/>
  <c r="L130" i="1"/>
  <c r="N129" i="1"/>
  <c r="M129" i="1"/>
  <c r="L129" i="1"/>
  <c r="N128" i="1"/>
  <c r="M128" i="1"/>
  <c r="L128" i="1"/>
  <c r="M127" i="1"/>
  <c r="N127" i="1" s="1"/>
  <c r="O127" i="1" s="1"/>
  <c r="F127" i="1"/>
  <c r="N126" i="1"/>
  <c r="M126" i="1"/>
  <c r="L126" i="1"/>
  <c r="F126" i="1"/>
  <c r="N125" i="1"/>
  <c r="M125" i="1"/>
  <c r="L125" i="1"/>
  <c r="F125" i="1"/>
  <c r="N124" i="1"/>
  <c r="M124" i="1"/>
  <c r="L124" i="1"/>
  <c r="F124" i="1"/>
  <c r="N123" i="1"/>
  <c r="M123" i="1"/>
  <c r="L123" i="1"/>
  <c r="F123" i="1"/>
  <c r="N122" i="1"/>
  <c r="M122" i="1"/>
  <c r="L122" i="1"/>
  <c r="F122" i="1"/>
  <c r="N121" i="1"/>
  <c r="M121" i="1"/>
  <c r="L121" i="1"/>
  <c r="F121" i="1"/>
  <c r="N120" i="1"/>
  <c r="M120" i="1"/>
  <c r="L120" i="1"/>
  <c r="F120" i="1"/>
  <c r="B115" i="1"/>
  <c r="F7" i="1"/>
  <c r="M158" i="1"/>
  <c r="F158" i="1"/>
  <c r="D158" i="1"/>
  <c r="M157" i="1"/>
  <c r="N157" i="1" s="1"/>
  <c r="J157" i="1"/>
  <c r="I157" i="1"/>
  <c r="F157" i="1"/>
  <c r="L156" i="1"/>
  <c r="L155" i="1"/>
  <c r="L154" i="1"/>
  <c r="L153" i="1"/>
  <c r="M152" i="1"/>
  <c r="L152" i="1"/>
  <c r="M151" i="1"/>
  <c r="L151" i="1"/>
  <c r="M150" i="1"/>
  <c r="N150" i="1" s="1"/>
  <c r="J150" i="1"/>
  <c r="I150" i="1"/>
  <c r="F150" i="1"/>
  <c r="M149" i="1"/>
  <c r="L149" i="1"/>
  <c r="M148" i="1"/>
  <c r="L148" i="1"/>
  <c r="M147" i="1"/>
  <c r="L147" i="1"/>
  <c r="M146" i="1"/>
  <c r="L146" i="1"/>
  <c r="M145" i="1"/>
  <c r="L145" i="1"/>
  <c r="M144" i="1"/>
  <c r="L144" i="1"/>
  <c r="F144" i="1"/>
  <c r="N143" i="1"/>
  <c r="M143" i="1"/>
  <c r="L143" i="1"/>
  <c r="B138" i="1"/>
  <c r="L33" i="4"/>
  <c r="K33" i="4"/>
  <c r="F33" i="4"/>
  <c r="M33" i="4" s="1"/>
  <c r="L32" i="4"/>
  <c r="K32" i="4"/>
  <c r="F32" i="4"/>
  <c r="M32" i="4" s="1"/>
  <c r="L31" i="4"/>
  <c r="K31" i="4"/>
  <c r="F31" i="4"/>
  <c r="M31" i="4" s="1"/>
  <c r="L30" i="4"/>
  <c r="K30" i="4"/>
  <c r="F30" i="4"/>
  <c r="M30" i="4" s="1"/>
  <c r="L29" i="4"/>
  <c r="K29" i="4"/>
  <c r="F29" i="4"/>
  <c r="M29" i="4" s="1"/>
  <c r="L28" i="4"/>
  <c r="K28" i="4"/>
  <c r="F28" i="4"/>
  <c r="M28" i="4" s="1"/>
  <c r="L27" i="4"/>
  <c r="K27" i="4"/>
  <c r="F27" i="4"/>
  <c r="M27" i="4" s="1"/>
  <c r="B22" i="4"/>
  <c r="L54" i="4"/>
  <c r="K54" i="4"/>
  <c r="F54" i="4"/>
  <c r="M54" i="4" s="1"/>
  <c r="L53" i="4"/>
  <c r="K53" i="4"/>
  <c r="F53" i="4"/>
  <c r="M53" i="4" s="1"/>
  <c r="L52" i="4"/>
  <c r="K52" i="4"/>
  <c r="F52" i="4"/>
  <c r="M52" i="4" s="1"/>
  <c r="L51" i="4"/>
  <c r="K51" i="4"/>
  <c r="F51" i="4"/>
  <c r="M51" i="4" s="1"/>
  <c r="L50" i="4"/>
  <c r="K50" i="4"/>
  <c r="F50" i="4"/>
  <c r="M50" i="4" s="1"/>
  <c r="L49" i="4"/>
  <c r="K49" i="4"/>
  <c r="F49" i="4"/>
  <c r="M49" i="4" s="1"/>
  <c r="L48" i="4"/>
  <c r="K48" i="4"/>
  <c r="F48" i="4"/>
  <c r="M48" i="4" s="1"/>
  <c r="B43" i="4"/>
  <c r="L75" i="4"/>
  <c r="K75" i="4"/>
  <c r="F75" i="4"/>
  <c r="M75" i="4" s="1"/>
  <c r="L74" i="4"/>
  <c r="K74" i="4"/>
  <c r="F74" i="4"/>
  <c r="M74" i="4" s="1"/>
  <c r="L73" i="4"/>
  <c r="K73" i="4"/>
  <c r="F73" i="4"/>
  <c r="M73" i="4" s="1"/>
  <c r="L72" i="4"/>
  <c r="K72" i="4"/>
  <c r="F72" i="4"/>
  <c r="M72" i="4" s="1"/>
  <c r="L71" i="4"/>
  <c r="K71" i="4"/>
  <c r="F71" i="4"/>
  <c r="M71" i="4" s="1"/>
  <c r="L70" i="4"/>
  <c r="K70" i="4"/>
  <c r="F70" i="4"/>
  <c r="M70" i="4" s="1"/>
  <c r="L69" i="4"/>
  <c r="K69" i="4"/>
  <c r="F69" i="4"/>
  <c r="M69" i="4" s="1"/>
  <c r="B64" i="4"/>
  <c r="O150" i="1" l="1"/>
  <c r="O157" i="1"/>
  <c r="B1" i="4"/>
  <c r="M7" i="1"/>
  <c r="M8" i="1"/>
  <c r="M9" i="1"/>
  <c r="M10" i="1"/>
  <c r="M11" i="1"/>
  <c r="M12" i="1"/>
  <c r="N6" i="1"/>
  <c r="M6" i="1"/>
  <c r="M13" i="1" l="1"/>
  <c r="M14" i="1"/>
  <c r="M15" i="1"/>
  <c r="M20" i="1"/>
  <c r="M21" i="1"/>
  <c r="L9" i="1"/>
  <c r="F13" i="1" l="1"/>
  <c r="N13" i="1" s="1"/>
  <c r="O13" i="1" s="1"/>
  <c r="F20" i="1"/>
  <c r="L6" i="1"/>
  <c r="L7" i="1"/>
  <c r="L8" i="1"/>
  <c r="L10" i="1"/>
  <c r="L11" i="1"/>
  <c r="L12" i="1"/>
  <c r="L14" i="1"/>
  <c r="L15" i="1"/>
  <c r="L16" i="1"/>
  <c r="L17" i="1"/>
  <c r="L18" i="1"/>
  <c r="L19" i="1"/>
  <c r="K7" i="4"/>
  <c r="K8" i="4"/>
  <c r="K9" i="4"/>
  <c r="K10" i="4"/>
  <c r="K11" i="4"/>
  <c r="K12" i="4"/>
  <c r="K6" i="4"/>
  <c r="F7" i="4"/>
  <c r="M7" i="4" s="1"/>
  <c r="F8" i="4"/>
  <c r="M8" i="4" s="1"/>
  <c r="F9" i="4"/>
  <c r="M9" i="4" s="1"/>
  <c r="F10" i="4"/>
  <c r="M10" i="4" s="1"/>
  <c r="F11" i="4"/>
  <c r="M11" i="4" s="1"/>
  <c r="F12" i="4"/>
  <c r="M12" i="4" s="1"/>
  <c r="F6" i="4"/>
  <c r="M6" i="4" s="1"/>
  <c r="L7" i="4"/>
  <c r="L8" i="4"/>
  <c r="L9" i="4"/>
  <c r="L10" i="4"/>
  <c r="L11" i="4"/>
  <c r="L12" i="4"/>
  <c r="L6" i="4"/>
  <c r="N20" i="1" l="1"/>
  <c r="O20" i="1" s="1"/>
  <c r="F21" i="1"/>
  <c r="B1" i="6"/>
  <c r="B1" i="1" l="1"/>
  <c r="D21" i="1" l="1"/>
</calcChain>
</file>

<file path=xl/sharedStrings.xml><?xml version="1.0" encoding="utf-8"?>
<sst xmlns="http://schemas.openxmlformats.org/spreadsheetml/2006/main" count="561" uniqueCount="106">
  <si>
    <t>PLAT:</t>
  </si>
  <si>
    <t>Détail</t>
  </si>
  <si>
    <t>Garniture</t>
  </si>
  <si>
    <t>Quantité achetée en kg</t>
  </si>
  <si>
    <t>Prix d'achat TTC</t>
  </si>
  <si>
    <t>Entrer le nom du plat</t>
  </si>
  <si>
    <t>Date du jour</t>
  </si>
  <si>
    <t>ENTREE</t>
  </si>
  <si>
    <t>poulet</t>
  </si>
  <si>
    <t>carottes</t>
  </si>
  <si>
    <t>Viande ou Garniture</t>
  </si>
  <si>
    <t>frites</t>
  </si>
  <si>
    <t>pâtes</t>
  </si>
  <si>
    <t>saucisse</t>
  </si>
  <si>
    <t>saumon</t>
  </si>
  <si>
    <t>pomme de terre</t>
  </si>
  <si>
    <t>date</t>
  </si>
  <si>
    <t>DESSERT</t>
  </si>
  <si>
    <t>Type d'entrée</t>
  </si>
  <si>
    <t>Coût de revient forfaitaire</t>
  </si>
  <si>
    <t>Entrée chaude</t>
  </si>
  <si>
    <t>Soupe</t>
  </si>
  <si>
    <t>Entrée froide</t>
  </si>
  <si>
    <t>Hors d'œuvre</t>
  </si>
  <si>
    <t>Salade commposée</t>
  </si>
  <si>
    <t>Assiette anglaise</t>
  </si>
  <si>
    <t>Type de dessert</t>
  </si>
  <si>
    <t>Yaourt</t>
  </si>
  <si>
    <t>Fruit</t>
  </si>
  <si>
    <t>Fromage</t>
  </si>
  <si>
    <t>Glace</t>
  </si>
  <si>
    <t>Entremet</t>
  </si>
  <si>
    <t>Dessert</t>
  </si>
  <si>
    <t>Portions prévues</t>
  </si>
  <si>
    <t>Auto-conso</t>
  </si>
  <si>
    <t>TOTAL</t>
  </si>
  <si>
    <t>nbre de repas</t>
  </si>
  <si>
    <t>coût de revient réel /plateau</t>
  </si>
  <si>
    <t>prix moyen du plateau</t>
  </si>
  <si>
    <t>marge moyenne par plateau</t>
  </si>
  <si>
    <t>Colonne1</t>
  </si>
  <si>
    <t>Colonne2</t>
  </si>
  <si>
    <t>Portions jetées</t>
  </si>
  <si>
    <t>Portions vendues INTERNE</t>
  </si>
  <si>
    <t>Portions vendues EXTERNE</t>
  </si>
  <si>
    <t>CA (TTC)</t>
  </si>
  <si>
    <t>Portions stockées (frigo)</t>
  </si>
  <si>
    <t>SOUS TOTAL:</t>
  </si>
  <si>
    <t>Portions stockées</t>
  </si>
  <si>
    <t>Portions prise en compte pour le coût</t>
  </si>
  <si>
    <t>CA TTC</t>
  </si>
  <si>
    <t>calcul</t>
  </si>
  <si>
    <t>Prix en ticket</t>
  </si>
  <si>
    <t>Coût de revient total</t>
  </si>
  <si>
    <t>30*0,45</t>
  </si>
  <si>
    <t>30-portions stokées</t>
  </si>
  <si>
    <t>1,35€*15+2,35€*6-13,5</t>
  </si>
  <si>
    <t>Prix en tickets</t>
  </si>
  <si>
    <t>40*0,35</t>
  </si>
  <si>
    <t>on pourrait cacher cette colonne?</t>
  </si>
  <si>
    <t>saisi</t>
  </si>
  <si>
    <t>6*15</t>
  </si>
  <si>
    <t>Coût de revient /plats</t>
  </si>
  <si>
    <t>total CA</t>
  </si>
  <si>
    <t>viande/poisson: 2 tickets: 2,7 internes et 4,7 externes</t>
  </si>
  <si>
    <t>garniture: 1 ticket: 1,35€ ou 2,35€</t>
  </si>
  <si>
    <t>Nom de l'entrée</t>
  </si>
  <si>
    <t>Portions vendues INTERNES</t>
  </si>
  <si>
    <t>Portions vendues EXTERNES</t>
  </si>
  <si>
    <t>Viande/
poisson</t>
  </si>
  <si>
    <t>Portions prises en compte dans le coût</t>
  </si>
  <si>
    <t>Prix du ticket
pour un externe</t>
  </si>
  <si>
    <t>Prix du ticket
pour un interne</t>
  </si>
  <si>
    <t>Viande - Poisson</t>
  </si>
  <si>
    <t>Porc</t>
  </si>
  <si>
    <t>Bœuf</t>
  </si>
  <si>
    <t>Veau</t>
  </si>
  <si>
    <t>Agneau</t>
  </si>
  <si>
    <t>Volaille</t>
  </si>
  <si>
    <t>Féculents</t>
  </si>
  <si>
    <t>Quantité achetée (en kg)</t>
  </si>
  <si>
    <t>Légumes</t>
  </si>
  <si>
    <t>Entrées</t>
  </si>
  <si>
    <t>Type d'entrées</t>
  </si>
  <si>
    <t>Desserts</t>
  </si>
  <si>
    <t>Boisson</t>
  </si>
  <si>
    <t>Salade composée</t>
  </si>
  <si>
    <t>Canette soda</t>
  </si>
  <si>
    <t>Prix en 
tickets</t>
  </si>
  <si>
    <t>Type de Viande/
Poisson</t>
  </si>
  <si>
    <t>Prix en
 tickets</t>
  </si>
  <si>
    <t>Type de 
garniture</t>
  </si>
  <si>
    <t>Type de 
desserts</t>
  </si>
  <si>
    <t>Type de 
boisson</t>
  </si>
  <si>
    <t>2,5</t>
  </si>
  <si>
    <t>-portions stokées</t>
  </si>
  <si>
    <t>Auto-consommation</t>
  </si>
  <si>
    <t/>
  </si>
  <si>
    <t>0,6</t>
  </si>
  <si>
    <t>Viande</t>
  </si>
  <si>
    <t>Poisson</t>
  </si>
  <si>
    <t>Entrées chaudes</t>
  </si>
  <si>
    <t>Entrées froides</t>
  </si>
  <si>
    <t>Salade</t>
  </si>
  <si>
    <t>Choix1</t>
  </si>
  <si>
    <t>Garnitures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</si>
</sst>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C5D04"/>
        <bgColor indexed="64"/>
      </patternFill>
    </fill>
    <fill>
      <patternFill patternType="solid">
        <fgColor rgb="FFEEB5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5" borderId="0" xfId="0" applyFill="1"/>
    <xf numFmtId="2" fontId="0" fillId="0" borderId="0" xfId="0" applyNumberFormat="1" applyFill="1"/>
    <xf numFmtId="1" fontId="0" fillId="0" borderId="0" xfId="0" applyNumberFormat="1"/>
    <xf numFmtId="2" fontId="0" fillId="5" borderId="0" xfId="0" applyNumberFormat="1" applyFill="1"/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/>
    </xf>
    <xf numFmtId="0" fontId="0" fillId="0" borderId="0" xfId="0" quotePrefix="1" applyAlignment="1">
      <alignment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90"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EEB500"/>
      <color rgb="FFD0BA16"/>
      <color rgb="FFFC5D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0</xdr:row>
      <xdr:rowOff>114300</xdr:rowOff>
    </xdr:from>
    <xdr:to>
      <xdr:col>4</xdr:col>
      <xdr:colOff>19050</xdr:colOff>
      <xdr:row>2</xdr:row>
      <xdr:rowOff>171450</xdr:rowOff>
    </xdr:to>
    <xdr:sp macro="[0]!Ajoutableau" textlink="">
      <xdr:nvSpPr>
        <xdr:cNvPr id="2" name="Rectangle 1"/>
        <xdr:cNvSpPr/>
      </xdr:nvSpPr>
      <xdr:spPr>
        <a:xfrm>
          <a:off x="3286125" y="114300"/>
          <a:ext cx="1152525" cy="438150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438150</xdr:colOff>
      <xdr:row>1</xdr:row>
      <xdr:rowOff>9525</xdr:rowOff>
    </xdr:from>
    <xdr:to>
      <xdr:col>3</xdr:col>
      <xdr:colOff>733425</xdr:colOff>
      <xdr:row>2</xdr:row>
      <xdr:rowOff>57150</xdr:rowOff>
    </xdr:to>
    <xdr:sp macro="[0]!Ajoutableau" textlink="">
      <xdr:nvSpPr>
        <xdr:cNvPr id="3" name="ZoneTexte 2"/>
        <xdr:cNvSpPr txBox="1"/>
      </xdr:nvSpPr>
      <xdr:spPr>
        <a:xfrm>
          <a:off x="3333750" y="200025"/>
          <a:ext cx="1057275" cy="238125"/>
        </a:xfrm>
        <a:prstGeom prst="rect">
          <a:avLst/>
        </a:prstGeom>
        <a:solidFill>
          <a:schemeClr val="accent6"/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3</xdr:col>
      <xdr:colOff>190500</xdr:colOff>
      <xdr:row>42</xdr:row>
      <xdr:rowOff>66675</xdr:rowOff>
    </xdr:from>
    <xdr:to>
      <xdr:col>4</xdr:col>
      <xdr:colOff>581025</xdr:colOff>
      <xdr:row>44</xdr:row>
      <xdr:rowOff>123825</xdr:rowOff>
    </xdr:to>
    <xdr:sp macro="[0]!Ajoutableau" textlink="">
      <xdr:nvSpPr>
        <xdr:cNvPr id="4" name="Rectangle 3"/>
        <xdr:cNvSpPr/>
      </xdr:nvSpPr>
      <xdr:spPr>
        <a:xfrm>
          <a:off x="3848100" y="66675"/>
          <a:ext cx="1152525" cy="438150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257175</xdr:colOff>
      <xdr:row>42</xdr:row>
      <xdr:rowOff>152400</xdr:rowOff>
    </xdr:from>
    <xdr:to>
      <xdr:col>4</xdr:col>
      <xdr:colOff>552450</xdr:colOff>
      <xdr:row>44</xdr:row>
      <xdr:rowOff>9525</xdr:rowOff>
    </xdr:to>
    <xdr:sp macro="[0]!Ajoutableau" textlink="">
      <xdr:nvSpPr>
        <xdr:cNvPr id="5" name="ZoneTexte 4"/>
        <xdr:cNvSpPr txBox="1"/>
      </xdr:nvSpPr>
      <xdr:spPr>
        <a:xfrm>
          <a:off x="3914775" y="152400"/>
          <a:ext cx="1057275" cy="238125"/>
        </a:xfrm>
        <a:prstGeom prst="rect">
          <a:avLst/>
        </a:prstGeom>
        <a:solidFill>
          <a:schemeClr val="accent6"/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3</xdr:col>
      <xdr:colOff>190500</xdr:colOff>
      <xdr:row>21</xdr:row>
      <xdr:rowOff>66675</xdr:rowOff>
    </xdr:from>
    <xdr:to>
      <xdr:col>4</xdr:col>
      <xdr:colOff>581025</xdr:colOff>
      <xdr:row>23</xdr:row>
      <xdr:rowOff>123825</xdr:rowOff>
    </xdr:to>
    <xdr:sp macro="[0]!Ajoutableau" textlink="">
      <xdr:nvSpPr>
        <xdr:cNvPr id="6" name="Rectangle 5"/>
        <xdr:cNvSpPr/>
      </xdr:nvSpPr>
      <xdr:spPr>
        <a:xfrm>
          <a:off x="3848100" y="66675"/>
          <a:ext cx="1152525" cy="438150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257175</xdr:colOff>
      <xdr:row>21</xdr:row>
      <xdr:rowOff>152400</xdr:rowOff>
    </xdr:from>
    <xdr:to>
      <xdr:col>4</xdr:col>
      <xdr:colOff>552450</xdr:colOff>
      <xdr:row>23</xdr:row>
      <xdr:rowOff>9525</xdr:rowOff>
    </xdr:to>
    <xdr:sp macro="[0]!Ajoutableau" textlink="">
      <xdr:nvSpPr>
        <xdr:cNvPr id="7" name="ZoneTexte 6"/>
        <xdr:cNvSpPr txBox="1"/>
      </xdr:nvSpPr>
      <xdr:spPr>
        <a:xfrm>
          <a:off x="3914775" y="152400"/>
          <a:ext cx="1057275" cy="238125"/>
        </a:xfrm>
        <a:prstGeom prst="rect">
          <a:avLst/>
        </a:prstGeom>
        <a:solidFill>
          <a:schemeClr val="accent6"/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508000</xdr:colOff>
      <xdr:row>0</xdr:row>
      <xdr:rowOff>52918</xdr:rowOff>
    </xdr:from>
    <xdr:to>
      <xdr:col>3</xdr:col>
      <xdr:colOff>687916</xdr:colOff>
      <xdr:row>2</xdr:row>
      <xdr:rowOff>116418</xdr:rowOff>
    </xdr:to>
    <xdr:sp macro="[0]!Ajoutplats" textlink="">
      <xdr:nvSpPr>
        <xdr:cNvPr id="2" name="Rectangle 1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0</xdr:row>
      <xdr:rowOff>148167</xdr:rowOff>
    </xdr:from>
    <xdr:to>
      <xdr:col>3</xdr:col>
      <xdr:colOff>656165</xdr:colOff>
      <xdr:row>2</xdr:row>
      <xdr:rowOff>31750</xdr:rowOff>
    </xdr:to>
    <xdr:sp macro="[0]!Ajoutplats" textlink="">
      <xdr:nvSpPr>
        <xdr:cNvPr id="3" name="ZoneTexte 2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137</xdr:row>
      <xdr:rowOff>52918</xdr:rowOff>
    </xdr:from>
    <xdr:to>
      <xdr:col>3</xdr:col>
      <xdr:colOff>687916</xdr:colOff>
      <xdr:row>139</xdr:row>
      <xdr:rowOff>116418</xdr:rowOff>
    </xdr:to>
    <xdr:sp macro="" textlink="">
      <xdr:nvSpPr>
        <xdr:cNvPr id="5" name="Rectangle 4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137</xdr:row>
      <xdr:rowOff>148167</xdr:rowOff>
    </xdr:from>
    <xdr:to>
      <xdr:col>3</xdr:col>
      <xdr:colOff>656165</xdr:colOff>
      <xdr:row>139</xdr:row>
      <xdr:rowOff>31750</xdr:rowOff>
    </xdr:to>
    <xdr:sp macro="" textlink="">
      <xdr:nvSpPr>
        <xdr:cNvPr id="6" name="ZoneTexte 5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114</xdr:row>
      <xdr:rowOff>52918</xdr:rowOff>
    </xdr:from>
    <xdr:to>
      <xdr:col>3</xdr:col>
      <xdr:colOff>687916</xdr:colOff>
      <xdr:row>116</xdr:row>
      <xdr:rowOff>116418</xdr:rowOff>
    </xdr:to>
    <xdr:sp macro="[0]!Ajoutplats" textlink="">
      <xdr:nvSpPr>
        <xdr:cNvPr id="7" name="Rectangle 6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114</xdr:row>
      <xdr:rowOff>148167</xdr:rowOff>
    </xdr:from>
    <xdr:to>
      <xdr:col>3</xdr:col>
      <xdr:colOff>656165</xdr:colOff>
      <xdr:row>116</xdr:row>
      <xdr:rowOff>31750</xdr:rowOff>
    </xdr:to>
    <xdr:sp macro="[0]!Ajoutplats" textlink="">
      <xdr:nvSpPr>
        <xdr:cNvPr id="8" name="ZoneTexte 7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91</xdr:row>
      <xdr:rowOff>52918</xdr:rowOff>
    </xdr:from>
    <xdr:to>
      <xdr:col>3</xdr:col>
      <xdr:colOff>687916</xdr:colOff>
      <xdr:row>93</xdr:row>
      <xdr:rowOff>116418</xdr:rowOff>
    </xdr:to>
    <xdr:sp macro="[0]!Ajoutplats" textlink="">
      <xdr:nvSpPr>
        <xdr:cNvPr id="9" name="Rectangle 8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91</xdr:row>
      <xdr:rowOff>148167</xdr:rowOff>
    </xdr:from>
    <xdr:to>
      <xdr:col>3</xdr:col>
      <xdr:colOff>656165</xdr:colOff>
      <xdr:row>93</xdr:row>
      <xdr:rowOff>31750</xdr:rowOff>
    </xdr:to>
    <xdr:sp macro="[0]!Ajoutplats" textlink="">
      <xdr:nvSpPr>
        <xdr:cNvPr id="10" name="ZoneTexte 9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68</xdr:row>
      <xdr:rowOff>52918</xdr:rowOff>
    </xdr:from>
    <xdr:to>
      <xdr:col>3</xdr:col>
      <xdr:colOff>687916</xdr:colOff>
      <xdr:row>70</xdr:row>
      <xdr:rowOff>116418</xdr:rowOff>
    </xdr:to>
    <xdr:sp macro="[0]!Ajoutplats" textlink="">
      <xdr:nvSpPr>
        <xdr:cNvPr id="11" name="Rectangle 10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68</xdr:row>
      <xdr:rowOff>148167</xdr:rowOff>
    </xdr:from>
    <xdr:to>
      <xdr:col>3</xdr:col>
      <xdr:colOff>656165</xdr:colOff>
      <xdr:row>70</xdr:row>
      <xdr:rowOff>31750</xdr:rowOff>
    </xdr:to>
    <xdr:sp macro="[0]!Ajoutplats" textlink="">
      <xdr:nvSpPr>
        <xdr:cNvPr id="12" name="ZoneTexte 11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45</xdr:row>
      <xdr:rowOff>52918</xdr:rowOff>
    </xdr:from>
    <xdr:to>
      <xdr:col>3</xdr:col>
      <xdr:colOff>687916</xdr:colOff>
      <xdr:row>47</xdr:row>
      <xdr:rowOff>116418</xdr:rowOff>
    </xdr:to>
    <xdr:sp macro="[0]!Ajoutplats" textlink="">
      <xdr:nvSpPr>
        <xdr:cNvPr id="13" name="Rectangle 12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45</xdr:row>
      <xdr:rowOff>148167</xdr:rowOff>
    </xdr:from>
    <xdr:to>
      <xdr:col>3</xdr:col>
      <xdr:colOff>656165</xdr:colOff>
      <xdr:row>47</xdr:row>
      <xdr:rowOff>31750</xdr:rowOff>
    </xdr:to>
    <xdr:sp macro="[0]!Ajoutplats" textlink="">
      <xdr:nvSpPr>
        <xdr:cNvPr id="14" name="ZoneTexte 13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  <xdr:twoCellAnchor>
    <xdr:from>
      <xdr:col>2</xdr:col>
      <xdr:colOff>508000</xdr:colOff>
      <xdr:row>22</xdr:row>
      <xdr:rowOff>52918</xdr:rowOff>
    </xdr:from>
    <xdr:to>
      <xdr:col>3</xdr:col>
      <xdr:colOff>687916</xdr:colOff>
      <xdr:row>24</xdr:row>
      <xdr:rowOff>116418</xdr:rowOff>
    </xdr:to>
    <xdr:sp macro="[0]!Ajoutplats" textlink="">
      <xdr:nvSpPr>
        <xdr:cNvPr id="15" name="Rectangle 14"/>
        <xdr:cNvSpPr/>
      </xdr:nvSpPr>
      <xdr:spPr>
        <a:xfrm>
          <a:off x="3111500" y="52918"/>
          <a:ext cx="1312333" cy="4445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613832</xdr:colOff>
      <xdr:row>22</xdr:row>
      <xdr:rowOff>148167</xdr:rowOff>
    </xdr:from>
    <xdr:to>
      <xdr:col>3</xdr:col>
      <xdr:colOff>656165</xdr:colOff>
      <xdr:row>24</xdr:row>
      <xdr:rowOff>31750</xdr:rowOff>
    </xdr:to>
    <xdr:sp macro="[0]!Ajoutplats" textlink="">
      <xdr:nvSpPr>
        <xdr:cNvPr id="16" name="ZoneTexte 15"/>
        <xdr:cNvSpPr txBox="1"/>
      </xdr:nvSpPr>
      <xdr:spPr>
        <a:xfrm>
          <a:off x="3217332" y="148167"/>
          <a:ext cx="1174750" cy="264583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Valider la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0</xdr:row>
      <xdr:rowOff>66675</xdr:rowOff>
    </xdr:from>
    <xdr:to>
      <xdr:col>3</xdr:col>
      <xdr:colOff>581025</xdr:colOff>
      <xdr:row>2</xdr:row>
      <xdr:rowOff>142875</xdr:rowOff>
    </xdr:to>
    <xdr:sp macro="[0]!Ajoutdesserts" textlink="">
      <xdr:nvSpPr>
        <xdr:cNvPr id="2" name="Rectangle 1"/>
        <xdr:cNvSpPr/>
      </xdr:nvSpPr>
      <xdr:spPr>
        <a:xfrm>
          <a:off x="2076450" y="66675"/>
          <a:ext cx="1143000" cy="4572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0</xdr:row>
      <xdr:rowOff>161925</xdr:rowOff>
    </xdr:from>
    <xdr:to>
      <xdr:col>3</xdr:col>
      <xdr:colOff>504825</xdr:colOff>
      <xdr:row>2</xdr:row>
      <xdr:rowOff>57150</xdr:rowOff>
    </xdr:to>
    <xdr:sp macro="[0]!Ajoutdesserts" textlink="">
      <xdr:nvSpPr>
        <xdr:cNvPr id="3" name="ZoneTexte 2"/>
        <xdr:cNvSpPr txBox="1"/>
      </xdr:nvSpPr>
      <xdr:spPr>
        <a:xfrm>
          <a:off x="2152650" y="161925"/>
          <a:ext cx="990600" cy="276225"/>
        </a:xfrm>
        <a:prstGeom prst="rect">
          <a:avLst/>
        </a:prstGeom>
        <a:solidFill>
          <a:schemeClr val="accent2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saisie</a:t>
          </a:r>
        </a:p>
      </xdr:txBody>
    </xdr:sp>
    <xdr:clientData/>
  </xdr:twoCellAnchor>
  <xdr:twoCellAnchor>
    <xdr:from>
      <xdr:col>2</xdr:col>
      <xdr:colOff>381000</xdr:colOff>
      <xdr:row>68</xdr:row>
      <xdr:rowOff>66675</xdr:rowOff>
    </xdr:from>
    <xdr:to>
      <xdr:col>3</xdr:col>
      <xdr:colOff>581025</xdr:colOff>
      <xdr:row>70</xdr:row>
      <xdr:rowOff>142875</xdr:rowOff>
    </xdr:to>
    <xdr:sp macro="[0]!Ajoutdesserts" textlink="">
      <xdr:nvSpPr>
        <xdr:cNvPr id="4" name="Rectangle 3"/>
        <xdr:cNvSpPr/>
      </xdr:nvSpPr>
      <xdr:spPr>
        <a:xfrm>
          <a:off x="2076450" y="66675"/>
          <a:ext cx="1143000" cy="4572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68</xdr:row>
      <xdr:rowOff>161925</xdr:rowOff>
    </xdr:from>
    <xdr:to>
      <xdr:col>3</xdr:col>
      <xdr:colOff>504825</xdr:colOff>
      <xdr:row>70</xdr:row>
      <xdr:rowOff>57150</xdr:rowOff>
    </xdr:to>
    <xdr:sp macro="[0]!Ajoutdesserts" textlink="">
      <xdr:nvSpPr>
        <xdr:cNvPr id="5" name="ZoneTexte 4"/>
        <xdr:cNvSpPr txBox="1"/>
      </xdr:nvSpPr>
      <xdr:spPr>
        <a:xfrm>
          <a:off x="2152650" y="161925"/>
          <a:ext cx="990600" cy="276225"/>
        </a:xfrm>
        <a:prstGeom prst="rect">
          <a:avLst/>
        </a:prstGeom>
        <a:solidFill>
          <a:schemeClr val="accent2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saisie</a:t>
          </a:r>
        </a:p>
      </xdr:txBody>
    </xdr:sp>
    <xdr:clientData/>
  </xdr:twoCellAnchor>
  <xdr:twoCellAnchor>
    <xdr:from>
      <xdr:col>2</xdr:col>
      <xdr:colOff>381000</xdr:colOff>
      <xdr:row>51</xdr:row>
      <xdr:rowOff>66675</xdr:rowOff>
    </xdr:from>
    <xdr:to>
      <xdr:col>3</xdr:col>
      <xdr:colOff>581025</xdr:colOff>
      <xdr:row>53</xdr:row>
      <xdr:rowOff>142875</xdr:rowOff>
    </xdr:to>
    <xdr:sp macro="[0]!Ajoutdesserts" textlink="">
      <xdr:nvSpPr>
        <xdr:cNvPr id="6" name="Rectangle 5"/>
        <xdr:cNvSpPr/>
      </xdr:nvSpPr>
      <xdr:spPr>
        <a:xfrm>
          <a:off x="2076450" y="66675"/>
          <a:ext cx="1143000" cy="4572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51</xdr:row>
      <xdr:rowOff>161925</xdr:rowOff>
    </xdr:from>
    <xdr:to>
      <xdr:col>3</xdr:col>
      <xdr:colOff>504825</xdr:colOff>
      <xdr:row>53</xdr:row>
      <xdr:rowOff>57150</xdr:rowOff>
    </xdr:to>
    <xdr:sp macro="[0]!Ajoutdesserts" textlink="">
      <xdr:nvSpPr>
        <xdr:cNvPr id="7" name="ZoneTexte 6"/>
        <xdr:cNvSpPr txBox="1"/>
      </xdr:nvSpPr>
      <xdr:spPr>
        <a:xfrm>
          <a:off x="2152650" y="161925"/>
          <a:ext cx="990600" cy="276225"/>
        </a:xfrm>
        <a:prstGeom prst="rect">
          <a:avLst/>
        </a:prstGeom>
        <a:solidFill>
          <a:schemeClr val="accent2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saisie</a:t>
          </a:r>
        </a:p>
      </xdr:txBody>
    </xdr:sp>
    <xdr:clientData/>
  </xdr:twoCellAnchor>
  <xdr:twoCellAnchor>
    <xdr:from>
      <xdr:col>2</xdr:col>
      <xdr:colOff>381000</xdr:colOff>
      <xdr:row>34</xdr:row>
      <xdr:rowOff>66675</xdr:rowOff>
    </xdr:from>
    <xdr:to>
      <xdr:col>3</xdr:col>
      <xdr:colOff>581025</xdr:colOff>
      <xdr:row>36</xdr:row>
      <xdr:rowOff>142875</xdr:rowOff>
    </xdr:to>
    <xdr:sp macro="[0]!Ajoutdesserts" textlink="">
      <xdr:nvSpPr>
        <xdr:cNvPr id="8" name="Rectangle 7"/>
        <xdr:cNvSpPr/>
      </xdr:nvSpPr>
      <xdr:spPr>
        <a:xfrm>
          <a:off x="2076450" y="66675"/>
          <a:ext cx="1143000" cy="4572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34</xdr:row>
      <xdr:rowOff>161925</xdr:rowOff>
    </xdr:from>
    <xdr:to>
      <xdr:col>3</xdr:col>
      <xdr:colOff>504825</xdr:colOff>
      <xdr:row>36</xdr:row>
      <xdr:rowOff>57150</xdr:rowOff>
    </xdr:to>
    <xdr:sp macro="[0]!Ajoutdesserts" textlink="">
      <xdr:nvSpPr>
        <xdr:cNvPr id="9" name="ZoneTexte 8"/>
        <xdr:cNvSpPr txBox="1"/>
      </xdr:nvSpPr>
      <xdr:spPr>
        <a:xfrm>
          <a:off x="2152650" y="161925"/>
          <a:ext cx="990600" cy="276225"/>
        </a:xfrm>
        <a:prstGeom prst="rect">
          <a:avLst/>
        </a:prstGeom>
        <a:solidFill>
          <a:schemeClr val="accent2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saisie</a:t>
          </a:r>
        </a:p>
      </xdr:txBody>
    </xdr:sp>
    <xdr:clientData/>
  </xdr:twoCellAnchor>
  <xdr:twoCellAnchor>
    <xdr:from>
      <xdr:col>2</xdr:col>
      <xdr:colOff>381000</xdr:colOff>
      <xdr:row>17</xdr:row>
      <xdr:rowOff>66675</xdr:rowOff>
    </xdr:from>
    <xdr:to>
      <xdr:col>3</xdr:col>
      <xdr:colOff>581025</xdr:colOff>
      <xdr:row>19</xdr:row>
      <xdr:rowOff>142875</xdr:rowOff>
    </xdr:to>
    <xdr:sp macro="[0]!Ajoutdesserts" textlink="">
      <xdr:nvSpPr>
        <xdr:cNvPr id="10" name="Rectangle 9"/>
        <xdr:cNvSpPr/>
      </xdr:nvSpPr>
      <xdr:spPr>
        <a:xfrm>
          <a:off x="2076450" y="66675"/>
          <a:ext cx="1143000" cy="4572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17</xdr:row>
      <xdr:rowOff>161925</xdr:rowOff>
    </xdr:from>
    <xdr:to>
      <xdr:col>3</xdr:col>
      <xdr:colOff>504825</xdr:colOff>
      <xdr:row>19</xdr:row>
      <xdr:rowOff>57150</xdr:rowOff>
    </xdr:to>
    <xdr:sp macro="[0]!Ajoutdesserts" textlink="">
      <xdr:nvSpPr>
        <xdr:cNvPr id="11" name="ZoneTexte 10"/>
        <xdr:cNvSpPr txBox="1"/>
      </xdr:nvSpPr>
      <xdr:spPr>
        <a:xfrm>
          <a:off x="2152650" y="161925"/>
          <a:ext cx="990600" cy="276225"/>
        </a:xfrm>
        <a:prstGeom prst="rect">
          <a:avLst/>
        </a:prstGeom>
        <a:solidFill>
          <a:schemeClr val="accent2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saisie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2</xdr:row>
          <xdr:rowOff>142875</xdr:rowOff>
        </xdr:from>
        <xdr:to>
          <xdr:col>5</xdr:col>
          <xdr:colOff>352425</xdr:colOff>
          <xdr:row>3</xdr:row>
          <xdr:rowOff>304800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 prix du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17</xdr:row>
          <xdr:rowOff>57150</xdr:rowOff>
        </xdr:from>
        <xdr:to>
          <xdr:col>2</xdr:col>
          <xdr:colOff>390525</xdr:colOff>
          <xdr:row>21</xdr:row>
          <xdr:rowOff>57150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 prix en ticket d'un aliment 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aliment à la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5:M12" totalsRowShown="0">
  <autoFilter ref="A5:M12">
    <filterColumn colId="0" hiddenButton="1"/>
    <filterColumn colId="2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1" hiddenButton="1"/>
    <filterColumn colId="12" hiddenButton="1"/>
  </autoFilter>
  <tableColumns count="13">
    <tableColumn id="1" name="Type d'entrée"/>
    <tableColumn id="2" name="Nom de l'entrée"/>
    <tableColumn id="14" name="Prix en ticket"/>
    <tableColumn id="15" name="Portions prévues"/>
    <tableColumn id="3" name="Coût de revient forfaitaire"/>
    <tableColumn id="4" name="Coût de revient total" dataDxfId="89">
      <calculatedColumnFormula>Tableau3[[#This Row],[Coût de revient forfaitaire]]*Tableau3[[#This Row],[Portions prévues]]</calculatedColumnFormula>
    </tableColumn>
    <tableColumn id="6" name="Auto-conso"/>
    <tableColumn id="8" name="Portions stockées"/>
    <tableColumn id="9" name="Portions vendues INTERNE"/>
    <tableColumn id="13" name="Portions vendues EXTERNE"/>
    <tableColumn id="16" name="Portions jetées" dataDxfId="88">
      <calculatedColumnFormula>Tableau3[[#This Row],[Portions prévues]]-Tableau3[[#This Row],[Auto-conso]]-Tableau3[[#This Row],[Portions vendues INTERNE]]-Tableau3[[#This Row],[Portions vendues EXTERNE]]</calculatedColumnFormula>
    </tableColumn>
    <tableColumn id="10" name="Portions prise en compte pour le coût" dataDxfId="87">
      <calculatedColumnFormula>Tableau3[[#This Row],[Portions prévues]]-Tableau3[[#This Row],[Portions stockées]]</calculatedColumnFormula>
    </tableColumn>
    <tableColumn id="12" name="CA TTC" dataDxfId="86">
      <calculatedColumnFormula>Tableau3[[#This Row],[Prix en ticket]]*Tickets!$C$3*Tableau3[[#This Row],[Portions vendues INTERNE]]+Tableau3[[#This Row],[Prix en ticket]]*Tickets!$C$4*Tableau3[[#This Row],[Portions vendues EXTERNE]]-Tableau3[[#This Row],[Coût de revient total]]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6" name="Tableau37" displayName="Tableau37" ref="A68:M75" totalsRowShown="0">
  <autoFilter ref="A68:M75"/>
  <tableColumns count="13">
    <tableColumn id="1" name="Type d'entrée"/>
    <tableColumn id="2" name="Nom de l'entrée"/>
    <tableColumn id="14" name="Prix en ticket"/>
    <tableColumn id="15" name="Portions prévues"/>
    <tableColumn id="3" name="Coût de revient forfaitaire"/>
    <tableColumn id="4" name="Coût de revient total" dataDxfId="85">
      <calculatedColumnFormula>Tableau37[[#This Row],[Coût de revient forfaitaire]]*Tableau37[[#This Row],[Portions prévues]]</calculatedColumnFormula>
    </tableColumn>
    <tableColumn id="6" name="Auto-conso"/>
    <tableColumn id="8" name="Portions stockées"/>
    <tableColumn id="9" name="Portions vendues INTERNE"/>
    <tableColumn id="13" name="Portions vendues EXTERNE"/>
    <tableColumn id="16" name="Portions jetées" dataDxfId="84">
      <calculatedColumnFormula>Tableau37[[#This Row],[Portions prévues]]-Tableau37[[#This Row],[Auto-conso]]-Tableau37[[#This Row],[Portions vendues INTERNE]]-Tableau37[[#This Row],[Portions vendues EXTERNE]]</calculatedColumnFormula>
    </tableColumn>
    <tableColumn id="10" name="Portions prise en compte pour le coût" dataDxfId="83">
      <calculatedColumnFormula>Tableau37[[#This Row],[Portions prévues]]-Tableau37[[#This Row],[Portions stockées]]</calculatedColumnFormula>
    </tableColumn>
    <tableColumn id="12" name="CA TTC" dataDxfId="82">
      <calculatedColumnFormula>Tableau37[[#This Row],[Prix en ticket]]*Tickets!$C$3*Tableau37[[#This Row],[Portions vendues INTERNE]]+Tableau37[[#This Row],[Prix en ticket]]*Tickets!$C$4*Tableau37[[#This Row],[Portions vendues EXTERNE]]-Tableau37[[#This Row],[Coût de revient total]]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1" name="Tableau312" displayName="Tableau312" ref="A47:M54" totalsRowShown="0">
  <autoFilter ref="A47:M54"/>
  <tableColumns count="13">
    <tableColumn id="1" name="Type d'entrée"/>
    <tableColumn id="2" name="Nom de l'entrée"/>
    <tableColumn id="14" name="Prix en ticket"/>
    <tableColumn id="15" name="Portions prévues"/>
    <tableColumn id="3" name="Coût de revient forfaitaire"/>
    <tableColumn id="4" name="Coût de revient total" dataDxfId="81">
      <calculatedColumnFormula>Tableau312[[#This Row],[Coût de revient forfaitaire]]*Tableau312[[#This Row],[Portions prévues]]</calculatedColumnFormula>
    </tableColumn>
    <tableColumn id="6" name="Auto-conso"/>
    <tableColumn id="8" name="Portions stockées"/>
    <tableColumn id="9" name="Portions vendues INTERNE"/>
    <tableColumn id="13" name="Portions vendues EXTERNE"/>
    <tableColumn id="16" name="Portions jetées" dataDxfId="80">
      <calculatedColumnFormula>Tableau312[[#This Row],[Portions prévues]]-Tableau312[[#This Row],[Auto-conso]]-Tableau312[[#This Row],[Portions vendues INTERNE]]-Tableau312[[#This Row],[Portions vendues EXTERNE]]</calculatedColumnFormula>
    </tableColumn>
    <tableColumn id="10" name="Portions prise en compte pour le coût" dataDxfId="79">
      <calculatedColumnFormula>Tableau312[[#This Row],[Portions prévues]]-Tableau312[[#This Row],[Portions stockées]]</calculatedColumnFormula>
    </tableColumn>
    <tableColumn id="12" name="CA TTC" dataDxfId="78">
      <calculatedColumnFormula>Tableau312[[#This Row],[Prix en ticket]]*Tickets!$C$3*Tableau312[[#This Row],[Portions vendues INTERNE]]+Tableau312[[#This Row],[Prix en ticket]]*Tickets!$C$4*Tableau312[[#This Row],[Portions vendues EXTERNE]]-Tableau312[[#This Row],[Coût de revient total]]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3" name="Tableau314" displayName="Tableau314" ref="A26:M33" totalsRowShown="0">
  <autoFilter ref="A26:M33"/>
  <tableColumns count="13">
    <tableColumn id="1" name="Type d'entrée"/>
    <tableColumn id="2" name="Nom de l'entrée"/>
    <tableColumn id="14" name="Prix en ticket"/>
    <tableColumn id="15" name="Portions prévues"/>
    <tableColumn id="3" name="Coût de revient forfaitaire"/>
    <tableColumn id="4" name="Coût de revient total" dataDxfId="77">
      <calculatedColumnFormula>Tableau314[[#This Row],[Coût de revient forfaitaire]]*Tableau314[[#This Row],[Portions prévues]]</calculatedColumnFormula>
    </tableColumn>
    <tableColumn id="6" name="Auto-conso"/>
    <tableColumn id="8" name="Portions stockées"/>
    <tableColumn id="9" name="Portions vendues INTERNE"/>
    <tableColumn id="13" name="Portions vendues EXTERNE"/>
    <tableColumn id="16" name="Portions jetées" dataDxfId="76">
      <calculatedColumnFormula>Tableau314[[#This Row],[Portions prévues]]-Tableau314[[#This Row],[Auto-conso]]-Tableau314[[#This Row],[Portions vendues INTERNE]]-Tableau314[[#This Row],[Portions vendues EXTERNE]]</calculatedColumnFormula>
    </tableColumn>
    <tableColumn id="10" name="Portions prise en compte pour le coût" dataDxfId="75">
      <calculatedColumnFormula>Tableau314[[#This Row],[Portions prévues]]-Tableau314[[#This Row],[Portions stockées]]</calculatedColumnFormula>
    </tableColumn>
    <tableColumn id="12" name="CA TTC" dataDxfId="74">
      <calculatedColumnFormula>Tableau314[[#This Row],[Prix en ticket]]*Tickets!$C$3*Tableau314[[#This Row],[Portions vendues INTERNE]]+Tableau314[[#This Row],[Prix en ticket]]*Tickets!$C$4*Tableau314[[#This Row],[Portions vendues EXTERNE]]-Tableau314[[#This Row],[Coût de revient total]]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B5:O21" headerRowDxfId="73">
  <autoFilter ref="B5:O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étail" totalsRowLabel="Total"/>
    <tableColumn id="2" name="Quantité achetée (en kg)" dataDxfId="72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71">
      <calculatedColumnFormula>Tableau1[[#This Row],[Portions prévues]]-Tableau1[[#This Row],[Auto-conso]]-Tableau1[[#This Row],[Portions vendues INTERNES]]-Tableau1[[#This Row],[Portions vendues EXTERNES]]</calculatedColumnFormula>
    </tableColumn>
    <tableColumn id="12" name="Portions prises en compte dans le coût" dataDxfId="70" totalsRowDxfId="69">
      <calculatedColumnFormula>Tableau1[[#This Row],[Portions prévues]]-Tableau1[[#This Row],[Portions stockées (frigo)]]</calculatedColumnFormula>
    </tableColumn>
    <tableColumn id="9" name="Coût de revient total" dataDxfId="68">
      <calculatedColumnFormula>Tableau1[[#This Row],[Portions prises en compte dans le coût]]*#REF!</calculatedColumnFormula>
    </tableColumn>
    <tableColumn id="10" name="CA (TTC)" totalsRowFunction="count" dataDxfId="67">
      <calculatedColumnFormula>1.35*Tableau1[[#This Row],[Portions vendues INTERNES]]+2.35*Tableau1[[#This Row],[Portions vendues EXTERNES]]-Tableau1[[#This Row],[Coût de revient total]]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5" name="Tableau116" displayName="Tableau116" ref="B142:O158" headerRowDxfId="66">
  <autoFilter ref="B142:O158"/>
  <tableColumns count="14">
    <tableColumn id="1" name="Détail" totalsRowLabel="Total"/>
    <tableColumn id="2" name="Quantité achetée (en kg)" dataDxfId="65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64">
      <calculatedColumnFormula>Tableau116[[#This Row],[Portions prévues]]-Tableau116[[#This Row],[Auto-conso]]-Tableau116[[#This Row],[Portions vendues INTERNES]]-Tableau116[[#This Row],[Portions vendues EXTERNES]]</calculatedColumnFormula>
    </tableColumn>
    <tableColumn id="12" name="Portions prises en compte dans le coût" dataDxfId="63" totalsRowDxfId="62">
      <calculatedColumnFormula>Tableau116[[#This Row],[Portions prévues]]-Tableau116[[#This Row],[Portions stockées (frigo)]]</calculatedColumnFormula>
    </tableColumn>
    <tableColumn id="9" name="Coût de revient total" dataDxfId="61">
      <calculatedColumnFormula>Tableau116[[#This Row],[Portions prises en compte dans le coût]]*#REF!</calculatedColumnFormula>
    </tableColumn>
    <tableColumn id="10" name="CA (TTC)" totalsRowFunction="count" dataDxfId="60">
      <calculatedColumnFormula>1.35*Tableau116[[#This Row],[Portions vendues INTERNES]]+2.35*Tableau116[[#This Row],[Portions vendues EXTERNES]]-Tableau116[[#This Row],[Coût de revient total]]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6" name="Tableau117" displayName="Tableau117" ref="B119:O135" headerRowDxfId="59">
  <autoFilter ref="B119:O135"/>
  <tableColumns count="14">
    <tableColumn id="1" name="Détail" totalsRowLabel="Total"/>
    <tableColumn id="2" name="Quantité achetée (en kg)" dataDxfId="58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57">
      <calculatedColumnFormula>Tableau117[[#This Row],[Portions prévues]]-Tableau117[[#This Row],[Auto-conso]]-Tableau117[[#This Row],[Portions vendues INTERNES]]-Tableau117[[#This Row],[Portions vendues EXTERNES]]</calculatedColumnFormula>
    </tableColumn>
    <tableColumn id="12" name="Portions prises en compte dans le coût" dataDxfId="56" totalsRowDxfId="55">
      <calculatedColumnFormula>Tableau117[[#This Row],[Portions prévues]]-Tableau117[[#This Row],[Portions stockées (frigo)]]</calculatedColumnFormula>
    </tableColumn>
    <tableColumn id="9" name="Coût de revient total" dataDxfId="54">
      <calculatedColumnFormula>Tableau117[[#This Row],[Portions prises en compte dans le coût]]*#REF!</calculatedColumnFormula>
    </tableColumn>
    <tableColumn id="10" name="CA (TTC)" totalsRowFunction="count" dataDxfId="53">
      <calculatedColumnFormula>1.35*Tableau117[[#This Row],[Portions vendues INTERNES]]+2.35*Tableau117[[#This Row],[Portions vendues EXTERNES]]-Tableau117[[#This Row],[Coût de revient total]]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7" name="Tableau118" displayName="Tableau118" ref="B96:O112" headerRowDxfId="52">
  <autoFilter ref="B96:O112"/>
  <tableColumns count="14">
    <tableColumn id="1" name="Détail" totalsRowLabel="Total"/>
    <tableColumn id="2" name="Quantité achetée (en kg)" dataDxfId="51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50">
      <calculatedColumnFormula>Tableau118[[#This Row],[Portions prévues]]-Tableau118[[#This Row],[Auto-conso]]-Tableau118[[#This Row],[Portions vendues INTERNES]]-Tableau118[[#This Row],[Portions vendues EXTERNES]]</calculatedColumnFormula>
    </tableColumn>
    <tableColumn id="12" name="Portions prises en compte dans le coût" dataDxfId="49" totalsRowDxfId="48">
      <calculatedColumnFormula>Tableau118[[#This Row],[Portions prévues]]-Tableau118[[#This Row],[Portions stockées (frigo)]]</calculatedColumnFormula>
    </tableColumn>
    <tableColumn id="9" name="Coût de revient total" dataDxfId="47">
      <calculatedColumnFormula>Tableau118[[#This Row],[Portions prises en compte dans le coût]]*#REF!</calculatedColumnFormula>
    </tableColumn>
    <tableColumn id="10" name="CA (TTC)" totalsRowFunction="count" dataDxfId="46">
      <calculatedColumnFormula>1.35*Tableau118[[#This Row],[Portions vendues INTERNES]]+2.35*Tableau118[[#This Row],[Portions vendues EXTERNES]]-Tableau118[[#This Row],[Coût de revient total]]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4" name="Tableau115" displayName="Tableau115" ref="B73:O89" headerRowDxfId="45">
  <autoFilter ref="B73:O89"/>
  <tableColumns count="14">
    <tableColumn id="1" name="Détail" totalsRowLabel="Total"/>
    <tableColumn id="2" name="Quantité achetée (en kg)" dataDxfId="44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43">
      <calculatedColumnFormula>Tableau115[[#This Row],[Portions prévues]]-Tableau115[[#This Row],[Auto-conso]]-Tableau115[[#This Row],[Portions vendues INTERNES]]-Tableau115[[#This Row],[Portions vendues EXTERNES]]</calculatedColumnFormula>
    </tableColumn>
    <tableColumn id="12" name="Portions prises en compte dans le coût" dataDxfId="42" totalsRowDxfId="41">
      <calculatedColumnFormula>Tableau115[[#This Row],[Portions prévues]]-Tableau115[[#This Row],[Portions stockées (frigo)]]</calculatedColumnFormula>
    </tableColumn>
    <tableColumn id="9" name="Coût de revient total" dataDxfId="40">
      <calculatedColumnFormula>Tableau115[[#This Row],[Portions prises en compte dans le coût]]*#REF!</calculatedColumnFormula>
    </tableColumn>
    <tableColumn id="10" name="CA (TTC)" totalsRowFunction="count" dataDxfId="39">
      <calculatedColumnFormula>1.35*Tableau115[[#This Row],[Portions vendues INTERNES]]+2.35*Tableau115[[#This Row],[Portions vendues EXTERNES]]-Tableau115[[#This Row],[Coût de revient total]]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leau120" displayName="Tableau120" ref="B50:O66" headerRowDxfId="13">
  <autoFilter ref="B50:O66"/>
  <tableColumns count="14">
    <tableColumn id="1" name="Détail" totalsRowLabel="Total"/>
    <tableColumn id="2" name="Quantité achetée (en kg)" dataDxfId="12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11">
      <calculatedColumnFormula>Tableau120[[#This Row],[Portions prévues]]-Tableau120[[#This Row],[Auto-conso]]-Tableau120[[#This Row],[Portions vendues INTERNES]]-Tableau120[[#This Row],[Portions vendues EXTERNES]]</calculatedColumnFormula>
    </tableColumn>
    <tableColumn id="12" name="Portions prises en compte dans le coût" dataDxfId="9" totalsRowDxfId="10">
      <calculatedColumnFormula>Tableau120[[#This Row],[Portions prévues]]-Tableau120[[#This Row],[Portions stockées (frigo)]]</calculatedColumnFormula>
    </tableColumn>
    <tableColumn id="9" name="Coût de revient total" dataDxfId="8">
      <calculatedColumnFormula>Tableau120[[#This Row],[Portions prises en compte dans le coût]]*#REF!</calculatedColumnFormula>
    </tableColumn>
    <tableColumn id="10" name="CA (TTC)" totalsRowFunction="count" dataDxfId="7">
      <calculatedColumnFormula>1.35*Tableau120[[#This Row],[Portions vendues INTERNES]]+2.35*Tableau120[[#This Row],[Portions vendues EXTERNES]]-Tableau120[[#This Row],[Coût de revient total]]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4" name="Tableau125" displayName="Tableau125" ref="B27:O43" headerRowDxfId="6">
  <autoFilter ref="B27:O43"/>
  <tableColumns count="14">
    <tableColumn id="1" name="Détail" totalsRowLabel="Total"/>
    <tableColumn id="2" name="Quantité achetée (en kg)" dataDxfId="5"/>
    <tableColumn id="3" name="Prix d'achat TTC"/>
    <tableColumn id="5" name="Portions prévues"/>
    <tableColumn id="14" name="Coût de revient /plats"/>
    <tableColumn id="6" name="Auto-conso"/>
    <tableColumn id="13" name="Portions stockées (frigo)"/>
    <tableColumn id="4" name="Portions vendues INTERNES"/>
    <tableColumn id="8" name="Portions vendues EXTERNES"/>
    <tableColumn id="7" name="Prix en tickets"/>
    <tableColumn id="11" name="Portions jetées" dataDxfId="4">
      <calculatedColumnFormula>Tableau125[[#This Row],[Portions prévues]]-Tableau125[[#This Row],[Auto-conso]]-Tableau125[[#This Row],[Portions vendues INTERNES]]-Tableau125[[#This Row],[Portions vendues EXTERNES]]</calculatedColumnFormula>
    </tableColumn>
    <tableColumn id="12" name="Portions prises en compte dans le coût" dataDxfId="2" totalsRowDxfId="3">
      <calculatedColumnFormula>Tableau125[[#This Row],[Portions prévues]]-Tableau125[[#This Row],[Portions stockées (frigo)]]</calculatedColumnFormula>
    </tableColumn>
    <tableColumn id="9" name="Coût de revient total" dataDxfId="1">
      <calculatedColumnFormula>Tableau125[[#This Row],[Portions prises en compte dans le coût]]*#REF!</calculatedColumnFormula>
    </tableColumn>
    <tableColumn id="10" name="CA (TTC)" totalsRowFunction="count" dataDxfId="0">
      <calculatedColumnFormula>1.35*Tableau125[[#This Row],[Portions vendues INTERNES]]+2.35*Tableau125[[#This Row],[Portions vendues EXTERNES]]-Tableau125[[#This Row],[Coût de revient total]]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0" name="Tableau4" displayName="Tableau4" ref="A5:L11" totalsRowShown="0" headerRowDxfId="38">
  <autoFilter ref="A5:L11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Tableau4[[#This Row],[Portions prévues]]*Tableau4[[#This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37">
      <calculatedColumnFormula>Tableau4[[#This Row],[Portions prévues]]-Tableau4[[#This Row],[Auto-consommation]]-Tableau4[[#This Row],[Portions vendues INTERNE]]-Tableau4[[#This Row],[Portions vendues EXTERNE]]</calculatedColumnFormula>
    </tableColumn>
    <tableColumn id="11" name="Portions prise en compte pour le coût" dataDxfId="36">
      <calculatedColumnFormula>Tableau4[[#This Row],[Portions prévues]]-Tableau4[[#This Row],[Portions stockées]]</calculatedColumnFormula>
    </tableColumn>
    <tableColumn id="12" name="CA TTC" dataDxfId="35">
      <calculatedColumnFormula>1.35*Tableau4[[#This Row],[Portions vendues INTERNE]]+2.35*Tableau4[[#This Row],[Portions vendues EXTERNE]]-Tableau4[[#This Row],[Coût de revient total]]</calculatedColumnFormula>
    </tableColumn>
  </tableColumns>
  <tableStyleInfo name="TableStyleMedium3" showFirstColumn="0" showLastColumn="0" showRowStripes="1" showColumnStripes="0"/>
</table>
</file>

<file path=xl/tables/table13.xml><?xml version="1.0" encoding="utf-8"?>
<table xmlns="http://schemas.openxmlformats.org/spreadsheetml/2006/main" id="21" name="Tableau422" displayName="Tableau422" ref="A90:L96" totalsRowShown="0" headerRowDxfId="34">
  <autoFilter ref="A90:L96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Tableau422[[#This Row],[Portions prévues]]*Tableau422[[#This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33">
      <calculatedColumnFormula>Tableau422[[#This Row],[Portions prévues]]-Tableau422[[#This Row],[Auto-consommation]]-Tableau422[[#This Row],[Portions vendues INTERNE]]-Tableau422[[#This Row],[Portions vendues EXTERNE]]</calculatedColumnFormula>
    </tableColumn>
    <tableColumn id="11" name="Portions prise en compte pour le coût" dataDxfId="32">
      <calculatedColumnFormula>Tableau422[[#This Row],[Portions prévues]]-Tableau422[[#This Row],[Portions stockées]]</calculatedColumnFormula>
    </tableColumn>
    <tableColumn id="12" name="CA TTC" dataDxfId="31">
      <calculatedColumnFormula>1.35*Tableau422[[#This Row],[Portions vendues INTERNE]]+2.35*Tableau422[[#This Row],[Portions vendues EXTERNE]]-Tableau422[[#This Row],[Coût de revient total]]</calculatedColumnFormula>
    </tableColumn>
  </tableColumns>
  <tableStyleInfo name="TableStyleMedium3" showFirstColumn="0" showLastColumn="0" showRowStripes="1" showColumnStripes="0"/>
</table>
</file>

<file path=xl/tables/table14.xml><?xml version="1.0" encoding="utf-8"?>
<table xmlns="http://schemas.openxmlformats.org/spreadsheetml/2006/main" id="22" name="Tableau423" displayName="Tableau423" ref="A73:L79" totalsRowShown="0" headerRowDxfId="30">
  <autoFilter ref="A73:L79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Tableau423[[#This Row],[Portions prévues]]*Tableau423[[#This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29">
      <calculatedColumnFormula>Tableau423[[#This Row],[Portions prévues]]-Tableau423[[#This Row],[Auto-consommation]]-Tableau423[[#This Row],[Portions vendues INTERNE]]-Tableau423[[#This Row],[Portions vendues EXTERNE]]</calculatedColumnFormula>
    </tableColumn>
    <tableColumn id="11" name="Portions prise en compte pour le coût" dataDxfId="28">
      <calculatedColumnFormula>Tableau423[[#This Row],[Portions prévues]]-Tableau423[[#This Row],[Portions stockées]]</calculatedColumnFormula>
    </tableColumn>
    <tableColumn id="12" name="CA TTC" dataDxfId="27">
      <calculatedColumnFormula>1.35*Tableau423[[#This Row],[Portions vendues INTERNE]]+2.35*Tableau423[[#This Row],[Portions vendues EXTERNE]]-Tableau423[[#This Row],[Coût de revient total]]</calculatedColumnFormula>
    </tableColumn>
  </tableColumns>
  <tableStyleInfo name="TableStyleMedium3" showFirstColumn="0" showLastColumn="0" showRowStripes="1" showColumnStripes="0"/>
</table>
</file>

<file path=xl/tables/table15.xml><?xml version="1.0" encoding="utf-8"?>
<table xmlns="http://schemas.openxmlformats.org/spreadsheetml/2006/main" id="23" name="Tableau424" displayName="Tableau424" ref="A56:L62" totalsRowShown="0" headerRowDxfId="26">
  <autoFilter ref="A56:L62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Tableau424[[#This Row],[Portions prévues]]*Tableau424[[#This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25">
      <calculatedColumnFormula>Tableau424[[#This Row],[Portions prévues]]-Tableau424[[#This Row],[Auto-consommation]]-Tableau424[[#This Row],[Portions vendues INTERNE]]-Tableau424[[#This Row],[Portions vendues EXTERNE]]</calculatedColumnFormula>
    </tableColumn>
    <tableColumn id="11" name="Portions prise en compte pour le coût" dataDxfId="24">
      <calculatedColumnFormula>Tableau424[[#This Row],[Portions prévues]]-Tableau424[[#This Row],[Portions stockées]]</calculatedColumnFormula>
    </tableColumn>
    <tableColumn id="12" name="CA TTC" dataDxfId="23">
      <calculatedColumnFormula>1.35*Tableau424[[#This Row],[Portions vendues INTERNE]]+2.35*Tableau424[[#This Row],[Portions vendues EXTERNE]]-Tableau424[[#This Row],[Coût de revient total]]</calculatedColumnFormula>
    </tableColumn>
  </tableColumns>
  <tableStyleInfo name="TableStyleMedium3" showFirstColumn="0" showLastColumn="0" showRowStripes="1" showColumnStripes="0"/>
</table>
</file>

<file path=xl/tables/table16.xml><?xml version="1.0" encoding="utf-8"?>
<table xmlns="http://schemas.openxmlformats.org/spreadsheetml/2006/main" id="4" name="Tableau45" displayName="Tableau45" ref="A39:L45" totalsRowShown="0" headerRowDxfId="22">
  <autoFilter ref="A39:L45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Tableau45[[#This Row],[Portions prévues]]*Tableau45[[#This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21">
      <calculatedColumnFormula>Tableau45[[#This Row],[Portions prévues]]-Tableau45[[#This Row],[Auto-consommation]]-Tableau45[[#This Row],[Portions vendues INTERNE]]-Tableau45[[#This Row],[Portions vendues EXTERNE]]</calculatedColumnFormula>
    </tableColumn>
    <tableColumn id="11" name="Portions prise en compte pour le coût" dataDxfId="20">
      <calculatedColumnFormula>Tableau45[[#This Row],[Portions prévues]]-Tableau45[[#This Row],[Portions stockées]]</calculatedColumnFormula>
    </tableColumn>
    <tableColumn id="12" name="CA TTC" dataDxfId="19">
      <calculatedColumnFormula>1.35*Tableau45[[#This Row],[Portions vendues INTERNE]]+2.35*Tableau45[[#This Row],[Portions vendues EXTERNE]]-Tableau45[[#This Row],[Coût de revient total]]</calculatedColumnFormula>
    </tableColumn>
  </tableColumns>
  <tableStyleInfo name="TableStyleMedium3" showFirstColumn="0" showLastColumn="0" showRowStripes="1" showColumnStripes="0"/>
</table>
</file>

<file path=xl/tables/table17.xml><?xml version="1.0" encoding="utf-8"?>
<table xmlns="http://schemas.openxmlformats.org/spreadsheetml/2006/main" id="18" name="Tableau419" displayName="Tableau419" ref="A22:L28" totalsRowShown="0" headerRowDxfId="18">
  <autoFilter ref="A22:L28"/>
  <tableColumns count="12">
    <tableColumn id="1" name="Type de dessert"/>
    <tableColumn id="2" name="Prix en tickets"/>
    <tableColumn id="3" name="Portions prévues"/>
    <tableColumn id="4" name="Coût de revient forfaitaire"/>
    <tableColumn id="5" name="Coût de revient total">
      <calculatedColumnFormula>Tableau419[[#This Row],[Portions prévues]]*Tableau419[[#This Row],[Coût de revient forfaitaire]]</calculatedColumnFormula>
    </tableColumn>
    <tableColumn id="6" name="Auto-consommation"/>
    <tableColumn id="8" name="Portions stockées"/>
    <tableColumn id="9" name="Portions vendues INTERNE"/>
    <tableColumn id="10" name="Portions vendues EXTERNE"/>
    <tableColumn id="13" name="Portions jetées" dataDxfId="17">
      <calculatedColumnFormula>Tableau419[[#This Row],[Portions prévues]]-Tableau419[[#This Row],[Auto-consommation]]-Tableau419[[#This Row],[Portions vendues INTERNE]]-Tableau419[[#This Row],[Portions vendues EXTERNE]]</calculatedColumnFormula>
    </tableColumn>
    <tableColumn id="11" name="Portions prise en compte pour le coût" dataDxfId="16">
      <calculatedColumnFormula>Tableau419[[#This Row],[Portions prévues]]-Tableau419[[#This Row],[Portions stockées]]</calculatedColumnFormula>
    </tableColumn>
    <tableColumn id="12" name="CA TTC" dataDxfId="15">
      <calculatedColumnFormula>1.35*Tableau419[[#This Row],[Portions vendues INTERNE]]+2.35*Tableau419[[#This Row],[Portions vendues EXTERNE]]-Tableau419[[#This Row],[Coût de revient total]]</calculatedColumnFormula>
    </tableColumn>
  </tableColumns>
  <tableStyleInfo name="TableStyleMedium3" showFirstColumn="0" showLastColumn="0" showRowStripes="1" showColumnStripes="0"/>
</table>
</file>

<file path=xl/tables/table18.xml><?xml version="1.0" encoding="utf-8"?>
<table xmlns="http://schemas.openxmlformats.org/spreadsheetml/2006/main" id="5" name="Tableau5" displayName="Tableau5" ref="A5:B10" totalsRowShown="0">
  <autoFilter ref="A5:B10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" name="Tableau2" displayName="Tableau2" ref="B1:D14" totalsRowShown="0">
  <autoFilter ref="B1:D14"/>
  <tableColumns count="3">
    <tableColumn id="1" name="Viande ou Garniture"/>
    <tableColumn id="2" name="Quantité achetée en kg"/>
    <tableColumn id="3" name="Prix d'achat TTC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7" name="Tableau7" displayName="Tableau7" ref="E8:F13" totalsRowShown="0">
  <autoFilter ref="E8:F13"/>
  <tableColumns count="2">
    <tableColumn id="1" name="Type de Viande/_x000a_Poisson"/>
    <tableColumn id="2" name="Prix en_x000a_ tickets"/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8" name="Tableau8" displayName="Tableau8" ref="H8:I10" totalsRowShown="0">
  <autoFilter ref="H8:I10"/>
  <tableColumns count="2">
    <tableColumn id="1" name="Type de _x000a_garniture"/>
    <tableColumn id="2" name="Prix en _x000a_tickets"/>
  </tableColumns>
  <tableStyleInfo name="TableStyleLight9" showFirstColumn="0" showLastColumn="0" showRowStripes="1" showColumnStripes="0"/>
</table>
</file>

<file path=xl/tables/table22.xml><?xml version="1.0" encoding="utf-8"?>
<table xmlns="http://schemas.openxmlformats.org/spreadsheetml/2006/main" id="9" name="Tableau9" displayName="Tableau9" ref="B8:C16" totalsRowShown="0" headerRowDxfId="14">
  <autoFilter ref="B8:C16"/>
  <tableColumns count="2">
    <tableColumn id="1" name="Type d'entrées"/>
    <tableColumn id="2" name="Prix en _x000a_tickets"/>
  </tableColumns>
  <tableStyleInfo name="TableStyleLight14" showFirstColumn="0" showLastColumn="0" showRowStripes="1" showColumnStripes="0"/>
</table>
</file>

<file path=xl/tables/table23.xml><?xml version="1.0" encoding="utf-8"?>
<table xmlns="http://schemas.openxmlformats.org/spreadsheetml/2006/main" id="10" name="Tableau10" displayName="Tableau10" ref="K8:L14" totalsRowShown="0">
  <autoFilter ref="K8:L14"/>
  <tableColumns count="2">
    <tableColumn id="1" name="Type de _x000a_desserts"/>
    <tableColumn id="2" name="Prix en_x000a_ tickets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12" name="Tableau12" displayName="Tableau12" ref="N8:O9" totalsRowShown="0">
  <autoFilter ref="N8:O9"/>
  <tableColumns count="2">
    <tableColumn id="1" name="Type de _x000a_boisson"/>
    <tableColumn id="2" name="Prix en _x000a_ticket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7" Type="http://schemas.openxmlformats.org/officeDocument/2006/relationships/table" Target="../tables/table17.xml"/><Relationship Id="rId2" Type="http://schemas.openxmlformats.org/officeDocument/2006/relationships/table" Target="../tables/table12.xml"/><Relationship Id="rId1" Type="http://schemas.openxmlformats.org/officeDocument/2006/relationships/drawing" Target="../drawings/drawing3.xml"/><Relationship Id="rId6" Type="http://schemas.openxmlformats.org/officeDocument/2006/relationships/table" Target="../tables/table16.xml"/><Relationship Id="rId5" Type="http://schemas.openxmlformats.org/officeDocument/2006/relationships/table" Target="../tables/table15.xml"/><Relationship Id="rId4" Type="http://schemas.openxmlformats.org/officeDocument/2006/relationships/table" Target="../tables/table1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0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4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77"/>
  <sheetViews>
    <sheetView zoomScale="85" zoomScaleNormal="85" workbookViewId="0">
      <selection activeCell="A6" sqref="A6:A11"/>
    </sheetView>
  </sheetViews>
  <sheetFormatPr baseColWidth="10" defaultRowHeight="15" x14ac:dyDescent="0.25"/>
  <cols>
    <col min="1" max="2" width="21.7109375" customWidth="1"/>
    <col min="6" max="6" width="12.28515625" customWidth="1"/>
    <col min="7" max="7" width="12.7109375" customWidth="1"/>
    <col min="14" max="14" width="12.7109375" customWidth="1"/>
    <col min="15" max="15" width="12.85546875" customWidth="1"/>
  </cols>
  <sheetData>
    <row r="1" spans="1:17" x14ac:dyDescent="0.25">
      <c r="A1" s="1" t="s">
        <v>6</v>
      </c>
      <c r="B1" s="1">
        <f ca="1">TODAY()</f>
        <v>42432</v>
      </c>
      <c r="C1" s="1"/>
      <c r="D1" s="1"/>
      <c r="E1" s="1"/>
    </row>
    <row r="3" spans="1:17" x14ac:dyDescent="0.25">
      <c r="A3" s="8" t="s">
        <v>7</v>
      </c>
      <c r="B3" s="8"/>
    </row>
    <row r="4" spans="1:17" ht="30" x14ac:dyDescent="0.25">
      <c r="M4" s="19" t="s">
        <v>95</v>
      </c>
      <c r="N4" t="s">
        <v>56</v>
      </c>
    </row>
    <row r="5" spans="1:17" ht="75" x14ac:dyDescent="0.25">
      <c r="A5" t="s">
        <v>18</v>
      </c>
      <c r="B5" t="s">
        <v>66</v>
      </c>
      <c r="C5" s="3" t="s">
        <v>52</v>
      </c>
      <c r="D5" s="3" t="s">
        <v>33</v>
      </c>
      <c r="E5" s="3" t="s">
        <v>19</v>
      </c>
      <c r="F5" s="3" t="s">
        <v>53</v>
      </c>
      <c r="G5" s="3" t="s">
        <v>34</v>
      </c>
      <c r="H5" s="3" t="s">
        <v>48</v>
      </c>
      <c r="I5" s="3" t="s">
        <v>43</v>
      </c>
      <c r="J5" s="3" t="s">
        <v>44</v>
      </c>
      <c r="K5" s="3" t="s">
        <v>42</v>
      </c>
      <c r="L5" s="3" t="s">
        <v>49</v>
      </c>
      <c r="M5" s="3" t="s">
        <v>50</v>
      </c>
    </row>
    <row r="6" spans="1:17" x14ac:dyDescent="0.25">
      <c r="A6" t="s">
        <v>20</v>
      </c>
      <c r="F6">
        <f>Tableau3[[#This Row],[Coût de revient forfaitaire]]*Tableau3[[#This Row],[Portions prévues]]</f>
        <v>0</v>
      </c>
      <c r="K6">
        <f>Tableau3[[#This Row],[Portions prévues]]-Tableau3[[#This Row],[Auto-conso]]-Tableau3[[#This Row],[Portions vendues INTERNE]]-Tableau3[[#This Row],[Portions vendues EXTERNE]]</f>
        <v>0</v>
      </c>
      <c r="L6">
        <f>Tableau3[[#This Row],[Portions prévues]]-Tableau3[[#This Row],[Portions stockées]]</f>
        <v>0</v>
      </c>
      <c r="M6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7" spans="1:17" x14ac:dyDescent="0.25">
      <c r="A7" t="s">
        <v>22</v>
      </c>
      <c r="F7">
        <f>Tableau3[[#This Row],[Coût de revient forfaitaire]]*Tableau3[[#This Row],[Portions prévues]]</f>
        <v>0</v>
      </c>
      <c r="K7">
        <f>Tableau3[[#This Row],[Portions prévues]]-Tableau3[[#This Row],[Auto-conso]]-Tableau3[[#This Row],[Portions vendues INTERNE]]-Tableau3[[#This Row],[Portions vendues EXTERNE]]</f>
        <v>0</v>
      </c>
      <c r="L7">
        <f>Tableau3[[#This Row],[Portions prévues]]-Tableau3[[#This Row],[Portions stockées]]</f>
        <v>0</v>
      </c>
      <c r="M7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8" spans="1:17" x14ac:dyDescent="0.25">
      <c r="A8" t="s">
        <v>23</v>
      </c>
      <c r="F8">
        <f>Tableau3[[#This Row],[Coût de revient forfaitaire]]*Tableau3[[#This Row],[Portions prévues]]</f>
        <v>0</v>
      </c>
      <c r="K8">
        <f>Tableau3[[#This Row],[Portions prévues]]-Tableau3[[#This Row],[Auto-conso]]-Tableau3[[#This Row],[Portions vendues INTERNE]]-Tableau3[[#This Row],[Portions vendues EXTERNE]]</f>
        <v>0</v>
      </c>
      <c r="L8">
        <f>Tableau3[[#This Row],[Portions prévues]]-Tableau3[[#This Row],[Portions stockées]]</f>
        <v>0</v>
      </c>
      <c r="M8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9" spans="1:17" x14ac:dyDescent="0.25">
      <c r="A9" t="s">
        <v>24</v>
      </c>
      <c r="F9">
        <f>Tableau3[[#This Row],[Coût de revient forfaitaire]]*Tableau3[[#This Row],[Portions prévues]]</f>
        <v>0</v>
      </c>
      <c r="K9">
        <f>Tableau3[[#This Row],[Portions prévues]]-Tableau3[[#This Row],[Auto-conso]]-Tableau3[[#This Row],[Portions vendues INTERNE]]-Tableau3[[#This Row],[Portions vendues EXTERNE]]</f>
        <v>0</v>
      </c>
      <c r="L9">
        <f>Tableau3[[#This Row],[Portions prévues]]-Tableau3[[#This Row],[Portions stockées]]</f>
        <v>0</v>
      </c>
      <c r="M9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10" spans="1:17" x14ac:dyDescent="0.25">
      <c r="A10" t="s">
        <v>21</v>
      </c>
      <c r="F10">
        <f>Tableau3[[#This Row],[Coût de revient forfaitaire]]*Tableau3[[#This Row],[Portions prévues]]</f>
        <v>0</v>
      </c>
      <c r="K10">
        <f>Tableau3[[#This Row],[Portions prévues]]-Tableau3[[#This Row],[Auto-conso]]-Tableau3[[#This Row],[Portions vendues INTERNE]]-Tableau3[[#This Row],[Portions vendues EXTERNE]]</f>
        <v>0</v>
      </c>
      <c r="L10">
        <f>Tableau3[[#This Row],[Portions prévues]]-Tableau3[[#This Row],[Portions stockées]]</f>
        <v>0</v>
      </c>
      <c r="M10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11" spans="1:17" x14ac:dyDescent="0.25">
      <c r="A11" t="s">
        <v>25</v>
      </c>
      <c r="F11">
        <f>Tableau3[[#This Row],[Coût de revient forfaitaire]]*Tableau3[[#This Row],[Portions prévues]]</f>
        <v>0</v>
      </c>
      <c r="K11">
        <f>Tableau3[[#This Row],[Portions prévues]]-Tableau3[[#This Row],[Auto-conso]]-Tableau3[[#This Row],[Portions vendues INTERNE]]-Tableau3[[#This Row],[Portions vendues EXTERNE]]</f>
        <v>0</v>
      </c>
      <c r="L11">
        <f>Tableau3[[#This Row],[Portions prévues]]-Tableau3[[#This Row],[Portions stockées]]</f>
        <v>0</v>
      </c>
      <c r="M11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12" spans="1:17" x14ac:dyDescent="0.25">
      <c r="F12">
        <f>Tableau3[[#This Row],[Coût de revient forfaitaire]]*Tableau3[[#This Row],[Portions prévues]]</f>
        <v>0</v>
      </c>
      <c r="K12">
        <f>Tableau3[[#This Row],[Portions prévues]]-Tableau3[[#This Row],[Auto-conso]]-Tableau3[[#This Row],[Portions vendues INTERNE]]-Tableau3[[#This Row],[Portions vendues EXTERNE]]</f>
        <v>0</v>
      </c>
      <c r="L12">
        <f>Tableau3[[#This Row],[Portions prévues]]-Tableau3[[#This Row],[Portions stockées]]</f>
        <v>0</v>
      </c>
      <c r="M12">
        <f>Tableau3[[#This Row],[Prix en ticket]]*Tickets!$C$3*Tableau3[[#This Row],[Portions vendues INTERNE]]+Tableau3[[#This Row],[Prix en ticket]]*Tickets!$C$4*Tableau3[[#This Row],[Portions vendues EXTERNE]]-Tableau3[[#This Row],[Coût de revient total]]</f>
        <v>0</v>
      </c>
    </row>
    <row r="14" spans="1:17" ht="27.75" customHeight="1" x14ac:dyDescent="0.25">
      <c r="D14" s="2" t="s">
        <v>60</v>
      </c>
      <c r="E14" s="2" t="s">
        <v>60</v>
      </c>
      <c r="F14" t="s">
        <v>51</v>
      </c>
      <c r="G14" s="2" t="s">
        <v>60</v>
      </c>
      <c r="H14" s="2" t="s">
        <v>60</v>
      </c>
      <c r="I14" s="2" t="s">
        <v>60</v>
      </c>
      <c r="J14" s="2" t="s">
        <v>60</v>
      </c>
      <c r="K14" s="2" t="s">
        <v>51</v>
      </c>
      <c r="L14" s="2" t="s">
        <v>51</v>
      </c>
      <c r="M14" s="2" t="s">
        <v>51</v>
      </c>
      <c r="P14" s="2"/>
      <c r="Q14" s="2"/>
    </row>
    <row r="22" spans="1:13" x14ac:dyDescent="0.25">
      <c r="A22" s="1" t="s">
        <v>6</v>
      </c>
      <c r="B22" s="1">
        <f ca="1">TODAY()</f>
        <v>42432</v>
      </c>
      <c r="C22" s="1"/>
      <c r="D22" s="1"/>
      <c r="E22" s="1"/>
    </row>
    <row r="24" spans="1:13" x14ac:dyDescent="0.25">
      <c r="A24" s="8" t="s">
        <v>7</v>
      </c>
      <c r="B24" s="8"/>
    </row>
    <row r="25" spans="1:13" ht="30" x14ac:dyDescent="0.25">
      <c r="M25" s="19" t="s">
        <v>95</v>
      </c>
    </row>
    <row r="26" spans="1:13" ht="75" x14ac:dyDescent="0.25">
      <c r="A26" t="s">
        <v>18</v>
      </c>
      <c r="B26" t="s">
        <v>66</v>
      </c>
      <c r="C26" s="3" t="s">
        <v>52</v>
      </c>
      <c r="D26" s="3" t="s">
        <v>33</v>
      </c>
      <c r="E26" s="3" t="s">
        <v>19</v>
      </c>
      <c r="F26" s="3" t="s">
        <v>53</v>
      </c>
      <c r="G26" s="3" t="s">
        <v>34</v>
      </c>
      <c r="H26" s="3" t="s">
        <v>48</v>
      </c>
      <c r="I26" s="3" t="s">
        <v>43</v>
      </c>
      <c r="J26" s="3" t="s">
        <v>44</v>
      </c>
      <c r="K26" s="3" t="s">
        <v>42</v>
      </c>
      <c r="L26" s="3" t="s">
        <v>49</v>
      </c>
      <c r="M26" s="3" t="s">
        <v>50</v>
      </c>
    </row>
    <row r="27" spans="1:13" x14ac:dyDescent="0.25">
      <c r="A27" t="s">
        <v>20</v>
      </c>
      <c r="F27">
        <f>Tableau314[[#This Row],[Coût de revient forfaitaire]]*Tableau314[[#This Row],[Portions prévues]]</f>
        <v>0</v>
      </c>
      <c r="K27">
        <f>Tableau314[[#This Row],[Portions prévues]]-Tableau314[[#This Row],[Auto-conso]]-Tableau314[[#This Row],[Portions vendues INTERNE]]-Tableau314[[#This Row],[Portions vendues EXTERNE]]</f>
        <v>0</v>
      </c>
      <c r="L27">
        <f>Tableau314[[#This Row],[Portions prévues]]-Tableau314[[#This Row],[Portions stockées]]</f>
        <v>0</v>
      </c>
      <c r="M27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28" spans="1:13" x14ac:dyDescent="0.25">
      <c r="A28" t="s">
        <v>22</v>
      </c>
      <c r="F28">
        <f>Tableau314[[#This Row],[Coût de revient forfaitaire]]*Tableau314[[#This Row],[Portions prévues]]</f>
        <v>0</v>
      </c>
      <c r="K28">
        <f>Tableau314[[#This Row],[Portions prévues]]-Tableau314[[#This Row],[Auto-conso]]-Tableau314[[#This Row],[Portions vendues INTERNE]]-Tableau314[[#This Row],[Portions vendues EXTERNE]]</f>
        <v>0</v>
      </c>
      <c r="L28">
        <f>Tableau314[[#This Row],[Portions prévues]]-Tableau314[[#This Row],[Portions stockées]]</f>
        <v>0</v>
      </c>
      <c r="M28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29" spans="1:13" x14ac:dyDescent="0.25">
      <c r="A29" t="s">
        <v>23</v>
      </c>
      <c r="F29">
        <f>Tableau314[[#This Row],[Coût de revient forfaitaire]]*Tableau314[[#This Row],[Portions prévues]]</f>
        <v>0</v>
      </c>
      <c r="K29">
        <f>Tableau314[[#This Row],[Portions prévues]]-Tableau314[[#This Row],[Auto-conso]]-Tableau314[[#This Row],[Portions vendues INTERNE]]-Tableau314[[#This Row],[Portions vendues EXTERNE]]</f>
        <v>0</v>
      </c>
      <c r="L29">
        <f>Tableau314[[#This Row],[Portions prévues]]-Tableau314[[#This Row],[Portions stockées]]</f>
        <v>0</v>
      </c>
      <c r="M29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30" spans="1:13" x14ac:dyDescent="0.25">
      <c r="A30" t="s">
        <v>24</v>
      </c>
      <c r="F30">
        <f>Tableau314[[#This Row],[Coût de revient forfaitaire]]*Tableau314[[#This Row],[Portions prévues]]</f>
        <v>0</v>
      </c>
      <c r="K30">
        <f>Tableau314[[#This Row],[Portions prévues]]-Tableau314[[#This Row],[Auto-conso]]-Tableau314[[#This Row],[Portions vendues INTERNE]]-Tableau314[[#This Row],[Portions vendues EXTERNE]]</f>
        <v>0</v>
      </c>
      <c r="L30">
        <f>Tableau314[[#This Row],[Portions prévues]]-Tableau314[[#This Row],[Portions stockées]]</f>
        <v>0</v>
      </c>
      <c r="M30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31" spans="1:13" x14ac:dyDescent="0.25">
      <c r="A31" t="s">
        <v>21</v>
      </c>
      <c r="F31">
        <f>Tableau314[[#This Row],[Coût de revient forfaitaire]]*Tableau314[[#This Row],[Portions prévues]]</f>
        <v>0</v>
      </c>
      <c r="K31">
        <f>Tableau314[[#This Row],[Portions prévues]]-Tableau314[[#This Row],[Auto-conso]]-Tableau314[[#This Row],[Portions vendues INTERNE]]-Tableau314[[#This Row],[Portions vendues EXTERNE]]</f>
        <v>0</v>
      </c>
      <c r="L31">
        <f>Tableau314[[#This Row],[Portions prévues]]-Tableau314[[#This Row],[Portions stockées]]</f>
        <v>0</v>
      </c>
      <c r="M31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32" spans="1:13" x14ac:dyDescent="0.25">
      <c r="A32" t="s">
        <v>25</v>
      </c>
      <c r="F32">
        <f>Tableau314[[#This Row],[Coût de revient forfaitaire]]*Tableau314[[#This Row],[Portions prévues]]</f>
        <v>0</v>
      </c>
      <c r="K32">
        <f>Tableau314[[#This Row],[Portions prévues]]-Tableau314[[#This Row],[Auto-conso]]-Tableau314[[#This Row],[Portions vendues INTERNE]]-Tableau314[[#This Row],[Portions vendues EXTERNE]]</f>
        <v>0</v>
      </c>
      <c r="L32">
        <f>Tableau314[[#This Row],[Portions prévues]]-Tableau314[[#This Row],[Portions stockées]]</f>
        <v>0</v>
      </c>
      <c r="M32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33" spans="1:13" x14ac:dyDescent="0.25">
      <c r="F33">
        <f>Tableau314[[#This Row],[Coût de revient forfaitaire]]*Tableau314[[#This Row],[Portions prévues]]</f>
        <v>0</v>
      </c>
      <c r="K33">
        <f>Tableau314[[#This Row],[Portions prévues]]-Tableau314[[#This Row],[Auto-conso]]-Tableau314[[#This Row],[Portions vendues INTERNE]]-Tableau314[[#This Row],[Portions vendues EXTERNE]]</f>
        <v>0</v>
      </c>
      <c r="L33">
        <f>Tableau314[[#This Row],[Portions prévues]]-Tableau314[[#This Row],[Portions stockées]]</f>
        <v>0</v>
      </c>
      <c r="M33">
        <f>Tableau314[[#This Row],[Prix en ticket]]*Tickets!$C$3*Tableau314[[#This Row],[Portions vendues INTERNE]]+Tableau314[[#This Row],[Prix en ticket]]*Tickets!$C$4*Tableau314[[#This Row],[Portions vendues EXTERNE]]-Tableau314[[#This Row],[Coût de revient total]]</f>
        <v>0</v>
      </c>
    </row>
    <row r="35" spans="1:13" x14ac:dyDescent="0.25">
      <c r="D35" s="2" t="s">
        <v>60</v>
      </c>
      <c r="E35" s="2" t="s">
        <v>60</v>
      </c>
      <c r="F35" t="s">
        <v>51</v>
      </c>
      <c r="G35" s="2" t="s">
        <v>60</v>
      </c>
      <c r="H35" s="2" t="s">
        <v>60</v>
      </c>
      <c r="I35" s="2" t="s">
        <v>60</v>
      </c>
      <c r="J35" s="2" t="s">
        <v>60</v>
      </c>
      <c r="K35" s="2" t="s">
        <v>51</v>
      </c>
      <c r="L35" s="2" t="s">
        <v>51</v>
      </c>
      <c r="M35" s="2" t="s">
        <v>51</v>
      </c>
    </row>
    <row r="43" spans="1:13" x14ac:dyDescent="0.25">
      <c r="A43" s="1" t="s">
        <v>6</v>
      </c>
      <c r="B43" s="1">
        <f ca="1">TODAY()</f>
        <v>42432</v>
      </c>
      <c r="C43" s="1"/>
      <c r="D43" s="1"/>
      <c r="E43" s="1"/>
    </row>
    <row r="45" spans="1:13" x14ac:dyDescent="0.25">
      <c r="A45" s="8" t="s">
        <v>7</v>
      </c>
      <c r="B45" s="8"/>
    </row>
    <row r="46" spans="1:13" ht="30" x14ac:dyDescent="0.25">
      <c r="M46" s="19" t="s">
        <v>95</v>
      </c>
    </row>
    <row r="47" spans="1:13" ht="75" x14ac:dyDescent="0.25">
      <c r="A47" t="s">
        <v>18</v>
      </c>
      <c r="B47" t="s">
        <v>66</v>
      </c>
      <c r="C47" s="3" t="s">
        <v>52</v>
      </c>
      <c r="D47" s="3" t="s">
        <v>33</v>
      </c>
      <c r="E47" s="3" t="s">
        <v>19</v>
      </c>
      <c r="F47" s="3" t="s">
        <v>53</v>
      </c>
      <c r="G47" s="3" t="s">
        <v>34</v>
      </c>
      <c r="H47" s="3" t="s">
        <v>48</v>
      </c>
      <c r="I47" s="3" t="s">
        <v>43</v>
      </c>
      <c r="J47" s="3" t="s">
        <v>44</v>
      </c>
      <c r="K47" s="3" t="s">
        <v>42</v>
      </c>
      <c r="L47" s="3" t="s">
        <v>49</v>
      </c>
      <c r="M47" s="3" t="s">
        <v>50</v>
      </c>
    </row>
    <row r="48" spans="1:13" x14ac:dyDescent="0.25">
      <c r="A48" t="s">
        <v>20</v>
      </c>
      <c r="F48">
        <f>Tableau312[[#This Row],[Coût de revient forfaitaire]]*Tableau312[[#This Row],[Portions prévues]]</f>
        <v>0</v>
      </c>
      <c r="K48">
        <f>Tableau312[[#This Row],[Portions prévues]]-Tableau312[[#This Row],[Auto-conso]]-Tableau312[[#This Row],[Portions vendues INTERNE]]-Tableau312[[#This Row],[Portions vendues EXTERNE]]</f>
        <v>0</v>
      </c>
      <c r="L48">
        <f>Tableau312[[#This Row],[Portions prévues]]-Tableau312[[#This Row],[Portions stockées]]</f>
        <v>0</v>
      </c>
      <c r="M48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49" spans="1:13" x14ac:dyDescent="0.25">
      <c r="A49" t="s">
        <v>22</v>
      </c>
      <c r="F49">
        <f>Tableau312[[#This Row],[Coût de revient forfaitaire]]*Tableau312[[#This Row],[Portions prévues]]</f>
        <v>0</v>
      </c>
      <c r="K49">
        <f>Tableau312[[#This Row],[Portions prévues]]-Tableau312[[#This Row],[Auto-conso]]-Tableau312[[#This Row],[Portions vendues INTERNE]]-Tableau312[[#This Row],[Portions vendues EXTERNE]]</f>
        <v>0</v>
      </c>
      <c r="L49">
        <f>Tableau312[[#This Row],[Portions prévues]]-Tableau312[[#This Row],[Portions stockées]]</f>
        <v>0</v>
      </c>
      <c r="M49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0" spans="1:13" x14ac:dyDescent="0.25">
      <c r="A50" t="s">
        <v>23</v>
      </c>
      <c r="F50">
        <f>Tableau312[[#This Row],[Coût de revient forfaitaire]]*Tableau312[[#This Row],[Portions prévues]]</f>
        <v>0</v>
      </c>
      <c r="K50">
        <f>Tableau312[[#This Row],[Portions prévues]]-Tableau312[[#This Row],[Auto-conso]]-Tableau312[[#This Row],[Portions vendues INTERNE]]-Tableau312[[#This Row],[Portions vendues EXTERNE]]</f>
        <v>0</v>
      </c>
      <c r="L50">
        <f>Tableau312[[#This Row],[Portions prévues]]-Tableau312[[#This Row],[Portions stockées]]</f>
        <v>0</v>
      </c>
      <c r="M50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1" spans="1:13" x14ac:dyDescent="0.25">
      <c r="A51" t="s">
        <v>24</v>
      </c>
      <c r="F51">
        <f>Tableau312[[#This Row],[Coût de revient forfaitaire]]*Tableau312[[#This Row],[Portions prévues]]</f>
        <v>0</v>
      </c>
      <c r="K51">
        <f>Tableau312[[#This Row],[Portions prévues]]-Tableau312[[#This Row],[Auto-conso]]-Tableau312[[#This Row],[Portions vendues INTERNE]]-Tableau312[[#This Row],[Portions vendues EXTERNE]]</f>
        <v>0</v>
      </c>
      <c r="L51">
        <f>Tableau312[[#This Row],[Portions prévues]]-Tableau312[[#This Row],[Portions stockées]]</f>
        <v>0</v>
      </c>
      <c r="M51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2" spans="1:13" x14ac:dyDescent="0.25">
      <c r="A52" t="s">
        <v>21</v>
      </c>
      <c r="F52">
        <f>Tableau312[[#This Row],[Coût de revient forfaitaire]]*Tableau312[[#This Row],[Portions prévues]]</f>
        <v>0</v>
      </c>
      <c r="K52">
        <f>Tableau312[[#This Row],[Portions prévues]]-Tableau312[[#This Row],[Auto-conso]]-Tableau312[[#This Row],[Portions vendues INTERNE]]-Tableau312[[#This Row],[Portions vendues EXTERNE]]</f>
        <v>0</v>
      </c>
      <c r="L52">
        <f>Tableau312[[#This Row],[Portions prévues]]-Tableau312[[#This Row],[Portions stockées]]</f>
        <v>0</v>
      </c>
      <c r="M52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3" spans="1:13" x14ac:dyDescent="0.25">
      <c r="A53" t="s">
        <v>25</v>
      </c>
      <c r="F53">
        <f>Tableau312[[#This Row],[Coût de revient forfaitaire]]*Tableau312[[#This Row],[Portions prévues]]</f>
        <v>0</v>
      </c>
      <c r="K53">
        <f>Tableau312[[#This Row],[Portions prévues]]-Tableau312[[#This Row],[Auto-conso]]-Tableau312[[#This Row],[Portions vendues INTERNE]]-Tableau312[[#This Row],[Portions vendues EXTERNE]]</f>
        <v>0</v>
      </c>
      <c r="L53">
        <f>Tableau312[[#This Row],[Portions prévues]]-Tableau312[[#This Row],[Portions stockées]]</f>
        <v>0</v>
      </c>
      <c r="M53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4" spans="1:13" x14ac:dyDescent="0.25">
      <c r="F54">
        <f>Tableau312[[#This Row],[Coût de revient forfaitaire]]*Tableau312[[#This Row],[Portions prévues]]</f>
        <v>0</v>
      </c>
      <c r="K54">
        <f>Tableau312[[#This Row],[Portions prévues]]-Tableau312[[#This Row],[Auto-conso]]-Tableau312[[#This Row],[Portions vendues INTERNE]]-Tableau312[[#This Row],[Portions vendues EXTERNE]]</f>
        <v>0</v>
      </c>
      <c r="L54">
        <f>Tableau312[[#This Row],[Portions prévues]]-Tableau312[[#This Row],[Portions stockées]]</f>
        <v>0</v>
      </c>
      <c r="M54">
        <f>Tableau312[[#This Row],[Prix en ticket]]*Tickets!$C$3*Tableau312[[#This Row],[Portions vendues INTERNE]]+Tableau312[[#This Row],[Prix en ticket]]*Tickets!$C$4*Tableau312[[#This Row],[Portions vendues EXTERNE]]-Tableau312[[#This Row],[Coût de revient total]]</f>
        <v>0</v>
      </c>
    </row>
    <row r="56" spans="1:13" x14ac:dyDescent="0.25">
      <c r="D56" s="2" t="s">
        <v>60</v>
      </c>
      <c r="E56" s="2" t="s">
        <v>60</v>
      </c>
      <c r="F56" t="s">
        <v>51</v>
      </c>
      <c r="G56" s="2" t="s">
        <v>60</v>
      </c>
      <c r="H56" s="2" t="s">
        <v>60</v>
      </c>
      <c r="I56" s="2" t="s">
        <v>60</v>
      </c>
      <c r="J56" s="2" t="s">
        <v>60</v>
      </c>
      <c r="K56" s="2" t="s">
        <v>51</v>
      </c>
      <c r="L56" s="2" t="s">
        <v>51</v>
      </c>
      <c r="M56" s="2" t="s">
        <v>51</v>
      </c>
    </row>
    <row r="64" spans="1:13" x14ac:dyDescent="0.25">
      <c r="A64" s="1" t="s">
        <v>6</v>
      </c>
      <c r="B64" s="1">
        <f ca="1">TODAY()</f>
        <v>42432</v>
      </c>
      <c r="C64" s="1"/>
      <c r="D64" s="1"/>
      <c r="E64" s="1"/>
    </row>
    <row r="66" spans="1:13" x14ac:dyDescent="0.25">
      <c r="A66" s="8" t="s">
        <v>7</v>
      </c>
      <c r="B66" s="8"/>
    </row>
    <row r="67" spans="1:13" ht="30" x14ac:dyDescent="0.25">
      <c r="F67" t="s">
        <v>54</v>
      </c>
      <c r="M67" s="2" t="s">
        <v>55</v>
      </c>
    </row>
    <row r="68" spans="1:13" ht="75" x14ac:dyDescent="0.25">
      <c r="A68" t="s">
        <v>18</v>
      </c>
      <c r="B68" t="s">
        <v>66</v>
      </c>
      <c r="C68" s="3" t="s">
        <v>52</v>
      </c>
      <c r="D68" s="3" t="s">
        <v>33</v>
      </c>
      <c r="E68" s="3" t="s">
        <v>19</v>
      </c>
      <c r="F68" s="3" t="s">
        <v>53</v>
      </c>
      <c r="G68" s="3" t="s">
        <v>34</v>
      </c>
      <c r="H68" s="3" t="s">
        <v>48</v>
      </c>
      <c r="I68" s="3" t="s">
        <v>43</v>
      </c>
      <c r="J68" s="3" t="s">
        <v>44</v>
      </c>
      <c r="K68" s="3" t="s">
        <v>42</v>
      </c>
      <c r="L68" s="3" t="s">
        <v>49</v>
      </c>
      <c r="M68" s="3" t="s">
        <v>50</v>
      </c>
    </row>
    <row r="69" spans="1:13" x14ac:dyDescent="0.25">
      <c r="A69" t="s">
        <v>20</v>
      </c>
      <c r="C69">
        <v>1</v>
      </c>
      <c r="D69">
        <v>30</v>
      </c>
      <c r="E69">
        <v>0.45</v>
      </c>
      <c r="F69">
        <f>Tableau37[[#This Row],[Coût de revient forfaitaire]]*Tableau37[[#This Row],[Portions prévues]]</f>
        <v>13.5</v>
      </c>
      <c r="G69">
        <v>2</v>
      </c>
      <c r="H69">
        <v>0</v>
      </c>
      <c r="I69">
        <v>15</v>
      </c>
      <c r="J69">
        <v>6</v>
      </c>
      <c r="K69">
        <f>Tableau37[[#This Row],[Portions prévues]]-Tableau37[[#This Row],[Auto-conso]]-Tableau37[[#This Row],[Portions vendues INTERNE]]-Tableau37[[#This Row],[Portions vendues EXTERNE]]</f>
        <v>7</v>
      </c>
      <c r="L69">
        <f>Tableau37[[#This Row],[Portions prévues]]-Tableau37[[#This Row],[Portions stockées]]</f>
        <v>30</v>
      </c>
      <c r="M69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31.5</v>
      </c>
    </row>
    <row r="70" spans="1:13" x14ac:dyDescent="0.25">
      <c r="A70" t="s">
        <v>22</v>
      </c>
      <c r="C70">
        <v>1.5</v>
      </c>
      <c r="D70">
        <v>15</v>
      </c>
      <c r="E70">
        <v>0.65</v>
      </c>
      <c r="F70">
        <f>Tableau37[[#This Row],[Coût de revient forfaitaire]]*Tableau37[[#This Row],[Portions prévues]]</f>
        <v>9.75</v>
      </c>
      <c r="G70">
        <v>0</v>
      </c>
      <c r="H70">
        <v>10</v>
      </c>
      <c r="I70">
        <v>10</v>
      </c>
      <c r="J70">
        <v>5</v>
      </c>
      <c r="K70">
        <f>Tableau37[[#This Row],[Portions prévues]]-Tableau37[[#This Row],[Auto-conso]]-Tableau37[[#This Row],[Portions vendues INTERNE]]-Tableau37[[#This Row],[Portions vendues EXTERNE]]</f>
        <v>0</v>
      </c>
      <c r="L70">
        <f>Tableau37[[#This Row],[Portions prévues]]-Tableau37[[#This Row],[Portions stockées]]</f>
        <v>5</v>
      </c>
      <c r="M70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44.25</v>
      </c>
    </row>
    <row r="71" spans="1:13" x14ac:dyDescent="0.25">
      <c r="A71" t="s">
        <v>23</v>
      </c>
      <c r="C71">
        <v>1</v>
      </c>
      <c r="F71">
        <f>Tableau37[[#This Row],[Coût de revient forfaitaire]]*Tableau37[[#This Row],[Portions prévues]]</f>
        <v>0</v>
      </c>
      <c r="K71">
        <f>Tableau37[[#This Row],[Portions prévues]]-Tableau37[[#This Row],[Auto-conso]]-Tableau37[[#This Row],[Portions vendues INTERNE]]-Tableau37[[#This Row],[Portions vendues EXTERNE]]</f>
        <v>0</v>
      </c>
      <c r="L71">
        <f>Tableau37[[#This Row],[Portions prévues]]-Tableau37[[#This Row],[Portions stockées]]</f>
        <v>0</v>
      </c>
      <c r="M71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0</v>
      </c>
    </row>
    <row r="72" spans="1:13" x14ac:dyDescent="0.25">
      <c r="A72" t="s">
        <v>24</v>
      </c>
      <c r="C72">
        <v>2</v>
      </c>
      <c r="F72">
        <f>Tableau37[[#This Row],[Coût de revient forfaitaire]]*Tableau37[[#This Row],[Portions prévues]]</f>
        <v>0</v>
      </c>
      <c r="K72">
        <f>Tableau37[[#This Row],[Portions prévues]]-Tableau37[[#This Row],[Auto-conso]]-Tableau37[[#This Row],[Portions vendues INTERNE]]-Tableau37[[#This Row],[Portions vendues EXTERNE]]</f>
        <v>0</v>
      </c>
      <c r="L72">
        <f>Tableau37[[#This Row],[Portions prévues]]-Tableau37[[#This Row],[Portions stockées]]</f>
        <v>0</v>
      </c>
      <c r="M72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0</v>
      </c>
    </row>
    <row r="73" spans="1:13" x14ac:dyDescent="0.25">
      <c r="A73" t="s">
        <v>21</v>
      </c>
      <c r="C73">
        <v>1</v>
      </c>
      <c r="F73">
        <f>Tableau37[[#This Row],[Coût de revient forfaitaire]]*Tableau37[[#This Row],[Portions prévues]]</f>
        <v>0</v>
      </c>
      <c r="K73">
        <f>Tableau37[[#This Row],[Portions prévues]]-Tableau37[[#This Row],[Auto-conso]]-Tableau37[[#This Row],[Portions vendues INTERNE]]-Tableau37[[#This Row],[Portions vendues EXTERNE]]</f>
        <v>0</v>
      </c>
      <c r="L73">
        <f>Tableau37[[#This Row],[Portions prévues]]-Tableau37[[#This Row],[Portions stockées]]</f>
        <v>0</v>
      </c>
      <c r="M73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0</v>
      </c>
    </row>
    <row r="74" spans="1:13" x14ac:dyDescent="0.25">
      <c r="A74" t="s">
        <v>25</v>
      </c>
      <c r="C74">
        <v>2.5</v>
      </c>
      <c r="F74">
        <f>Tableau37[[#This Row],[Coût de revient forfaitaire]]*Tableau37[[#This Row],[Portions prévues]]</f>
        <v>0</v>
      </c>
      <c r="K74">
        <f>Tableau37[[#This Row],[Portions prévues]]-Tableau37[[#This Row],[Auto-conso]]-Tableau37[[#This Row],[Portions vendues INTERNE]]-Tableau37[[#This Row],[Portions vendues EXTERNE]]</f>
        <v>0</v>
      </c>
      <c r="L74">
        <f>Tableau37[[#This Row],[Portions prévues]]-Tableau37[[#This Row],[Portions stockées]]</f>
        <v>0</v>
      </c>
      <c r="M74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0</v>
      </c>
    </row>
    <row r="75" spans="1:13" x14ac:dyDescent="0.25">
      <c r="F75">
        <f>Tableau37[[#This Row],[Coût de revient forfaitaire]]*Tableau37[[#This Row],[Portions prévues]]</f>
        <v>0</v>
      </c>
      <c r="K75">
        <f>Tableau37[[#This Row],[Portions prévues]]-Tableau37[[#This Row],[Auto-conso]]-Tableau37[[#This Row],[Portions vendues INTERNE]]-Tableau37[[#This Row],[Portions vendues EXTERNE]]</f>
        <v>0</v>
      </c>
      <c r="L75">
        <f>Tableau37[[#This Row],[Portions prévues]]-Tableau37[[#This Row],[Portions stockées]]</f>
        <v>0</v>
      </c>
      <c r="M75">
        <f>Tableau37[[#This Row],[Prix en ticket]]*Tickets!$C$3*Tableau37[[#This Row],[Portions vendues INTERNE]]+Tableau37[[#This Row],[Prix en ticket]]*Tickets!$C$4*Tableau37[[#This Row],[Portions vendues EXTERNE]]-Tableau37[[#This Row],[Coût de revient total]]</f>
        <v>0</v>
      </c>
    </row>
    <row r="77" spans="1:13" x14ac:dyDescent="0.25">
      <c r="D77" s="2" t="s">
        <v>60</v>
      </c>
      <c r="E77" s="2" t="s">
        <v>60</v>
      </c>
      <c r="F77" t="s">
        <v>51</v>
      </c>
      <c r="G77" s="2" t="s">
        <v>60</v>
      </c>
      <c r="H77" s="2" t="s">
        <v>60</v>
      </c>
      <c r="I77" s="2" t="s">
        <v>60</v>
      </c>
      <c r="J77" s="2" t="s">
        <v>60</v>
      </c>
      <c r="K77" s="2" t="s">
        <v>51</v>
      </c>
      <c r="L77" s="2" t="s">
        <v>51</v>
      </c>
      <c r="M77" s="2" t="s">
        <v>51</v>
      </c>
    </row>
  </sheetData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188"/>
  <sheetViews>
    <sheetView topLeftCell="A3" zoomScale="90" zoomScaleNormal="90" workbookViewId="0">
      <selection activeCell="A25" sqref="A25"/>
    </sheetView>
  </sheetViews>
  <sheetFormatPr baseColWidth="10" defaultRowHeight="15" x14ac:dyDescent="0.25"/>
  <cols>
    <col min="1" max="1" width="15.42578125" customWidth="1"/>
    <col min="2" max="2" width="23.7109375" customWidth="1"/>
    <col min="3" max="3" width="17" customWidth="1"/>
    <col min="4" max="8" width="11.42578125" customWidth="1"/>
    <col min="10" max="12" width="12.28515625" customWidth="1"/>
    <col min="13" max="13" width="11.28515625" customWidth="1"/>
    <col min="14" max="14" width="15.7109375" customWidth="1"/>
    <col min="15" max="15" width="17.140625" customWidth="1"/>
    <col min="16" max="16" width="20" customWidth="1"/>
    <col min="17" max="17" width="26.28515625" customWidth="1"/>
    <col min="18" max="18" width="16.140625" customWidth="1"/>
    <col min="19" max="19" width="15" customWidth="1"/>
    <col min="20" max="20" width="18" customWidth="1"/>
  </cols>
  <sheetData>
    <row r="1" spans="1:16" x14ac:dyDescent="0.25">
      <c r="A1" s="1" t="s">
        <v>6</v>
      </c>
      <c r="B1" s="1">
        <f ca="1">TODAY()</f>
        <v>42432</v>
      </c>
      <c r="C1" s="9"/>
    </row>
    <row r="2" spans="1:16" x14ac:dyDescent="0.25">
      <c r="C2" s="9"/>
    </row>
    <row r="3" spans="1:16" x14ac:dyDescent="0.25">
      <c r="A3" s="8" t="s">
        <v>0</v>
      </c>
      <c r="B3" s="29" t="s">
        <v>5</v>
      </c>
      <c r="C3" s="9"/>
    </row>
    <row r="4" spans="1:16" x14ac:dyDescent="0.25">
      <c r="C4" s="9"/>
    </row>
    <row r="5" spans="1:16" ht="70.5" customHeight="1" x14ac:dyDescent="0.25">
      <c r="B5" s="3" t="s">
        <v>1</v>
      </c>
      <c r="C5" s="14" t="s">
        <v>80</v>
      </c>
      <c r="D5" s="3" t="s">
        <v>4</v>
      </c>
      <c r="E5" s="3" t="s">
        <v>33</v>
      </c>
      <c r="F5" s="3" t="s">
        <v>62</v>
      </c>
      <c r="G5" s="3" t="s">
        <v>34</v>
      </c>
      <c r="H5" s="3" t="s">
        <v>46</v>
      </c>
      <c r="I5" s="3" t="s">
        <v>67</v>
      </c>
      <c r="J5" s="3" t="s">
        <v>68</v>
      </c>
      <c r="K5" s="3" t="s">
        <v>57</v>
      </c>
      <c r="L5" s="3" t="s">
        <v>42</v>
      </c>
      <c r="M5" s="3" t="s">
        <v>70</v>
      </c>
      <c r="N5" s="3" t="s">
        <v>53</v>
      </c>
      <c r="O5" s="3" t="s">
        <v>45</v>
      </c>
    </row>
    <row r="6" spans="1:16" x14ac:dyDescent="0.25">
      <c r="A6" s="20" t="s">
        <v>69</v>
      </c>
      <c r="C6" s="9"/>
      <c r="F6">
        <f>Tableau1[[#This Row],[Portions prévues]]-Tableau1[[#This Row],[Portions stockées (frigo)]]</f>
        <v>0</v>
      </c>
      <c r="L6">
        <f>Tableau1[[#This Row],[Portions prévues]]-Tableau1[[#This Row],[Auto-conso]]-Tableau1[[#This Row],[Portions vendues INTERNES]]-Tableau1[[#This Row],[Portions vendues EXTERNES]]</f>
        <v>0</v>
      </c>
      <c r="M6">
        <f>Tableau1[[#This Row],[Portions prévues]]-Tableau1[[#This Row],[Portions stockées (frigo)]]</f>
        <v>0</v>
      </c>
      <c r="N6">
        <f>Tableau1[[#This Row],[Portions prévues]]-Tableau1[[#This Row],[Portions stockées (frigo)]]</f>
        <v>0</v>
      </c>
    </row>
    <row r="7" spans="1:16" x14ac:dyDescent="0.25">
      <c r="A7" s="21"/>
      <c r="C7" s="9"/>
      <c r="F7">
        <f>Tableau1[[#This Row],[Portions prévues]]-Tableau1[[#This Row],[Portions stockées (frigo)]]</f>
        <v>0</v>
      </c>
      <c r="L7">
        <f>Tableau1[[#This Row],[Portions prévues]]-Tableau1[[#This Row],[Auto-conso]]-Tableau1[[#This Row],[Portions vendues INTERNES]]-Tableau1[[#This Row],[Portions vendues EXTERNES]]</f>
        <v>0</v>
      </c>
      <c r="M7">
        <f>Tableau1[[#This Row],[Portions prévues]]-Tableau1[[#This Row],[Portions stockées (frigo)]]</f>
        <v>0</v>
      </c>
      <c r="N7">
        <f>Tableau1[[#This Row],[Portions prévues]]-Tableau1[[#This Row],[Portions stockées (frigo)]]</f>
        <v>0</v>
      </c>
    </row>
    <row r="8" spans="1:16" x14ac:dyDescent="0.25">
      <c r="A8" s="21"/>
      <c r="C8" s="9"/>
      <c r="F8">
        <f>Tableau1[[#This Row],[Portions prévues]]-Tableau1[[#This Row],[Portions stockées (frigo)]]</f>
        <v>0</v>
      </c>
      <c r="L8">
        <f>Tableau1[[#This Row],[Portions prévues]]-Tableau1[[#This Row],[Auto-conso]]-Tableau1[[#This Row],[Portions vendues INTERNES]]-Tableau1[[#This Row],[Portions vendues EXTERNES]]</f>
        <v>0</v>
      </c>
      <c r="M8">
        <f>Tableau1[[#This Row],[Portions prévues]]-Tableau1[[#This Row],[Portions stockées (frigo)]]</f>
        <v>0</v>
      </c>
      <c r="N8">
        <f>Tableau1[[#This Row],[Portions prévues]]-Tableau1[[#This Row],[Portions stockées (frigo)]]</f>
        <v>0</v>
      </c>
    </row>
    <row r="9" spans="1:16" x14ac:dyDescent="0.25">
      <c r="A9" s="21"/>
      <c r="C9" s="9"/>
      <c r="F9">
        <f>Tableau1[[#This Row],[Portions prévues]]-Tableau1[[#This Row],[Portions stockées (frigo)]]</f>
        <v>0</v>
      </c>
      <c r="L9">
        <f>Tableau1[[#This Row],[Portions prévues]]-Tableau1[[#This Row],[Portions stockées (frigo)]]-Tableau1[[#This Row],[Auto-conso]]-Tableau1[[#This Row],[Portions vendues INTERNES]]-Tableau1[[#This Row],[Portions vendues EXTERNES]]</f>
        <v>0</v>
      </c>
      <c r="M9">
        <f>Tableau1[[#This Row],[Portions prévues]]-Tableau1[[#This Row],[Portions stockées (frigo)]]</f>
        <v>0</v>
      </c>
      <c r="N9">
        <f>Tableau1[[#This Row],[Portions prévues]]-Tableau1[[#This Row],[Portions stockées (frigo)]]</f>
        <v>0</v>
      </c>
    </row>
    <row r="10" spans="1:16" x14ac:dyDescent="0.25">
      <c r="A10" s="21"/>
      <c r="C10" s="9"/>
      <c r="F10">
        <f>Tableau1[[#This Row],[Portions prévues]]-Tableau1[[#This Row],[Portions stockées (frigo)]]</f>
        <v>0</v>
      </c>
      <c r="L10">
        <f>Tableau1[[#This Row],[Portions prévues]]-Tableau1[[#This Row],[Auto-conso]]-Tableau1[[#This Row],[Portions vendues INTERNES]]-Tableau1[[#This Row],[Portions vendues EXTERNES]]</f>
        <v>0</v>
      </c>
      <c r="M10">
        <f>Tableau1[[#This Row],[Portions prévues]]-Tableau1[[#This Row],[Portions stockées (frigo)]]</f>
        <v>0</v>
      </c>
      <c r="N10">
        <f>Tableau1[[#This Row],[Portions prévues]]-Tableau1[[#This Row],[Portions stockées (frigo)]]</f>
        <v>0</v>
      </c>
    </row>
    <row r="11" spans="1:16" x14ac:dyDescent="0.25">
      <c r="A11" s="21"/>
      <c r="C11" s="9"/>
      <c r="F11">
        <f>Tableau1[[#This Row],[Portions prévues]]-Tableau1[[#This Row],[Portions stockées (frigo)]]</f>
        <v>0</v>
      </c>
      <c r="L11">
        <f>Tableau1[[#This Row],[Portions prévues]]-Tableau1[[#This Row],[Auto-conso]]-Tableau1[[#This Row],[Portions vendues INTERNES]]-Tableau1[[#This Row],[Portions vendues EXTERNES]]</f>
        <v>0</v>
      </c>
      <c r="M11">
        <f>Tableau1[[#This Row],[Portions prévues]]-Tableau1[[#This Row],[Portions stockées (frigo)]]</f>
        <v>0</v>
      </c>
      <c r="N11">
        <f>Tableau1[[#This Row],[Portions prévues]]-Tableau1[[#This Row],[Portions stockées (frigo)]]</f>
        <v>0</v>
      </c>
    </row>
    <row r="12" spans="1:16" x14ac:dyDescent="0.25">
      <c r="A12" s="21"/>
      <c r="C12" s="9"/>
      <c r="F12">
        <f>Tableau1[[#This Row],[Portions prévues]]-Tableau1[[#This Row],[Portions stockées (frigo)]]</f>
        <v>0</v>
      </c>
      <c r="L12">
        <f>Tableau1[[#This Row],[Portions prévues]]-Tableau1[[#This Row],[Auto-conso]]-Tableau1[[#This Row],[Portions vendues INTERNES]]-Tableau1[[#This Row],[Portions vendues EXTERNES]]</f>
        <v>0</v>
      </c>
      <c r="M12">
        <f>Tableau1[[#This Row],[Portions prévues]]-Tableau1[[#This Row],[Portions stockées (frigo)]]</f>
        <v>0</v>
      </c>
      <c r="N12">
        <f>Tableau1[[#This Row],[Portions prévues]]-Tableau1[[#This Row],[Portions stockées (frigo)]]</f>
        <v>0</v>
      </c>
    </row>
    <row r="13" spans="1:16" x14ac:dyDescent="0.25">
      <c r="A13" s="21"/>
      <c r="B13" s="10" t="s">
        <v>47</v>
      </c>
      <c r="C13" s="9"/>
      <c r="F13" s="13">
        <f>SUM(D6:D12)/120</f>
        <v>0</v>
      </c>
      <c r="M13">
        <f>Tableau1[[#This Row],[Portions prévues]]-Tableau1[[#This Row],[Portions stockées (frigo)]]</f>
        <v>0</v>
      </c>
      <c r="N13" s="13">
        <f>Tableau1[[#This Row],[Portions prises en compte dans le coût]]*Tableau1[[#This Row],[Coût de revient /plats]]</f>
        <v>0</v>
      </c>
      <c r="O13" s="13">
        <f>2.7*Tableau1[[#This Row],[Portions vendues INTERNES]]+4.7*Tableau1[[#This Row],[Portions vendues EXTERNES]]-Tableau1[[#This Row],[Coût de revient total]]</f>
        <v>0</v>
      </c>
      <c r="P13" t="s">
        <v>64</v>
      </c>
    </row>
    <row r="14" spans="1:16" x14ac:dyDescent="0.25">
      <c r="A14" s="22" t="s">
        <v>2</v>
      </c>
      <c r="C14" s="9"/>
      <c r="L14">
        <f>Tableau1[[#This Row],[Portions prévues]]-Tableau1[[#This Row],[Auto-conso]]-Tableau1[[#This Row],[Portions vendues INTERNES]]-Tableau1[[#This Row],[Portions vendues EXTERNES]]</f>
        <v>0</v>
      </c>
      <c r="M14">
        <f>Tableau1[[#This Row],[Portions prévues]]-Tableau1[[#This Row],[Portions stockées (frigo)]]</f>
        <v>0</v>
      </c>
      <c r="N14">
        <f>Tableau1[[#This Row],[Portions prévues]]-Tableau1[[#This Row],[Portions stockées (frigo)]]</f>
        <v>0</v>
      </c>
    </row>
    <row r="15" spans="1:16" x14ac:dyDescent="0.25">
      <c r="A15" s="23"/>
      <c r="C15" s="9"/>
      <c r="L15">
        <f>Tableau1[[#This Row],[Portions prévues]]-Tableau1[[#This Row],[Auto-conso]]-Tableau1[[#This Row],[Portions vendues INTERNES]]-Tableau1[[#This Row],[Portions vendues EXTERNES]]</f>
        <v>0</v>
      </c>
      <c r="M15">
        <f>Tableau1[[#This Row],[Portions prévues]]-Tableau1[[#This Row],[Portions stockées (frigo)]]</f>
        <v>0</v>
      </c>
      <c r="N15">
        <f>Tableau1[[#This Row],[Portions prévues]]-Tableau1[[#This Row],[Portions stockées (frigo)]]</f>
        <v>0</v>
      </c>
    </row>
    <row r="16" spans="1:16" x14ac:dyDescent="0.25">
      <c r="A16" s="23"/>
      <c r="C16" s="9"/>
      <c r="L16">
        <f>Tableau1[[#This Row],[Portions prévues]]-Tableau1[[#This Row],[Auto-conso]]-Tableau1[[#This Row],[Portions vendues INTERNES]]-Tableau1[[#This Row],[Portions vendues EXTERNES]]</f>
        <v>0</v>
      </c>
      <c r="M16">
        <f>Tableau1[[#This Row],[Portions prévues]]-Tableau1[[#This Row],[Portions stockées (frigo)]]</f>
        <v>0</v>
      </c>
      <c r="N16">
        <f>Tableau1[[#This Row],[Portions prévues]]-Tableau1[[#This Row],[Portions stockées (frigo)]]</f>
        <v>0</v>
      </c>
    </row>
    <row r="17" spans="1:16" x14ac:dyDescent="0.25">
      <c r="A17" s="23"/>
      <c r="C17" s="9"/>
      <c r="L17">
        <f>Tableau1[[#This Row],[Portions prévues]]-Tableau1[[#This Row],[Auto-conso]]-Tableau1[[#This Row],[Portions vendues INTERNES]]-Tableau1[[#This Row],[Portions vendues EXTERNES]]</f>
        <v>0</v>
      </c>
      <c r="M17">
        <f>Tableau1[[#This Row],[Portions prévues]]-Tableau1[[#This Row],[Portions stockées (frigo)]]</f>
        <v>0</v>
      </c>
      <c r="N17">
        <f>Tableau1[[#This Row],[Portions prévues]]-Tableau1[[#This Row],[Portions stockées (frigo)]]</f>
        <v>0</v>
      </c>
    </row>
    <row r="18" spans="1:16" x14ac:dyDescent="0.25">
      <c r="A18" s="23"/>
      <c r="C18" s="9"/>
      <c r="L18">
        <f>Tableau1[[#This Row],[Portions prévues]]-Tableau1[[#This Row],[Auto-conso]]-Tableau1[[#This Row],[Portions vendues INTERNES]]-Tableau1[[#This Row],[Portions vendues EXTERNES]]</f>
        <v>0</v>
      </c>
      <c r="M18">
        <f>Tableau1[[#This Row],[Portions prévues]]-Tableau1[[#This Row],[Portions stockées (frigo)]]</f>
        <v>0</v>
      </c>
      <c r="N18">
        <f>Tableau1[[#This Row],[Portions prévues]]-Tableau1[[#This Row],[Portions stockées (frigo)]]</f>
        <v>0</v>
      </c>
    </row>
    <row r="19" spans="1:16" x14ac:dyDescent="0.25">
      <c r="A19" s="23"/>
      <c r="C19" s="9"/>
      <c r="L19">
        <f>Tableau1[[#This Row],[Portions prévues]]-Tableau1[[#This Row],[Auto-conso]]-Tableau1[[#This Row],[Portions vendues INTERNES]]-Tableau1[[#This Row],[Portions vendues EXTERNES]]</f>
        <v>0</v>
      </c>
      <c r="M19">
        <f>Tableau1[[#This Row],[Portions prévues]]-Tableau1[[#This Row],[Portions stockées (frigo)]]</f>
        <v>0</v>
      </c>
      <c r="N19">
        <f>Tableau1[[#This Row],[Portions prévues]]-Tableau1[[#This Row],[Portions stockées (frigo)]]</f>
        <v>0</v>
      </c>
    </row>
    <row r="20" spans="1:16" x14ac:dyDescent="0.25">
      <c r="A20" s="23"/>
      <c r="B20" s="10" t="s">
        <v>47</v>
      </c>
      <c r="C20" s="9"/>
      <c r="F20" s="13">
        <f>SUM(D14:D20)/120</f>
        <v>0</v>
      </c>
      <c r="M20">
        <f>Tableau1[[#This Row],[Portions prévues]]-Tableau1[[#This Row],[Portions stockées (frigo)]]</f>
        <v>0</v>
      </c>
      <c r="N20" s="10">
        <f>Tableau1[[#This Row],[Portions prises en compte dans le coût]]*Tableau1[[#This Row],[Coût de revient /plats]]</f>
        <v>0</v>
      </c>
      <c r="O20" s="10">
        <f>1.35*Tableau1[[#This Row],[Portions vendues INTERNES]]+2.35*Tableau1[[#This Row],[Portions vendues EXTERNES]]-Tableau1[[#This Row],[Coût de revient total]]</f>
        <v>0</v>
      </c>
      <c r="P20" t="s">
        <v>65</v>
      </c>
    </row>
    <row r="21" spans="1:16" ht="24" customHeight="1" x14ac:dyDescent="0.25">
      <c r="C21" s="9"/>
      <c r="D21">
        <f>SUM(D6:D20)</f>
        <v>0</v>
      </c>
      <c r="E21" s="9"/>
      <c r="F21" s="11">
        <f>F13+F20</f>
        <v>0</v>
      </c>
      <c r="G21" s="9"/>
      <c r="H21" s="9"/>
      <c r="I21" s="9"/>
      <c r="J21" s="9"/>
      <c r="K21" s="9"/>
      <c r="L21" s="9"/>
      <c r="M21" s="9">
        <f>Tableau1[[#This Row],[Portions prévues]]-Tableau1[[#This Row],[Portions stockées (frigo)]]</f>
        <v>0</v>
      </c>
      <c r="N21" s="9"/>
      <c r="O21" s="9"/>
    </row>
    <row r="22" spans="1:16" x14ac:dyDescent="0.25">
      <c r="C22" s="9"/>
    </row>
    <row r="23" spans="1:16" x14ac:dyDescent="0.25">
      <c r="A23" s="1" t="s">
        <v>6</v>
      </c>
      <c r="B23" s="1">
        <f ca="1">TODAY()</f>
        <v>42432</v>
      </c>
      <c r="C23" s="9"/>
    </row>
    <row r="24" spans="1:16" x14ac:dyDescent="0.25">
      <c r="C24" s="9"/>
    </row>
    <row r="25" spans="1:16" x14ac:dyDescent="0.25">
      <c r="A25" s="8" t="s">
        <v>0</v>
      </c>
      <c r="B25" s="6" t="s">
        <v>5</v>
      </c>
      <c r="C25" s="9"/>
    </row>
    <row r="26" spans="1:16" x14ac:dyDescent="0.25">
      <c r="C26" s="9"/>
      <c r="F26" t="s">
        <v>61</v>
      </c>
    </row>
    <row r="27" spans="1:16" ht="75" x14ac:dyDescent="0.25">
      <c r="B27" s="3" t="s">
        <v>1</v>
      </c>
      <c r="C27" s="14" t="s">
        <v>80</v>
      </c>
      <c r="D27" s="3" t="s">
        <v>4</v>
      </c>
      <c r="E27" s="3" t="s">
        <v>33</v>
      </c>
      <c r="F27" s="3" t="s">
        <v>62</v>
      </c>
      <c r="G27" s="3" t="s">
        <v>34</v>
      </c>
      <c r="H27" s="3" t="s">
        <v>46</v>
      </c>
      <c r="I27" s="3" t="s">
        <v>67</v>
      </c>
      <c r="J27" s="3" t="s">
        <v>68</v>
      </c>
      <c r="K27" s="3" t="s">
        <v>57</v>
      </c>
      <c r="L27" s="3" t="s">
        <v>42</v>
      </c>
      <c r="M27" s="3" t="s">
        <v>70</v>
      </c>
      <c r="N27" s="3" t="s">
        <v>53</v>
      </c>
      <c r="O27" s="3" t="s">
        <v>45</v>
      </c>
    </row>
    <row r="28" spans="1:16" x14ac:dyDescent="0.25">
      <c r="A28" s="20" t="s">
        <v>69</v>
      </c>
      <c r="C28" s="9"/>
      <c r="F28">
        <f>Tableau125[[#This Row],[Portions prévues]]-Tableau125[[#This Row],[Portions stockées (frigo)]]</f>
        <v>0</v>
      </c>
      <c r="L28">
        <f>Tableau125[[#This Row],[Portions prévues]]-Tableau125[[#This Row],[Auto-conso]]-Tableau125[[#This Row],[Portions vendues INTERNES]]-Tableau125[[#This Row],[Portions vendues EXTERNES]]</f>
        <v>0</v>
      </c>
      <c r="M28">
        <f>Tableau125[[#This Row],[Portions prévues]]-Tableau125[[#This Row],[Portions stockées (frigo)]]</f>
        <v>0</v>
      </c>
      <c r="N28">
        <f>Tableau125[[#This Row],[Portions prévues]]-Tableau125[[#This Row],[Portions stockées (frigo)]]</f>
        <v>0</v>
      </c>
    </row>
    <row r="29" spans="1:16" x14ac:dyDescent="0.25">
      <c r="A29" s="21"/>
      <c r="C29" s="9"/>
      <c r="F29">
        <f>Tableau125[[#This Row],[Portions prévues]]-Tableau125[[#This Row],[Portions stockées (frigo)]]</f>
        <v>0</v>
      </c>
      <c r="L29">
        <f>Tableau125[[#This Row],[Portions prévues]]-Tableau125[[#This Row],[Auto-conso]]-Tableau125[[#This Row],[Portions vendues INTERNES]]-Tableau125[[#This Row],[Portions vendues EXTERNES]]</f>
        <v>0</v>
      </c>
      <c r="M29">
        <f>Tableau125[[#This Row],[Portions prévues]]-Tableau125[[#This Row],[Portions stockées (frigo)]]</f>
        <v>0</v>
      </c>
      <c r="N29">
        <f>Tableau125[[#This Row],[Portions prévues]]-Tableau125[[#This Row],[Portions stockées (frigo)]]</f>
        <v>0</v>
      </c>
    </row>
    <row r="30" spans="1:16" x14ac:dyDescent="0.25">
      <c r="A30" s="21"/>
      <c r="C30" s="9"/>
      <c r="F30">
        <f>Tableau125[[#This Row],[Portions prévues]]-Tableau125[[#This Row],[Portions stockées (frigo)]]</f>
        <v>0</v>
      </c>
      <c r="L30">
        <f>Tableau125[[#This Row],[Portions prévues]]-Tableau125[[#This Row],[Auto-conso]]-Tableau125[[#This Row],[Portions vendues INTERNES]]-Tableau125[[#This Row],[Portions vendues EXTERNES]]</f>
        <v>0</v>
      </c>
      <c r="M30">
        <f>Tableau125[[#This Row],[Portions prévues]]-Tableau125[[#This Row],[Portions stockées (frigo)]]</f>
        <v>0</v>
      </c>
      <c r="N30">
        <f>Tableau125[[#This Row],[Portions prévues]]-Tableau125[[#This Row],[Portions stockées (frigo)]]</f>
        <v>0</v>
      </c>
    </row>
    <row r="31" spans="1:16" x14ac:dyDescent="0.25">
      <c r="A31" s="21"/>
      <c r="C31" s="9"/>
      <c r="F31">
        <f>Tableau125[[#This Row],[Portions prévues]]-Tableau125[[#This Row],[Portions stockées (frigo)]]</f>
        <v>0</v>
      </c>
      <c r="L31">
        <f>Tableau125[[#This Row],[Portions prévues]]-Tableau125[[#This Row],[Portions stockées (frigo)]]-Tableau125[[#This Row],[Auto-conso]]-Tableau125[[#This Row],[Portions vendues INTERNES]]-Tableau125[[#This Row],[Portions vendues EXTERNES]]</f>
        <v>0</v>
      </c>
      <c r="M31">
        <f>Tableau125[[#This Row],[Portions prévues]]-Tableau125[[#This Row],[Portions stockées (frigo)]]</f>
        <v>0</v>
      </c>
      <c r="N31">
        <f>Tableau125[[#This Row],[Portions prévues]]-Tableau125[[#This Row],[Portions stockées (frigo)]]</f>
        <v>0</v>
      </c>
    </row>
    <row r="32" spans="1:16" x14ac:dyDescent="0.25">
      <c r="A32" s="21"/>
      <c r="C32" s="9"/>
      <c r="F32">
        <f>Tableau125[[#This Row],[Portions prévues]]-Tableau125[[#This Row],[Portions stockées (frigo)]]</f>
        <v>0</v>
      </c>
      <c r="L32">
        <f>Tableau125[[#This Row],[Portions prévues]]-Tableau125[[#This Row],[Auto-conso]]-Tableau125[[#This Row],[Portions vendues INTERNES]]-Tableau125[[#This Row],[Portions vendues EXTERNES]]</f>
        <v>0</v>
      </c>
      <c r="M32">
        <f>Tableau125[[#This Row],[Portions prévues]]-Tableau125[[#This Row],[Portions stockées (frigo)]]</f>
        <v>0</v>
      </c>
      <c r="N32">
        <f>Tableau125[[#This Row],[Portions prévues]]-Tableau125[[#This Row],[Portions stockées (frigo)]]</f>
        <v>0</v>
      </c>
    </row>
    <row r="33" spans="1:15" x14ac:dyDescent="0.25">
      <c r="A33" s="21"/>
      <c r="C33" s="9"/>
      <c r="F33">
        <f>Tableau125[[#This Row],[Portions prévues]]-Tableau125[[#This Row],[Portions stockées (frigo)]]</f>
        <v>0</v>
      </c>
      <c r="L33">
        <f>Tableau125[[#This Row],[Portions prévues]]-Tableau125[[#This Row],[Auto-conso]]-Tableau125[[#This Row],[Portions vendues INTERNES]]-Tableau125[[#This Row],[Portions vendues EXTERNES]]</f>
        <v>0</v>
      </c>
      <c r="M33">
        <f>Tableau125[[#This Row],[Portions prévues]]-Tableau125[[#This Row],[Portions stockées (frigo)]]</f>
        <v>0</v>
      </c>
      <c r="N33">
        <f>Tableau125[[#This Row],[Portions prévues]]-Tableau125[[#This Row],[Portions stockées (frigo)]]</f>
        <v>0</v>
      </c>
    </row>
    <row r="34" spans="1:15" x14ac:dyDescent="0.25">
      <c r="A34" s="21"/>
      <c r="C34" s="9"/>
      <c r="F34">
        <f>Tableau125[[#This Row],[Portions prévues]]-Tableau125[[#This Row],[Portions stockées (frigo)]]</f>
        <v>0</v>
      </c>
      <c r="L34">
        <f>Tableau125[[#This Row],[Portions prévues]]-Tableau125[[#This Row],[Auto-conso]]-Tableau125[[#This Row],[Portions vendues INTERNES]]-Tableau125[[#This Row],[Portions vendues EXTERNES]]</f>
        <v>0</v>
      </c>
      <c r="M34">
        <f>Tableau125[[#This Row],[Portions prévues]]-Tableau125[[#This Row],[Portions stockées (frigo)]]</f>
        <v>0</v>
      </c>
      <c r="N34">
        <f>Tableau125[[#This Row],[Portions prévues]]-Tableau125[[#This Row],[Portions stockées (frigo)]]</f>
        <v>0</v>
      </c>
    </row>
    <row r="35" spans="1:15" x14ac:dyDescent="0.25">
      <c r="A35" s="21"/>
      <c r="B35" s="10" t="s">
        <v>47</v>
      </c>
      <c r="C35" s="9"/>
      <c r="F35" s="13">
        <f>SUM(D28:D34)/120</f>
        <v>0</v>
      </c>
      <c r="M35">
        <f>Tableau125[[#This Row],[Portions prévues]]-Tableau125[[#This Row],[Portions stockées (frigo)]]</f>
        <v>0</v>
      </c>
      <c r="N35" s="13">
        <f>Tableau125[[#This Row],[Portions prises en compte dans le coût]]*Tableau125[[#This Row],[Coût de revient /plats]]</f>
        <v>0</v>
      </c>
      <c r="O35" s="13">
        <f>2.7*Tableau125[[#This Row],[Portions vendues INTERNES]]+4.7*Tableau125[[#This Row],[Portions vendues EXTERNES]]-Tableau125[[#This Row],[Coût de revient total]]</f>
        <v>0</v>
      </c>
    </row>
    <row r="36" spans="1:15" x14ac:dyDescent="0.25">
      <c r="A36" s="22" t="s">
        <v>2</v>
      </c>
      <c r="C36" s="9"/>
      <c r="L36">
        <f>Tableau125[[#This Row],[Portions prévues]]-Tableau125[[#This Row],[Auto-conso]]-Tableau125[[#This Row],[Portions vendues INTERNES]]-Tableau125[[#This Row],[Portions vendues EXTERNES]]</f>
        <v>0</v>
      </c>
      <c r="M36">
        <f>Tableau125[[#This Row],[Portions prévues]]-Tableau125[[#This Row],[Portions stockées (frigo)]]</f>
        <v>0</v>
      </c>
      <c r="N36">
        <f>Tableau125[[#This Row],[Portions prévues]]-Tableau125[[#This Row],[Portions stockées (frigo)]]</f>
        <v>0</v>
      </c>
    </row>
    <row r="37" spans="1:15" x14ac:dyDescent="0.25">
      <c r="A37" s="23"/>
      <c r="C37" s="9"/>
      <c r="L37">
        <f>Tableau125[[#This Row],[Portions prévues]]-Tableau125[[#This Row],[Auto-conso]]-Tableau125[[#This Row],[Portions vendues INTERNES]]-Tableau125[[#This Row],[Portions vendues EXTERNES]]</f>
        <v>0</v>
      </c>
      <c r="M37">
        <f>Tableau125[[#This Row],[Portions prévues]]-Tableau125[[#This Row],[Portions stockées (frigo)]]</f>
        <v>0</v>
      </c>
      <c r="N37">
        <f>Tableau125[[#This Row],[Portions prévues]]-Tableau125[[#This Row],[Portions stockées (frigo)]]</f>
        <v>0</v>
      </c>
    </row>
    <row r="38" spans="1:15" x14ac:dyDescent="0.25">
      <c r="A38" s="23"/>
      <c r="C38" s="9"/>
      <c r="L38">
        <f>Tableau125[[#This Row],[Portions prévues]]-Tableau125[[#This Row],[Auto-conso]]-Tableau125[[#This Row],[Portions vendues INTERNES]]-Tableau125[[#This Row],[Portions vendues EXTERNES]]</f>
        <v>0</v>
      </c>
      <c r="M38">
        <f>Tableau125[[#This Row],[Portions prévues]]-Tableau125[[#This Row],[Portions stockées (frigo)]]</f>
        <v>0</v>
      </c>
      <c r="N38">
        <f>Tableau125[[#This Row],[Portions prévues]]-Tableau125[[#This Row],[Portions stockées (frigo)]]</f>
        <v>0</v>
      </c>
    </row>
    <row r="39" spans="1:15" x14ac:dyDescent="0.25">
      <c r="A39" s="23"/>
      <c r="C39" s="9"/>
      <c r="L39">
        <f>Tableau125[[#This Row],[Portions prévues]]-Tableau125[[#This Row],[Auto-conso]]-Tableau125[[#This Row],[Portions vendues INTERNES]]-Tableau125[[#This Row],[Portions vendues EXTERNES]]</f>
        <v>0</v>
      </c>
      <c r="M39">
        <f>Tableau125[[#This Row],[Portions prévues]]-Tableau125[[#This Row],[Portions stockées (frigo)]]</f>
        <v>0</v>
      </c>
      <c r="N39">
        <f>Tableau125[[#This Row],[Portions prévues]]-Tableau125[[#This Row],[Portions stockées (frigo)]]</f>
        <v>0</v>
      </c>
    </row>
    <row r="40" spans="1:15" x14ac:dyDescent="0.25">
      <c r="A40" s="23"/>
      <c r="C40" s="9"/>
      <c r="L40">
        <f>Tableau125[[#This Row],[Portions prévues]]-Tableau125[[#This Row],[Auto-conso]]-Tableau125[[#This Row],[Portions vendues INTERNES]]-Tableau125[[#This Row],[Portions vendues EXTERNES]]</f>
        <v>0</v>
      </c>
      <c r="M40">
        <f>Tableau125[[#This Row],[Portions prévues]]-Tableau125[[#This Row],[Portions stockées (frigo)]]</f>
        <v>0</v>
      </c>
      <c r="N40">
        <f>Tableau125[[#This Row],[Portions prévues]]-Tableau125[[#This Row],[Portions stockées (frigo)]]</f>
        <v>0</v>
      </c>
    </row>
    <row r="41" spans="1:15" x14ac:dyDescent="0.25">
      <c r="A41" s="23"/>
      <c r="C41" s="9"/>
      <c r="L41">
        <f>Tableau125[[#This Row],[Portions prévues]]-Tableau125[[#This Row],[Auto-conso]]-Tableau125[[#This Row],[Portions vendues INTERNES]]-Tableau125[[#This Row],[Portions vendues EXTERNES]]</f>
        <v>0</v>
      </c>
      <c r="M41">
        <f>Tableau125[[#This Row],[Portions prévues]]-Tableau125[[#This Row],[Portions stockées (frigo)]]</f>
        <v>0</v>
      </c>
      <c r="N41">
        <f>Tableau125[[#This Row],[Portions prévues]]-Tableau125[[#This Row],[Portions stockées (frigo)]]</f>
        <v>0</v>
      </c>
    </row>
    <row r="42" spans="1:15" x14ac:dyDescent="0.25">
      <c r="A42" s="23"/>
      <c r="B42" s="10" t="s">
        <v>47</v>
      </c>
      <c r="C42" s="9"/>
      <c r="F42" s="13">
        <f>SUM(D36:D42)/120</f>
        <v>0</v>
      </c>
      <c r="M42">
        <f>Tableau125[[#This Row],[Portions prévues]]-Tableau125[[#This Row],[Portions stockées (frigo)]]</f>
        <v>0</v>
      </c>
      <c r="N42" s="10">
        <f>Tableau125[[#This Row],[Portions prises en compte dans le coût]]*Tableau125[[#This Row],[Coût de revient /plats]]</f>
        <v>0</v>
      </c>
      <c r="O42" s="10">
        <f>1.35*Tableau125[[#This Row],[Portions vendues INTERNES]]+2.35*Tableau125[[#This Row],[Portions vendues EXTERNES]]-Tableau125[[#This Row],[Coût de revient total]]</f>
        <v>0</v>
      </c>
    </row>
    <row r="43" spans="1:15" x14ac:dyDescent="0.25">
      <c r="C43" s="9"/>
      <c r="D43">
        <f>SUM(D28:D42)</f>
        <v>0</v>
      </c>
      <c r="E43" s="9"/>
      <c r="F43" s="11">
        <f>F35+F42</f>
        <v>0</v>
      </c>
      <c r="G43" s="9"/>
      <c r="H43" s="9"/>
      <c r="I43" s="9"/>
      <c r="J43" s="9"/>
      <c r="K43" s="9"/>
      <c r="L43" s="9"/>
      <c r="M43" s="9">
        <f>Tableau125[[#This Row],[Portions prévues]]-Tableau125[[#This Row],[Portions stockées (frigo)]]</f>
        <v>0</v>
      </c>
      <c r="N43" s="9"/>
      <c r="O43" s="9"/>
    </row>
    <row r="44" spans="1:15" x14ac:dyDescent="0.25">
      <c r="C44" s="9"/>
    </row>
    <row r="45" spans="1:15" x14ac:dyDescent="0.25">
      <c r="C45" s="9"/>
    </row>
    <row r="46" spans="1:15" x14ac:dyDescent="0.25">
      <c r="A46" s="1" t="s">
        <v>6</v>
      </c>
      <c r="B46" s="1">
        <f ca="1">TODAY()</f>
        <v>42432</v>
      </c>
      <c r="C46" s="9"/>
    </row>
    <row r="47" spans="1:15" x14ac:dyDescent="0.25">
      <c r="C47" s="9"/>
    </row>
    <row r="48" spans="1:15" x14ac:dyDescent="0.25">
      <c r="A48" s="8" t="s">
        <v>0</v>
      </c>
      <c r="B48" s="6" t="s">
        <v>5</v>
      </c>
      <c r="C48" s="9"/>
    </row>
    <row r="49" spans="1:15" x14ac:dyDescent="0.25">
      <c r="C49" s="9"/>
      <c r="F49" t="s">
        <v>61</v>
      </c>
    </row>
    <row r="50" spans="1:15" ht="75" x14ac:dyDescent="0.25">
      <c r="B50" s="3" t="s">
        <v>1</v>
      </c>
      <c r="C50" s="14" t="s">
        <v>80</v>
      </c>
      <c r="D50" s="3" t="s">
        <v>4</v>
      </c>
      <c r="E50" s="3" t="s">
        <v>33</v>
      </c>
      <c r="F50" s="3" t="s">
        <v>62</v>
      </c>
      <c r="G50" s="3" t="s">
        <v>34</v>
      </c>
      <c r="H50" s="3" t="s">
        <v>46</v>
      </c>
      <c r="I50" s="3" t="s">
        <v>67</v>
      </c>
      <c r="J50" s="3" t="s">
        <v>68</v>
      </c>
      <c r="K50" s="3" t="s">
        <v>57</v>
      </c>
      <c r="L50" s="3" t="s">
        <v>42</v>
      </c>
      <c r="M50" s="3" t="s">
        <v>70</v>
      </c>
      <c r="N50" s="3" t="s">
        <v>53</v>
      </c>
      <c r="O50" s="3" t="s">
        <v>45</v>
      </c>
    </row>
    <row r="51" spans="1:15" x14ac:dyDescent="0.25">
      <c r="A51" s="20" t="s">
        <v>69</v>
      </c>
      <c r="C51" s="9"/>
      <c r="F51">
        <f>Tableau120[[#This Row],[Portions prévues]]-Tableau120[[#This Row],[Portions stockées (frigo)]]</f>
        <v>0</v>
      </c>
      <c r="L51">
        <f>Tableau120[[#This Row],[Portions prévues]]-Tableau120[[#This Row],[Auto-conso]]-Tableau120[[#This Row],[Portions vendues INTERNES]]-Tableau120[[#This Row],[Portions vendues EXTERNES]]</f>
        <v>0</v>
      </c>
      <c r="M51">
        <f>Tableau120[[#This Row],[Portions prévues]]-Tableau120[[#This Row],[Portions stockées (frigo)]]</f>
        <v>0</v>
      </c>
      <c r="N51">
        <f>Tableau120[[#This Row],[Portions prévues]]-Tableau120[[#This Row],[Portions stockées (frigo)]]</f>
        <v>0</v>
      </c>
    </row>
    <row r="52" spans="1:15" x14ac:dyDescent="0.25">
      <c r="A52" s="21"/>
      <c r="C52" s="9"/>
      <c r="F52">
        <f>Tableau120[[#This Row],[Portions prévues]]-Tableau120[[#This Row],[Portions stockées (frigo)]]</f>
        <v>0</v>
      </c>
      <c r="L52">
        <f>Tableau120[[#This Row],[Portions prévues]]-Tableau120[[#This Row],[Auto-conso]]-Tableau120[[#This Row],[Portions vendues INTERNES]]-Tableau120[[#This Row],[Portions vendues EXTERNES]]</f>
        <v>0</v>
      </c>
      <c r="M52">
        <f>Tableau120[[#This Row],[Portions prévues]]-Tableau120[[#This Row],[Portions stockées (frigo)]]</f>
        <v>0</v>
      </c>
      <c r="N52">
        <f>Tableau120[[#This Row],[Portions prévues]]-Tableau120[[#This Row],[Portions stockées (frigo)]]</f>
        <v>0</v>
      </c>
    </row>
    <row r="53" spans="1:15" x14ac:dyDescent="0.25">
      <c r="A53" s="21"/>
      <c r="C53" s="9"/>
      <c r="F53">
        <f>Tableau120[[#This Row],[Portions prévues]]-Tableau120[[#This Row],[Portions stockées (frigo)]]</f>
        <v>0</v>
      </c>
      <c r="L53">
        <f>Tableau120[[#This Row],[Portions prévues]]-Tableau120[[#This Row],[Auto-conso]]-Tableau120[[#This Row],[Portions vendues INTERNES]]-Tableau120[[#This Row],[Portions vendues EXTERNES]]</f>
        <v>0</v>
      </c>
      <c r="M53">
        <f>Tableau120[[#This Row],[Portions prévues]]-Tableau120[[#This Row],[Portions stockées (frigo)]]</f>
        <v>0</v>
      </c>
      <c r="N53">
        <f>Tableau120[[#This Row],[Portions prévues]]-Tableau120[[#This Row],[Portions stockées (frigo)]]</f>
        <v>0</v>
      </c>
    </row>
    <row r="54" spans="1:15" x14ac:dyDescent="0.25">
      <c r="A54" s="21"/>
      <c r="C54" s="9"/>
      <c r="F54">
        <f>Tableau120[[#This Row],[Portions prévues]]-Tableau120[[#This Row],[Portions stockées (frigo)]]</f>
        <v>0</v>
      </c>
      <c r="L54">
        <f>Tableau120[[#This Row],[Portions prévues]]-Tableau120[[#This Row],[Portions stockées (frigo)]]-Tableau120[[#This Row],[Auto-conso]]-Tableau120[[#This Row],[Portions vendues INTERNES]]-Tableau120[[#This Row],[Portions vendues EXTERNES]]</f>
        <v>0</v>
      </c>
      <c r="M54">
        <f>Tableau120[[#This Row],[Portions prévues]]-Tableau120[[#This Row],[Portions stockées (frigo)]]</f>
        <v>0</v>
      </c>
      <c r="N54">
        <f>Tableau120[[#This Row],[Portions prévues]]-Tableau120[[#This Row],[Portions stockées (frigo)]]</f>
        <v>0</v>
      </c>
    </row>
    <row r="55" spans="1:15" x14ac:dyDescent="0.25">
      <c r="A55" s="21"/>
      <c r="C55" s="9"/>
      <c r="F55">
        <f>Tableau120[[#This Row],[Portions prévues]]-Tableau120[[#This Row],[Portions stockées (frigo)]]</f>
        <v>0</v>
      </c>
      <c r="L55">
        <f>Tableau120[[#This Row],[Portions prévues]]-Tableau120[[#This Row],[Auto-conso]]-Tableau120[[#This Row],[Portions vendues INTERNES]]-Tableau120[[#This Row],[Portions vendues EXTERNES]]</f>
        <v>0</v>
      </c>
      <c r="M55">
        <f>Tableau120[[#This Row],[Portions prévues]]-Tableau120[[#This Row],[Portions stockées (frigo)]]</f>
        <v>0</v>
      </c>
      <c r="N55">
        <f>Tableau120[[#This Row],[Portions prévues]]-Tableau120[[#This Row],[Portions stockées (frigo)]]</f>
        <v>0</v>
      </c>
    </row>
    <row r="56" spans="1:15" x14ac:dyDescent="0.25">
      <c r="A56" s="21"/>
      <c r="C56" s="9"/>
      <c r="F56">
        <f>Tableau120[[#This Row],[Portions prévues]]-Tableau120[[#This Row],[Portions stockées (frigo)]]</f>
        <v>0</v>
      </c>
      <c r="L56">
        <f>Tableau120[[#This Row],[Portions prévues]]-Tableau120[[#This Row],[Auto-conso]]-Tableau120[[#This Row],[Portions vendues INTERNES]]-Tableau120[[#This Row],[Portions vendues EXTERNES]]</f>
        <v>0</v>
      </c>
      <c r="M56">
        <f>Tableau120[[#This Row],[Portions prévues]]-Tableau120[[#This Row],[Portions stockées (frigo)]]</f>
        <v>0</v>
      </c>
      <c r="N56">
        <f>Tableau120[[#This Row],[Portions prévues]]-Tableau120[[#This Row],[Portions stockées (frigo)]]</f>
        <v>0</v>
      </c>
    </row>
    <row r="57" spans="1:15" x14ac:dyDescent="0.25">
      <c r="A57" s="21"/>
      <c r="C57" s="9"/>
      <c r="F57">
        <f>Tableau120[[#This Row],[Portions prévues]]-Tableau120[[#This Row],[Portions stockées (frigo)]]</f>
        <v>0</v>
      </c>
      <c r="L57">
        <f>Tableau120[[#This Row],[Portions prévues]]-Tableau120[[#This Row],[Auto-conso]]-Tableau120[[#This Row],[Portions vendues INTERNES]]-Tableau120[[#This Row],[Portions vendues EXTERNES]]</f>
        <v>0</v>
      </c>
      <c r="M57">
        <f>Tableau120[[#This Row],[Portions prévues]]-Tableau120[[#This Row],[Portions stockées (frigo)]]</f>
        <v>0</v>
      </c>
      <c r="N57">
        <f>Tableau120[[#This Row],[Portions prévues]]-Tableau120[[#This Row],[Portions stockées (frigo)]]</f>
        <v>0</v>
      </c>
    </row>
    <row r="58" spans="1:15" x14ac:dyDescent="0.25">
      <c r="A58" s="21"/>
      <c r="B58" s="10" t="s">
        <v>47</v>
      </c>
      <c r="C58" s="9"/>
      <c r="F58" s="13">
        <f>SUM(D51:D57)/120</f>
        <v>0</v>
      </c>
      <c r="M58">
        <f>Tableau120[[#This Row],[Portions prévues]]-Tableau120[[#This Row],[Portions stockées (frigo)]]</f>
        <v>0</v>
      </c>
      <c r="N58" s="13">
        <f>Tableau120[[#This Row],[Portions prises en compte dans le coût]]*Tableau120[[#This Row],[Coût de revient /plats]]</f>
        <v>0</v>
      </c>
      <c r="O58" s="13">
        <f>2.7*Tableau120[[#This Row],[Portions vendues INTERNES]]+4.7*Tableau120[[#This Row],[Portions vendues EXTERNES]]-Tableau120[[#This Row],[Coût de revient total]]</f>
        <v>0</v>
      </c>
    </row>
    <row r="59" spans="1:15" x14ac:dyDescent="0.25">
      <c r="A59" s="22" t="s">
        <v>2</v>
      </c>
      <c r="C59" s="9"/>
      <c r="L59">
        <f>Tableau120[[#This Row],[Portions prévues]]-Tableau120[[#This Row],[Auto-conso]]-Tableau120[[#This Row],[Portions vendues INTERNES]]-Tableau120[[#This Row],[Portions vendues EXTERNES]]</f>
        <v>0</v>
      </c>
      <c r="M59">
        <f>Tableau120[[#This Row],[Portions prévues]]-Tableau120[[#This Row],[Portions stockées (frigo)]]</f>
        <v>0</v>
      </c>
      <c r="N59">
        <f>Tableau120[[#This Row],[Portions prévues]]-Tableau120[[#This Row],[Portions stockées (frigo)]]</f>
        <v>0</v>
      </c>
    </row>
    <row r="60" spans="1:15" x14ac:dyDescent="0.25">
      <c r="A60" s="23"/>
      <c r="C60" s="9"/>
      <c r="L60">
        <f>Tableau120[[#This Row],[Portions prévues]]-Tableau120[[#This Row],[Auto-conso]]-Tableau120[[#This Row],[Portions vendues INTERNES]]-Tableau120[[#This Row],[Portions vendues EXTERNES]]</f>
        <v>0</v>
      </c>
      <c r="M60">
        <f>Tableau120[[#This Row],[Portions prévues]]-Tableau120[[#This Row],[Portions stockées (frigo)]]</f>
        <v>0</v>
      </c>
      <c r="N60">
        <f>Tableau120[[#This Row],[Portions prévues]]-Tableau120[[#This Row],[Portions stockées (frigo)]]</f>
        <v>0</v>
      </c>
    </row>
    <row r="61" spans="1:15" x14ac:dyDescent="0.25">
      <c r="A61" s="23"/>
      <c r="C61" s="9"/>
      <c r="L61">
        <f>Tableau120[[#This Row],[Portions prévues]]-Tableau120[[#This Row],[Auto-conso]]-Tableau120[[#This Row],[Portions vendues INTERNES]]-Tableau120[[#This Row],[Portions vendues EXTERNES]]</f>
        <v>0</v>
      </c>
      <c r="M61">
        <f>Tableau120[[#This Row],[Portions prévues]]-Tableau120[[#This Row],[Portions stockées (frigo)]]</f>
        <v>0</v>
      </c>
      <c r="N61">
        <f>Tableau120[[#This Row],[Portions prévues]]-Tableau120[[#This Row],[Portions stockées (frigo)]]</f>
        <v>0</v>
      </c>
    </row>
    <row r="62" spans="1:15" x14ac:dyDescent="0.25">
      <c r="A62" s="23"/>
      <c r="C62" s="9"/>
      <c r="L62">
        <f>Tableau120[[#This Row],[Portions prévues]]-Tableau120[[#This Row],[Auto-conso]]-Tableau120[[#This Row],[Portions vendues INTERNES]]-Tableau120[[#This Row],[Portions vendues EXTERNES]]</f>
        <v>0</v>
      </c>
      <c r="M62">
        <f>Tableau120[[#This Row],[Portions prévues]]-Tableau120[[#This Row],[Portions stockées (frigo)]]</f>
        <v>0</v>
      </c>
      <c r="N62">
        <f>Tableau120[[#This Row],[Portions prévues]]-Tableau120[[#This Row],[Portions stockées (frigo)]]</f>
        <v>0</v>
      </c>
    </row>
    <row r="63" spans="1:15" x14ac:dyDescent="0.25">
      <c r="A63" s="23"/>
      <c r="C63" s="9"/>
      <c r="L63">
        <f>Tableau120[[#This Row],[Portions prévues]]-Tableau120[[#This Row],[Auto-conso]]-Tableau120[[#This Row],[Portions vendues INTERNES]]-Tableau120[[#This Row],[Portions vendues EXTERNES]]</f>
        <v>0</v>
      </c>
      <c r="M63">
        <f>Tableau120[[#This Row],[Portions prévues]]-Tableau120[[#This Row],[Portions stockées (frigo)]]</f>
        <v>0</v>
      </c>
      <c r="N63">
        <f>Tableau120[[#This Row],[Portions prévues]]-Tableau120[[#This Row],[Portions stockées (frigo)]]</f>
        <v>0</v>
      </c>
    </row>
    <row r="64" spans="1:15" x14ac:dyDescent="0.25">
      <c r="A64" s="23"/>
      <c r="C64" s="9"/>
      <c r="L64">
        <f>Tableau120[[#This Row],[Portions prévues]]-Tableau120[[#This Row],[Auto-conso]]-Tableau120[[#This Row],[Portions vendues INTERNES]]-Tableau120[[#This Row],[Portions vendues EXTERNES]]</f>
        <v>0</v>
      </c>
      <c r="M64">
        <f>Tableau120[[#This Row],[Portions prévues]]-Tableau120[[#This Row],[Portions stockées (frigo)]]</f>
        <v>0</v>
      </c>
      <c r="N64">
        <f>Tableau120[[#This Row],[Portions prévues]]-Tableau120[[#This Row],[Portions stockées (frigo)]]</f>
        <v>0</v>
      </c>
    </row>
    <row r="65" spans="1:15" x14ac:dyDescent="0.25">
      <c r="A65" s="23"/>
      <c r="B65" s="10" t="s">
        <v>47</v>
      </c>
      <c r="C65" s="9"/>
      <c r="F65" s="13">
        <f>SUM(D59:D65)/120</f>
        <v>0</v>
      </c>
      <c r="M65">
        <f>Tableau120[[#This Row],[Portions prévues]]-Tableau120[[#This Row],[Portions stockées (frigo)]]</f>
        <v>0</v>
      </c>
      <c r="N65" s="10">
        <f>Tableau120[[#This Row],[Portions prises en compte dans le coût]]*Tableau120[[#This Row],[Coût de revient /plats]]</f>
        <v>0</v>
      </c>
      <c r="O65" s="10">
        <f>1.35*Tableau120[[#This Row],[Portions vendues INTERNES]]+2.35*Tableau120[[#This Row],[Portions vendues EXTERNES]]-Tableau120[[#This Row],[Coût de revient total]]</f>
        <v>0</v>
      </c>
    </row>
    <row r="66" spans="1:15" x14ac:dyDescent="0.25">
      <c r="C66" s="9"/>
      <c r="D66">
        <f>SUM(D51:D65)</f>
        <v>0</v>
      </c>
      <c r="E66" s="9"/>
      <c r="F66" s="11">
        <f>F58+F65</f>
        <v>0</v>
      </c>
      <c r="G66" s="9"/>
      <c r="H66" s="9"/>
      <c r="I66" s="9"/>
      <c r="J66" s="9"/>
      <c r="K66" s="9"/>
      <c r="L66" s="9"/>
      <c r="M66" s="9">
        <f>Tableau120[[#This Row],[Portions prévues]]-Tableau120[[#This Row],[Portions stockées (frigo)]]</f>
        <v>0</v>
      </c>
      <c r="N66" s="9"/>
      <c r="O66" s="9"/>
    </row>
    <row r="67" spans="1:15" x14ac:dyDescent="0.25">
      <c r="C67" s="9"/>
    </row>
    <row r="68" spans="1:15" x14ac:dyDescent="0.25">
      <c r="C68" s="9"/>
    </row>
    <row r="69" spans="1:15" x14ac:dyDescent="0.25">
      <c r="A69" s="1" t="s">
        <v>6</v>
      </c>
      <c r="B69" s="1">
        <f ca="1">TODAY()</f>
        <v>42432</v>
      </c>
      <c r="C69" s="9"/>
    </row>
    <row r="70" spans="1:15" x14ac:dyDescent="0.25">
      <c r="C70" s="9"/>
    </row>
    <row r="71" spans="1:15" x14ac:dyDescent="0.25">
      <c r="A71" s="8" t="s">
        <v>0</v>
      </c>
      <c r="B71" s="6" t="s">
        <v>5</v>
      </c>
      <c r="C71" s="9"/>
    </row>
    <row r="72" spans="1:15" x14ac:dyDescent="0.25">
      <c r="C72" s="9"/>
      <c r="F72" t="s">
        <v>61</v>
      </c>
    </row>
    <row r="73" spans="1:15" ht="75" x14ac:dyDescent="0.25">
      <c r="B73" s="3" t="s">
        <v>1</v>
      </c>
      <c r="C73" s="14" t="s">
        <v>80</v>
      </c>
      <c r="D73" s="3" t="s">
        <v>4</v>
      </c>
      <c r="E73" s="3" t="s">
        <v>33</v>
      </c>
      <c r="F73" s="3" t="s">
        <v>62</v>
      </c>
      <c r="G73" s="3" t="s">
        <v>34</v>
      </c>
      <c r="H73" s="3" t="s">
        <v>46</v>
      </c>
      <c r="I73" s="3" t="s">
        <v>67</v>
      </c>
      <c r="J73" s="3" t="s">
        <v>68</v>
      </c>
      <c r="K73" s="3" t="s">
        <v>57</v>
      </c>
      <c r="L73" s="3" t="s">
        <v>42</v>
      </c>
      <c r="M73" s="3" t="s">
        <v>70</v>
      </c>
      <c r="N73" s="3" t="s">
        <v>53</v>
      </c>
      <c r="O73" s="3" t="s">
        <v>45</v>
      </c>
    </row>
    <row r="74" spans="1:15" x14ac:dyDescent="0.25">
      <c r="A74" s="20" t="s">
        <v>69</v>
      </c>
      <c r="C74" s="9"/>
      <c r="F74">
        <f>Tableau115[[#This Row],[Portions prévues]]-Tableau115[[#This Row],[Portions stockées (frigo)]]</f>
        <v>0</v>
      </c>
      <c r="L74">
        <f>Tableau115[[#This Row],[Portions prévues]]-Tableau115[[#This Row],[Auto-conso]]-Tableau115[[#This Row],[Portions vendues INTERNES]]-Tableau115[[#This Row],[Portions vendues EXTERNES]]</f>
        <v>0</v>
      </c>
      <c r="M74">
        <f>Tableau115[[#This Row],[Portions prévues]]-Tableau115[[#This Row],[Portions stockées (frigo)]]</f>
        <v>0</v>
      </c>
      <c r="N74">
        <f>Tableau115[[#This Row],[Portions prévues]]-Tableau115[[#This Row],[Portions stockées (frigo)]]</f>
        <v>0</v>
      </c>
    </row>
    <row r="75" spans="1:15" x14ac:dyDescent="0.25">
      <c r="A75" s="21"/>
      <c r="C75" s="9"/>
      <c r="F75">
        <f>Tableau115[[#This Row],[Portions prévues]]-Tableau115[[#This Row],[Portions stockées (frigo)]]</f>
        <v>0</v>
      </c>
      <c r="L75">
        <f>Tableau115[[#This Row],[Portions prévues]]-Tableau115[[#This Row],[Auto-conso]]-Tableau115[[#This Row],[Portions vendues INTERNES]]-Tableau115[[#This Row],[Portions vendues EXTERNES]]</f>
        <v>0</v>
      </c>
      <c r="M75">
        <f>Tableau115[[#This Row],[Portions prévues]]-Tableau115[[#This Row],[Portions stockées (frigo)]]</f>
        <v>0</v>
      </c>
      <c r="N75">
        <f>Tableau115[[#This Row],[Portions prévues]]-Tableau115[[#This Row],[Portions stockées (frigo)]]</f>
        <v>0</v>
      </c>
    </row>
    <row r="76" spans="1:15" x14ac:dyDescent="0.25">
      <c r="A76" s="21"/>
      <c r="C76" s="9"/>
      <c r="F76">
        <f>Tableau115[[#This Row],[Portions prévues]]-Tableau115[[#This Row],[Portions stockées (frigo)]]</f>
        <v>0</v>
      </c>
      <c r="L76">
        <f>Tableau115[[#This Row],[Portions prévues]]-Tableau115[[#This Row],[Auto-conso]]-Tableau115[[#This Row],[Portions vendues INTERNES]]-Tableau115[[#This Row],[Portions vendues EXTERNES]]</f>
        <v>0</v>
      </c>
      <c r="M76">
        <f>Tableau115[[#This Row],[Portions prévues]]-Tableau115[[#This Row],[Portions stockées (frigo)]]</f>
        <v>0</v>
      </c>
      <c r="N76">
        <f>Tableau115[[#This Row],[Portions prévues]]-Tableau115[[#This Row],[Portions stockées (frigo)]]</f>
        <v>0</v>
      </c>
    </row>
    <row r="77" spans="1:15" x14ac:dyDescent="0.25">
      <c r="A77" s="21"/>
      <c r="C77" s="9"/>
      <c r="F77">
        <f>Tableau115[[#This Row],[Portions prévues]]-Tableau115[[#This Row],[Portions stockées (frigo)]]</f>
        <v>0</v>
      </c>
      <c r="L77">
        <f>Tableau115[[#This Row],[Portions prévues]]-Tableau115[[#This Row],[Portions stockées (frigo)]]-Tableau115[[#This Row],[Auto-conso]]-Tableau115[[#This Row],[Portions vendues INTERNES]]-Tableau115[[#This Row],[Portions vendues EXTERNES]]</f>
        <v>0</v>
      </c>
      <c r="M77">
        <f>Tableau115[[#This Row],[Portions prévues]]-Tableau115[[#This Row],[Portions stockées (frigo)]]</f>
        <v>0</v>
      </c>
      <c r="N77">
        <f>Tableau115[[#This Row],[Portions prévues]]-Tableau115[[#This Row],[Portions stockées (frigo)]]</f>
        <v>0</v>
      </c>
    </row>
    <row r="78" spans="1:15" x14ac:dyDescent="0.25">
      <c r="A78" s="21"/>
      <c r="C78" s="9"/>
      <c r="F78">
        <f>Tableau115[[#This Row],[Portions prévues]]-Tableau115[[#This Row],[Portions stockées (frigo)]]</f>
        <v>0</v>
      </c>
      <c r="L78">
        <f>Tableau115[[#This Row],[Portions prévues]]-Tableau115[[#This Row],[Auto-conso]]-Tableau115[[#This Row],[Portions vendues INTERNES]]-Tableau115[[#This Row],[Portions vendues EXTERNES]]</f>
        <v>0</v>
      </c>
      <c r="M78">
        <f>Tableau115[[#This Row],[Portions prévues]]-Tableau115[[#This Row],[Portions stockées (frigo)]]</f>
        <v>0</v>
      </c>
      <c r="N78">
        <f>Tableau115[[#This Row],[Portions prévues]]-Tableau115[[#This Row],[Portions stockées (frigo)]]</f>
        <v>0</v>
      </c>
    </row>
    <row r="79" spans="1:15" x14ac:dyDescent="0.25">
      <c r="A79" s="21"/>
      <c r="C79" s="9"/>
      <c r="F79">
        <f>Tableau115[[#This Row],[Portions prévues]]-Tableau115[[#This Row],[Portions stockées (frigo)]]</f>
        <v>0</v>
      </c>
      <c r="L79">
        <f>Tableau115[[#This Row],[Portions prévues]]-Tableau115[[#This Row],[Auto-conso]]-Tableau115[[#This Row],[Portions vendues INTERNES]]-Tableau115[[#This Row],[Portions vendues EXTERNES]]</f>
        <v>0</v>
      </c>
      <c r="M79">
        <f>Tableau115[[#This Row],[Portions prévues]]-Tableau115[[#This Row],[Portions stockées (frigo)]]</f>
        <v>0</v>
      </c>
      <c r="N79">
        <f>Tableau115[[#This Row],[Portions prévues]]-Tableau115[[#This Row],[Portions stockées (frigo)]]</f>
        <v>0</v>
      </c>
    </row>
    <row r="80" spans="1:15" x14ac:dyDescent="0.25">
      <c r="A80" s="21"/>
      <c r="C80" s="9"/>
      <c r="F80">
        <f>Tableau115[[#This Row],[Portions prévues]]-Tableau115[[#This Row],[Portions stockées (frigo)]]</f>
        <v>0</v>
      </c>
      <c r="L80">
        <f>Tableau115[[#This Row],[Portions prévues]]-Tableau115[[#This Row],[Auto-conso]]-Tableau115[[#This Row],[Portions vendues INTERNES]]-Tableau115[[#This Row],[Portions vendues EXTERNES]]</f>
        <v>0</v>
      </c>
      <c r="M80">
        <f>Tableau115[[#This Row],[Portions prévues]]-Tableau115[[#This Row],[Portions stockées (frigo)]]</f>
        <v>0</v>
      </c>
      <c r="N80">
        <f>Tableau115[[#This Row],[Portions prévues]]-Tableau115[[#This Row],[Portions stockées (frigo)]]</f>
        <v>0</v>
      </c>
    </row>
    <row r="81" spans="1:15" x14ac:dyDescent="0.25">
      <c r="A81" s="21"/>
      <c r="B81" s="10" t="s">
        <v>47</v>
      </c>
      <c r="C81" s="9"/>
      <c r="F81" s="13">
        <f>SUM(D74:D80)/120</f>
        <v>0</v>
      </c>
      <c r="M81">
        <f>Tableau115[[#This Row],[Portions prévues]]-Tableau115[[#This Row],[Portions stockées (frigo)]]</f>
        <v>0</v>
      </c>
      <c r="N81" s="13">
        <f>Tableau115[[#This Row],[Portions prises en compte dans le coût]]*Tableau115[[#This Row],[Coût de revient /plats]]</f>
        <v>0</v>
      </c>
      <c r="O81" s="13">
        <f>2.7*Tableau115[[#This Row],[Portions vendues INTERNES]]+4.7*Tableau115[[#This Row],[Portions vendues EXTERNES]]-Tableau115[[#This Row],[Coût de revient total]]</f>
        <v>0</v>
      </c>
    </row>
    <row r="82" spans="1:15" x14ac:dyDescent="0.25">
      <c r="A82" s="22" t="s">
        <v>2</v>
      </c>
      <c r="C82" s="9"/>
      <c r="L82">
        <f>Tableau115[[#This Row],[Portions prévues]]-Tableau115[[#This Row],[Auto-conso]]-Tableau115[[#This Row],[Portions vendues INTERNES]]-Tableau115[[#This Row],[Portions vendues EXTERNES]]</f>
        <v>0</v>
      </c>
      <c r="M82">
        <f>Tableau115[[#This Row],[Portions prévues]]-Tableau115[[#This Row],[Portions stockées (frigo)]]</f>
        <v>0</v>
      </c>
      <c r="N82">
        <f>Tableau115[[#This Row],[Portions prévues]]-Tableau115[[#This Row],[Portions stockées (frigo)]]</f>
        <v>0</v>
      </c>
    </row>
    <row r="83" spans="1:15" x14ac:dyDescent="0.25">
      <c r="A83" s="23"/>
      <c r="C83" s="9"/>
      <c r="L83">
        <f>Tableau115[[#This Row],[Portions prévues]]-Tableau115[[#This Row],[Auto-conso]]-Tableau115[[#This Row],[Portions vendues INTERNES]]-Tableau115[[#This Row],[Portions vendues EXTERNES]]</f>
        <v>0</v>
      </c>
      <c r="M83">
        <f>Tableau115[[#This Row],[Portions prévues]]-Tableau115[[#This Row],[Portions stockées (frigo)]]</f>
        <v>0</v>
      </c>
      <c r="N83">
        <f>Tableau115[[#This Row],[Portions prévues]]-Tableau115[[#This Row],[Portions stockées (frigo)]]</f>
        <v>0</v>
      </c>
    </row>
    <row r="84" spans="1:15" x14ac:dyDescent="0.25">
      <c r="A84" s="23"/>
      <c r="C84" s="9"/>
      <c r="L84">
        <f>Tableau115[[#This Row],[Portions prévues]]-Tableau115[[#This Row],[Auto-conso]]-Tableau115[[#This Row],[Portions vendues INTERNES]]-Tableau115[[#This Row],[Portions vendues EXTERNES]]</f>
        <v>0</v>
      </c>
      <c r="M84">
        <f>Tableau115[[#This Row],[Portions prévues]]-Tableau115[[#This Row],[Portions stockées (frigo)]]</f>
        <v>0</v>
      </c>
      <c r="N84">
        <f>Tableau115[[#This Row],[Portions prévues]]-Tableau115[[#This Row],[Portions stockées (frigo)]]</f>
        <v>0</v>
      </c>
    </row>
    <row r="85" spans="1:15" x14ac:dyDescent="0.25">
      <c r="A85" s="23"/>
      <c r="C85" s="9"/>
      <c r="L85">
        <f>Tableau115[[#This Row],[Portions prévues]]-Tableau115[[#This Row],[Auto-conso]]-Tableau115[[#This Row],[Portions vendues INTERNES]]-Tableau115[[#This Row],[Portions vendues EXTERNES]]</f>
        <v>0</v>
      </c>
      <c r="M85">
        <f>Tableau115[[#This Row],[Portions prévues]]-Tableau115[[#This Row],[Portions stockées (frigo)]]</f>
        <v>0</v>
      </c>
      <c r="N85">
        <f>Tableau115[[#This Row],[Portions prévues]]-Tableau115[[#This Row],[Portions stockées (frigo)]]</f>
        <v>0</v>
      </c>
    </row>
    <row r="86" spans="1:15" x14ac:dyDescent="0.25">
      <c r="A86" s="23"/>
      <c r="C86" s="9"/>
      <c r="L86">
        <f>Tableau115[[#This Row],[Portions prévues]]-Tableau115[[#This Row],[Auto-conso]]-Tableau115[[#This Row],[Portions vendues INTERNES]]-Tableau115[[#This Row],[Portions vendues EXTERNES]]</f>
        <v>0</v>
      </c>
      <c r="M86">
        <f>Tableau115[[#This Row],[Portions prévues]]-Tableau115[[#This Row],[Portions stockées (frigo)]]</f>
        <v>0</v>
      </c>
      <c r="N86">
        <f>Tableau115[[#This Row],[Portions prévues]]-Tableau115[[#This Row],[Portions stockées (frigo)]]</f>
        <v>0</v>
      </c>
    </row>
    <row r="87" spans="1:15" x14ac:dyDescent="0.25">
      <c r="A87" s="23"/>
      <c r="C87" s="9"/>
      <c r="L87">
        <f>Tableau115[[#This Row],[Portions prévues]]-Tableau115[[#This Row],[Auto-conso]]-Tableau115[[#This Row],[Portions vendues INTERNES]]-Tableau115[[#This Row],[Portions vendues EXTERNES]]</f>
        <v>0</v>
      </c>
      <c r="M87">
        <f>Tableau115[[#This Row],[Portions prévues]]-Tableau115[[#This Row],[Portions stockées (frigo)]]</f>
        <v>0</v>
      </c>
      <c r="N87">
        <f>Tableau115[[#This Row],[Portions prévues]]-Tableau115[[#This Row],[Portions stockées (frigo)]]</f>
        <v>0</v>
      </c>
    </row>
    <row r="88" spans="1:15" x14ac:dyDescent="0.25">
      <c r="A88" s="23"/>
      <c r="B88" s="10" t="s">
        <v>47</v>
      </c>
      <c r="C88" s="9"/>
      <c r="F88" s="13">
        <f>SUM(D82:D88)/120</f>
        <v>0</v>
      </c>
      <c r="M88">
        <f>Tableau115[[#This Row],[Portions prévues]]-Tableau115[[#This Row],[Portions stockées (frigo)]]</f>
        <v>0</v>
      </c>
      <c r="N88" s="10">
        <f>Tableau115[[#This Row],[Portions prises en compte dans le coût]]*Tableau115[[#This Row],[Coût de revient /plats]]</f>
        <v>0</v>
      </c>
      <c r="O88" s="10">
        <f>1.35*Tableau115[[#This Row],[Portions vendues INTERNES]]+2.35*Tableau115[[#This Row],[Portions vendues EXTERNES]]-Tableau115[[#This Row],[Coût de revient total]]</f>
        <v>0</v>
      </c>
    </row>
    <row r="89" spans="1:15" x14ac:dyDescent="0.25">
      <c r="C89" s="9"/>
      <c r="D89">
        <f>SUM(D74:D88)</f>
        <v>0</v>
      </c>
      <c r="E89" s="9"/>
      <c r="F89" s="11">
        <f>F81+F88</f>
        <v>0</v>
      </c>
      <c r="G89" s="9"/>
      <c r="H89" s="9"/>
      <c r="I89" s="9"/>
      <c r="J89" s="9"/>
      <c r="K89" s="9"/>
      <c r="L89" s="9"/>
      <c r="M89" s="9">
        <f>Tableau115[[#This Row],[Portions prévues]]-Tableau115[[#This Row],[Portions stockées (frigo)]]</f>
        <v>0</v>
      </c>
      <c r="N89" s="9"/>
      <c r="O89" s="9"/>
    </row>
    <row r="90" spans="1:15" x14ac:dyDescent="0.25">
      <c r="C90" s="9"/>
    </row>
    <row r="91" spans="1:15" x14ac:dyDescent="0.25">
      <c r="C91" s="9"/>
    </row>
    <row r="92" spans="1:15" x14ac:dyDescent="0.25">
      <c r="A92" s="1" t="s">
        <v>6</v>
      </c>
      <c r="B92" s="1">
        <f ca="1">TODAY()</f>
        <v>42432</v>
      </c>
      <c r="C92" s="9"/>
    </row>
    <row r="93" spans="1:15" x14ac:dyDescent="0.25">
      <c r="C93" s="9"/>
    </row>
    <row r="94" spans="1:15" x14ac:dyDescent="0.25">
      <c r="A94" s="8" t="s">
        <v>0</v>
      </c>
      <c r="B94" s="6" t="s">
        <v>5</v>
      </c>
      <c r="C94" s="9"/>
    </row>
    <row r="95" spans="1:15" x14ac:dyDescent="0.25">
      <c r="C95" s="9"/>
      <c r="F95" t="s">
        <v>61</v>
      </c>
    </row>
    <row r="96" spans="1:15" ht="75" x14ac:dyDescent="0.25">
      <c r="B96" s="3" t="s">
        <v>1</v>
      </c>
      <c r="C96" s="14" t="s">
        <v>80</v>
      </c>
      <c r="D96" s="3" t="s">
        <v>4</v>
      </c>
      <c r="E96" s="3" t="s">
        <v>33</v>
      </c>
      <c r="F96" s="3" t="s">
        <v>62</v>
      </c>
      <c r="G96" s="3" t="s">
        <v>34</v>
      </c>
      <c r="H96" s="3" t="s">
        <v>46</v>
      </c>
      <c r="I96" s="3" t="s">
        <v>67</v>
      </c>
      <c r="J96" s="3" t="s">
        <v>68</v>
      </c>
      <c r="K96" s="3" t="s">
        <v>57</v>
      </c>
      <c r="L96" s="3" t="s">
        <v>42</v>
      </c>
      <c r="M96" s="3" t="s">
        <v>70</v>
      </c>
      <c r="N96" s="3" t="s">
        <v>53</v>
      </c>
      <c r="O96" s="3" t="s">
        <v>45</v>
      </c>
    </row>
    <row r="97" spans="1:15" x14ac:dyDescent="0.25">
      <c r="A97" s="20" t="s">
        <v>69</v>
      </c>
      <c r="C97" s="9"/>
      <c r="F97">
        <f>Tableau118[[#This Row],[Portions prévues]]-Tableau118[[#This Row],[Portions stockées (frigo)]]</f>
        <v>0</v>
      </c>
      <c r="L97">
        <f>Tableau118[[#This Row],[Portions prévues]]-Tableau118[[#This Row],[Auto-conso]]-Tableau118[[#This Row],[Portions vendues INTERNES]]-Tableau118[[#This Row],[Portions vendues EXTERNES]]</f>
        <v>0</v>
      </c>
      <c r="M97">
        <f>Tableau118[[#This Row],[Portions prévues]]-Tableau118[[#This Row],[Portions stockées (frigo)]]</f>
        <v>0</v>
      </c>
      <c r="N97">
        <f>Tableau118[[#This Row],[Portions prévues]]-Tableau118[[#This Row],[Portions stockées (frigo)]]</f>
        <v>0</v>
      </c>
    </row>
    <row r="98" spans="1:15" x14ac:dyDescent="0.25">
      <c r="A98" s="21"/>
      <c r="C98" s="9"/>
      <c r="F98">
        <f>Tableau118[[#This Row],[Portions prévues]]-Tableau118[[#This Row],[Portions stockées (frigo)]]</f>
        <v>0</v>
      </c>
      <c r="L98">
        <f>Tableau118[[#This Row],[Portions prévues]]-Tableau118[[#This Row],[Auto-conso]]-Tableau118[[#This Row],[Portions vendues INTERNES]]-Tableau118[[#This Row],[Portions vendues EXTERNES]]</f>
        <v>0</v>
      </c>
      <c r="M98">
        <f>Tableau118[[#This Row],[Portions prévues]]-Tableau118[[#This Row],[Portions stockées (frigo)]]</f>
        <v>0</v>
      </c>
      <c r="N98">
        <f>Tableau118[[#This Row],[Portions prévues]]-Tableau118[[#This Row],[Portions stockées (frigo)]]</f>
        <v>0</v>
      </c>
    </row>
    <row r="99" spans="1:15" x14ac:dyDescent="0.25">
      <c r="A99" s="21"/>
      <c r="C99" s="9"/>
      <c r="F99">
        <f>Tableau118[[#This Row],[Portions prévues]]-Tableau118[[#This Row],[Portions stockées (frigo)]]</f>
        <v>0</v>
      </c>
      <c r="L99">
        <f>Tableau118[[#This Row],[Portions prévues]]-Tableau118[[#This Row],[Auto-conso]]-Tableau118[[#This Row],[Portions vendues INTERNES]]-Tableau118[[#This Row],[Portions vendues EXTERNES]]</f>
        <v>0</v>
      </c>
      <c r="M99">
        <f>Tableau118[[#This Row],[Portions prévues]]-Tableau118[[#This Row],[Portions stockées (frigo)]]</f>
        <v>0</v>
      </c>
      <c r="N99">
        <f>Tableau118[[#This Row],[Portions prévues]]-Tableau118[[#This Row],[Portions stockées (frigo)]]</f>
        <v>0</v>
      </c>
    </row>
    <row r="100" spans="1:15" x14ac:dyDescent="0.25">
      <c r="A100" s="21"/>
      <c r="C100" s="9"/>
      <c r="F100">
        <f>Tableau118[[#This Row],[Portions prévues]]-Tableau118[[#This Row],[Portions stockées (frigo)]]</f>
        <v>0</v>
      </c>
      <c r="L100">
        <f>Tableau118[[#This Row],[Portions prévues]]-Tableau118[[#This Row],[Portions stockées (frigo)]]-Tableau118[[#This Row],[Auto-conso]]-Tableau118[[#This Row],[Portions vendues INTERNES]]-Tableau118[[#This Row],[Portions vendues EXTERNES]]</f>
        <v>0</v>
      </c>
      <c r="M100">
        <f>Tableau118[[#This Row],[Portions prévues]]-Tableau118[[#This Row],[Portions stockées (frigo)]]</f>
        <v>0</v>
      </c>
      <c r="N100">
        <f>Tableau118[[#This Row],[Portions prévues]]-Tableau118[[#This Row],[Portions stockées (frigo)]]</f>
        <v>0</v>
      </c>
    </row>
    <row r="101" spans="1:15" x14ac:dyDescent="0.25">
      <c r="A101" s="21"/>
      <c r="C101" s="9"/>
      <c r="F101">
        <f>Tableau118[[#This Row],[Portions prévues]]-Tableau118[[#This Row],[Portions stockées (frigo)]]</f>
        <v>0</v>
      </c>
      <c r="L101">
        <f>Tableau118[[#This Row],[Portions prévues]]-Tableau118[[#This Row],[Auto-conso]]-Tableau118[[#This Row],[Portions vendues INTERNES]]-Tableau118[[#This Row],[Portions vendues EXTERNES]]</f>
        <v>0</v>
      </c>
      <c r="M101">
        <f>Tableau118[[#This Row],[Portions prévues]]-Tableau118[[#This Row],[Portions stockées (frigo)]]</f>
        <v>0</v>
      </c>
      <c r="N101">
        <f>Tableau118[[#This Row],[Portions prévues]]-Tableau118[[#This Row],[Portions stockées (frigo)]]</f>
        <v>0</v>
      </c>
    </row>
    <row r="102" spans="1:15" x14ac:dyDescent="0.25">
      <c r="A102" s="21"/>
      <c r="C102" s="9"/>
      <c r="F102">
        <f>Tableau118[[#This Row],[Portions prévues]]-Tableau118[[#This Row],[Portions stockées (frigo)]]</f>
        <v>0</v>
      </c>
      <c r="L102">
        <f>Tableau118[[#This Row],[Portions prévues]]-Tableau118[[#This Row],[Auto-conso]]-Tableau118[[#This Row],[Portions vendues INTERNES]]-Tableau118[[#This Row],[Portions vendues EXTERNES]]</f>
        <v>0</v>
      </c>
      <c r="M102">
        <f>Tableau118[[#This Row],[Portions prévues]]-Tableau118[[#This Row],[Portions stockées (frigo)]]</f>
        <v>0</v>
      </c>
      <c r="N102">
        <f>Tableau118[[#This Row],[Portions prévues]]-Tableau118[[#This Row],[Portions stockées (frigo)]]</f>
        <v>0</v>
      </c>
    </row>
    <row r="103" spans="1:15" x14ac:dyDescent="0.25">
      <c r="A103" s="21"/>
      <c r="C103" s="9"/>
      <c r="F103">
        <f>Tableau118[[#This Row],[Portions prévues]]-Tableau118[[#This Row],[Portions stockées (frigo)]]</f>
        <v>0</v>
      </c>
      <c r="L103">
        <f>Tableau118[[#This Row],[Portions prévues]]-Tableau118[[#This Row],[Auto-conso]]-Tableau118[[#This Row],[Portions vendues INTERNES]]-Tableau118[[#This Row],[Portions vendues EXTERNES]]</f>
        <v>0</v>
      </c>
      <c r="M103">
        <f>Tableau118[[#This Row],[Portions prévues]]-Tableau118[[#This Row],[Portions stockées (frigo)]]</f>
        <v>0</v>
      </c>
      <c r="N103">
        <f>Tableau118[[#This Row],[Portions prévues]]-Tableau118[[#This Row],[Portions stockées (frigo)]]</f>
        <v>0</v>
      </c>
    </row>
    <row r="104" spans="1:15" x14ac:dyDescent="0.25">
      <c r="A104" s="21"/>
      <c r="B104" s="10" t="s">
        <v>47</v>
      </c>
      <c r="C104" s="9"/>
      <c r="F104" s="13">
        <f>SUM(D97:D103)/120</f>
        <v>0</v>
      </c>
      <c r="M104">
        <f>Tableau118[[#This Row],[Portions prévues]]-Tableau118[[#This Row],[Portions stockées (frigo)]]</f>
        <v>0</v>
      </c>
      <c r="N104" s="13">
        <f>Tableau118[[#This Row],[Portions prises en compte dans le coût]]*Tableau118[[#This Row],[Coût de revient /plats]]</f>
        <v>0</v>
      </c>
      <c r="O104" s="13">
        <f>2.7*Tableau118[[#This Row],[Portions vendues INTERNES]]+4.7*Tableau118[[#This Row],[Portions vendues EXTERNES]]-Tableau118[[#This Row],[Coût de revient total]]</f>
        <v>0</v>
      </c>
    </row>
    <row r="105" spans="1:15" x14ac:dyDescent="0.25">
      <c r="A105" s="22" t="s">
        <v>2</v>
      </c>
      <c r="C105" s="9"/>
      <c r="L105">
        <f>Tableau118[[#This Row],[Portions prévues]]-Tableau118[[#This Row],[Auto-conso]]-Tableau118[[#This Row],[Portions vendues INTERNES]]-Tableau118[[#This Row],[Portions vendues EXTERNES]]</f>
        <v>0</v>
      </c>
      <c r="M105">
        <f>Tableau118[[#This Row],[Portions prévues]]-Tableau118[[#This Row],[Portions stockées (frigo)]]</f>
        <v>0</v>
      </c>
      <c r="N105">
        <f>Tableau118[[#This Row],[Portions prévues]]-Tableau118[[#This Row],[Portions stockées (frigo)]]</f>
        <v>0</v>
      </c>
    </row>
    <row r="106" spans="1:15" x14ac:dyDescent="0.25">
      <c r="A106" s="23"/>
      <c r="C106" s="9"/>
      <c r="L106">
        <f>Tableau118[[#This Row],[Portions prévues]]-Tableau118[[#This Row],[Auto-conso]]-Tableau118[[#This Row],[Portions vendues INTERNES]]-Tableau118[[#This Row],[Portions vendues EXTERNES]]</f>
        <v>0</v>
      </c>
      <c r="M106">
        <f>Tableau118[[#This Row],[Portions prévues]]-Tableau118[[#This Row],[Portions stockées (frigo)]]</f>
        <v>0</v>
      </c>
      <c r="N106">
        <f>Tableau118[[#This Row],[Portions prévues]]-Tableau118[[#This Row],[Portions stockées (frigo)]]</f>
        <v>0</v>
      </c>
    </row>
    <row r="107" spans="1:15" x14ac:dyDescent="0.25">
      <c r="A107" s="23"/>
      <c r="C107" s="9"/>
      <c r="L107">
        <f>Tableau118[[#This Row],[Portions prévues]]-Tableau118[[#This Row],[Auto-conso]]-Tableau118[[#This Row],[Portions vendues INTERNES]]-Tableau118[[#This Row],[Portions vendues EXTERNES]]</f>
        <v>0</v>
      </c>
      <c r="M107">
        <f>Tableau118[[#This Row],[Portions prévues]]-Tableau118[[#This Row],[Portions stockées (frigo)]]</f>
        <v>0</v>
      </c>
      <c r="N107">
        <f>Tableau118[[#This Row],[Portions prévues]]-Tableau118[[#This Row],[Portions stockées (frigo)]]</f>
        <v>0</v>
      </c>
    </row>
    <row r="108" spans="1:15" x14ac:dyDescent="0.25">
      <c r="A108" s="23"/>
      <c r="C108" s="9"/>
      <c r="L108">
        <f>Tableau118[[#This Row],[Portions prévues]]-Tableau118[[#This Row],[Auto-conso]]-Tableau118[[#This Row],[Portions vendues INTERNES]]-Tableau118[[#This Row],[Portions vendues EXTERNES]]</f>
        <v>0</v>
      </c>
      <c r="M108">
        <f>Tableau118[[#This Row],[Portions prévues]]-Tableau118[[#This Row],[Portions stockées (frigo)]]</f>
        <v>0</v>
      </c>
      <c r="N108">
        <f>Tableau118[[#This Row],[Portions prévues]]-Tableau118[[#This Row],[Portions stockées (frigo)]]</f>
        <v>0</v>
      </c>
    </row>
    <row r="109" spans="1:15" x14ac:dyDescent="0.25">
      <c r="A109" s="23"/>
      <c r="C109" s="9"/>
      <c r="L109">
        <f>Tableau118[[#This Row],[Portions prévues]]-Tableau118[[#This Row],[Auto-conso]]-Tableau118[[#This Row],[Portions vendues INTERNES]]-Tableau118[[#This Row],[Portions vendues EXTERNES]]</f>
        <v>0</v>
      </c>
      <c r="M109">
        <f>Tableau118[[#This Row],[Portions prévues]]-Tableau118[[#This Row],[Portions stockées (frigo)]]</f>
        <v>0</v>
      </c>
      <c r="N109">
        <f>Tableau118[[#This Row],[Portions prévues]]-Tableau118[[#This Row],[Portions stockées (frigo)]]</f>
        <v>0</v>
      </c>
    </row>
    <row r="110" spans="1:15" x14ac:dyDescent="0.25">
      <c r="A110" s="23"/>
      <c r="C110" s="9"/>
      <c r="L110">
        <f>Tableau118[[#This Row],[Portions prévues]]-Tableau118[[#This Row],[Auto-conso]]-Tableau118[[#This Row],[Portions vendues INTERNES]]-Tableau118[[#This Row],[Portions vendues EXTERNES]]</f>
        <v>0</v>
      </c>
      <c r="M110">
        <f>Tableau118[[#This Row],[Portions prévues]]-Tableau118[[#This Row],[Portions stockées (frigo)]]</f>
        <v>0</v>
      </c>
      <c r="N110">
        <f>Tableau118[[#This Row],[Portions prévues]]-Tableau118[[#This Row],[Portions stockées (frigo)]]</f>
        <v>0</v>
      </c>
    </row>
    <row r="111" spans="1:15" x14ac:dyDescent="0.25">
      <c r="A111" s="23"/>
      <c r="B111" s="10" t="s">
        <v>47</v>
      </c>
      <c r="C111" s="9"/>
      <c r="F111" s="13">
        <f>SUM(D105:D111)/120</f>
        <v>0</v>
      </c>
      <c r="M111">
        <f>Tableau118[[#This Row],[Portions prévues]]-Tableau118[[#This Row],[Portions stockées (frigo)]]</f>
        <v>0</v>
      </c>
      <c r="N111" s="10">
        <f>Tableau118[[#This Row],[Portions prises en compte dans le coût]]*Tableau118[[#This Row],[Coût de revient /plats]]</f>
        <v>0</v>
      </c>
      <c r="O111" s="10">
        <f>1.35*Tableau118[[#This Row],[Portions vendues INTERNES]]+2.35*Tableau118[[#This Row],[Portions vendues EXTERNES]]-Tableau118[[#This Row],[Coût de revient total]]</f>
        <v>0</v>
      </c>
    </row>
    <row r="112" spans="1:15" x14ac:dyDescent="0.25">
      <c r="C112" s="9"/>
      <c r="D112">
        <f>SUM(D97:D111)</f>
        <v>0</v>
      </c>
      <c r="E112" s="9"/>
      <c r="F112" s="11">
        <f>F104+F111</f>
        <v>0</v>
      </c>
      <c r="G112" s="9"/>
      <c r="H112" s="9"/>
      <c r="I112" s="9"/>
      <c r="J112" s="9"/>
      <c r="K112" s="9"/>
      <c r="L112" s="9"/>
      <c r="M112" s="9">
        <f>Tableau118[[#This Row],[Portions prévues]]-Tableau118[[#This Row],[Portions stockées (frigo)]]</f>
        <v>0</v>
      </c>
      <c r="N112" s="9"/>
      <c r="O112" s="9"/>
    </row>
    <row r="113" spans="1:15" x14ac:dyDescent="0.25">
      <c r="C113" s="9"/>
    </row>
    <row r="114" spans="1:15" x14ac:dyDescent="0.25">
      <c r="C114" s="9"/>
    </row>
    <row r="115" spans="1:15" x14ac:dyDescent="0.25">
      <c r="A115" s="1" t="s">
        <v>6</v>
      </c>
      <c r="B115" s="1">
        <f ca="1">TODAY()</f>
        <v>42432</v>
      </c>
      <c r="C115" s="9"/>
    </row>
    <row r="116" spans="1:15" x14ac:dyDescent="0.25">
      <c r="C116" s="9"/>
    </row>
    <row r="117" spans="1:15" x14ac:dyDescent="0.25">
      <c r="A117" s="8" t="s">
        <v>0</v>
      </c>
      <c r="B117" s="6" t="s">
        <v>5</v>
      </c>
      <c r="C117" s="9"/>
    </row>
    <row r="118" spans="1:15" x14ac:dyDescent="0.25">
      <c r="C118" s="9"/>
      <c r="F118" t="s">
        <v>61</v>
      </c>
    </row>
    <row r="119" spans="1:15" ht="75" x14ac:dyDescent="0.25">
      <c r="B119" s="3" t="s">
        <v>1</v>
      </c>
      <c r="C119" s="14" t="s">
        <v>80</v>
      </c>
      <c r="D119" s="3" t="s">
        <v>4</v>
      </c>
      <c r="E119" s="3" t="s">
        <v>33</v>
      </c>
      <c r="F119" s="3" t="s">
        <v>62</v>
      </c>
      <c r="G119" s="3" t="s">
        <v>34</v>
      </c>
      <c r="H119" s="3" t="s">
        <v>46</v>
      </c>
      <c r="I119" s="3" t="s">
        <v>67</v>
      </c>
      <c r="J119" s="3" t="s">
        <v>68</v>
      </c>
      <c r="K119" s="3" t="s">
        <v>57</v>
      </c>
      <c r="L119" s="3" t="s">
        <v>42</v>
      </c>
      <c r="M119" s="3" t="s">
        <v>70</v>
      </c>
      <c r="N119" s="3" t="s">
        <v>53</v>
      </c>
      <c r="O119" s="3" t="s">
        <v>45</v>
      </c>
    </row>
    <row r="120" spans="1:15" x14ac:dyDescent="0.25">
      <c r="A120" s="20" t="s">
        <v>69</v>
      </c>
      <c r="C120" s="9"/>
      <c r="F120">
        <f>Tableau117[[#This Row],[Portions prévues]]-Tableau117[[#This Row],[Portions stockées (frigo)]]</f>
        <v>0</v>
      </c>
      <c r="L120">
        <f>Tableau117[[#This Row],[Portions prévues]]-Tableau117[[#This Row],[Auto-conso]]-Tableau117[[#This Row],[Portions vendues INTERNES]]-Tableau117[[#This Row],[Portions vendues EXTERNES]]</f>
        <v>0</v>
      </c>
      <c r="M120">
        <f>Tableau117[[#This Row],[Portions prévues]]-Tableau117[[#This Row],[Portions stockées (frigo)]]</f>
        <v>0</v>
      </c>
      <c r="N120">
        <f>Tableau117[[#This Row],[Portions prévues]]-Tableau117[[#This Row],[Portions stockées (frigo)]]</f>
        <v>0</v>
      </c>
    </row>
    <row r="121" spans="1:15" x14ac:dyDescent="0.25">
      <c r="A121" s="21"/>
      <c r="C121" s="9"/>
      <c r="F121">
        <f>Tableau117[[#This Row],[Portions prévues]]-Tableau117[[#This Row],[Portions stockées (frigo)]]</f>
        <v>0</v>
      </c>
      <c r="L121">
        <f>Tableau117[[#This Row],[Portions prévues]]-Tableau117[[#This Row],[Auto-conso]]-Tableau117[[#This Row],[Portions vendues INTERNES]]-Tableau117[[#This Row],[Portions vendues EXTERNES]]</f>
        <v>0</v>
      </c>
      <c r="M121">
        <f>Tableau117[[#This Row],[Portions prévues]]-Tableau117[[#This Row],[Portions stockées (frigo)]]</f>
        <v>0</v>
      </c>
      <c r="N121">
        <f>Tableau117[[#This Row],[Portions prévues]]-Tableau117[[#This Row],[Portions stockées (frigo)]]</f>
        <v>0</v>
      </c>
    </row>
    <row r="122" spans="1:15" x14ac:dyDescent="0.25">
      <c r="A122" s="21"/>
      <c r="C122" s="9"/>
      <c r="F122">
        <f>Tableau117[[#This Row],[Portions prévues]]-Tableau117[[#This Row],[Portions stockées (frigo)]]</f>
        <v>0</v>
      </c>
      <c r="L122">
        <f>Tableau117[[#This Row],[Portions prévues]]-Tableau117[[#This Row],[Auto-conso]]-Tableau117[[#This Row],[Portions vendues INTERNES]]-Tableau117[[#This Row],[Portions vendues EXTERNES]]</f>
        <v>0</v>
      </c>
      <c r="M122">
        <f>Tableau117[[#This Row],[Portions prévues]]-Tableau117[[#This Row],[Portions stockées (frigo)]]</f>
        <v>0</v>
      </c>
      <c r="N122">
        <f>Tableau117[[#This Row],[Portions prévues]]-Tableau117[[#This Row],[Portions stockées (frigo)]]</f>
        <v>0</v>
      </c>
    </row>
    <row r="123" spans="1:15" x14ac:dyDescent="0.25">
      <c r="A123" s="21"/>
      <c r="C123" s="9"/>
      <c r="F123">
        <f>Tableau117[[#This Row],[Portions prévues]]-Tableau117[[#This Row],[Portions stockées (frigo)]]</f>
        <v>0</v>
      </c>
      <c r="L123">
        <f>Tableau117[[#This Row],[Portions prévues]]-Tableau117[[#This Row],[Portions stockées (frigo)]]-Tableau117[[#This Row],[Auto-conso]]-Tableau117[[#This Row],[Portions vendues INTERNES]]-Tableau117[[#This Row],[Portions vendues EXTERNES]]</f>
        <v>0</v>
      </c>
      <c r="M123">
        <f>Tableau117[[#This Row],[Portions prévues]]-Tableau117[[#This Row],[Portions stockées (frigo)]]</f>
        <v>0</v>
      </c>
      <c r="N123">
        <f>Tableau117[[#This Row],[Portions prévues]]-Tableau117[[#This Row],[Portions stockées (frigo)]]</f>
        <v>0</v>
      </c>
    </row>
    <row r="124" spans="1:15" x14ac:dyDescent="0.25">
      <c r="A124" s="21"/>
      <c r="C124" s="9"/>
      <c r="F124">
        <f>Tableau117[[#This Row],[Portions prévues]]-Tableau117[[#This Row],[Portions stockées (frigo)]]</f>
        <v>0</v>
      </c>
      <c r="L124">
        <f>Tableau117[[#This Row],[Portions prévues]]-Tableau117[[#This Row],[Auto-conso]]-Tableau117[[#This Row],[Portions vendues INTERNES]]-Tableau117[[#This Row],[Portions vendues EXTERNES]]</f>
        <v>0</v>
      </c>
      <c r="M124">
        <f>Tableau117[[#This Row],[Portions prévues]]-Tableau117[[#This Row],[Portions stockées (frigo)]]</f>
        <v>0</v>
      </c>
      <c r="N124">
        <f>Tableau117[[#This Row],[Portions prévues]]-Tableau117[[#This Row],[Portions stockées (frigo)]]</f>
        <v>0</v>
      </c>
    </row>
    <row r="125" spans="1:15" x14ac:dyDescent="0.25">
      <c r="A125" s="21"/>
      <c r="C125" s="9"/>
      <c r="F125">
        <f>Tableau117[[#This Row],[Portions prévues]]-Tableau117[[#This Row],[Portions stockées (frigo)]]</f>
        <v>0</v>
      </c>
      <c r="L125">
        <f>Tableau117[[#This Row],[Portions prévues]]-Tableau117[[#This Row],[Auto-conso]]-Tableau117[[#This Row],[Portions vendues INTERNES]]-Tableau117[[#This Row],[Portions vendues EXTERNES]]</f>
        <v>0</v>
      </c>
      <c r="M125">
        <f>Tableau117[[#This Row],[Portions prévues]]-Tableau117[[#This Row],[Portions stockées (frigo)]]</f>
        <v>0</v>
      </c>
      <c r="N125">
        <f>Tableau117[[#This Row],[Portions prévues]]-Tableau117[[#This Row],[Portions stockées (frigo)]]</f>
        <v>0</v>
      </c>
    </row>
    <row r="126" spans="1:15" x14ac:dyDescent="0.25">
      <c r="A126" s="21"/>
      <c r="C126" s="9"/>
      <c r="F126">
        <f>Tableau117[[#This Row],[Portions prévues]]-Tableau117[[#This Row],[Portions stockées (frigo)]]</f>
        <v>0</v>
      </c>
      <c r="L126">
        <f>Tableau117[[#This Row],[Portions prévues]]-Tableau117[[#This Row],[Auto-conso]]-Tableau117[[#This Row],[Portions vendues INTERNES]]-Tableau117[[#This Row],[Portions vendues EXTERNES]]</f>
        <v>0</v>
      </c>
      <c r="M126">
        <f>Tableau117[[#This Row],[Portions prévues]]-Tableau117[[#This Row],[Portions stockées (frigo)]]</f>
        <v>0</v>
      </c>
      <c r="N126">
        <f>Tableau117[[#This Row],[Portions prévues]]-Tableau117[[#This Row],[Portions stockées (frigo)]]</f>
        <v>0</v>
      </c>
    </row>
    <row r="127" spans="1:15" x14ac:dyDescent="0.25">
      <c r="A127" s="21"/>
      <c r="B127" s="10" t="s">
        <v>47</v>
      </c>
      <c r="C127" s="9"/>
      <c r="F127" s="13">
        <f>SUM(D120:D126)/120</f>
        <v>0</v>
      </c>
      <c r="M127">
        <f>Tableau117[[#This Row],[Portions prévues]]-Tableau117[[#This Row],[Portions stockées (frigo)]]</f>
        <v>0</v>
      </c>
      <c r="N127" s="13">
        <f>Tableau117[[#This Row],[Portions prises en compte dans le coût]]*Tableau117[[#This Row],[Coût de revient /plats]]</f>
        <v>0</v>
      </c>
      <c r="O127" s="13">
        <f>2.7*Tableau117[[#This Row],[Portions vendues INTERNES]]+4.7*Tableau117[[#This Row],[Portions vendues EXTERNES]]-Tableau117[[#This Row],[Coût de revient total]]</f>
        <v>0</v>
      </c>
    </row>
    <row r="128" spans="1:15" x14ac:dyDescent="0.25">
      <c r="A128" s="22" t="s">
        <v>2</v>
      </c>
      <c r="C128" s="9"/>
      <c r="L128">
        <f>Tableau117[[#This Row],[Portions prévues]]-Tableau117[[#This Row],[Auto-conso]]-Tableau117[[#This Row],[Portions vendues INTERNES]]-Tableau117[[#This Row],[Portions vendues EXTERNES]]</f>
        <v>0</v>
      </c>
      <c r="M128">
        <f>Tableau117[[#This Row],[Portions prévues]]-Tableau117[[#This Row],[Portions stockées (frigo)]]</f>
        <v>0</v>
      </c>
      <c r="N128">
        <f>Tableau117[[#This Row],[Portions prévues]]-Tableau117[[#This Row],[Portions stockées (frigo)]]</f>
        <v>0</v>
      </c>
    </row>
    <row r="129" spans="1:15" x14ac:dyDescent="0.25">
      <c r="A129" s="23"/>
      <c r="C129" s="9"/>
      <c r="L129">
        <f>Tableau117[[#This Row],[Portions prévues]]-Tableau117[[#This Row],[Auto-conso]]-Tableau117[[#This Row],[Portions vendues INTERNES]]-Tableau117[[#This Row],[Portions vendues EXTERNES]]</f>
        <v>0</v>
      </c>
      <c r="M129">
        <f>Tableau117[[#This Row],[Portions prévues]]-Tableau117[[#This Row],[Portions stockées (frigo)]]</f>
        <v>0</v>
      </c>
      <c r="N129">
        <f>Tableau117[[#This Row],[Portions prévues]]-Tableau117[[#This Row],[Portions stockées (frigo)]]</f>
        <v>0</v>
      </c>
    </row>
    <row r="130" spans="1:15" x14ac:dyDescent="0.25">
      <c r="A130" s="23"/>
      <c r="C130" s="9"/>
      <c r="L130">
        <f>Tableau117[[#This Row],[Portions prévues]]-Tableau117[[#This Row],[Auto-conso]]-Tableau117[[#This Row],[Portions vendues INTERNES]]-Tableau117[[#This Row],[Portions vendues EXTERNES]]</f>
        <v>0</v>
      </c>
      <c r="M130">
        <f>Tableau117[[#This Row],[Portions prévues]]-Tableau117[[#This Row],[Portions stockées (frigo)]]</f>
        <v>0</v>
      </c>
      <c r="N130">
        <f>Tableau117[[#This Row],[Portions prévues]]-Tableau117[[#This Row],[Portions stockées (frigo)]]</f>
        <v>0</v>
      </c>
    </row>
    <row r="131" spans="1:15" x14ac:dyDescent="0.25">
      <c r="A131" s="23"/>
      <c r="C131" s="9"/>
      <c r="L131">
        <f>Tableau117[[#This Row],[Portions prévues]]-Tableau117[[#This Row],[Auto-conso]]-Tableau117[[#This Row],[Portions vendues INTERNES]]-Tableau117[[#This Row],[Portions vendues EXTERNES]]</f>
        <v>0</v>
      </c>
      <c r="M131">
        <f>Tableau117[[#This Row],[Portions prévues]]-Tableau117[[#This Row],[Portions stockées (frigo)]]</f>
        <v>0</v>
      </c>
      <c r="N131">
        <f>Tableau117[[#This Row],[Portions prévues]]-Tableau117[[#This Row],[Portions stockées (frigo)]]</f>
        <v>0</v>
      </c>
    </row>
    <row r="132" spans="1:15" x14ac:dyDescent="0.25">
      <c r="A132" s="23"/>
      <c r="C132" s="9"/>
      <c r="L132">
        <f>Tableau117[[#This Row],[Portions prévues]]-Tableau117[[#This Row],[Auto-conso]]-Tableau117[[#This Row],[Portions vendues INTERNES]]-Tableau117[[#This Row],[Portions vendues EXTERNES]]</f>
        <v>0</v>
      </c>
      <c r="M132">
        <f>Tableau117[[#This Row],[Portions prévues]]-Tableau117[[#This Row],[Portions stockées (frigo)]]</f>
        <v>0</v>
      </c>
      <c r="N132">
        <f>Tableau117[[#This Row],[Portions prévues]]-Tableau117[[#This Row],[Portions stockées (frigo)]]</f>
        <v>0</v>
      </c>
    </row>
    <row r="133" spans="1:15" x14ac:dyDescent="0.25">
      <c r="A133" s="23"/>
      <c r="C133" s="9"/>
      <c r="L133">
        <f>Tableau117[[#This Row],[Portions prévues]]-Tableau117[[#This Row],[Auto-conso]]-Tableau117[[#This Row],[Portions vendues INTERNES]]-Tableau117[[#This Row],[Portions vendues EXTERNES]]</f>
        <v>0</v>
      </c>
      <c r="M133">
        <f>Tableau117[[#This Row],[Portions prévues]]-Tableau117[[#This Row],[Portions stockées (frigo)]]</f>
        <v>0</v>
      </c>
      <c r="N133">
        <f>Tableau117[[#This Row],[Portions prévues]]-Tableau117[[#This Row],[Portions stockées (frigo)]]</f>
        <v>0</v>
      </c>
    </row>
    <row r="134" spans="1:15" x14ac:dyDescent="0.25">
      <c r="A134" s="23"/>
      <c r="B134" s="10" t="s">
        <v>47</v>
      </c>
      <c r="C134" s="9"/>
      <c r="F134" s="13">
        <f>SUM(D128:D134)/120</f>
        <v>0</v>
      </c>
      <c r="M134">
        <f>Tableau117[[#This Row],[Portions prévues]]-Tableau117[[#This Row],[Portions stockées (frigo)]]</f>
        <v>0</v>
      </c>
      <c r="N134" s="10">
        <f>Tableau117[[#This Row],[Portions prises en compte dans le coût]]*Tableau117[[#This Row],[Coût de revient /plats]]</f>
        <v>0</v>
      </c>
      <c r="O134" s="10">
        <f>1.35*Tableau117[[#This Row],[Portions vendues INTERNES]]+2.35*Tableau117[[#This Row],[Portions vendues EXTERNES]]-Tableau117[[#This Row],[Coût de revient total]]</f>
        <v>0</v>
      </c>
    </row>
    <row r="135" spans="1:15" x14ac:dyDescent="0.25">
      <c r="C135" s="9"/>
      <c r="D135">
        <f>SUM(D120:D134)</f>
        <v>0</v>
      </c>
      <c r="E135" s="9"/>
      <c r="F135" s="11">
        <f>F127+F134</f>
        <v>0</v>
      </c>
      <c r="G135" s="9"/>
      <c r="H135" s="9"/>
      <c r="I135" s="9"/>
      <c r="J135" s="9"/>
      <c r="K135" s="9"/>
      <c r="L135" s="9"/>
      <c r="M135" s="9">
        <f>Tableau117[[#This Row],[Portions prévues]]-Tableau117[[#This Row],[Portions stockées (frigo)]]</f>
        <v>0</v>
      </c>
      <c r="N135" s="9"/>
      <c r="O135" s="9"/>
    </row>
    <row r="136" spans="1:15" x14ac:dyDescent="0.25">
      <c r="C136" s="9"/>
    </row>
    <row r="137" spans="1:15" x14ac:dyDescent="0.25">
      <c r="C137" s="9"/>
    </row>
    <row r="138" spans="1:15" x14ac:dyDescent="0.25">
      <c r="A138" s="1" t="s">
        <v>6</v>
      </c>
      <c r="B138" s="1">
        <f ca="1">TODAY()</f>
        <v>42432</v>
      </c>
      <c r="C138" s="9"/>
    </row>
    <row r="139" spans="1:15" x14ac:dyDescent="0.25">
      <c r="C139" s="9"/>
    </row>
    <row r="140" spans="1:15" x14ac:dyDescent="0.25">
      <c r="A140" s="8" t="s">
        <v>0</v>
      </c>
      <c r="B140" s="6" t="s">
        <v>5</v>
      </c>
      <c r="C140" s="9"/>
    </row>
    <row r="141" spans="1:15" x14ac:dyDescent="0.25">
      <c r="C141" s="9"/>
      <c r="F141" t="s">
        <v>61</v>
      </c>
    </row>
    <row r="142" spans="1:15" ht="75" x14ac:dyDescent="0.25">
      <c r="B142" s="3" t="s">
        <v>1</v>
      </c>
      <c r="C142" s="14" t="s">
        <v>80</v>
      </c>
      <c r="D142" s="3" t="s">
        <v>4</v>
      </c>
      <c r="E142" s="3" t="s">
        <v>33</v>
      </c>
      <c r="F142" s="3" t="s">
        <v>62</v>
      </c>
      <c r="G142" s="3" t="s">
        <v>34</v>
      </c>
      <c r="H142" s="3" t="s">
        <v>46</v>
      </c>
      <c r="I142" s="3" t="s">
        <v>67</v>
      </c>
      <c r="J142" s="3" t="s">
        <v>68</v>
      </c>
      <c r="K142" s="3" t="s">
        <v>57</v>
      </c>
      <c r="L142" s="3" t="s">
        <v>42</v>
      </c>
      <c r="M142" s="3" t="s">
        <v>70</v>
      </c>
      <c r="N142" s="3" t="s">
        <v>53</v>
      </c>
      <c r="O142" s="3" t="s">
        <v>45</v>
      </c>
    </row>
    <row r="143" spans="1:15" x14ac:dyDescent="0.25">
      <c r="A143" s="20" t="s">
        <v>69</v>
      </c>
      <c r="B143" t="s">
        <v>14</v>
      </c>
      <c r="C143" s="9">
        <v>6</v>
      </c>
      <c r="D143">
        <v>35</v>
      </c>
      <c r="G143">
        <v>3</v>
      </c>
      <c r="I143">
        <v>40</v>
      </c>
      <c r="J143">
        <v>4</v>
      </c>
      <c r="K143">
        <v>2</v>
      </c>
      <c r="L143">
        <f>Tableau116[[#This Row],[Portions prévues]]-Tableau116[[#This Row],[Auto-conso]]-Tableau116[[#This Row],[Portions vendues INTERNES]]-Tableau116[[#This Row],[Portions vendues EXTERNES]]</f>
        <v>-47</v>
      </c>
      <c r="M143">
        <f>Tableau116[[#This Row],[Portions prévues]]-Tableau116[[#This Row],[Portions stockées (frigo)]]</f>
        <v>0</v>
      </c>
      <c r="N143">
        <f>Tableau116[[#This Row],[Portions prévues]]-Tableau116[[#This Row],[Portions stockées (frigo)]]</f>
        <v>0</v>
      </c>
    </row>
    <row r="144" spans="1:15" x14ac:dyDescent="0.25">
      <c r="A144" s="21"/>
      <c r="B144" t="s">
        <v>13</v>
      </c>
      <c r="C144" s="9">
        <v>6</v>
      </c>
      <c r="D144">
        <v>20</v>
      </c>
      <c r="E144">
        <v>60</v>
      </c>
      <c r="F144">
        <f>Tableau116[[#This Row],[Portions prévues]]-Tableau116[[#This Row],[Portions stockées (frigo)]]</f>
        <v>50</v>
      </c>
      <c r="H144">
        <v>10</v>
      </c>
      <c r="I144">
        <v>56</v>
      </c>
      <c r="J144">
        <v>4</v>
      </c>
      <c r="K144">
        <v>2</v>
      </c>
      <c r="L144">
        <f>Tableau116[[#This Row],[Portions prévues]]-Tableau116[[#This Row],[Auto-conso]]-Tableau116[[#This Row],[Portions vendues INTERNES]]-Tableau116[[#This Row],[Portions vendues EXTERNES]]</f>
        <v>0</v>
      </c>
      <c r="M144">
        <f>Tableau116[[#This Row],[Portions prévues]]-Tableau116[[#This Row],[Portions stockées (frigo)]]</f>
        <v>50</v>
      </c>
      <c r="N144" s="12"/>
    </row>
    <row r="145" spans="1:15" x14ac:dyDescent="0.25">
      <c r="A145" s="21"/>
      <c r="C145" s="9"/>
      <c r="E145">
        <v>40</v>
      </c>
      <c r="H145">
        <v>5</v>
      </c>
      <c r="K145">
        <v>2</v>
      </c>
      <c r="L145">
        <f>Tableau116[[#This Row],[Portions prévues]]-Tableau116[[#This Row],[Auto-conso]]-Tableau116[[#This Row],[Portions vendues INTERNES]]-Tableau116[[#This Row],[Portions vendues EXTERNES]]</f>
        <v>40</v>
      </c>
      <c r="M145">
        <f>Tableau116[[#This Row],[Portions prévues]]-Tableau116[[#This Row],[Portions stockées (frigo)]]</f>
        <v>35</v>
      </c>
    </row>
    <row r="146" spans="1:15" x14ac:dyDescent="0.25">
      <c r="A146" s="21"/>
      <c r="C146" s="9"/>
      <c r="E146">
        <v>46</v>
      </c>
      <c r="G146">
        <v>10</v>
      </c>
      <c r="H146">
        <v>2</v>
      </c>
      <c r="L146">
        <f>Tableau116[[#This Row],[Portions prévues]]-Tableau116[[#This Row],[Portions stockées (frigo)]]-Tableau116[[#This Row],[Auto-conso]]-Tableau116[[#This Row],[Portions vendues INTERNES]]-Tableau116[[#This Row],[Portions vendues EXTERNES]]</f>
        <v>34</v>
      </c>
      <c r="M146">
        <f>Tableau116[[#This Row],[Portions prévues]]-Tableau116[[#This Row],[Portions stockées (frigo)]]</f>
        <v>44</v>
      </c>
    </row>
    <row r="147" spans="1:15" x14ac:dyDescent="0.25">
      <c r="A147" s="21"/>
      <c r="C147" s="9"/>
      <c r="E147">
        <v>48</v>
      </c>
      <c r="H147">
        <v>3</v>
      </c>
      <c r="L147">
        <f>Tableau116[[#This Row],[Portions prévues]]-Tableau116[[#This Row],[Auto-conso]]-Tableau116[[#This Row],[Portions vendues INTERNES]]-Tableau116[[#This Row],[Portions vendues EXTERNES]]</f>
        <v>48</v>
      </c>
      <c r="M147">
        <f>Tableau116[[#This Row],[Portions prévues]]-Tableau116[[#This Row],[Portions stockées (frigo)]]</f>
        <v>45</v>
      </c>
    </row>
    <row r="148" spans="1:15" x14ac:dyDescent="0.25">
      <c r="A148" s="21"/>
      <c r="C148" s="9"/>
      <c r="L148">
        <f>Tableau116[[#This Row],[Portions prévues]]-Tableau116[[#This Row],[Auto-conso]]-Tableau116[[#This Row],[Portions vendues INTERNES]]-Tableau116[[#This Row],[Portions vendues EXTERNES]]</f>
        <v>0</v>
      </c>
      <c r="M148">
        <f>Tableau116[[#This Row],[Portions prévues]]-Tableau116[[#This Row],[Portions stockées (frigo)]]</f>
        <v>0</v>
      </c>
    </row>
    <row r="149" spans="1:15" x14ac:dyDescent="0.25">
      <c r="A149" s="21"/>
      <c r="C149" s="9"/>
      <c r="L149">
        <f>Tableau116[[#This Row],[Portions prévues]]-Tableau116[[#This Row],[Auto-conso]]-Tableau116[[#This Row],[Portions vendues INTERNES]]-Tableau116[[#This Row],[Portions vendues EXTERNES]]</f>
        <v>0</v>
      </c>
      <c r="M149">
        <f>Tableau116[[#This Row],[Portions prévues]]-Tableau116[[#This Row],[Portions stockées (frigo)]]</f>
        <v>0</v>
      </c>
    </row>
    <row r="150" spans="1:15" x14ac:dyDescent="0.25">
      <c r="A150" s="21"/>
      <c r="B150" s="10" t="s">
        <v>47</v>
      </c>
      <c r="C150" s="9"/>
      <c r="E150">
        <v>120</v>
      </c>
      <c r="F150" s="13">
        <f>SUM(D143:D149)/120</f>
        <v>0.45833333333333331</v>
      </c>
      <c r="I150">
        <f>SUM(I143:I149)</f>
        <v>96</v>
      </c>
      <c r="J150">
        <f>SUM(J143:J149)</f>
        <v>8</v>
      </c>
      <c r="M150">
        <f>Tableau116[[#This Row],[Portions prévues]]-Tableau116[[#This Row],[Portions stockées (frigo)]]</f>
        <v>120</v>
      </c>
      <c r="N150" s="13">
        <f>Tableau116[[#This Row],[Portions prises en compte dans le coût]]*Tableau116[[#This Row],[Coût de revient /plats]]</f>
        <v>55</v>
      </c>
      <c r="O150" s="13">
        <f>2.7*Tableau116[[#This Row],[Portions vendues INTERNES]]+4.7*Tableau116[[#This Row],[Portions vendues EXTERNES]]-Tableau116[[#This Row],[Coût de revient total]]</f>
        <v>241.80000000000007</v>
      </c>
    </row>
    <row r="151" spans="1:15" x14ac:dyDescent="0.25">
      <c r="A151" s="22" t="s">
        <v>2</v>
      </c>
      <c r="B151" t="s">
        <v>11</v>
      </c>
      <c r="C151" s="9">
        <v>5</v>
      </c>
      <c r="D151">
        <v>15</v>
      </c>
      <c r="E151">
        <v>60</v>
      </c>
      <c r="I151">
        <v>40</v>
      </c>
      <c r="J151">
        <v>4</v>
      </c>
      <c r="K151">
        <v>1</v>
      </c>
      <c r="L151">
        <f>Tableau116[[#This Row],[Portions prévues]]-Tableau116[[#This Row],[Auto-conso]]-Tableau116[[#This Row],[Portions vendues INTERNES]]-Tableau116[[#This Row],[Portions vendues EXTERNES]]</f>
        <v>16</v>
      </c>
      <c r="M151">
        <f>Tableau116[[#This Row],[Portions prévues]]-Tableau116[[#This Row],[Portions stockées (frigo)]]</f>
        <v>60</v>
      </c>
    </row>
    <row r="152" spans="1:15" x14ac:dyDescent="0.25">
      <c r="A152" s="23"/>
      <c r="B152" t="s">
        <v>9</v>
      </c>
      <c r="C152" s="9">
        <v>5</v>
      </c>
      <c r="D152">
        <v>7</v>
      </c>
      <c r="E152">
        <v>60</v>
      </c>
      <c r="G152">
        <v>3</v>
      </c>
      <c r="I152">
        <v>53</v>
      </c>
      <c r="J152">
        <v>4</v>
      </c>
      <c r="K152">
        <v>1</v>
      </c>
      <c r="L152">
        <f>Tableau116[[#This Row],[Portions prévues]]-Tableau116[[#This Row],[Auto-conso]]-Tableau116[[#This Row],[Portions vendues INTERNES]]-Tableau116[[#This Row],[Portions vendues EXTERNES]]</f>
        <v>0</v>
      </c>
      <c r="M152">
        <f>Tableau116[[#This Row],[Portions prévues]]-Tableau116[[#This Row],[Portions stockées (frigo)]]</f>
        <v>60</v>
      </c>
    </row>
    <row r="153" spans="1:15" x14ac:dyDescent="0.25">
      <c r="A153" s="23"/>
      <c r="C153" s="9"/>
      <c r="K153">
        <v>1</v>
      </c>
      <c r="L153">
        <f>Tableau116[[#This Row],[Portions prévues]]-Tableau116[[#This Row],[Auto-conso]]-Tableau116[[#This Row],[Portions vendues INTERNES]]-Tableau116[[#This Row],[Portions vendues EXTERNES]]</f>
        <v>0</v>
      </c>
    </row>
    <row r="154" spans="1:15" x14ac:dyDescent="0.25">
      <c r="A154" s="23"/>
      <c r="C154" s="9"/>
      <c r="L154">
        <f>Tableau116[[#This Row],[Portions prévues]]-Tableau116[[#This Row],[Auto-conso]]-Tableau116[[#This Row],[Portions vendues INTERNES]]-Tableau116[[#This Row],[Portions vendues EXTERNES]]</f>
        <v>0</v>
      </c>
    </row>
    <row r="155" spans="1:15" x14ac:dyDescent="0.25">
      <c r="A155" s="23"/>
      <c r="C155" s="9"/>
      <c r="L155">
        <f>Tableau116[[#This Row],[Portions prévues]]-Tableau116[[#This Row],[Auto-conso]]-Tableau116[[#This Row],[Portions vendues INTERNES]]-Tableau116[[#This Row],[Portions vendues EXTERNES]]</f>
        <v>0</v>
      </c>
    </row>
    <row r="156" spans="1:15" x14ac:dyDescent="0.25">
      <c r="A156" s="23"/>
      <c r="C156" s="9"/>
      <c r="L156">
        <f>Tableau116[[#This Row],[Portions prévues]]-Tableau116[[#This Row],[Auto-conso]]-Tableau116[[#This Row],[Portions vendues INTERNES]]-Tableau116[[#This Row],[Portions vendues EXTERNES]]</f>
        <v>0</v>
      </c>
    </row>
    <row r="157" spans="1:15" x14ac:dyDescent="0.25">
      <c r="A157" s="23"/>
      <c r="B157" s="10" t="s">
        <v>47</v>
      </c>
      <c r="C157" s="9"/>
      <c r="E157">
        <v>120</v>
      </c>
      <c r="F157" s="13">
        <f>SUM(D151:D157)/120</f>
        <v>0.18333333333333332</v>
      </c>
      <c r="I157">
        <f>SUM(I151:I156)</f>
        <v>93</v>
      </c>
      <c r="J157">
        <f>SUM(J151:J156)</f>
        <v>8</v>
      </c>
      <c r="M157">
        <f>Tableau116[[#This Row],[Portions prévues]]-Tableau116[[#This Row],[Portions stockées (frigo)]]</f>
        <v>120</v>
      </c>
      <c r="N157" s="10">
        <f>Tableau116[[#This Row],[Portions prises en compte dans le coût]]*Tableau116[[#This Row],[Coût de revient /plats]]</f>
        <v>22</v>
      </c>
      <c r="O157" s="10">
        <f>1.35*Tableau116[[#This Row],[Portions vendues INTERNES]]+2.35*Tableau116[[#This Row],[Portions vendues EXTERNES]]-Tableau116[[#This Row],[Coût de revient total]]</f>
        <v>122.35000000000002</v>
      </c>
    </row>
    <row r="158" spans="1:15" x14ac:dyDescent="0.25">
      <c r="C158" s="9"/>
      <c r="D158">
        <f>SUM(D143:D157)</f>
        <v>77</v>
      </c>
      <c r="E158" s="9">
        <v>120</v>
      </c>
      <c r="F158" s="11">
        <f>F150+F157</f>
        <v>0.64166666666666661</v>
      </c>
      <c r="G158" s="9"/>
      <c r="H158" s="9"/>
      <c r="I158" s="9"/>
      <c r="J158" s="9"/>
      <c r="K158" s="9"/>
      <c r="L158" s="9"/>
      <c r="M158" s="9">
        <f>Tableau116[[#This Row],[Portions prévues]]-Tableau116[[#This Row],[Portions stockées (frigo)]]</f>
        <v>120</v>
      </c>
      <c r="N158" s="9"/>
      <c r="O158" s="9"/>
    </row>
    <row r="159" spans="1:15" x14ac:dyDescent="0.25">
      <c r="C159" s="9"/>
    </row>
    <row r="160" spans="1:15" x14ac:dyDescent="0.25">
      <c r="C160" s="9"/>
    </row>
    <row r="161" spans="3:3" x14ac:dyDescent="0.25">
      <c r="C161" s="9"/>
    </row>
    <row r="162" spans="3:3" x14ac:dyDescent="0.25">
      <c r="C162" s="9"/>
    </row>
    <row r="163" spans="3:3" x14ac:dyDescent="0.25">
      <c r="C163" s="9"/>
    </row>
    <row r="164" spans="3:3" x14ac:dyDescent="0.25">
      <c r="C164" s="9"/>
    </row>
    <row r="165" spans="3:3" x14ac:dyDescent="0.25">
      <c r="C165" s="9"/>
    </row>
    <row r="166" spans="3:3" x14ac:dyDescent="0.25">
      <c r="C166" s="9"/>
    </row>
    <row r="167" spans="3:3" x14ac:dyDescent="0.25">
      <c r="C167" s="9"/>
    </row>
    <row r="168" spans="3:3" x14ac:dyDescent="0.25">
      <c r="C168" s="9"/>
    </row>
    <row r="169" spans="3:3" x14ac:dyDescent="0.25">
      <c r="C169" s="9"/>
    </row>
    <row r="170" spans="3:3" x14ac:dyDescent="0.25">
      <c r="C170" s="9"/>
    </row>
    <row r="171" spans="3:3" x14ac:dyDescent="0.25">
      <c r="C171" s="9"/>
    </row>
    <row r="172" spans="3:3" x14ac:dyDescent="0.25">
      <c r="C172" s="9"/>
    </row>
    <row r="173" spans="3:3" x14ac:dyDescent="0.25">
      <c r="C173" s="9"/>
    </row>
    <row r="174" spans="3:3" x14ac:dyDescent="0.25">
      <c r="C174" s="9"/>
    </row>
    <row r="175" spans="3:3" x14ac:dyDescent="0.25">
      <c r="C175" s="9"/>
    </row>
    <row r="176" spans="3:3" x14ac:dyDescent="0.25">
      <c r="C176" s="9"/>
    </row>
    <row r="177" spans="3:66" x14ac:dyDescent="0.25">
      <c r="C177" s="9"/>
      <c r="BN177" t="s">
        <v>11</v>
      </c>
    </row>
    <row r="178" spans="3:66" x14ac:dyDescent="0.25">
      <c r="C178" s="9"/>
    </row>
    <row r="179" spans="3:66" x14ac:dyDescent="0.25">
      <c r="C179" s="9"/>
    </row>
    <row r="180" spans="3:66" x14ac:dyDescent="0.25">
      <c r="C180" s="9"/>
    </row>
    <row r="181" spans="3:66" x14ac:dyDescent="0.25">
      <c r="C181" s="9"/>
    </row>
    <row r="182" spans="3:66" x14ac:dyDescent="0.25">
      <c r="C182" s="9"/>
    </row>
    <row r="183" spans="3:66" x14ac:dyDescent="0.25">
      <c r="C183" s="9"/>
    </row>
    <row r="184" spans="3:66" x14ac:dyDescent="0.25">
      <c r="C184" s="9"/>
    </row>
    <row r="185" spans="3:66" x14ac:dyDescent="0.25">
      <c r="C185" s="9"/>
    </row>
    <row r="186" spans="3:66" x14ac:dyDescent="0.25">
      <c r="C186" s="9"/>
    </row>
    <row r="187" spans="3:66" x14ac:dyDescent="0.25">
      <c r="C187" s="9"/>
    </row>
    <row r="188" spans="3:66" x14ac:dyDescent="0.25">
      <c r="C188" s="9"/>
    </row>
  </sheetData>
  <mergeCells count="14">
    <mergeCell ref="A6:A13"/>
    <mergeCell ref="A14:A20"/>
    <mergeCell ref="A143:A150"/>
    <mergeCell ref="A151:A157"/>
    <mergeCell ref="A120:A127"/>
    <mergeCell ref="A128:A134"/>
    <mergeCell ref="A97:A104"/>
    <mergeCell ref="A105:A111"/>
    <mergeCell ref="A74:A81"/>
    <mergeCell ref="A82:A88"/>
    <mergeCell ref="A51:A58"/>
    <mergeCell ref="A59:A65"/>
    <mergeCell ref="A28:A35"/>
    <mergeCell ref="A36:A42"/>
  </mergeCells>
  <conditionalFormatting sqref="I9">
    <cfRule type="expression" priority="7">
      <formula>"Ecrire ici"</formula>
    </cfRule>
  </conditionalFormatting>
  <conditionalFormatting sqref="I146">
    <cfRule type="expression" priority="6">
      <formula>"Ecrire ici"</formula>
    </cfRule>
  </conditionalFormatting>
  <conditionalFormatting sqref="I123">
    <cfRule type="expression" priority="5">
      <formula>"Ecrire ici"</formula>
    </cfRule>
  </conditionalFormatting>
  <conditionalFormatting sqref="I100">
    <cfRule type="expression" priority="4">
      <formula>"Ecrire ici"</formula>
    </cfRule>
  </conditionalFormatting>
  <conditionalFormatting sqref="I77">
    <cfRule type="expression" priority="3">
      <formula>"Ecrire ici"</formula>
    </cfRule>
  </conditionalFormatting>
  <conditionalFormatting sqref="I54">
    <cfRule type="expression" priority="2">
      <formula>"Ecrire ici"</formula>
    </cfRule>
  </conditionalFormatting>
  <conditionalFormatting sqref="I31">
    <cfRule type="expression" priority="1">
      <formula>"Ecrire ici"</formula>
    </cfRule>
  </conditionalFormatting>
  <pageMargins left="0.7" right="0.7" top="0.75" bottom="0.75" header="0.3" footer="0.3"/>
  <pageSetup paperSize="9" orientation="portrait" horizontalDpi="4294967294" verticalDpi="36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zoomScaleNormal="100" workbookViewId="0">
      <selection activeCell="C1" sqref="C1"/>
    </sheetView>
  </sheetViews>
  <sheetFormatPr baseColWidth="10" defaultRowHeight="15" x14ac:dyDescent="0.25"/>
  <cols>
    <col min="2" max="2" width="16.5703125" customWidth="1"/>
  </cols>
  <sheetData>
    <row r="1" spans="1:4" x14ac:dyDescent="0.25">
      <c r="A1" t="s">
        <v>82</v>
      </c>
    </row>
    <row r="12" spans="1:4" x14ac:dyDescent="0.25">
      <c r="A12" s="8" t="s">
        <v>104</v>
      </c>
      <c r="B12" s="8" t="s">
        <v>82</v>
      </c>
      <c r="C12" s="8" t="s">
        <v>105</v>
      </c>
      <c r="D12" s="8" t="s">
        <v>99</v>
      </c>
    </row>
    <row r="13" spans="1:4" x14ac:dyDescent="0.25">
      <c r="A13" t="s">
        <v>82</v>
      </c>
      <c r="B13" t="s">
        <v>101</v>
      </c>
      <c r="C13" t="s">
        <v>79</v>
      </c>
      <c r="D13" t="s">
        <v>75</v>
      </c>
    </row>
    <row r="14" spans="1:4" x14ac:dyDescent="0.25">
      <c r="A14" t="s">
        <v>105</v>
      </c>
      <c r="B14" t="s">
        <v>102</v>
      </c>
      <c r="C14" t="s">
        <v>81</v>
      </c>
      <c r="D14" t="s">
        <v>77</v>
      </c>
    </row>
    <row r="15" spans="1:4" x14ac:dyDescent="0.25">
      <c r="A15" t="s">
        <v>99</v>
      </c>
      <c r="B15" t="s">
        <v>103</v>
      </c>
      <c r="D15" t="s">
        <v>74</v>
      </c>
    </row>
    <row r="16" spans="1:4" x14ac:dyDescent="0.25">
      <c r="A16" t="s">
        <v>100</v>
      </c>
      <c r="B16" t="s">
        <v>21</v>
      </c>
    </row>
    <row r="17" spans="1:1" x14ac:dyDescent="0.25">
      <c r="A17" t="s">
        <v>84</v>
      </c>
    </row>
  </sheetData>
  <dataValidations count="2">
    <dataValidation type="list" allowBlank="1" showInputMessage="1" showErrorMessage="1" sqref="A1">
      <formula1>Choix1</formula1>
    </dataValidation>
    <dataValidation type="list" allowBlank="1" showInputMessage="1" showErrorMessage="1" sqref="B1">
      <formula1>Entrées1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97"/>
  <sheetViews>
    <sheetView workbookViewId="0">
      <selection activeCell="L6" sqref="L6"/>
    </sheetView>
  </sheetViews>
  <sheetFormatPr baseColWidth="10" defaultRowHeight="15" x14ac:dyDescent="0.25"/>
  <cols>
    <col min="2" max="2" width="14" customWidth="1"/>
    <col min="3" max="3" width="14.140625" customWidth="1"/>
    <col min="4" max="4" width="15.42578125" customWidth="1"/>
    <col min="5" max="5" width="15.28515625" customWidth="1"/>
    <col min="6" max="6" width="15.5703125" customWidth="1"/>
    <col min="7" max="7" width="12.7109375" customWidth="1"/>
    <col min="8" max="8" width="15" customWidth="1"/>
    <col min="9" max="9" width="14.42578125" customWidth="1"/>
    <col min="10" max="10" width="12.85546875" customWidth="1"/>
    <col min="11" max="11" width="13.7109375" customWidth="1"/>
  </cols>
  <sheetData>
    <row r="1" spans="1:12" x14ac:dyDescent="0.25">
      <c r="A1" s="1" t="s">
        <v>6</v>
      </c>
      <c r="B1" s="1">
        <f ca="1">TODAY()</f>
        <v>42432</v>
      </c>
    </row>
    <row r="3" spans="1:12" x14ac:dyDescent="0.25">
      <c r="A3" s="8" t="s">
        <v>17</v>
      </c>
    </row>
    <row r="4" spans="1:12" ht="60" x14ac:dyDescent="0.25">
      <c r="B4" s="2" t="s">
        <v>59</v>
      </c>
    </row>
    <row r="5" spans="1:12" ht="45" x14ac:dyDescent="0.25">
      <c r="A5" s="3" t="s">
        <v>26</v>
      </c>
      <c r="B5" s="3" t="s">
        <v>57</v>
      </c>
      <c r="C5" s="3" t="s">
        <v>33</v>
      </c>
      <c r="D5" s="3" t="s">
        <v>19</v>
      </c>
      <c r="E5" s="3" t="s">
        <v>53</v>
      </c>
      <c r="F5" s="3" t="s">
        <v>96</v>
      </c>
      <c r="G5" s="3" t="s">
        <v>48</v>
      </c>
      <c r="H5" s="3" t="s">
        <v>43</v>
      </c>
      <c r="I5" s="3" t="s">
        <v>44</v>
      </c>
      <c r="J5" s="3" t="s">
        <v>42</v>
      </c>
      <c r="K5" s="3" t="s">
        <v>49</v>
      </c>
      <c r="L5" s="3" t="s">
        <v>50</v>
      </c>
    </row>
    <row r="6" spans="1:12" x14ac:dyDescent="0.25">
      <c r="A6" t="s">
        <v>27</v>
      </c>
      <c r="B6">
        <v>0.5</v>
      </c>
      <c r="C6">
        <v>45</v>
      </c>
      <c r="D6">
        <v>0.8</v>
      </c>
      <c r="E6">
        <f>Tableau4[[#This Row],[Portions prévues]]*Tableau4[[#This Row],[Coût de revient forfaitaire]]</f>
        <v>36</v>
      </c>
      <c r="F6">
        <v>10</v>
      </c>
      <c r="G6">
        <v>10</v>
      </c>
      <c r="H6">
        <v>15</v>
      </c>
      <c r="I6">
        <v>15</v>
      </c>
      <c r="J6">
        <f>Tableau4[[#This Row],[Portions prévues]]-Tableau4[[#This Row],[Auto-consommation]]-Tableau4[[#This Row],[Portions vendues INTERNE]]-Tableau4[[#This Row],[Portions vendues EXTERNE]]</f>
        <v>5</v>
      </c>
      <c r="K6">
        <f>Tableau4[[#This Row],[Portions prévues]]-Tableau4[[#This Row],[Portions stockées]]</f>
        <v>35</v>
      </c>
      <c r="L6">
        <f>1.35*Tableau4[[#This Row],[Portions vendues INTERNE]]+2.35*Tableau4[[#This Row],[Portions vendues EXTERNE]]-Tableau4[[#This Row],[Coût de revient total]]</f>
        <v>19.5</v>
      </c>
    </row>
    <row r="7" spans="1:12" x14ac:dyDescent="0.25">
      <c r="A7" t="s">
        <v>28</v>
      </c>
      <c r="B7">
        <v>0.5</v>
      </c>
      <c r="E7">
        <f>Tableau4[[#This Row],[Portions prévues]]*Tableau4[[#This Row],[Coût de revient forfaitaire]]</f>
        <v>0</v>
      </c>
      <c r="J7">
        <f>Tableau4[[#This Row],[Portions prévues]]-Tableau4[[#This Row],[Auto-consommation]]-Tableau4[[#This Row],[Portions vendues INTERNE]]-Tableau4[[#This Row],[Portions vendues EXTERNE]]</f>
        <v>0</v>
      </c>
      <c r="K7">
        <f>Tableau4[[#This Row],[Portions prévues]]-Tableau4[[#This Row],[Portions stockées]]</f>
        <v>0</v>
      </c>
      <c r="L7">
        <f>1.35*Tableau4[[#This Row],[Portions vendues INTERNE]]+2.35*Tableau4[[#This Row],[Portions vendues EXTERNE]]-Tableau4[[#This Row],[Coût de revient total]]</f>
        <v>0</v>
      </c>
    </row>
    <row r="8" spans="1:12" x14ac:dyDescent="0.25">
      <c r="A8" t="s">
        <v>29</v>
      </c>
      <c r="B8">
        <v>1.5</v>
      </c>
      <c r="E8">
        <f>Tableau4[[#This Row],[Portions prévues]]*Tableau4[[#This Row],[Coût de revient forfaitaire]]</f>
        <v>0</v>
      </c>
      <c r="J8">
        <f>Tableau4[[#This Row],[Portions prévues]]-Tableau4[[#This Row],[Auto-consommation]]-Tableau4[[#This Row],[Portions vendues INTERNE]]-Tableau4[[#This Row],[Portions vendues EXTERNE]]</f>
        <v>0</v>
      </c>
      <c r="K8">
        <f>Tableau4[[#This Row],[Portions prévues]]-Tableau4[[#This Row],[Portions stockées]]</f>
        <v>0</v>
      </c>
      <c r="L8">
        <f>1.35*Tableau4[[#This Row],[Portions vendues INTERNE]]+2.35*Tableau4[[#This Row],[Portions vendues EXTERNE]]-Tableau4[[#This Row],[Coût de revient total]]</f>
        <v>0</v>
      </c>
    </row>
    <row r="9" spans="1:12" x14ac:dyDescent="0.25">
      <c r="A9" t="s">
        <v>30</v>
      </c>
      <c r="B9">
        <v>1.5</v>
      </c>
      <c r="E9">
        <f>Tableau4[[#This Row],[Portions prévues]]*Tableau4[[#This Row],[Coût de revient forfaitaire]]</f>
        <v>0</v>
      </c>
      <c r="J9">
        <f>Tableau4[[#This Row],[Portions prévues]]-Tableau4[[#This Row],[Auto-consommation]]-Tableau4[[#This Row],[Portions vendues INTERNE]]-Tableau4[[#This Row],[Portions vendues EXTERNE]]</f>
        <v>0</v>
      </c>
      <c r="K9">
        <f>Tableau4[[#This Row],[Portions prévues]]-Tableau4[[#This Row],[Portions stockées]]</f>
        <v>0</v>
      </c>
      <c r="L9">
        <f>1.35*Tableau4[[#This Row],[Portions vendues INTERNE]]+2.35*Tableau4[[#This Row],[Portions vendues EXTERNE]]-Tableau4[[#This Row],[Coût de revient total]]</f>
        <v>0</v>
      </c>
    </row>
    <row r="10" spans="1:12" x14ac:dyDescent="0.25">
      <c r="A10" t="s">
        <v>31</v>
      </c>
      <c r="B10">
        <v>1.5</v>
      </c>
      <c r="E10">
        <f>Tableau4[[#This Row],[Portions prévues]]*Tableau4[[#This Row],[Coût de revient forfaitaire]]</f>
        <v>0</v>
      </c>
      <c r="J10">
        <f>Tableau4[[#This Row],[Portions prévues]]-Tableau4[[#This Row],[Auto-consommation]]-Tableau4[[#This Row],[Portions vendues INTERNE]]-Tableau4[[#This Row],[Portions vendues EXTERNE]]</f>
        <v>0</v>
      </c>
      <c r="K10">
        <f>Tableau4[[#This Row],[Portions prévues]]-Tableau4[[#This Row],[Portions stockées]]</f>
        <v>0</v>
      </c>
      <c r="L10">
        <f>1.35*Tableau4[[#This Row],[Portions vendues INTERNE]]+2.35*Tableau4[[#This Row],[Portions vendues EXTERNE]]-Tableau4[[#This Row],[Coût de revient total]]</f>
        <v>0</v>
      </c>
    </row>
    <row r="11" spans="1:12" x14ac:dyDescent="0.25">
      <c r="A11" t="s">
        <v>32</v>
      </c>
      <c r="B11">
        <v>1</v>
      </c>
      <c r="E11">
        <f>Tableau4[[#This Row],[Portions prévues]]*Tableau4[[#This Row],[Coût de revient forfaitaire]]</f>
        <v>0</v>
      </c>
      <c r="J11">
        <f>Tableau4[[#This Row],[Portions prévues]]-Tableau4[[#This Row],[Auto-consommation]]-Tableau4[[#This Row],[Portions vendues INTERNE]]-Tableau4[[#This Row],[Portions vendues EXTERNE]]</f>
        <v>0</v>
      </c>
      <c r="K11">
        <f>Tableau4[[#This Row],[Portions prévues]]-Tableau4[[#This Row],[Portions stockées]]</f>
        <v>0</v>
      </c>
      <c r="L11">
        <f>1.35*Tableau4[[#This Row],[Portions vendues INTERNE]]+2.35*Tableau4[[#This Row],[Portions vendues EXTERNE]]-Tableau4[[#This Row],[Coût de revient total]]</f>
        <v>0</v>
      </c>
    </row>
    <row r="12" spans="1:12" x14ac:dyDescent="0.25">
      <c r="C12" t="s">
        <v>60</v>
      </c>
      <c r="D12" t="s">
        <v>60</v>
      </c>
      <c r="E12" t="s">
        <v>51</v>
      </c>
      <c r="F12" t="s">
        <v>60</v>
      </c>
      <c r="G12" t="s">
        <v>60</v>
      </c>
      <c r="H12" t="s">
        <v>60</v>
      </c>
      <c r="I12" t="s">
        <v>60</v>
      </c>
      <c r="J12" t="s">
        <v>51</v>
      </c>
      <c r="K12" t="s">
        <v>51</v>
      </c>
      <c r="L12" t="s">
        <v>51</v>
      </c>
    </row>
    <row r="18" spans="1:12" x14ac:dyDescent="0.25">
      <c r="A18" s="1" t="s">
        <v>6</v>
      </c>
      <c r="B18" s="1">
        <f ca="1">TODAY()</f>
        <v>42432</v>
      </c>
    </row>
    <row r="20" spans="1:12" x14ac:dyDescent="0.25">
      <c r="A20" s="8" t="s">
        <v>17</v>
      </c>
    </row>
    <row r="21" spans="1:12" ht="45" x14ac:dyDescent="0.25">
      <c r="B21" s="2" t="s">
        <v>59</v>
      </c>
    </row>
    <row r="22" spans="1:12" ht="45" x14ac:dyDescent="0.25">
      <c r="A22" s="3" t="s">
        <v>26</v>
      </c>
      <c r="B22" s="3" t="s">
        <v>57</v>
      </c>
      <c r="C22" s="3" t="s">
        <v>33</v>
      </c>
      <c r="D22" s="3" t="s">
        <v>19</v>
      </c>
      <c r="E22" s="3" t="s">
        <v>53</v>
      </c>
      <c r="F22" s="3" t="s">
        <v>96</v>
      </c>
      <c r="G22" s="3" t="s">
        <v>48</v>
      </c>
      <c r="H22" s="3" t="s">
        <v>43</v>
      </c>
      <c r="I22" s="3" t="s">
        <v>44</v>
      </c>
      <c r="J22" s="3" t="s">
        <v>42</v>
      </c>
      <c r="K22" s="3" t="s">
        <v>49</v>
      </c>
      <c r="L22" s="3" t="s">
        <v>50</v>
      </c>
    </row>
    <row r="23" spans="1:12" x14ac:dyDescent="0.25">
      <c r="A23" t="s">
        <v>27</v>
      </c>
      <c r="B23">
        <v>0.5</v>
      </c>
      <c r="E23">
        <f>Tableau419[[#This Row],[Portions prévues]]*Tableau419[[#This Row],[Coût de revient forfaitaire]]</f>
        <v>0</v>
      </c>
      <c r="J23">
        <f>Tableau419[[#This Row],[Portions prévues]]-Tableau419[[#This Row],[Auto-consommation]]-Tableau419[[#This Row],[Portions vendues INTERNE]]-Tableau419[[#This Row],[Portions vendues EXTERNE]]</f>
        <v>0</v>
      </c>
      <c r="K23">
        <f>Tableau419[[#This Row],[Portions prévues]]-Tableau419[[#This Row],[Portions stockées]]</f>
        <v>0</v>
      </c>
      <c r="L23">
        <f>1.35*Tableau419[[#This Row],[Portions vendues INTERNE]]+2.35*Tableau419[[#This Row],[Portions vendues EXTERNE]]-Tableau419[[#This Row],[Coût de revient total]]</f>
        <v>0</v>
      </c>
    </row>
    <row r="24" spans="1:12" x14ac:dyDescent="0.25">
      <c r="A24" t="s">
        <v>28</v>
      </c>
      <c r="B24">
        <v>0.5</v>
      </c>
      <c r="E24">
        <f>Tableau419[[#This Row],[Portions prévues]]*Tableau419[[#This Row],[Coût de revient forfaitaire]]</f>
        <v>0</v>
      </c>
      <c r="J24">
        <f>Tableau419[[#This Row],[Portions prévues]]-Tableau419[[#This Row],[Auto-consommation]]-Tableau419[[#This Row],[Portions vendues INTERNE]]-Tableau419[[#This Row],[Portions vendues EXTERNE]]</f>
        <v>0</v>
      </c>
      <c r="K24">
        <f>Tableau419[[#This Row],[Portions prévues]]-Tableau419[[#This Row],[Portions stockées]]</f>
        <v>0</v>
      </c>
      <c r="L24">
        <f>1.35*Tableau419[[#This Row],[Portions vendues INTERNE]]+2.35*Tableau419[[#This Row],[Portions vendues EXTERNE]]-Tableau419[[#This Row],[Coût de revient total]]</f>
        <v>0</v>
      </c>
    </row>
    <row r="25" spans="1:12" x14ac:dyDescent="0.25">
      <c r="A25" t="s">
        <v>29</v>
      </c>
      <c r="B25">
        <v>1.5</v>
      </c>
      <c r="E25">
        <f>Tableau419[[#This Row],[Portions prévues]]*Tableau419[[#This Row],[Coût de revient forfaitaire]]</f>
        <v>0</v>
      </c>
      <c r="J25">
        <f>Tableau419[[#This Row],[Portions prévues]]-Tableau419[[#This Row],[Auto-consommation]]-Tableau419[[#This Row],[Portions vendues INTERNE]]-Tableau419[[#This Row],[Portions vendues EXTERNE]]</f>
        <v>0</v>
      </c>
      <c r="K25">
        <f>Tableau419[[#This Row],[Portions prévues]]-Tableau419[[#This Row],[Portions stockées]]</f>
        <v>0</v>
      </c>
      <c r="L25">
        <f>1.35*Tableau419[[#This Row],[Portions vendues INTERNE]]+2.35*Tableau419[[#This Row],[Portions vendues EXTERNE]]-Tableau419[[#This Row],[Coût de revient total]]</f>
        <v>0</v>
      </c>
    </row>
    <row r="26" spans="1:12" x14ac:dyDescent="0.25">
      <c r="A26" t="s">
        <v>30</v>
      </c>
      <c r="B26">
        <v>1.5</v>
      </c>
      <c r="E26">
        <f>Tableau419[[#This Row],[Portions prévues]]*Tableau419[[#This Row],[Coût de revient forfaitaire]]</f>
        <v>0</v>
      </c>
      <c r="J26">
        <f>Tableau419[[#This Row],[Portions prévues]]-Tableau419[[#This Row],[Auto-consommation]]-Tableau419[[#This Row],[Portions vendues INTERNE]]-Tableau419[[#This Row],[Portions vendues EXTERNE]]</f>
        <v>0</v>
      </c>
      <c r="K26">
        <f>Tableau419[[#This Row],[Portions prévues]]-Tableau419[[#This Row],[Portions stockées]]</f>
        <v>0</v>
      </c>
      <c r="L26">
        <f>1.35*Tableau419[[#This Row],[Portions vendues INTERNE]]+2.35*Tableau419[[#This Row],[Portions vendues EXTERNE]]-Tableau419[[#This Row],[Coût de revient total]]</f>
        <v>0</v>
      </c>
    </row>
    <row r="27" spans="1:12" x14ac:dyDescent="0.25">
      <c r="A27" t="s">
        <v>31</v>
      </c>
      <c r="B27">
        <v>1.5</v>
      </c>
      <c r="E27">
        <f>Tableau419[[#This Row],[Portions prévues]]*Tableau419[[#This Row],[Coût de revient forfaitaire]]</f>
        <v>0</v>
      </c>
      <c r="J27">
        <f>Tableau419[[#This Row],[Portions prévues]]-Tableau419[[#This Row],[Auto-consommation]]-Tableau419[[#This Row],[Portions vendues INTERNE]]-Tableau419[[#This Row],[Portions vendues EXTERNE]]</f>
        <v>0</v>
      </c>
      <c r="K27">
        <f>Tableau419[[#This Row],[Portions prévues]]-Tableau419[[#This Row],[Portions stockées]]</f>
        <v>0</v>
      </c>
      <c r="L27">
        <f>1.35*Tableau419[[#This Row],[Portions vendues INTERNE]]+2.35*Tableau419[[#This Row],[Portions vendues EXTERNE]]-Tableau419[[#This Row],[Coût de revient total]]</f>
        <v>0</v>
      </c>
    </row>
    <row r="28" spans="1:12" x14ac:dyDescent="0.25">
      <c r="A28" t="s">
        <v>32</v>
      </c>
      <c r="B28">
        <v>1</v>
      </c>
      <c r="E28">
        <f>Tableau419[[#This Row],[Portions prévues]]*Tableau419[[#This Row],[Coût de revient forfaitaire]]</f>
        <v>0</v>
      </c>
      <c r="J28">
        <f>Tableau419[[#This Row],[Portions prévues]]-Tableau419[[#This Row],[Auto-consommation]]-Tableau419[[#This Row],[Portions vendues INTERNE]]-Tableau419[[#This Row],[Portions vendues EXTERNE]]</f>
        <v>0</v>
      </c>
      <c r="K28">
        <f>Tableau419[[#This Row],[Portions prévues]]-Tableau419[[#This Row],[Portions stockées]]</f>
        <v>0</v>
      </c>
      <c r="L28">
        <f>1.35*Tableau419[[#This Row],[Portions vendues INTERNE]]+2.35*Tableau419[[#This Row],[Portions vendues EXTERNE]]-Tableau419[[#This Row],[Coût de revient total]]</f>
        <v>0</v>
      </c>
    </row>
    <row r="29" spans="1:12" x14ac:dyDescent="0.25">
      <c r="C29" t="s">
        <v>60</v>
      </c>
      <c r="D29" t="s">
        <v>60</v>
      </c>
      <c r="E29" t="s">
        <v>51</v>
      </c>
      <c r="F29" t="s">
        <v>60</v>
      </c>
      <c r="G29" t="s">
        <v>60</v>
      </c>
      <c r="H29" t="s">
        <v>60</v>
      </c>
      <c r="I29" t="s">
        <v>60</v>
      </c>
      <c r="J29" t="s">
        <v>51</v>
      </c>
      <c r="K29" t="s">
        <v>51</v>
      </c>
      <c r="L29" t="s">
        <v>51</v>
      </c>
    </row>
    <row r="35" spans="1:12" x14ac:dyDescent="0.25">
      <c r="A35" s="1" t="s">
        <v>6</v>
      </c>
      <c r="B35" s="1">
        <f ca="1">TODAY()</f>
        <v>42432</v>
      </c>
    </row>
    <row r="37" spans="1:12" x14ac:dyDescent="0.25">
      <c r="A37" s="8" t="s">
        <v>17</v>
      </c>
    </row>
    <row r="38" spans="1:12" ht="45" x14ac:dyDescent="0.25">
      <c r="B38" s="2" t="s">
        <v>59</v>
      </c>
    </row>
    <row r="39" spans="1:12" ht="45" x14ac:dyDescent="0.25">
      <c r="A39" s="3" t="s">
        <v>26</v>
      </c>
      <c r="B39" s="3" t="s">
        <v>57</v>
      </c>
      <c r="C39" s="3" t="s">
        <v>33</v>
      </c>
      <c r="D39" s="3" t="s">
        <v>19</v>
      </c>
      <c r="E39" s="3" t="s">
        <v>53</v>
      </c>
      <c r="F39" s="3" t="s">
        <v>96</v>
      </c>
      <c r="G39" s="3" t="s">
        <v>48</v>
      </c>
      <c r="H39" s="3" t="s">
        <v>43</v>
      </c>
      <c r="I39" s="3" t="s">
        <v>44</v>
      </c>
      <c r="J39" s="3" t="s">
        <v>42</v>
      </c>
      <c r="K39" s="3" t="s">
        <v>49</v>
      </c>
      <c r="L39" s="3" t="s">
        <v>50</v>
      </c>
    </row>
    <row r="40" spans="1:12" x14ac:dyDescent="0.25">
      <c r="A40" t="s">
        <v>27</v>
      </c>
      <c r="B40">
        <v>0.5</v>
      </c>
      <c r="E40">
        <f>Tableau45[[#This Row],[Portions prévues]]*Tableau45[[#This Row],[Coût de revient forfaitaire]]</f>
        <v>0</v>
      </c>
      <c r="J40">
        <f>Tableau45[[#This Row],[Portions prévues]]-Tableau45[[#This Row],[Auto-consommation]]-Tableau45[[#This Row],[Portions vendues INTERNE]]-Tableau45[[#This Row],[Portions vendues EXTERNE]]</f>
        <v>0</v>
      </c>
      <c r="K40">
        <f>Tableau45[[#This Row],[Portions prévues]]-Tableau45[[#This Row],[Portions stockées]]</f>
        <v>0</v>
      </c>
      <c r="L40">
        <f>1.35*Tableau45[[#This Row],[Portions vendues INTERNE]]+2.35*Tableau45[[#This Row],[Portions vendues EXTERNE]]-Tableau45[[#This Row],[Coût de revient total]]</f>
        <v>0</v>
      </c>
    </row>
    <row r="41" spans="1:12" x14ac:dyDescent="0.25">
      <c r="A41" t="s">
        <v>28</v>
      </c>
      <c r="B41">
        <v>0.5</v>
      </c>
      <c r="E41">
        <f>Tableau45[[#This Row],[Portions prévues]]*Tableau45[[#This Row],[Coût de revient forfaitaire]]</f>
        <v>0</v>
      </c>
      <c r="J41">
        <f>Tableau45[[#This Row],[Portions prévues]]-Tableau45[[#This Row],[Auto-consommation]]-Tableau45[[#This Row],[Portions vendues INTERNE]]-Tableau45[[#This Row],[Portions vendues EXTERNE]]</f>
        <v>0</v>
      </c>
      <c r="K41">
        <f>Tableau45[[#This Row],[Portions prévues]]-Tableau45[[#This Row],[Portions stockées]]</f>
        <v>0</v>
      </c>
      <c r="L41">
        <f>1.35*Tableau45[[#This Row],[Portions vendues INTERNE]]+2.35*Tableau45[[#This Row],[Portions vendues EXTERNE]]-Tableau45[[#This Row],[Coût de revient total]]</f>
        <v>0</v>
      </c>
    </row>
    <row r="42" spans="1:12" x14ac:dyDescent="0.25">
      <c r="A42" t="s">
        <v>29</v>
      </c>
      <c r="B42">
        <v>1.5</v>
      </c>
      <c r="E42">
        <f>Tableau45[[#This Row],[Portions prévues]]*Tableau45[[#This Row],[Coût de revient forfaitaire]]</f>
        <v>0</v>
      </c>
      <c r="J42">
        <f>Tableau45[[#This Row],[Portions prévues]]-Tableau45[[#This Row],[Auto-consommation]]-Tableau45[[#This Row],[Portions vendues INTERNE]]-Tableau45[[#This Row],[Portions vendues EXTERNE]]</f>
        <v>0</v>
      </c>
      <c r="K42">
        <f>Tableau45[[#This Row],[Portions prévues]]-Tableau45[[#This Row],[Portions stockées]]</f>
        <v>0</v>
      </c>
      <c r="L42">
        <f>1.35*Tableau45[[#This Row],[Portions vendues INTERNE]]+2.35*Tableau45[[#This Row],[Portions vendues EXTERNE]]-Tableau45[[#This Row],[Coût de revient total]]</f>
        <v>0</v>
      </c>
    </row>
    <row r="43" spans="1:12" x14ac:dyDescent="0.25">
      <c r="A43" t="s">
        <v>30</v>
      </c>
      <c r="B43">
        <v>1.5</v>
      </c>
      <c r="E43">
        <f>Tableau45[[#This Row],[Portions prévues]]*Tableau45[[#This Row],[Coût de revient forfaitaire]]</f>
        <v>0</v>
      </c>
      <c r="J43">
        <f>Tableau45[[#This Row],[Portions prévues]]-Tableau45[[#This Row],[Auto-consommation]]-Tableau45[[#This Row],[Portions vendues INTERNE]]-Tableau45[[#This Row],[Portions vendues EXTERNE]]</f>
        <v>0</v>
      </c>
      <c r="K43">
        <f>Tableau45[[#This Row],[Portions prévues]]-Tableau45[[#This Row],[Portions stockées]]</f>
        <v>0</v>
      </c>
      <c r="L43">
        <f>1.35*Tableau45[[#This Row],[Portions vendues INTERNE]]+2.35*Tableau45[[#This Row],[Portions vendues EXTERNE]]-Tableau45[[#This Row],[Coût de revient total]]</f>
        <v>0</v>
      </c>
    </row>
    <row r="44" spans="1:12" x14ac:dyDescent="0.25">
      <c r="A44" t="s">
        <v>31</v>
      </c>
      <c r="B44">
        <v>1.5</v>
      </c>
      <c r="E44">
        <f>Tableau45[[#This Row],[Portions prévues]]*Tableau45[[#This Row],[Coût de revient forfaitaire]]</f>
        <v>0</v>
      </c>
      <c r="J44">
        <f>Tableau45[[#This Row],[Portions prévues]]-Tableau45[[#This Row],[Auto-consommation]]-Tableau45[[#This Row],[Portions vendues INTERNE]]-Tableau45[[#This Row],[Portions vendues EXTERNE]]</f>
        <v>0</v>
      </c>
      <c r="K44">
        <f>Tableau45[[#This Row],[Portions prévues]]-Tableau45[[#This Row],[Portions stockées]]</f>
        <v>0</v>
      </c>
      <c r="L44">
        <f>1.35*Tableau45[[#This Row],[Portions vendues INTERNE]]+2.35*Tableau45[[#This Row],[Portions vendues EXTERNE]]-Tableau45[[#This Row],[Coût de revient total]]</f>
        <v>0</v>
      </c>
    </row>
    <row r="45" spans="1:12" x14ac:dyDescent="0.25">
      <c r="A45" t="s">
        <v>32</v>
      </c>
      <c r="B45">
        <v>1</v>
      </c>
      <c r="E45">
        <f>Tableau45[[#This Row],[Portions prévues]]*Tableau45[[#This Row],[Coût de revient forfaitaire]]</f>
        <v>0</v>
      </c>
      <c r="J45">
        <f>Tableau45[[#This Row],[Portions prévues]]-Tableau45[[#This Row],[Auto-consommation]]-Tableau45[[#This Row],[Portions vendues INTERNE]]-Tableau45[[#This Row],[Portions vendues EXTERNE]]</f>
        <v>0</v>
      </c>
      <c r="K45">
        <f>Tableau45[[#This Row],[Portions prévues]]-Tableau45[[#This Row],[Portions stockées]]</f>
        <v>0</v>
      </c>
      <c r="L45">
        <f>1.35*Tableau45[[#This Row],[Portions vendues INTERNE]]+2.35*Tableau45[[#This Row],[Portions vendues EXTERNE]]-Tableau45[[#This Row],[Coût de revient total]]</f>
        <v>0</v>
      </c>
    </row>
    <row r="46" spans="1:12" x14ac:dyDescent="0.25">
      <c r="C46" t="s">
        <v>60</v>
      </c>
      <c r="D46" t="s">
        <v>60</v>
      </c>
      <c r="E46" t="s">
        <v>51</v>
      </c>
      <c r="F46" t="s">
        <v>60</v>
      </c>
      <c r="G46" t="s">
        <v>60</v>
      </c>
      <c r="H46" t="s">
        <v>60</v>
      </c>
      <c r="I46" t="s">
        <v>60</v>
      </c>
      <c r="J46" t="s">
        <v>51</v>
      </c>
      <c r="K46" t="s">
        <v>51</v>
      </c>
      <c r="L46" t="s">
        <v>51</v>
      </c>
    </row>
    <row r="52" spans="1:12" x14ac:dyDescent="0.25">
      <c r="A52" s="1" t="s">
        <v>6</v>
      </c>
      <c r="B52" s="1">
        <f ca="1">TODAY()</f>
        <v>42432</v>
      </c>
    </row>
    <row r="54" spans="1:12" x14ac:dyDescent="0.25">
      <c r="A54" s="8" t="s">
        <v>17</v>
      </c>
    </row>
    <row r="55" spans="1:12" ht="45" x14ac:dyDescent="0.25">
      <c r="B55" s="2" t="s">
        <v>59</v>
      </c>
    </row>
    <row r="56" spans="1:12" ht="45" x14ac:dyDescent="0.25">
      <c r="A56" s="3" t="s">
        <v>26</v>
      </c>
      <c r="B56" s="3" t="s">
        <v>57</v>
      </c>
      <c r="C56" s="3" t="s">
        <v>33</v>
      </c>
      <c r="D56" s="3" t="s">
        <v>19</v>
      </c>
      <c r="E56" s="3" t="s">
        <v>53</v>
      </c>
      <c r="F56" s="3" t="s">
        <v>96</v>
      </c>
      <c r="G56" s="3" t="s">
        <v>48</v>
      </c>
      <c r="H56" s="3" t="s">
        <v>43</v>
      </c>
      <c r="I56" s="3" t="s">
        <v>44</v>
      </c>
      <c r="J56" s="3" t="s">
        <v>42</v>
      </c>
      <c r="K56" s="3" t="s">
        <v>49</v>
      </c>
      <c r="L56" s="3" t="s">
        <v>50</v>
      </c>
    </row>
    <row r="57" spans="1:12" x14ac:dyDescent="0.25">
      <c r="A57" t="s">
        <v>27</v>
      </c>
      <c r="B57">
        <v>0.5</v>
      </c>
      <c r="E57">
        <f>Tableau424[[#This Row],[Portions prévues]]*Tableau424[[#This Row],[Coût de revient forfaitaire]]</f>
        <v>0</v>
      </c>
      <c r="J57">
        <f>Tableau424[[#This Row],[Portions prévues]]-Tableau424[[#This Row],[Auto-consommation]]-Tableau424[[#This Row],[Portions vendues INTERNE]]-Tableau424[[#This Row],[Portions vendues EXTERNE]]</f>
        <v>0</v>
      </c>
      <c r="K57">
        <f>Tableau424[[#This Row],[Portions prévues]]-Tableau424[[#This Row],[Portions stockées]]</f>
        <v>0</v>
      </c>
      <c r="L57">
        <f>1.35*Tableau424[[#This Row],[Portions vendues INTERNE]]+2.35*Tableau424[[#This Row],[Portions vendues EXTERNE]]-Tableau424[[#This Row],[Coût de revient total]]</f>
        <v>0</v>
      </c>
    </row>
    <row r="58" spans="1:12" x14ac:dyDescent="0.25">
      <c r="A58" t="s">
        <v>28</v>
      </c>
      <c r="B58">
        <v>0.5</v>
      </c>
      <c r="E58">
        <f>Tableau424[[#This Row],[Portions prévues]]*Tableau424[[#This Row],[Coût de revient forfaitaire]]</f>
        <v>0</v>
      </c>
      <c r="J58">
        <f>Tableau424[[#This Row],[Portions prévues]]-Tableau424[[#This Row],[Auto-consommation]]-Tableau424[[#This Row],[Portions vendues INTERNE]]-Tableau424[[#This Row],[Portions vendues EXTERNE]]</f>
        <v>0</v>
      </c>
      <c r="K58">
        <f>Tableau424[[#This Row],[Portions prévues]]-Tableau424[[#This Row],[Portions stockées]]</f>
        <v>0</v>
      </c>
      <c r="L58">
        <f>1.35*Tableau424[[#This Row],[Portions vendues INTERNE]]+2.35*Tableau424[[#This Row],[Portions vendues EXTERNE]]-Tableau424[[#This Row],[Coût de revient total]]</f>
        <v>0</v>
      </c>
    </row>
    <row r="59" spans="1:12" x14ac:dyDescent="0.25">
      <c r="A59" t="s">
        <v>29</v>
      </c>
      <c r="B59">
        <v>1.5</v>
      </c>
      <c r="E59">
        <f>Tableau424[[#This Row],[Portions prévues]]*Tableau424[[#This Row],[Coût de revient forfaitaire]]</f>
        <v>0</v>
      </c>
      <c r="J59">
        <f>Tableau424[[#This Row],[Portions prévues]]-Tableau424[[#This Row],[Auto-consommation]]-Tableau424[[#This Row],[Portions vendues INTERNE]]-Tableau424[[#This Row],[Portions vendues EXTERNE]]</f>
        <v>0</v>
      </c>
      <c r="K59">
        <f>Tableau424[[#This Row],[Portions prévues]]-Tableau424[[#This Row],[Portions stockées]]</f>
        <v>0</v>
      </c>
      <c r="L59">
        <f>1.35*Tableau424[[#This Row],[Portions vendues INTERNE]]+2.35*Tableau424[[#This Row],[Portions vendues EXTERNE]]-Tableau424[[#This Row],[Coût de revient total]]</f>
        <v>0</v>
      </c>
    </row>
    <row r="60" spans="1:12" x14ac:dyDescent="0.25">
      <c r="A60" t="s">
        <v>30</v>
      </c>
      <c r="B60">
        <v>1.5</v>
      </c>
      <c r="E60">
        <f>Tableau424[[#This Row],[Portions prévues]]*Tableau424[[#This Row],[Coût de revient forfaitaire]]</f>
        <v>0</v>
      </c>
      <c r="J60">
        <f>Tableau424[[#This Row],[Portions prévues]]-Tableau424[[#This Row],[Auto-consommation]]-Tableau424[[#This Row],[Portions vendues INTERNE]]-Tableau424[[#This Row],[Portions vendues EXTERNE]]</f>
        <v>0</v>
      </c>
      <c r="K60">
        <f>Tableau424[[#This Row],[Portions prévues]]-Tableau424[[#This Row],[Portions stockées]]</f>
        <v>0</v>
      </c>
      <c r="L60">
        <f>1.35*Tableau424[[#This Row],[Portions vendues INTERNE]]+2.35*Tableau424[[#This Row],[Portions vendues EXTERNE]]-Tableau424[[#This Row],[Coût de revient total]]</f>
        <v>0</v>
      </c>
    </row>
    <row r="61" spans="1:12" x14ac:dyDescent="0.25">
      <c r="A61" t="s">
        <v>31</v>
      </c>
      <c r="B61">
        <v>1.5</v>
      </c>
      <c r="E61">
        <f>Tableau424[[#This Row],[Portions prévues]]*Tableau424[[#This Row],[Coût de revient forfaitaire]]</f>
        <v>0</v>
      </c>
      <c r="J61">
        <f>Tableau424[[#This Row],[Portions prévues]]-Tableau424[[#This Row],[Auto-consommation]]-Tableau424[[#This Row],[Portions vendues INTERNE]]-Tableau424[[#This Row],[Portions vendues EXTERNE]]</f>
        <v>0</v>
      </c>
      <c r="K61">
        <f>Tableau424[[#This Row],[Portions prévues]]-Tableau424[[#This Row],[Portions stockées]]</f>
        <v>0</v>
      </c>
      <c r="L61">
        <f>1.35*Tableau424[[#This Row],[Portions vendues INTERNE]]+2.35*Tableau424[[#This Row],[Portions vendues EXTERNE]]-Tableau424[[#This Row],[Coût de revient total]]</f>
        <v>0</v>
      </c>
    </row>
    <row r="62" spans="1:12" x14ac:dyDescent="0.25">
      <c r="A62" t="s">
        <v>32</v>
      </c>
      <c r="B62">
        <v>1</v>
      </c>
      <c r="E62">
        <f>Tableau424[[#This Row],[Portions prévues]]*Tableau424[[#This Row],[Coût de revient forfaitaire]]</f>
        <v>0</v>
      </c>
      <c r="J62">
        <f>Tableau424[[#This Row],[Portions prévues]]-Tableau424[[#This Row],[Auto-consommation]]-Tableau424[[#This Row],[Portions vendues INTERNE]]-Tableau424[[#This Row],[Portions vendues EXTERNE]]</f>
        <v>0</v>
      </c>
      <c r="K62">
        <f>Tableau424[[#This Row],[Portions prévues]]-Tableau424[[#This Row],[Portions stockées]]</f>
        <v>0</v>
      </c>
      <c r="L62">
        <f>1.35*Tableau424[[#This Row],[Portions vendues INTERNE]]+2.35*Tableau424[[#This Row],[Portions vendues EXTERNE]]-Tableau424[[#This Row],[Coût de revient total]]</f>
        <v>0</v>
      </c>
    </row>
    <row r="63" spans="1:12" x14ac:dyDescent="0.25">
      <c r="C63" t="s">
        <v>60</v>
      </c>
      <c r="D63" t="s">
        <v>60</v>
      </c>
      <c r="E63" t="s">
        <v>51</v>
      </c>
      <c r="F63" t="s">
        <v>60</v>
      </c>
      <c r="G63" t="s">
        <v>60</v>
      </c>
      <c r="H63" t="s">
        <v>60</v>
      </c>
      <c r="I63" t="s">
        <v>60</v>
      </c>
      <c r="J63" t="s">
        <v>51</v>
      </c>
      <c r="K63" t="s">
        <v>51</v>
      </c>
      <c r="L63" t="s">
        <v>51</v>
      </c>
    </row>
    <row r="69" spans="1:12" x14ac:dyDescent="0.25">
      <c r="A69" s="1" t="s">
        <v>6</v>
      </c>
      <c r="B69" s="1">
        <f ca="1">TODAY()</f>
        <v>42432</v>
      </c>
    </row>
    <row r="71" spans="1:12" x14ac:dyDescent="0.25">
      <c r="A71" s="8" t="s">
        <v>17</v>
      </c>
    </row>
    <row r="72" spans="1:12" ht="45" x14ac:dyDescent="0.25">
      <c r="B72" s="2" t="s">
        <v>59</v>
      </c>
    </row>
    <row r="73" spans="1:12" ht="45" x14ac:dyDescent="0.25">
      <c r="A73" s="3" t="s">
        <v>26</v>
      </c>
      <c r="B73" s="3" t="s">
        <v>57</v>
      </c>
      <c r="C73" s="3" t="s">
        <v>33</v>
      </c>
      <c r="D73" s="3" t="s">
        <v>19</v>
      </c>
      <c r="E73" s="3" t="s">
        <v>53</v>
      </c>
      <c r="F73" s="3" t="s">
        <v>96</v>
      </c>
      <c r="G73" s="3" t="s">
        <v>48</v>
      </c>
      <c r="H73" s="3" t="s">
        <v>43</v>
      </c>
      <c r="I73" s="3" t="s">
        <v>44</v>
      </c>
      <c r="J73" s="3" t="s">
        <v>42</v>
      </c>
      <c r="K73" s="3" t="s">
        <v>49</v>
      </c>
      <c r="L73" s="3" t="s">
        <v>50</v>
      </c>
    </row>
    <row r="74" spans="1:12" x14ac:dyDescent="0.25">
      <c r="A74" t="s">
        <v>27</v>
      </c>
      <c r="B74">
        <v>0.5</v>
      </c>
      <c r="E74">
        <f>Tableau423[[#This Row],[Portions prévues]]*Tableau423[[#This Row],[Coût de revient forfaitaire]]</f>
        <v>0</v>
      </c>
      <c r="J74">
        <f>Tableau423[[#This Row],[Portions prévues]]-Tableau423[[#This Row],[Auto-consommation]]-Tableau423[[#This Row],[Portions vendues INTERNE]]-Tableau423[[#This Row],[Portions vendues EXTERNE]]</f>
        <v>0</v>
      </c>
      <c r="K74">
        <f>Tableau423[[#This Row],[Portions prévues]]-Tableau423[[#This Row],[Portions stockées]]</f>
        <v>0</v>
      </c>
      <c r="L74">
        <f>1.35*Tableau423[[#This Row],[Portions vendues INTERNE]]+2.35*Tableau423[[#This Row],[Portions vendues EXTERNE]]-Tableau423[[#This Row],[Coût de revient total]]</f>
        <v>0</v>
      </c>
    </row>
    <row r="75" spans="1:12" x14ac:dyDescent="0.25">
      <c r="A75" t="s">
        <v>28</v>
      </c>
      <c r="B75">
        <v>0.5</v>
      </c>
      <c r="E75">
        <f>Tableau423[[#This Row],[Portions prévues]]*Tableau423[[#This Row],[Coût de revient forfaitaire]]</f>
        <v>0</v>
      </c>
      <c r="J75">
        <f>Tableau423[[#This Row],[Portions prévues]]-Tableau423[[#This Row],[Auto-consommation]]-Tableau423[[#This Row],[Portions vendues INTERNE]]-Tableau423[[#This Row],[Portions vendues EXTERNE]]</f>
        <v>0</v>
      </c>
      <c r="K75">
        <f>Tableau423[[#This Row],[Portions prévues]]-Tableau423[[#This Row],[Portions stockées]]</f>
        <v>0</v>
      </c>
      <c r="L75">
        <f>1.35*Tableau423[[#This Row],[Portions vendues INTERNE]]+2.35*Tableau423[[#This Row],[Portions vendues EXTERNE]]-Tableau423[[#This Row],[Coût de revient total]]</f>
        <v>0</v>
      </c>
    </row>
    <row r="76" spans="1:12" x14ac:dyDescent="0.25">
      <c r="A76" t="s">
        <v>29</v>
      </c>
      <c r="B76">
        <v>1.5</v>
      </c>
      <c r="E76">
        <f>Tableau423[[#This Row],[Portions prévues]]*Tableau423[[#This Row],[Coût de revient forfaitaire]]</f>
        <v>0</v>
      </c>
      <c r="J76">
        <f>Tableau423[[#This Row],[Portions prévues]]-Tableau423[[#This Row],[Auto-consommation]]-Tableau423[[#This Row],[Portions vendues INTERNE]]-Tableau423[[#This Row],[Portions vendues EXTERNE]]</f>
        <v>0</v>
      </c>
      <c r="K76">
        <f>Tableau423[[#This Row],[Portions prévues]]-Tableau423[[#This Row],[Portions stockées]]</f>
        <v>0</v>
      </c>
      <c r="L76">
        <f>1.35*Tableau423[[#This Row],[Portions vendues INTERNE]]+2.35*Tableau423[[#This Row],[Portions vendues EXTERNE]]-Tableau423[[#This Row],[Coût de revient total]]</f>
        <v>0</v>
      </c>
    </row>
    <row r="77" spans="1:12" x14ac:dyDescent="0.25">
      <c r="A77" t="s">
        <v>30</v>
      </c>
      <c r="B77">
        <v>1.5</v>
      </c>
      <c r="E77">
        <f>Tableau423[[#This Row],[Portions prévues]]*Tableau423[[#This Row],[Coût de revient forfaitaire]]</f>
        <v>0</v>
      </c>
      <c r="J77">
        <f>Tableau423[[#This Row],[Portions prévues]]-Tableau423[[#This Row],[Auto-consommation]]-Tableau423[[#This Row],[Portions vendues INTERNE]]-Tableau423[[#This Row],[Portions vendues EXTERNE]]</f>
        <v>0</v>
      </c>
      <c r="K77">
        <f>Tableau423[[#This Row],[Portions prévues]]-Tableau423[[#This Row],[Portions stockées]]</f>
        <v>0</v>
      </c>
      <c r="L77">
        <f>1.35*Tableau423[[#This Row],[Portions vendues INTERNE]]+2.35*Tableau423[[#This Row],[Portions vendues EXTERNE]]-Tableau423[[#This Row],[Coût de revient total]]</f>
        <v>0</v>
      </c>
    </row>
    <row r="78" spans="1:12" x14ac:dyDescent="0.25">
      <c r="A78" t="s">
        <v>31</v>
      </c>
      <c r="B78">
        <v>1.5</v>
      </c>
      <c r="E78">
        <f>Tableau423[[#This Row],[Portions prévues]]*Tableau423[[#This Row],[Coût de revient forfaitaire]]</f>
        <v>0</v>
      </c>
      <c r="J78">
        <f>Tableau423[[#This Row],[Portions prévues]]-Tableau423[[#This Row],[Auto-consommation]]-Tableau423[[#This Row],[Portions vendues INTERNE]]-Tableau423[[#This Row],[Portions vendues EXTERNE]]</f>
        <v>0</v>
      </c>
      <c r="K78">
        <f>Tableau423[[#This Row],[Portions prévues]]-Tableau423[[#This Row],[Portions stockées]]</f>
        <v>0</v>
      </c>
      <c r="L78">
        <f>1.35*Tableau423[[#This Row],[Portions vendues INTERNE]]+2.35*Tableau423[[#This Row],[Portions vendues EXTERNE]]-Tableau423[[#This Row],[Coût de revient total]]</f>
        <v>0</v>
      </c>
    </row>
    <row r="79" spans="1:12" x14ac:dyDescent="0.25">
      <c r="A79" t="s">
        <v>32</v>
      </c>
      <c r="B79">
        <v>1</v>
      </c>
      <c r="E79">
        <f>Tableau423[[#This Row],[Portions prévues]]*Tableau423[[#This Row],[Coût de revient forfaitaire]]</f>
        <v>0</v>
      </c>
      <c r="J79">
        <f>Tableau423[[#This Row],[Portions prévues]]-Tableau423[[#This Row],[Auto-consommation]]-Tableau423[[#This Row],[Portions vendues INTERNE]]-Tableau423[[#This Row],[Portions vendues EXTERNE]]</f>
        <v>0</v>
      </c>
      <c r="K79">
        <f>Tableau423[[#This Row],[Portions prévues]]-Tableau423[[#This Row],[Portions stockées]]</f>
        <v>0</v>
      </c>
      <c r="L79">
        <f>1.35*Tableau423[[#This Row],[Portions vendues INTERNE]]+2.35*Tableau423[[#This Row],[Portions vendues EXTERNE]]-Tableau423[[#This Row],[Coût de revient total]]</f>
        <v>0</v>
      </c>
    </row>
    <row r="80" spans="1:12" x14ac:dyDescent="0.25">
      <c r="C80" t="s">
        <v>60</v>
      </c>
      <c r="D80" t="s">
        <v>60</v>
      </c>
      <c r="E80" t="s">
        <v>51</v>
      </c>
      <c r="F80" t="s">
        <v>60</v>
      </c>
      <c r="G80" t="s">
        <v>60</v>
      </c>
      <c r="H80" t="s">
        <v>60</v>
      </c>
      <c r="I80" t="s">
        <v>60</v>
      </c>
      <c r="J80" t="s">
        <v>51</v>
      </c>
      <c r="K80" t="s">
        <v>51</v>
      </c>
      <c r="L80" t="s">
        <v>51</v>
      </c>
    </row>
    <row r="86" spans="1:12" x14ac:dyDescent="0.25">
      <c r="A86" s="1" t="s">
        <v>6</v>
      </c>
      <c r="B86" s="1">
        <f ca="1">TODAY()</f>
        <v>42432</v>
      </c>
    </row>
    <row r="88" spans="1:12" x14ac:dyDescent="0.25">
      <c r="A88" s="8" t="s">
        <v>17</v>
      </c>
    </row>
    <row r="89" spans="1:12" ht="45" x14ac:dyDescent="0.25">
      <c r="B89" s="2" t="s">
        <v>59</v>
      </c>
      <c r="E89" t="s">
        <v>58</v>
      </c>
    </row>
    <row r="90" spans="1:12" ht="45" x14ac:dyDescent="0.25">
      <c r="A90" s="3" t="s">
        <v>26</v>
      </c>
      <c r="B90" s="3" t="s">
        <v>57</v>
      </c>
      <c r="C90" s="3" t="s">
        <v>33</v>
      </c>
      <c r="D90" s="3" t="s">
        <v>19</v>
      </c>
      <c r="E90" s="3" t="s">
        <v>53</v>
      </c>
      <c r="F90" s="3" t="s">
        <v>96</v>
      </c>
      <c r="G90" s="3" t="s">
        <v>48</v>
      </c>
      <c r="H90" s="3" t="s">
        <v>43</v>
      </c>
      <c r="I90" s="3" t="s">
        <v>44</v>
      </c>
      <c r="J90" s="3" t="s">
        <v>42</v>
      </c>
      <c r="K90" s="3" t="s">
        <v>49</v>
      </c>
      <c r="L90" s="3" t="s">
        <v>50</v>
      </c>
    </row>
    <row r="91" spans="1:12" x14ac:dyDescent="0.25">
      <c r="A91" t="s">
        <v>27</v>
      </c>
      <c r="B91">
        <v>0.5</v>
      </c>
      <c r="C91">
        <v>40</v>
      </c>
      <c r="D91">
        <v>0.35</v>
      </c>
      <c r="E91">
        <f>Tableau422[[#This Row],[Portions prévues]]*Tableau422[[#This Row],[Coût de revient forfaitaire]]</f>
        <v>14</v>
      </c>
      <c r="F91">
        <v>2</v>
      </c>
      <c r="H91">
        <v>34</v>
      </c>
      <c r="I91">
        <v>4</v>
      </c>
      <c r="J91">
        <f>Tableau422[[#This Row],[Portions prévues]]-Tableau422[[#This Row],[Auto-consommation]]-Tableau422[[#This Row],[Portions vendues INTERNE]]-Tableau422[[#This Row],[Portions vendues EXTERNE]]</f>
        <v>0</v>
      </c>
      <c r="K91">
        <f>Tableau422[[#This Row],[Portions prévues]]-Tableau422[[#This Row],[Portions stockées]]</f>
        <v>40</v>
      </c>
      <c r="L91">
        <f>1.35*Tableau422[[#This Row],[Portions vendues INTERNE]]+2.35*Tableau422[[#This Row],[Portions vendues EXTERNE]]-Tableau422[[#This Row],[Coût de revient total]]</f>
        <v>41.300000000000004</v>
      </c>
    </row>
    <row r="92" spans="1:12" x14ac:dyDescent="0.25">
      <c r="A92" t="s">
        <v>28</v>
      </c>
      <c r="B92">
        <v>0.5</v>
      </c>
      <c r="C92">
        <v>30</v>
      </c>
      <c r="D92">
        <v>0.3</v>
      </c>
      <c r="E92">
        <f>Tableau422[[#This Row],[Portions prévues]]*Tableau422[[#This Row],[Coût de revient forfaitaire]]</f>
        <v>9</v>
      </c>
      <c r="F92">
        <v>1</v>
      </c>
      <c r="H92">
        <v>12</v>
      </c>
      <c r="I92">
        <v>4</v>
      </c>
      <c r="J92">
        <f>Tableau422[[#This Row],[Portions prévues]]-Tableau422[[#This Row],[Auto-consommation]]-Tableau422[[#This Row],[Portions vendues INTERNE]]-Tableau422[[#This Row],[Portions vendues EXTERNE]]</f>
        <v>13</v>
      </c>
      <c r="K92">
        <f>Tableau422[[#This Row],[Portions prévues]]-Tableau422[[#This Row],[Portions stockées]]</f>
        <v>30</v>
      </c>
      <c r="L92">
        <f>1.35*Tableau422[[#This Row],[Portions vendues INTERNE]]+2.35*Tableau422[[#This Row],[Portions vendues EXTERNE]]-Tableau422[[#This Row],[Coût de revient total]]</f>
        <v>16.600000000000001</v>
      </c>
    </row>
    <row r="93" spans="1:12" x14ac:dyDescent="0.25">
      <c r="A93" t="s">
        <v>29</v>
      </c>
      <c r="B93">
        <v>1.5</v>
      </c>
      <c r="E93">
        <f>Tableau422[[#This Row],[Portions prévues]]*Tableau422[[#This Row],[Coût de revient forfaitaire]]</f>
        <v>0</v>
      </c>
      <c r="J93">
        <f>Tableau422[[#This Row],[Portions prévues]]-Tableau422[[#This Row],[Auto-consommation]]-Tableau422[[#This Row],[Portions vendues INTERNE]]-Tableau422[[#This Row],[Portions vendues EXTERNE]]</f>
        <v>0</v>
      </c>
      <c r="K93">
        <f>Tableau422[[#This Row],[Portions prévues]]-Tableau422[[#This Row],[Portions stockées]]</f>
        <v>0</v>
      </c>
      <c r="L93">
        <f>1.35*Tableau422[[#This Row],[Portions vendues INTERNE]]+2.35*Tableau422[[#This Row],[Portions vendues EXTERNE]]-Tableau422[[#This Row],[Coût de revient total]]</f>
        <v>0</v>
      </c>
    </row>
    <row r="94" spans="1:12" x14ac:dyDescent="0.25">
      <c r="A94" t="s">
        <v>30</v>
      </c>
      <c r="B94">
        <v>1.5</v>
      </c>
      <c r="E94">
        <f>Tableau422[[#This Row],[Portions prévues]]*Tableau422[[#This Row],[Coût de revient forfaitaire]]</f>
        <v>0</v>
      </c>
      <c r="J94">
        <f>Tableau422[[#This Row],[Portions prévues]]-Tableau422[[#This Row],[Auto-consommation]]-Tableau422[[#This Row],[Portions vendues INTERNE]]-Tableau422[[#This Row],[Portions vendues EXTERNE]]</f>
        <v>0</v>
      </c>
      <c r="K94">
        <f>Tableau422[[#This Row],[Portions prévues]]-Tableau422[[#This Row],[Portions stockées]]</f>
        <v>0</v>
      </c>
      <c r="L94">
        <f>1.35*Tableau422[[#This Row],[Portions vendues INTERNE]]+2.35*Tableau422[[#This Row],[Portions vendues EXTERNE]]-Tableau422[[#This Row],[Coût de revient total]]</f>
        <v>0</v>
      </c>
    </row>
    <row r="95" spans="1:12" x14ac:dyDescent="0.25">
      <c r="A95" t="s">
        <v>31</v>
      </c>
      <c r="B95">
        <v>1.5</v>
      </c>
      <c r="E95">
        <f>Tableau422[[#This Row],[Portions prévues]]*Tableau422[[#This Row],[Coût de revient forfaitaire]]</f>
        <v>0</v>
      </c>
      <c r="J95">
        <f>Tableau422[[#This Row],[Portions prévues]]-Tableau422[[#This Row],[Auto-consommation]]-Tableau422[[#This Row],[Portions vendues INTERNE]]-Tableau422[[#This Row],[Portions vendues EXTERNE]]</f>
        <v>0</v>
      </c>
      <c r="K95">
        <f>Tableau422[[#This Row],[Portions prévues]]-Tableau422[[#This Row],[Portions stockées]]</f>
        <v>0</v>
      </c>
      <c r="L95">
        <f>1.35*Tableau422[[#This Row],[Portions vendues INTERNE]]+2.35*Tableau422[[#This Row],[Portions vendues EXTERNE]]-Tableau422[[#This Row],[Coût de revient total]]</f>
        <v>0</v>
      </c>
    </row>
    <row r="96" spans="1:12" x14ac:dyDescent="0.25">
      <c r="A96" t="s">
        <v>32</v>
      </c>
      <c r="B96">
        <v>1</v>
      </c>
      <c r="E96">
        <f>Tableau422[[#This Row],[Portions prévues]]*Tableau422[[#This Row],[Coût de revient forfaitaire]]</f>
        <v>0</v>
      </c>
      <c r="J96">
        <f>Tableau422[[#This Row],[Portions prévues]]-Tableau422[[#This Row],[Auto-consommation]]-Tableau422[[#This Row],[Portions vendues INTERNE]]-Tableau422[[#This Row],[Portions vendues EXTERNE]]</f>
        <v>0</v>
      </c>
      <c r="K96">
        <f>Tableau422[[#This Row],[Portions prévues]]-Tableau422[[#This Row],[Portions stockées]]</f>
        <v>0</v>
      </c>
      <c r="L96">
        <f>1.35*Tableau422[[#This Row],[Portions vendues INTERNE]]+2.35*Tableau422[[#This Row],[Portions vendues EXTERNE]]-Tableau422[[#This Row],[Coût de revient total]]</f>
        <v>0</v>
      </c>
    </row>
    <row r="97" spans="3:12" x14ac:dyDescent="0.25">
      <c r="C97" t="s">
        <v>60</v>
      </c>
      <c r="D97" t="s">
        <v>60</v>
      </c>
      <c r="E97" t="s">
        <v>51</v>
      </c>
      <c r="F97" t="s">
        <v>60</v>
      </c>
      <c r="G97" t="s">
        <v>60</v>
      </c>
      <c r="H97" t="s">
        <v>60</v>
      </c>
      <c r="I97" t="s">
        <v>60</v>
      </c>
      <c r="J97" t="s">
        <v>51</v>
      </c>
      <c r="K97" t="s">
        <v>51</v>
      </c>
      <c r="L97" t="s">
        <v>51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0"/>
  <sheetViews>
    <sheetView workbookViewId="0">
      <selection activeCell="A10" sqref="A10"/>
    </sheetView>
  </sheetViews>
  <sheetFormatPr baseColWidth="10" defaultRowHeight="15" x14ac:dyDescent="0.25"/>
  <cols>
    <col min="1" max="1" width="26.140625" customWidth="1"/>
    <col min="2" max="2" width="11.5703125" customWidth="1"/>
  </cols>
  <sheetData>
    <row r="1" spans="1:2" x14ac:dyDescent="0.25">
      <c r="A1" s="1" t="s">
        <v>6</v>
      </c>
      <c r="B1" s="1">
        <f ca="1">TODAY()</f>
        <v>42432</v>
      </c>
    </row>
    <row r="3" spans="1:2" x14ac:dyDescent="0.25">
      <c r="A3" s="8" t="s">
        <v>35</v>
      </c>
    </row>
    <row r="5" spans="1:2" x14ac:dyDescent="0.25">
      <c r="A5" t="s">
        <v>40</v>
      </c>
      <c r="B5" t="s">
        <v>41</v>
      </c>
    </row>
    <row r="6" spans="1:2" x14ac:dyDescent="0.25">
      <c r="A6" t="s">
        <v>36</v>
      </c>
    </row>
    <row r="7" spans="1:2" x14ac:dyDescent="0.25">
      <c r="A7" t="s">
        <v>37</v>
      </c>
    </row>
    <row r="8" spans="1:2" x14ac:dyDescent="0.25">
      <c r="A8" t="s">
        <v>38</v>
      </c>
    </row>
    <row r="9" spans="1:2" x14ac:dyDescent="0.25">
      <c r="A9" t="s">
        <v>39</v>
      </c>
    </row>
    <row r="10" spans="1:2" x14ac:dyDescent="0.25">
      <c r="A10" t="s">
        <v>63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16" sqref="H1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B15" sqref="B15"/>
    </sheetView>
  </sheetViews>
  <sheetFormatPr baseColWidth="10" defaultRowHeight="15" x14ac:dyDescent="0.25"/>
  <cols>
    <col min="2" max="2" width="21.140625" customWidth="1"/>
    <col min="3" max="3" width="23.7109375" customWidth="1"/>
    <col min="4" max="4" width="17" customWidth="1"/>
  </cols>
  <sheetData>
    <row r="1" spans="1:4" x14ac:dyDescent="0.25">
      <c r="A1" t="s">
        <v>16</v>
      </c>
      <c r="B1" s="7" t="s">
        <v>10</v>
      </c>
      <c r="C1" s="4" t="s">
        <v>3</v>
      </c>
      <c r="D1" s="5" t="s">
        <v>4</v>
      </c>
    </row>
    <row r="2" spans="1:4" x14ac:dyDescent="0.25">
      <c r="B2" t="s">
        <v>14</v>
      </c>
      <c r="D2">
        <v>50</v>
      </c>
    </row>
    <row r="3" spans="1:4" x14ac:dyDescent="0.25">
      <c r="B3" t="s">
        <v>13</v>
      </c>
      <c r="C3">
        <v>6</v>
      </c>
      <c r="D3">
        <v>46</v>
      </c>
    </row>
    <row r="4" spans="1:4" x14ac:dyDescent="0.25">
      <c r="B4" t="s">
        <v>8</v>
      </c>
    </row>
    <row r="5" spans="1:4" x14ac:dyDescent="0.25">
      <c r="C5">
        <v>5</v>
      </c>
      <c r="D5">
        <v>622</v>
      </c>
    </row>
    <row r="6" spans="1:4" x14ac:dyDescent="0.25">
      <c r="C6">
        <v>5</v>
      </c>
      <c r="D6">
        <v>61</v>
      </c>
    </row>
    <row r="7" spans="1:4" x14ac:dyDescent="0.25">
      <c r="C7">
        <v>5</v>
      </c>
      <c r="D7">
        <v>19</v>
      </c>
    </row>
    <row r="8" spans="1:4" x14ac:dyDescent="0.25">
      <c r="C8">
        <v>5</v>
      </c>
      <c r="D8">
        <v>43.13</v>
      </c>
    </row>
    <row r="9" spans="1:4" x14ac:dyDescent="0.25">
      <c r="C9">
        <v>5</v>
      </c>
      <c r="D9">
        <v>46</v>
      </c>
    </row>
    <row r="10" spans="1:4" x14ac:dyDescent="0.25">
      <c r="B10" t="s">
        <v>11</v>
      </c>
      <c r="C10">
        <v>5</v>
      </c>
      <c r="D10">
        <v>56</v>
      </c>
    </row>
    <row r="11" spans="1:4" x14ac:dyDescent="0.25">
      <c r="B11" t="s">
        <v>9</v>
      </c>
      <c r="C11">
        <v>5</v>
      </c>
      <c r="D11">
        <v>5.92</v>
      </c>
    </row>
    <row r="12" spans="1:4" x14ac:dyDescent="0.25">
      <c r="B12" t="s">
        <v>12</v>
      </c>
      <c r="C12">
        <v>5</v>
      </c>
      <c r="D12">
        <v>11.25</v>
      </c>
    </row>
    <row r="13" spans="1:4" x14ac:dyDescent="0.25">
      <c r="C13">
        <v>5</v>
      </c>
    </row>
    <row r="14" spans="1:4" x14ac:dyDescent="0.25">
      <c r="B14" t="s">
        <v>15</v>
      </c>
      <c r="C14">
        <v>2</v>
      </c>
      <c r="D14">
        <v>6.99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3:O16"/>
  <sheetViews>
    <sheetView topLeftCell="C1" zoomScale="95" zoomScaleNormal="95" workbookViewId="0">
      <selection activeCell="D7" sqref="D7"/>
    </sheetView>
  </sheetViews>
  <sheetFormatPr baseColWidth="10" defaultRowHeight="15" x14ac:dyDescent="0.25"/>
  <cols>
    <col min="2" max="2" width="23.28515625" customWidth="1"/>
    <col min="3" max="3" width="14.140625" customWidth="1"/>
    <col min="5" max="5" width="18.7109375" customWidth="1"/>
    <col min="6" max="6" width="14.140625" customWidth="1"/>
    <col min="8" max="8" width="15.42578125" customWidth="1"/>
    <col min="9" max="9" width="15" customWidth="1"/>
    <col min="11" max="11" width="15.85546875" customWidth="1"/>
    <col min="12" max="12" width="11.5703125" customWidth="1"/>
    <col min="14" max="14" width="16.140625" customWidth="1"/>
    <col min="15" max="15" width="11.5703125" customWidth="1"/>
  </cols>
  <sheetData>
    <row r="3" spans="2:15" ht="35.25" customHeight="1" x14ac:dyDescent="0.25">
      <c r="B3" s="17" t="s">
        <v>72</v>
      </c>
      <c r="C3" s="16" t="s">
        <v>98</v>
      </c>
    </row>
    <row r="4" spans="2:15" ht="34.5" customHeight="1" x14ac:dyDescent="0.25">
      <c r="B4" s="17" t="s">
        <v>71</v>
      </c>
      <c r="C4" s="18">
        <v>6</v>
      </c>
    </row>
    <row r="7" spans="2:15" x14ac:dyDescent="0.25">
      <c r="B7" s="26" t="s">
        <v>82</v>
      </c>
      <c r="C7" s="26"/>
      <c r="E7" s="24" t="s">
        <v>73</v>
      </c>
      <c r="F7" s="24"/>
      <c r="H7" s="25" t="s">
        <v>2</v>
      </c>
      <c r="I7" s="25"/>
      <c r="K7" s="27" t="s">
        <v>84</v>
      </c>
      <c r="L7" s="27"/>
      <c r="N7" s="28" t="s">
        <v>85</v>
      </c>
      <c r="O7" s="28"/>
    </row>
    <row r="8" spans="2:15" ht="30" x14ac:dyDescent="0.25">
      <c r="B8" s="15" t="s">
        <v>83</v>
      </c>
      <c r="C8" s="3" t="s">
        <v>88</v>
      </c>
      <c r="E8" s="2" t="s">
        <v>89</v>
      </c>
      <c r="F8" s="2" t="s">
        <v>90</v>
      </c>
      <c r="H8" s="2" t="s">
        <v>91</v>
      </c>
      <c r="I8" s="2" t="s">
        <v>88</v>
      </c>
      <c r="K8" s="2" t="s">
        <v>92</v>
      </c>
      <c r="L8" s="2" t="s">
        <v>90</v>
      </c>
      <c r="N8" s="2" t="s">
        <v>93</v>
      </c>
      <c r="O8" s="2" t="s">
        <v>88</v>
      </c>
    </row>
    <row r="9" spans="2:15" x14ac:dyDescent="0.25">
      <c r="B9" t="s">
        <v>20</v>
      </c>
      <c r="C9" t="s">
        <v>97</v>
      </c>
      <c r="E9" t="s">
        <v>75</v>
      </c>
      <c r="F9">
        <v>2</v>
      </c>
      <c r="H9" t="s">
        <v>79</v>
      </c>
      <c r="I9">
        <v>1</v>
      </c>
      <c r="K9" t="s">
        <v>27</v>
      </c>
      <c r="L9">
        <v>0.5</v>
      </c>
      <c r="N9" t="s">
        <v>87</v>
      </c>
      <c r="O9">
        <v>1</v>
      </c>
    </row>
    <row r="10" spans="2:15" x14ac:dyDescent="0.25">
      <c r="B10" t="s">
        <v>22</v>
      </c>
      <c r="C10" t="s">
        <v>97</v>
      </c>
      <c r="E10" t="s">
        <v>74</v>
      </c>
      <c r="F10">
        <v>2</v>
      </c>
      <c r="H10" t="s">
        <v>81</v>
      </c>
      <c r="I10">
        <v>1</v>
      </c>
      <c r="K10" t="s">
        <v>28</v>
      </c>
      <c r="L10">
        <v>0.5</v>
      </c>
    </row>
    <row r="11" spans="2:15" x14ac:dyDescent="0.25">
      <c r="B11" t="s">
        <v>23</v>
      </c>
      <c r="C11" t="s">
        <v>94</v>
      </c>
      <c r="E11" t="s">
        <v>76</v>
      </c>
      <c r="F11">
        <v>2</v>
      </c>
      <c r="K11" t="s">
        <v>29</v>
      </c>
      <c r="L11">
        <v>1.5</v>
      </c>
    </row>
    <row r="12" spans="2:15" x14ac:dyDescent="0.25">
      <c r="B12" t="s">
        <v>86</v>
      </c>
      <c r="C12" t="s">
        <v>97</v>
      </c>
      <c r="E12" t="s">
        <v>77</v>
      </c>
      <c r="F12">
        <v>2</v>
      </c>
      <c r="K12" t="s">
        <v>30</v>
      </c>
      <c r="L12">
        <v>1.5</v>
      </c>
    </row>
    <row r="13" spans="2:15" x14ac:dyDescent="0.25">
      <c r="B13" t="s">
        <v>21</v>
      </c>
      <c r="C13" t="s">
        <v>97</v>
      </c>
      <c r="E13" t="s">
        <v>78</v>
      </c>
      <c r="F13">
        <v>2</v>
      </c>
      <c r="K13" t="s">
        <v>31</v>
      </c>
      <c r="L13">
        <v>1.5</v>
      </c>
    </row>
    <row r="14" spans="2:15" x14ac:dyDescent="0.25">
      <c r="B14" t="s">
        <v>25</v>
      </c>
      <c r="K14" t="s">
        <v>32</v>
      </c>
      <c r="L14">
        <v>1</v>
      </c>
    </row>
    <row r="15" spans="2:15" x14ac:dyDescent="0.25">
      <c r="B15" t="s">
        <v>14</v>
      </c>
    </row>
    <row r="16" spans="2:15" x14ac:dyDescent="0.25">
      <c r="B16" t="s">
        <v>14</v>
      </c>
    </row>
  </sheetData>
  <mergeCells count="5">
    <mergeCell ref="E7:F7"/>
    <mergeCell ref="H7:I7"/>
    <mergeCell ref="B7:C7"/>
    <mergeCell ref="K7:L7"/>
    <mergeCell ref="N7:O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PrixTicket">
                <anchor moveWithCells="1" sizeWithCells="1">
                  <from>
                    <xdr:col>3</xdr:col>
                    <xdr:colOff>352425</xdr:colOff>
                    <xdr:row>2</xdr:row>
                    <xdr:rowOff>142875</xdr:rowOff>
                  </from>
                  <to>
                    <xdr:col>5</xdr:col>
                    <xdr:colOff>352425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fficheTicket">
                <anchor moveWithCells="1" sizeWithCells="1">
                  <from>
                    <xdr:col>1</xdr:col>
                    <xdr:colOff>9525</xdr:colOff>
                    <xdr:row>17</xdr:row>
                    <xdr:rowOff>57150</xdr:rowOff>
                  </from>
                  <to>
                    <xdr:col>2</xdr:col>
                    <xdr:colOff>390525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5"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Entrées</vt:lpstr>
      <vt:lpstr>Plats</vt:lpstr>
      <vt:lpstr>Feuil2</vt:lpstr>
      <vt:lpstr>Desserts</vt:lpstr>
      <vt:lpstr>"Total"</vt:lpstr>
      <vt:lpstr>Historique simplifié</vt:lpstr>
      <vt:lpstr>Historique détaillé</vt:lpstr>
      <vt:lpstr>Tickets</vt:lpstr>
      <vt:lpstr>Choix1</vt:lpstr>
      <vt:lpstr>Entrées1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SEIDEL</dc:creator>
  <cp:lastModifiedBy>DEMOURES Albane</cp:lastModifiedBy>
  <dcterms:created xsi:type="dcterms:W3CDTF">2016-02-02T06:57:48Z</dcterms:created>
  <dcterms:modified xsi:type="dcterms:W3CDTF">2016-03-03T16:38:55Z</dcterms:modified>
</cp:coreProperties>
</file>