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R:\12- Master\Déduction\"/>
    </mc:Choice>
  </mc:AlternateContent>
  <bookViews>
    <workbookView xWindow="0" yWindow="720" windowWidth="21600" windowHeight="7515" tabRatio="851" firstSheet="1" activeTab="1"/>
  </bookViews>
  <sheets>
    <sheet name="Programmation" sheetId="25" state="hidden" r:id="rId1"/>
    <sheet name="Données" sheetId="26" r:id="rId2"/>
    <sheet name="Facture" sheetId="27" state="hidden" r:id="rId3"/>
    <sheet name="Paie" sheetId="28" state="hidden" r:id="rId4"/>
    <sheet name="Vie Fac" sheetId="29" state="hidden" r:id="rId5"/>
  </sheets>
  <definedNames>
    <definedName name="_xlnm._FilterDatabase" localSheetId="1" hidden="1">Données!$H$22:$H$42</definedName>
    <definedName name="Classes">Programmation!$A$11:$B$30</definedName>
    <definedName name="_xlnm.Print_Titles" localSheetId="1">Données!$43:$54</definedName>
    <definedName name="_xlnm.Print_Titles" localSheetId="2">Facture!$1:$14</definedName>
    <definedName name="_xlnm.Print_Titles" localSheetId="3">Paie!$10:$15</definedName>
    <definedName name="_xlnm.Print_Titles" localSheetId="0">Programmation!$A:$B</definedName>
    <definedName name="Print_Area_MI">#REF!</definedName>
    <definedName name="taux">Programmation!$B$11:$AV$30</definedName>
    <definedName name="taxes">Programmation!$AW$11:$AY$13</definedName>
    <definedName name="Test">'Vie Fac'!$A$10:$F$20</definedName>
    <definedName name="TxVfac">'Vie Fac'!$B$10:$F$20</definedName>
    <definedName name="_xlnm.Print_Area" localSheetId="1">Données!$B$43:$Y$181</definedName>
    <definedName name="_xlnm.Print_Area" localSheetId="2">Facture!$B$1:$AI$146</definedName>
    <definedName name="_xlnm.Print_Area" localSheetId="3">Paie!$A$10:$Q$145</definedName>
  </definedNames>
  <calcPr calcId="152511"/>
</workbook>
</file>

<file path=xl/calcChain.xml><?xml version="1.0" encoding="utf-8"?>
<calcChain xmlns="http://schemas.openxmlformats.org/spreadsheetml/2006/main">
  <c r="C155" i="27" l="1"/>
  <c r="C156" i="27"/>
  <c r="C157" i="27"/>
  <c r="C158" i="27"/>
  <c r="C159" i="27"/>
  <c r="C160" i="27"/>
  <c r="C161" i="27"/>
  <c r="C162" i="27"/>
  <c r="C163" i="27"/>
  <c r="C164" i="27"/>
  <c r="C165" i="27"/>
  <c r="C166" i="27"/>
  <c r="C167" i="27"/>
  <c r="C168" i="27"/>
  <c r="C169" i="27"/>
  <c r="C170" i="27"/>
  <c r="C171" i="27"/>
  <c r="C172" i="27"/>
  <c r="C173" i="27"/>
  <c r="C174" i="27"/>
  <c r="C175" i="27"/>
  <c r="C176" i="27"/>
  <c r="C177" i="27"/>
  <c r="C178" i="27"/>
  <c r="C179" i="27"/>
  <c r="C180" i="27"/>
  <c r="C181" i="27"/>
  <c r="C182" i="27"/>
  <c r="C183" i="27"/>
  <c r="C184" i="27"/>
  <c r="C185" i="27"/>
  <c r="C186" i="27"/>
  <c r="C187" i="27"/>
  <c r="C188" i="27"/>
  <c r="C189" i="27"/>
  <c r="C190" i="27"/>
  <c r="C191" i="27"/>
  <c r="C192" i="27"/>
  <c r="C193" i="27"/>
  <c r="C194" i="27"/>
  <c r="C195" i="27"/>
  <c r="C196" i="27"/>
  <c r="C197" i="27"/>
  <c r="C198" i="27"/>
  <c r="C199" i="27"/>
  <c r="C200" i="27"/>
  <c r="F11" i="29" l="1"/>
  <c r="F10" i="29" s="1"/>
  <c r="D11" i="29"/>
  <c r="D10" i="29" s="1"/>
  <c r="S4" i="27" l="1"/>
  <c r="D15" i="27" l="1"/>
  <c r="AD194" i="26" l="1"/>
  <c r="AD195" i="26"/>
  <c r="AD196" i="26"/>
  <c r="AD197" i="26"/>
  <c r="AD198" i="26"/>
  <c r="AD199" i="26"/>
  <c r="AD200" i="26"/>
  <c r="AD201" i="26"/>
  <c r="AD202" i="26"/>
  <c r="AD203" i="26"/>
  <c r="AD204" i="26"/>
  <c r="AD205" i="26"/>
  <c r="AD206" i="26"/>
  <c r="AD207" i="26"/>
  <c r="AD208" i="26"/>
  <c r="AD209" i="26"/>
  <c r="AD210" i="26"/>
  <c r="AD211" i="26"/>
  <c r="AD212" i="26"/>
  <c r="AD213" i="26"/>
  <c r="AD214" i="26"/>
  <c r="AD215" i="26"/>
  <c r="AD216" i="26"/>
  <c r="AD217" i="26"/>
  <c r="AD218" i="26"/>
  <c r="AD219" i="26"/>
  <c r="AD220" i="26"/>
  <c r="AD221" i="26"/>
  <c r="AD222" i="26"/>
  <c r="AD223" i="26"/>
  <c r="AD224" i="26"/>
  <c r="AD225" i="26"/>
  <c r="AD226" i="26"/>
  <c r="AD227" i="26"/>
  <c r="AD228" i="26"/>
  <c r="AD229" i="26"/>
  <c r="AD230" i="26"/>
  <c r="AD231" i="26"/>
  <c r="AD232" i="26"/>
  <c r="AD233" i="26"/>
  <c r="AD234" i="26"/>
  <c r="AD235" i="26"/>
  <c r="AD236" i="26"/>
  <c r="AD237" i="26"/>
  <c r="AD238" i="26"/>
  <c r="AD239" i="26"/>
  <c r="AD240" i="26"/>
  <c r="AD241" i="26"/>
  <c r="AD242" i="26"/>
  <c r="AD243" i="26"/>
  <c r="AD244" i="26"/>
  <c r="AD245" i="26"/>
  <c r="B154" i="27"/>
  <c r="C154" i="27" s="1"/>
  <c r="D154" i="27"/>
  <c r="E154" i="27"/>
  <c r="B155" i="27"/>
  <c r="D155" i="27"/>
  <c r="E155" i="27"/>
  <c r="F155" i="27"/>
  <c r="B156" i="27"/>
  <c r="D156" i="27"/>
  <c r="E156" i="27"/>
  <c r="F156" i="27"/>
  <c r="B157" i="27"/>
  <c r="D157" i="27"/>
  <c r="E157" i="27"/>
  <c r="F157" i="27"/>
  <c r="B158" i="27"/>
  <c r="D158" i="27"/>
  <c r="E158" i="27"/>
  <c r="F158" i="27"/>
  <c r="B159" i="27"/>
  <c r="D159" i="27"/>
  <c r="E159" i="27"/>
  <c r="F159" i="27"/>
  <c r="AD159" i="27"/>
  <c r="B160" i="27"/>
  <c r="D160" i="27"/>
  <c r="E160" i="27"/>
  <c r="F160" i="27"/>
  <c r="AD160" i="27"/>
  <c r="B161" i="27"/>
  <c r="D161" i="27"/>
  <c r="E161" i="27"/>
  <c r="F161" i="27"/>
  <c r="B162" i="27"/>
  <c r="D162" i="27"/>
  <c r="E162" i="27"/>
  <c r="F162" i="27"/>
  <c r="B163" i="27"/>
  <c r="D163" i="27"/>
  <c r="E163" i="27"/>
  <c r="F163" i="27"/>
  <c r="B164" i="27"/>
  <c r="D164" i="27"/>
  <c r="E164" i="27"/>
  <c r="F164" i="27"/>
  <c r="B165" i="27"/>
  <c r="D165" i="27"/>
  <c r="E165" i="27"/>
  <c r="F165" i="27"/>
  <c r="B166" i="27"/>
  <c r="D166" i="27"/>
  <c r="E166" i="27"/>
  <c r="F166" i="27"/>
  <c r="B167" i="27"/>
  <c r="D167" i="27"/>
  <c r="E167" i="27"/>
  <c r="F167" i="27"/>
  <c r="B168" i="27"/>
  <c r="D168" i="27"/>
  <c r="E168" i="27"/>
  <c r="F168" i="27"/>
  <c r="B169" i="27"/>
  <c r="D169" i="27"/>
  <c r="E169" i="27"/>
  <c r="F169" i="27"/>
  <c r="B170" i="27"/>
  <c r="D170" i="27"/>
  <c r="E170" i="27"/>
  <c r="F170" i="27"/>
  <c r="B171" i="27"/>
  <c r="D171" i="27"/>
  <c r="E171" i="27"/>
  <c r="F171" i="27"/>
  <c r="B172" i="27"/>
  <c r="D172" i="27"/>
  <c r="E172" i="27"/>
  <c r="F172" i="27"/>
  <c r="B173" i="27"/>
  <c r="D173" i="27"/>
  <c r="E173" i="27"/>
  <c r="F173" i="27"/>
  <c r="H173" i="27"/>
  <c r="B174" i="27"/>
  <c r="D174" i="27"/>
  <c r="E174" i="27"/>
  <c r="F174" i="27"/>
  <c r="B175" i="27"/>
  <c r="D175" i="27"/>
  <c r="E175" i="27"/>
  <c r="F175" i="27"/>
  <c r="B176" i="27"/>
  <c r="D176" i="27"/>
  <c r="E176" i="27"/>
  <c r="F176" i="27"/>
  <c r="B177" i="27"/>
  <c r="D177" i="27"/>
  <c r="E177" i="27"/>
  <c r="F177" i="27"/>
  <c r="B178" i="27"/>
  <c r="D178" i="27"/>
  <c r="E178" i="27"/>
  <c r="F178" i="27"/>
  <c r="AD178" i="27"/>
  <c r="B179" i="27"/>
  <c r="D179" i="27"/>
  <c r="E179" i="27"/>
  <c r="F179" i="27"/>
  <c r="B180" i="27"/>
  <c r="D180" i="27"/>
  <c r="E180" i="27"/>
  <c r="F180" i="27"/>
  <c r="B181" i="27"/>
  <c r="D181" i="27"/>
  <c r="E181" i="27"/>
  <c r="F181" i="27"/>
  <c r="B182" i="27"/>
  <c r="D182" i="27"/>
  <c r="E182" i="27"/>
  <c r="F182" i="27"/>
  <c r="P182" i="27"/>
  <c r="B183" i="27"/>
  <c r="D183" i="27"/>
  <c r="E183" i="27"/>
  <c r="F183" i="27"/>
  <c r="B184" i="27"/>
  <c r="D184" i="27"/>
  <c r="E184" i="27"/>
  <c r="F184" i="27"/>
  <c r="B185" i="27"/>
  <c r="D185" i="27"/>
  <c r="E185" i="27"/>
  <c r="F185" i="27"/>
  <c r="B186" i="27"/>
  <c r="D186" i="27"/>
  <c r="E186" i="27"/>
  <c r="F186" i="27"/>
  <c r="B187" i="27"/>
  <c r="D187" i="27"/>
  <c r="E187" i="27"/>
  <c r="F187" i="27"/>
  <c r="B188" i="27"/>
  <c r="D188" i="27"/>
  <c r="E188" i="27"/>
  <c r="F188" i="27"/>
  <c r="B189" i="27"/>
  <c r="D189" i="27"/>
  <c r="E189" i="27"/>
  <c r="F189" i="27"/>
  <c r="B190" i="27"/>
  <c r="D190" i="27"/>
  <c r="E190" i="27"/>
  <c r="F190" i="27"/>
  <c r="B191" i="27"/>
  <c r="D191" i="27"/>
  <c r="E191" i="27"/>
  <c r="F191" i="27"/>
  <c r="AD191" i="27"/>
  <c r="B192" i="27"/>
  <c r="D192" i="27"/>
  <c r="E192" i="27"/>
  <c r="F192" i="27"/>
  <c r="B193" i="27"/>
  <c r="D193" i="27"/>
  <c r="E193" i="27"/>
  <c r="F193" i="27"/>
  <c r="B194" i="27"/>
  <c r="D194" i="27"/>
  <c r="E194" i="27"/>
  <c r="F194" i="27"/>
  <c r="B195" i="27"/>
  <c r="D195" i="27"/>
  <c r="E195" i="27"/>
  <c r="F195" i="27"/>
  <c r="B196" i="27"/>
  <c r="D196" i="27"/>
  <c r="E196" i="27"/>
  <c r="F196" i="27"/>
  <c r="B197" i="27"/>
  <c r="D197" i="27"/>
  <c r="E197" i="27"/>
  <c r="F197" i="27"/>
  <c r="B198" i="27"/>
  <c r="D198" i="27"/>
  <c r="E198" i="27"/>
  <c r="F198" i="27"/>
  <c r="B199" i="27"/>
  <c r="D199" i="27"/>
  <c r="E199" i="27"/>
  <c r="F199" i="27"/>
  <c r="AD199" i="27"/>
  <c r="B200" i="27"/>
  <c r="D200" i="27"/>
  <c r="E200" i="27"/>
  <c r="F200" i="27"/>
  <c r="B155" i="28"/>
  <c r="J155" i="28" s="1"/>
  <c r="C155" i="28"/>
  <c r="B156" i="28"/>
  <c r="J156" i="28" s="1"/>
  <c r="C156" i="28"/>
  <c r="D156" i="28"/>
  <c r="B157" i="28"/>
  <c r="J157" i="28" s="1"/>
  <c r="C157" i="28"/>
  <c r="D157" i="28"/>
  <c r="B158" i="28"/>
  <c r="J158" i="28" s="1"/>
  <c r="C158" i="28"/>
  <c r="D158" i="28"/>
  <c r="B159" i="28"/>
  <c r="J159" i="28" s="1"/>
  <c r="C159" i="28"/>
  <c r="D159" i="28"/>
  <c r="B160" i="28"/>
  <c r="J160" i="28" s="1"/>
  <c r="C160" i="28"/>
  <c r="D160" i="28"/>
  <c r="B161" i="28"/>
  <c r="J161" i="28" s="1"/>
  <c r="C161" i="28"/>
  <c r="D161" i="28"/>
  <c r="B162" i="28"/>
  <c r="J162" i="28" s="1"/>
  <c r="C162" i="28"/>
  <c r="D162" i="28"/>
  <c r="B163" i="28"/>
  <c r="J163" i="28" s="1"/>
  <c r="C163" i="28"/>
  <c r="D163" i="28"/>
  <c r="B164" i="28"/>
  <c r="J164" i="28" s="1"/>
  <c r="C164" i="28"/>
  <c r="D164" i="28"/>
  <c r="B165" i="28"/>
  <c r="J165" i="28" s="1"/>
  <c r="C165" i="28"/>
  <c r="D165" i="28"/>
  <c r="B166" i="28"/>
  <c r="J166" i="28" s="1"/>
  <c r="C166" i="28"/>
  <c r="D166" i="28"/>
  <c r="B167" i="28"/>
  <c r="J167" i="28" s="1"/>
  <c r="C167" i="28"/>
  <c r="D167" i="28"/>
  <c r="B168" i="28"/>
  <c r="J168" i="28" s="1"/>
  <c r="C168" i="28"/>
  <c r="D168" i="28"/>
  <c r="B169" i="28"/>
  <c r="J169" i="28" s="1"/>
  <c r="C169" i="28"/>
  <c r="D169" i="28"/>
  <c r="B170" i="28"/>
  <c r="J170" i="28" s="1"/>
  <c r="C170" i="28"/>
  <c r="D170" i="28"/>
  <c r="B171" i="28"/>
  <c r="C171" i="28"/>
  <c r="D171" i="28"/>
  <c r="B172" i="28"/>
  <c r="J172" i="28" s="1"/>
  <c r="C172" i="28"/>
  <c r="D172" i="28"/>
  <c r="B173" i="28"/>
  <c r="C173" i="28"/>
  <c r="D173" i="28"/>
  <c r="B174" i="28"/>
  <c r="J174" i="28" s="1"/>
  <c r="C174" i="28"/>
  <c r="D174" i="28"/>
  <c r="B175" i="28"/>
  <c r="C175" i="28"/>
  <c r="D175" i="28"/>
  <c r="B176" i="28"/>
  <c r="J176" i="28" s="1"/>
  <c r="C176" i="28"/>
  <c r="D176" i="28"/>
  <c r="B177" i="28"/>
  <c r="C177" i="28"/>
  <c r="D177" i="28"/>
  <c r="B178" i="28"/>
  <c r="J178" i="28" s="1"/>
  <c r="C178" i="28"/>
  <c r="D178" i="28"/>
  <c r="B179" i="28"/>
  <c r="C179" i="28"/>
  <c r="D179" i="28"/>
  <c r="B180" i="28"/>
  <c r="J180" i="28" s="1"/>
  <c r="C180" i="28"/>
  <c r="D180" i="28"/>
  <c r="B181" i="28"/>
  <c r="C181" i="28"/>
  <c r="D181" i="28"/>
  <c r="B182" i="28"/>
  <c r="J182" i="28" s="1"/>
  <c r="C182" i="28"/>
  <c r="D182" i="28"/>
  <c r="B183" i="28"/>
  <c r="C183" i="28"/>
  <c r="D183" i="28"/>
  <c r="B184" i="28"/>
  <c r="J184" i="28" s="1"/>
  <c r="C184" i="28"/>
  <c r="D184" i="28"/>
  <c r="B185" i="28"/>
  <c r="C185" i="28"/>
  <c r="D185" i="28"/>
  <c r="B186" i="28"/>
  <c r="C186" i="28"/>
  <c r="D186" i="28"/>
  <c r="B187" i="28"/>
  <c r="J187" i="28" s="1"/>
  <c r="C187" i="28"/>
  <c r="D187" i="28"/>
  <c r="B188" i="28"/>
  <c r="C188" i="28"/>
  <c r="D188" i="28"/>
  <c r="B189" i="28"/>
  <c r="C189" i="28"/>
  <c r="D189" i="28"/>
  <c r="B190" i="28"/>
  <c r="C190" i="28"/>
  <c r="D190" i="28"/>
  <c r="B191" i="28"/>
  <c r="J191" i="28" s="1"/>
  <c r="C191" i="28"/>
  <c r="D191" i="28"/>
  <c r="B192" i="28"/>
  <c r="C192" i="28"/>
  <c r="D192" i="28"/>
  <c r="B193" i="28"/>
  <c r="C193" i="28"/>
  <c r="D193" i="28"/>
  <c r="B194" i="28"/>
  <c r="C194" i="28"/>
  <c r="D194" i="28"/>
  <c r="B195" i="28"/>
  <c r="J195" i="28" s="1"/>
  <c r="C195" i="28"/>
  <c r="D195" i="28"/>
  <c r="B196" i="28"/>
  <c r="C196" i="28"/>
  <c r="D196" i="28"/>
  <c r="B197" i="28"/>
  <c r="C197" i="28"/>
  <c r="D197" i="28"/>
  <c r="B198" i="28"/>
  <c r="C198" i="28"/>
  <c r="D198" i="28"/>
  <c r="E197" i="28" l="1"/>
  <c r="J197" i="28"/>
  <c r="E193" i="28"/>
  <c r="J193" i="28"/>
  <c r="E189" i="28"/>
  <c r="J189" i="28"/>
  <c r="E185" i="28"/>
  <c r="J185" i="28"/>
  <c r="E183" i="28"/>
  <c r="J183" i="28"/>
  <c r="E181" i="28"/>
  <c r="J181" i="28"/>
  <c r="E179" i="28"/>
  <c r="J179" i="28"/>
  <c r="E177" i="28"/>
  <c r="J177" i="28"/>
  <c r="E175" i="28"/>
  <c r="J175" i="28"/>
  <c r="E173" i="28"/>
  <c r="J173" i="28"/>
  <c r="E171" i="28"/>
  <c r="J171" i="28"/>
  <c r="E198" i="28"/>
  <c r="J198" i="28"/>
  <c r="E196" i="28"/>
  <c r="J196" i="28"/>
  <c r="E194" i="28"/>
  <c r="J194" i="28"/>
  <c r="E192" i="28"/>
  <c r="J192" i="28"/>
  <c r="E190" i="28"/>
  <c r="J190" i="28"/>
  <c r="E188" i="28"/>
  <c r="J188" i="28"/>
  <c r="E186" i="28"/>
  <c r="J186" i="28"/>
  <c r="AA200" i="27"/>
  <c r="AC200" i="27"/>
  <c r="AA191" i="27"/>
  <c r="AC191" i="27"/>
  <c r="AA190" i="27"/>
  <c r="AC190" i="27"/>
  <c r="AA189" i="27"/>
  <c r="AC189" i="27"/>
  <c r="AA188" i="27"/>
  <c r="AC188" i="27"/>
  <c r="AA187" i="27"/>
  <c r="AC187" i="27"/>
  <c r="AA186" i="27"/>
  <c r="AC186" i="27"/>
  <c r="AA185" i="27"/>
  <c r="AC185" i="27"/>
  <c r="AA184" i="27"/>
  <c r="AC184" i="27"/>
  <c r="AA183" i="27"/>
  <c r="AC183" i="27"/>
  <c r="AA178" i="27"/>
  <c r="AC178" i="27"/>
  <c r="AA177" i="27"/>
  <c r="AC177" i="27"/>
  <c r="AA176" i="27"/>
  <c r="AC176" i="27"/>
  <c r="AA175" i="27"/>
  <c r="AC175" i="27"/>
  <c r="AA174" i="27"/>
  <c r="AC174" i="27"/>
  <c r="AA160" i="27"/>
  <c r="AC160" i="27"/>
  <c r="AA154" i="27"/>
  <c r="AC154" i="27"/>
  <c r="AA199" i="27"/>
  <c r="AC199" i="27"/>
  <c r="AA198" i="27"/>
  <c r="AC198" i="27"/>
  <c r="AA197" i="27"/>
  <c r="AC197" i="27"/>
  <c r="AA196" i="27"/>
  <c r="AC196" i="27"/>
  <c r="AA195" i="27"/>
  <c r="AC195" i="27"/>
  <c r="AA194" i="27"/>
  <c r="AC194" i="27"/>
  <c r="AA193" i="27"/>
  <c r="AC193" i="27"/>
  <c r="AA192" i="27"/>
  <c r="AC192" i="27"/>
  <c r="AA182" i="27"/>
  <c r="AC182" i="27"/>
  <c r="AA181" i="27"/>
  <c r="AC181" i="27"/>
  <c r="AA180" i="27"/>
  <c r="AC180" i="27"/>
  <c r="AA179" i="27"/>
  <c r="AC179" i="27"/>
  <c r="AA173" i="27"/>
  <c r="AC173" i="27"/>
  <c r="AA172" i="27"/>
  <c r="AC172" i="27"/>
  <c r="AA171" i="27"/>
  <c r="AC171" i="27"/>
  <c r="AA170" i="27"/>
  <c r="AC170" i="27"/>
  <c r="AA169" i="27"/>
  <c r="AC169" i="27"/>
  <c r="AA168" i="27"/>
  <c r="AC168" i="27"/>
  <c r="AA167" i="27"/>
  <c r="AC167" i="27"/>
  <c r="AA166" i="27"/>
  <c r="AC166" i="27"/>
  <c r="AA165" i="27"/>
  <c r="AC165" i="27"/>
  <c r="AA164" i="27"/>
  <c r="AC164" i="27"/>
  <c r="AA163" i="27"/>
  <c r="AC163" i="27"/>
  <c r="AA162" i="27"/>
  <c r="AC162" i="27"/>
  <c r="AA161" i="27"/>
  <c r="AC161" i="27"/>
  <c r="AA159" i="27"/>
  <c r="AC159" i="27"/>
  <c r="AA158" i="27"/>
  <c r="AC158" i="27"/>
  <c r="AA157" i="27"/>
  <c r="AC157" i="27"/>
  <c r="AA156" i="27"/>
  <c r="AC156" i="27"/>
  <c r="AA155" i="27"/>
  <c r="AC155" i="27"/>
  <c r="Q200" i="27"/>
  <c r="S200" i="27"/>
  <c r="Q191" i="27"/>
  <c r="S191" i="27"/>
  <c r="Q190" i="27"/>
  <c r="S190" i="27"/>
  <c r="Q189" i="27"/>
  <c r="S189" i="27"/>
  <c r="Q188" i="27"/>
  <c r="S188" i="27"/>
  <c r="Q187" i="27"/>
  <c r="S187" i="27"/>
  <c r="Q186" i="27"/>
  <c r="S186" i="27"/>
  <c r="Q185" i="27"/>
  <c r="S185" i="27"/>
  <c r="Q184" i="27"/>
  <c r="S184" i="27"/>
  <c r="Q183" i="27"/>
  <c r="S183" i="27"/>
  <c r="Q178" i="27"/>
  <c r="S178" i="27"/>
  <c r="Q177" i="27"/>
  <c r="S177" i="27"/>
  <c r="Q176" i="27"/>
  <c r="S176" i="27"/>
  <c r="Q175" i="27"/>
  <c r="S175" i="27"/>
  <c r="Q174" i="27"/>
  <c r="S174" i="27"/>
  <c r="Q160" i="27"/>
  <c r="S160" i="27"/>
  <c r="Q154" i="27"/>
  <c r="S154" i="27"/>
  <c r="Q199" i="27"/>
  <c r="S199" i="27"/>
  <c r="Q198" i="27"/>
  <c r="S198" i="27"/>
  <c r="Q197" i="27"/>
  <c r="S197" i="27"/>
  <c r="Q196" i="27"/>
  <c r="S196" i="27"/>
  <c r="Q195" i="27"/>
  <c r="S195" i="27"/>
  <c r="Q194" i="27"/>
  <c r="S194" i="27"/>
  <c r="Q193" i="27"/>
  <c r="S193" i="27"/>
  <c r="Q192" i="27"/>
  <c r="S192" i="27"/>
  <c r="Q182" i="27"/>
  <c r="S182" i="27"/>
  <c r="Q181" i="27"/>
  <c r="S181" i="27"/>
  <c r="Q180" i="27"/>
  <c r="S180" i="27"/>
  <c r="Q179" i="27"/>
  <c r="S179" i="27"/>
  <c r="Q173" i="27"/>
  <c r="S173" i="27"/>
  <c r="Q172" i="27"/>
  <c r="S172" i="27"/>
  <c r="Q171" i="27"/>
  <c r="S171" i="27"/>
  <c r="Q170" i="27"/>
  <c r="S170" i="27"/>
  <c r="Q169" i="27"/>
  <c r="S169" i="27"/>
  <c r="Q168" i="27"/>
  <c r="S168" i="27"/>
  <c r="Q167" i="27"/>
  <c r="S167" i="27"/>
  <c r="Q166" i="27"/>
  <c r="S166" i="27"/>
  <c r="Q165" i="27"/>
  <c r="S165" i="27"/>
  <c r="Q164" i="27"/>
  <c r="S164" i="27"/>
  <c r="Q163" i="27"/>
  <c r="S163" i="27"/>
  <c r="Q162" i="27"/>
  <c r="S162" i="27"/>
  <c r="Q161" i="27"/>
  <c r="S161" i="27"/>
  <c r="Q159" i="27"/>
  <c r="S159" i="27"/>
  <c r="Q158" i="27"/>
  <c r="S158" i="27"/>
  <c r="Q157" i="27"/>
  <c r="S157" i="27"/>
  <c r="Q156" i="27"/>
  <c r="S156" i="27"/>
  <c r="Q155" i="27"/>
  <c r="S155" i="27"/>
  <c r="O199" i="27"/>
  <c r="O198" i="27"/>
  <c r="O197" i="27"/>
  <c r="O196" i="27"/>
  <c r="O195" i="27"/>
  <c r="O194" i="27"/>
  <c r="O193" i="27"/>
  <c r="O192" i="27"/>
  <c r="O182" i="27"/>
  <c r="O181" i="27"/>
  <c r="O180" i="27"/>
  <c r="O179" i="27"/>
  <c r="O173" i="27"/>
  <c r="O172" i="27"/>
  <c r="O171" i="27"/>
  <c r="O170" i="27"/>
  <c r="O169" i="27"/>
  <c r="O168" i="27"/>
  <c r="O167" i="27"/>
  <c r="O166" i="27"/>
  <c r="O165" i="27"/>
  <c r="O164" i="27"/>
  <c r="O163" i="27"/>
  <c r="O162" i="27"/>
  <c r="O161" i="27"/>
  <c r="O159" i="27"/>
  <c r="O158" i="27"/>
  <c r="O157" i="27"/>
  <c r="O156" i="27"/>
  <c r="O155" i="27"/>
  <c r="O200" i="27"/>
  <c r="O191" i="27"/>
  <c r="O190" i="27"/>
  <c r="O189" i="27"/>
  <c r="O188" i="27"/>
  <c r="O187" i="27"/>
  <c r="O186" i="27"/>
  <c r="O185" i="27"/>
  <c r="O184" i="27"/>
  <c r="O183" i="27"/>
  <c r="O178" i="27"/>
  <c r="O177" i="27"/>
  <c r="O176" i="27"/>
  <c r="O175" i="27"/>
  <c r="O174" i="27"/>
  <c r="O160" i="27"/>
  <c r="O154" i="27"/>
  <c r="I200" i="27"/>
  <c r="J200" i="27" s="1"/>
  <c r="I193" i="27"/>
  <c r="J193" i="27" s="1"/>
  <c r="I194" i="28" s="1"/>
  <c r="H194" i="28" s="1"/>
  <c r="I192" i="27"/>
  <c r="J192" i="27" s="1"/>
  <c r="I193" i="28" s="1"/>
  <c r="H193" i="28" s="1"/>
  <c r="I188" i="27"/>
  <c r="J188" i="27" s="1"/>
  <c r="I189" i="28" s="1"/>
  <c r="H189" i="28" s="1"/>
  <c r="I187" i="27"/>
  <c r="J187" i="27" s="1"/>
  <c r="I188" i="28" s="1"/>
  <c r="H188" i="28" s="1"/>
  <c r="I186" i="27"/>
  <c r="J186" i="27" s="1"/>
  <c r="I187" i="28" s="1"/>
  <c r="H187" i="28" s="1"/>
  <c r="I185" i="27"/>
  <c r="J185" i="27" s="1"/>
  <c r="I186" i="28" s="1"/>
  <c r="H186" i="28" s="1"/>
  <c r="I184" i="27"/>
  <c r="J184" i="27" s="1"/>
  <c r="I185" i="28" s="1"/>
  <c r="H185" i="28" s="1"/>
  <c r="I183" i="27"/>
  <c r="J183" i="27" s="1"/>
  <c r="I184" i="28" s="1"/>
  <c r="H184" i="28" s="1"/>
  <c r="I178" i="27"/>
  <c r="J178" i="27" s="1"/>
  <c r="I179" i="28" s="1"/>
  <c r="H179" i="28" s="1"/>
  <c r="I173" i="27"/>
  <c r="J173" i="27" s="1"/>
  <c r="I174" i="28" s="1"/>
  <c r="H174" i="28" s="1"/>
  <c r="I172" i="27"/>
  <c r="J172" i="27" s="1"/>
  <c r="I173" i="28" s="1"/>
  <c r="H173" i="28" s="1"/>
  <c r="I171" i="27"/>
  <c r="J171" i="27" s="1"/>
  <c r="I172" i="28" s="1"/>
  <c r="H172" i="28" s="1"/>
  <c r="I170" i="27"/>
  <c r="J170" i="27" s="1"/>
  <c r="I171" i="28" s="1"/>
  <c r="H171" i="28" s="1"/>
  <c r="I169" i="27"/>
  <c r="J169" i="27" s="1"/>
  <c r="I170" i="28" s="1"/>
  <c r="H170" i="28" s="1"/>
  <c r="I168" i="27"/>
  <c r="J168" i="27" s="1"/>
  <c r="I169" i="28" s="1"/>
  <c r="H169" i="28" s="1"/>
  <c r="I167" i="27"/>
  <c r="J167" i="27" s="1"/>
  <c r="I168" i="28" s="1"/>
  <c r="H168" i="28" s="1"/>
  <c r="I166" i="27"/>
  <c r="J166" i="27" s="1"/>
  <c r="I167" i="28" s="1"/>
  <c r="H167" i="28" s="1"/>
  <c r="I165" i="27"/>
  <c r="J165" i="27" s="1"/>
  <c r="I166" i="28" s="1"/>
  <c r="H166" i="28" s="1"/>
  <c r="I164" i="27"/>
  <c r="J164" i="27" s="1"/>
  <c r="I165" i="28" s="1"/>
  <c r="H165" i="28" s="1"/>
  <c r="I163" i="27"/>
  <c r="J163" i="27" s="1"/>
  <c r="I164" i="28" s="1"/>
  <c r="H164" i="28" s="1"/>
  <c r="I162" i="27"/>
  <c r="J162" i="27" s="1"/>
  <c r="I163" i="28" s="1"/>
  <c r="H163" i="28" s="1"/>
  <c r="I161" i="27"/>
  <c r="J161" i="27" s="1"/>
  <c r="I162" i="28" s="1"/>
  <c r="H162" i="28" s="1"/>
  <c r="I159" i="27"/>
  <c r="J159" i="27" s="1"/>
  <c r="I160" i="28" s="1"/>
  <c r="H160" i="28" s="1"/>
  <c r="I158" i="27"/>
  <c r="J158" i="27" s="1"/>
  <c r="I159" i="28" s="1"/>
  <c r="H159" i="28" s="1"/>
  <c r="I157" i="27"/>
  <c r="J157" i="27" s="1"/>
  <c r="I158" i="28" s="1"/>
  <c r="H158" i="28" s="1"/>
  <c r="I156" i="27"/>
  <c r="J156" i="27" s="1"/>
  <c r="I157" i="28" s="1"/>
  <c r="H157" i="28" s="1"/>
  <c r="I155" i="27"/>
  <c r="J155" i="27" s="1"/>
  <c r="I156" i="28" s="1"/>
  <c r="H156" i="28" s="1"/>
  <c r="I199" i="27"/>
  <c r="J199" i="27" s="1"/>
  <c r="I198" i="27"/>
  <c r="J198" i="27" s="1"/>
  <c r="I197" i="27"/>
  <c r="J197" i="27" s="1"/>
  <c r="I198" i="28" s="1"/>
  <c r="H198" i="28" s="1"/>
  <c r="I196" i="27"/>
  <c r="J196" i="27" s="1"/>
  <c r="I197" i="28" s="1"/>
  <c r="H197" i="28" s="1"/>
  <c r="I195" i="27"/>
  <c r="J195" i="27" s="1"/>
  <c r="I196" i="28" s="1"/>
  <c r="H196" i="28" s="1"/>
  <c r="I194" i="27"/>
  <c r="J194" i="27" s="1"/>
  <c r="I195" i="28" s="1"/>
  <c r="H195" i="28" s="1"/>
  <c r="I191" i="27"/>
  <c r="J191" i="27" s="1"/>
  <c r="I192" i="28" s="1"/>
  <c r="H192" i="28" s="1"/>
  <c r="I190" i="27"/>
  <c r="J190" i="27" s="1"/>
  <c r="I191" i="28" s="1"/>
  <c r="H191" i="28" s="1"/>
  <c r="I189" i="27"/>
  <c r="J189" i="27" s="1"/>
  <c r="I190" i="28" s="1"/>
  <c r="H190" i="28" s="1"/>
  <c r="I182" i="27"/>
  <c r="J182" i="27" s="1"/>
  <c r="I183" i="28" s="1"/>
  <c r="H183" i="28" s="1"/>
  <c r="I181" i="27"/>
  <c r="J181" i="27" s="1"/>
  <c r="I182" i="28" s="1"/>
  <c r="H182" i="28" s="1"/>
  <c r="I180" i="27"/>
  <c r="J180" i="27" s="1"/>
  <c r="I181" i="28" s="1"/>
  <c r="H181" i="28" s="1"/>
  <c r="I179" i="27"/>
  <c r="J179" i="27" s="1"/>
  <c r="I180" i="28" s="1"/>
  <c r="H180" i="28" s="1"/>
  <c r="I177" i="27"/>
  <c r="J177" i="27" s="1"/>
  <c r="I178" i="28" s="1"/>
  <c r="H178" i="28" s="1"/>
  <c r="I176" i="27"/>
  <c r="J176" i="27" s="1"/>
  <c r="I177" i="28" s="1"/>
  <c r="H177" i="28" s="1"/>
  <c r="I175" i="27"/>
  <c r="J175" i="27" s="1"/>
  <c r="I176" i="28" s="1"/>
  <c r="H176" i="28" s="1"/>
  <c r="I174" i="27"/>
  <c r="J174" i="27" s="1"/>
  <c r="I175" i="28" s="1"/>
  <c r="H175" i="28" s="1"/>
  <c r="I160" i="27"/>
  <c r="J160" i="27" s="1"/>
  <c r="I161" i="28" s="1"/>
  <c r="H161" i="28" s="1"/>
  <c r="I154" i="27"/>
  <c r="J154" i="27" s="1"/>
  <c r="AD156" i="27"/>
  <c r="H196" i="27"/>
  <c r="AD180" i="27"/>
  <c r="T168" i="27"/>
  <c r="U197" i="27"/>
  <c r="AF181" i="27"/>
  <c r="AD162" i="27"/>
  <c r="AD190" i="27"/>
  <c r="W193" i="27"/>
  <c r="U184" i="27"/>
  <c r="Y200" i="27"/>
  <c r="AH200" i="27"/>
  <c r="Y197" i="27"/>
  <c r="AH197" i="27"/>
  <c r="Y195" i="27"/>
  <c r="AH195" i="27"/>
  <c r="Y191" i="27"/>
  <c r="AH191" i="27"/>
  <c r="Y188" i="27"/>
  <c r="AH188" i="27"/>
  <c r="Y187" i="27"/>
  <c r="AH187" i="27"/>
  <c r="Y186" i="27"/>
  <c r="AH186" i="27"/>
  <c r="Y184" i="27"/>
  <c r="AH184" i="27"/>
  <c r="Y182" i="27"/>
  <c r="AH182" i="27"/>
  <c r="Y180" i="27"/>
  <c r="AH180" i="27"/>
  <c r="Y179" i="27"/>
  <c r="AH179" i="27"/>
  <c r="Y177" i="27"/>
  <c r="AH177" i="27"/>
  <c r="Y176" i="27"/>
  <c r="AH176" i="27"/>
  <c r="Y175" i="27"/>
  <c r="AH175" i="27"/>
  <c r="Y173" i="27"/>
  <c r="AH173" i="27"/>
  <c r="Y172" i="27"/>
  <c r="AH172" i="27"/>
  <c r="Y168" i="27"/>
  <c r="AH168" i="27"/>
  <c r="Y165" i="27"/>
  <c r="AH165" i="27"/>
  <c r="Y164" i="27"/>
  <c r="AH164" i="27"/>
  <c r="Y163" i="27"/>
  <c r="AH163" i="27"/>
  <c r="Y160" i="27"/>
  <c r="AH160" i="27"/>
  <c r="Y156" i="27"/>
  <c r="AH156" i="27"/>
  <c r="Y155" i="27"/>
  <c r="AH155" i="27"/>
  <c r="Y199" i="27"/>
  <c r="AH199" i="27"/>
  <c r="Y198" i="27"/>
  <c r="AH198" i="27"/>
  <c r="Y196" i="27"/>
  <c r="AH196" i="27"/>
  <c r="Y194" i="27"/>
  <c r="AH194" i="27"/>
  <c r="Y193" i="27"/>
  <c r="AH193" i="27"/>
  <c r="Y192" i="27"/>
  <c r="AH192" i="27"/>
  <c r="Y190" i="27"/>
  <c r="AH190" i="27"/>
  <c r="Y189" i="27"/>
  <c r="AH189" i="27"/>
  <c r="Y185" i="27"/>
  <c r="AH185" i="27"/>
  <c r="Y183" i="27"/>
  <c r="AH183" i="27"/>
  <c r="Y181" i="27"/>
  <c r="AH181" i="27"/>
  <c r="Y178" i="27"/>
  <c r="AH178" i="27"/>
  <c r="Y174" i="27"/>
  <c r="AH174" i="27"/>
  <c r="Y171" i="27"/>
  <c r="AH171" i="27"/>
  <c r="Y170" i="27"/>
  <c r="AH170" i="27"/>
  <c r="Y169" i="27"/>
  <c r="AH169" i="27"/>
  <c r="Y167" i="27"/>
  <c r="AH167" i="27"/>
  <c r="Y166" i="27"/>
  <c r="AH166" i="27"/>
  <c r="Y162" i="27"/>
  <c r="AH162" i="27"/>
  <c r="Y161" i="27"/>
  <c r="AH161" i="27"/>
  <c r="Y159" i="27"/>
  <c r="AH159" i="27"/>
  <c r="Y158" i="27"/>
  <c r="AH158" i="27"/>
  <c r="Y157" i="27"/>
  <c r="AH157" i="27"/>
  <c r="Y154" i="27"/>
  <c r="AH154" i="27"/>
  <c r="AF197" i="27"/>
  <c r="AF184" i="27"/>
  <c r="AE173" i="27"/>
  <c r="AD165" i="27"/>
  <c r="AE196" i="27"/>
  <c r="F175" i="28"/>
  <c r="G175" i="28" s="1"/>
  <c r="F173" i="28"/>
  <c r="X199" i="27"/>
  <c r="N199" i="27"/>
  <c r="Z199" i="27"/>
  <c r="M199" i="27"/>
  <c r="X198" i="27"/>
  <c r="N198" i="27"/>
  <c r="M198" i="27"/>
  <c r="Z198" i="27"/>
  <c r="X197" i="27"/>
  <c r="N197" i="27"/>
  <c r="Z197" i="27"/>
  <c r="M197" i="27"/>
  <c r="X196" i="27"/>
  <c r="N196" i="27"/>
  <c r="M196" i="27"/>
  <c r="Z196" i="27"/>
  <c r="X195" i="27"/>
  <c r="N195" i="27"/>
  <c r="Z195" i="27"/>
  <c r="M195" i="27"/>
  <c r="X193" i="27"/>
  <c r="N193" i="27"/>
  <c r="Z193" i="27"/>
  <c r="M193" i="27"/>
  <c r="X192" i="27"/>
  <c r="N192" i="27"/>
  <c r="M192" i="27"/>
  <c r="Z192" i="27"/>
  <c r="X190" i="27"/>
  <c r="N190" i="27"/>
  <c r="M190" i="27"/>
  <c r="Z190" i="27"/>
  <c r="X189" i="27"/>
  <c r="N189" i="27"/>
  <c r="Z189" i="27"/>
  <c r="M189" i="27"/>
  <c r="X185" i="27"/>
  <c r="N185" i="27"/>
  <c r="Z185" i="27"/>
  <c r="M185" i="27"/>
  <c r="X184" i="27"/>
  <c r="N184" i="27"/>
  <c r="M184" i="27"/>
  <c r="Z184" i="27"/>
  <c r="W183" i="27"/>
  <c r="X183" i="27"/>
  <c r="N183" i="27"/>
  <c r="Z183" i="27"/>
  <c r="M183" i="27"/>
  <c r="X181" i="27"/>
  <c r="N181" i="27"/>
  <c r="Z181" i="27"/>
  <c r="M181" i="27"/>
  <c r="K181" i="27" s="1"/>
  <c r="X178" i="27"/>
  <c r="N178" i="27"/>
  <c r="M178" i="27"/>
  <c r="Z178" i="27"/>
  <c r="X168" i="27"/>
  <c r="M168" i="27"/>
  <c r="N168" i="27"/>
  <c r="Z168" i="27"/>
  <c r="N165" i="27"/>
  <c r="X165" i="27"/>
  <c r="M165" i="27"/>
  <c r="Z165" i="27"/>
  <c r="X164" i="27"/>
  <c r="N164" i="27"/>
  <c r="M164" i="27"/>
  <c r="Z164" i="27"/>
  <c r="N163" i="27"/>
  <c r="X163" i="27"/>
  <c r="M163" i="27"/>
  <c r="Z163" i="27"/>
  <c r="X160" i="27"/>
  <c r="N160" i="27"/>
  <c r="M160" i="27"/>
  <c r="K160" i="27" s="1"/>
  <c r="Z160" i="27"/>
  <c r="X156" i="27"/>
  <c r="N156" i="27"/>
  <c r="M156" i="27"/>
  <c r="Z156" i="27"/>
  <c r="N155" i="27"/>
  <c r="X155" i="27"/>
  <c r="M155" i="27"/>
  <c r="Z155" i="27"/>
  <c r="W200" i="27"/>
  <c r="X200" i="27"/>
  <c r="N200" i="27"/>
  <c r="M200" i="27"/>
  <c r="Z200" i="27"/>
  <c r="X194" i="27"/>
  <c r="N194" i="27"/>
  <c r="M194" i="27"/>
  <c r="Z194" i="27"/>
  <c r="X191" i="27"/>
  <c r="N191" i="27"/>
  <c r="Z191" i="27"/>
  <c r="M191" i="27"/>
  <c r="W188" i="27"/>
  <c r="X188" i="27"/>
  <c r="N188" i="27"/>
  <c r="M188" i="27"/>
  <c r="Z188" i="27"/>
  <c r="X187" i="27"/>
  <c r="N187" i="27"/>
  <c r="Z187" i="27"/>
  <c r="M187" i="27"/>
  <c r="X186" i="27"/>
  <c r="N186" i="27"/>
  <c r="M186" i="27"/>
  <c r="Z186" i="27"/>
  <c r="T182" i="27"/>
  <c r="X182" i="27"/>
  <c r="N182" i="27"/>
  <c r="M182" i="27"/>
  <c r="Z182" i="27"/>
  <c r="X180" i="27"/>
  <c r="N180" i="27"/>
  <c r="M180" i="27"/>
  <c r="K180" i="27" s="1"/>
  <c r="Z180" i="27"/>
  <c r="X179" i="27"/>
  <c r="N179" i="27"/>
  <c r="Z179" i="27"/>
  <c r="M179" i="27"/>
  <c r="K179" i="27" s="1"/>
  <c r="W177" i="27"/>
  <c r="X177" i="27"/>
  <c r="N177" i="27"/>
  <c r="Z177" i="27"/>
  <c r="M177" i="27"/>
  <c r="K177" i="27" s="1"/>
  <c r="X176" i="27"/>
  <c r="N176" i="27"/>
  <c r="M176" i="27"/>
  <c r="K176" i="27" s="1"/>
  <c r="Z176" i="27"/>
  <c r="X175" i="27"/>
  <c r="N175" i="27"/>
  <c r="Z175" i="27"/>
  <c r="M175" i="27"/>
  <c r="K175" i="27" s="1"/>
  <c r="X174" i="27"/>
  <c r="N174" i="27"/>
  <c r="M174" i="27"/>
  <c r="K174" i="27" s="1"/>
  <c r="Z174" i="27"/>
  <c r="X173" i="27"/>
  <c r="N173" i="27"/>
  <c r="Z173" i="27"/>
  <c r="M173" i="27"/>
  <c r="X172" i="27"/>
  <c r="N172" i="27"/>
  <c r="M172" i="27"/>
  <c r="Z172" i="27"/>
  <c r="X171" i="27"/>
  <c r="N171" i="27"/>
  <c r="Z171" i="27"/>
  <c r="M171" i="27"/>
  <c r="X170" i="27"/>
  <c r="N170" i="27"/>
  <c r="M170" i="27"/>
  <c r="Z170" i="27"/>
  <c r="AD169" i="27"/>
  <c r="X169" i="27"/>
  <c r="N169" i="27"/>
  <c r="Z169" i="27"/>
  <c r="M169" i="27"/>
  <c r="W167" i="27"/>
  <c r="N167" i="27"/>
  <c r="X167" i="27"/>
  <c r="M167" i="27"/>
  <c r="Z167" i="27"/>
  <c r="X166" i="27"/>
  <c r="N166" i="27"/>
  <c r="M166" i="27"/>
  <c r="Z166" i="27"/>
  <c r="W165" i="27"/>
  <c r="X162" i="27"/>
  <c r="N162" i="27"/>
  <c r="M162" i="27"/>
  <c r="Z162" i="27"/>
  <c r="N161" i="27"/>
  <c r="X161" i="27"/>
  <c r="M161" i="27"/>
  <c r="Z161" i="27"/>
  <c r="N159" i="27"/>
  <c r="X159" i="27"/>
  <c r="M159" i="27"/>
  <c r="Z159" i="27"/>
  <c r="X158" i="27"/>
  <c r="N158" i="27"/>
  <c r="M158" i="27"/>
  <c r="Z158" i="27"/>
  <c r="N157" i="27"/>
  <c r="X157" i="27"/>
  <c r="M157" i="27"/>
  <c r="Z157" i="27"/>
  <c r="X154" i="27"/>
  <c r="N154" i="27"/>
  <c r="M154" i="27"/>
  <c r="K154" i="27" s="1"/>
  <c r="Z154" i="27"/>
  <c r="W195" i="27"/>
  <c r="AD193" i="27"/>
  <c r="AF192" i="27"/>
  <c r="AB184" i="27"/>
  <c r="W171" i="27"/>
  <c r="W174" i="27"/>
  <c r="T196" i="27"/>
  <c r="U181" i="27"/>
  <c r="T173" i="27"/>
  <c r="P196" i="27"/>
  <c r="AB181" i="27"/>
  <c r="P173" i="27"/>
  <c r="AB197" i="27"/>
  <c r="AD195" i="27"/>
  <c r="U192" i="27"/>
  <c r="W185" i="27"/>
  <c r="AD174" i="27"/>
  <c r="V173" i="27"/>
  <c r="R173" i="27"/>
  <c r="L173" i="27"/>
  <c r="AD197" i="27"/>
  <c r="W197" i="27"/>
  <c r="V196" i="27"/>
  <c r="R196" i="27"/>
  <c r="L196" i="27"/>
  <c r="W194" i="27"/>
  <c r="AB192" i="27"/>
  <c r="AD185" i="27"/>
  <c r="AE182" i="27"/>
  <c r="AD172" i="27"/>
  <c r="H200" i="27"/>
  <c r="H192" i="27"/>
  <c r="H189" i="27"/>
  <c r="H188" i="27"/>
  <c r="AD186" i="27"/>
  <c r="H184" i="27"/>
  <c r="H183" i="27"/>
  <c r="H181" i="27"/>
  <c r="L168" i="27"/>
  <c r="AD163" i="27"/>
  <c r="AD158" i="27"/>
  <c r="AD155" i="27"/>
  <c r="W154" i="27"/>
  <c r="AD200" i="27"/>
  <c r="H197" i="27"/>
  <c r="AF196" i="27"/>
  <c r="AD196" i="27"/>
  <c r="AB196" i="27"/>
  <c r="W196" i="27"/>
  <c r="U196" i="27"/>
  <c r="AD194" i="27"/>
  <c r="H193" i="27"/>
  <c r="AD192" i="27"/>
  <c r="W192" i="27"/>
  <c r="AD189" i="27"/>
  <c r="AD188" i="27"/>
  <c r="H185" i="27"/>
  <c r="AD184" i="27"/>
  <c r="W184" i="27"/>
  <c r="AD183" i="27"/>
  <c r="H182" i="27"/>
  <c r="AD181" i="27"/>
  <c r="W181" i="27"/>
  <c r="AD179" i="27"/>
  <c r="AD177" i="27"/>
  <c r="AF173" i="27"/>
  <c r="AD173" i="27"/>
  <c r="AB173" i="27"/>
  <c r="W173" i="27"/>
  <c r="U173" i="27"/>
  <c r="AD171" i="27"/>
  <c r="AD170" i="27"/>
  <c r="AE168" i="27"/>
  <c r="AD167" i="27"/>
  <c r="AD198" i="27"/>
  <c r="W189" i="27"/>
  <c r="AF188" i="27"/>
  <c r="AB188" i="27"/>
  <c r="U188" i="27"/>
  <c r="AD187" i="27"/>
  <c r="AF185" i="27"/>
  <c r="AB185" i="27"/>
  <c r="U185" i="27"/>
  <c r="AE184" i="27"/>
  <c r="V184" i="27"/>
  <c r="T184" i="27"/>
  <c r="R184" i="27"/>
  <c r="P184" i="27"/>
  <c r="L184" i="27"/>
  <c r="AF183" i="27"/>
  <c r="AB183" i="27"/>
  <c r="U183" i="27"/>
  <c r="V182" i="27"/>
  <c r="R182" i="27"/>
  <c r="L182" i="27"/>
  <c r="AE181" i="27"/>
  <c r="V181" i="27"/>
  <c r="T181" i="27"/>
  <c r="R181" i="27"/>
  <c r="P181" i="27"/>
  <c r="L181" i="27"/>
  <c r="W179" i="27"/>
  <c r="AF177" i="27"/>
  <c r="AB177" i="27"/>
  <c r="U177" i="27"/>
  <c r="AD175" i="27"/>
  <c r="W169" i="27"/>
  <c r="P168" i="27"/>
  <c r="AD166" i="27"/>
  <c r="AD164" i="27"/>
  <c r="W162" i="27"/>
  <c r="AD161" i="27"/>
  <c r="AD157" i="27"/>
  <c r="F198" i="28"/>
  <c r="T198" i="28" s="1"/>
  <c r="F189" i="28"/>
  <c r="F179" i="28"/>
  <c r="Q179" i="28" s="1"/>
  <c r="AF200" i="27"/>
  <c r="AB200" i="27"/>
  <c r="U200" i="27"/>
  <c r="AF189" i="27"/>
  <c r="AB189" i="27"/>
  <c r="U189" i="27"/>
  <c r="AE188" i="27"/>
  <c r="V188" i="27"/>
  <c r="T188" i="27"/>
  <c r="R188" i="27"/>
  <c r="P188" i="27"/>
  <c r="L188" i="27"/>
  <c r="V168" i="27"/>
  <c r="R168" i="27"/>
  <c r="AF167" i="27"/>
  <c r="AB167" i="27"/>
  <c r="U167" i="27"/>
  <c r="W160" i="27"/>
  <c r="W159" i="27"/>
  <c r="W186" i="27"/>
  <c r="W170" i="27"/>
  <c r="H169" i="27"/>
  <c r="L169" i="27"/>
  <c r="P169" i="27"/>
  <c r="R169" i="27"/>
  <c r="T169" i="27"/>
  <c r="V169" i="27"/>
  <c r="AE169" i="27"/>
  <c r="U166" i="27"/>
  <c r="AB166" i="27"/>
  <c r="AF166" i="27"/>
  <c r="H165" i="27"/>
  <c r="L165" i="27"/>
  <c r="P165" i="27"/>
  <c r="R165" i="27"/>
  <c r="T165" i="27"/>
  <c r="V165" i="27"/>
  <c r="AE165" i="27"/>
  <c r="W163" i="27"/>
  <c r="W158" i="27"/>
  <c r="W155" i="27"/>
  <c r="F197" i="28"/>
  <c r="F185" i="28"/>
  <c r="Y185" i="28" s="1"/>
  <c r="AE200" i="27"/>
  <c r="V200" i="27"/>
  <c r="T200" i="27"/>
  <c r="R200" i="27"/>
  <c r="P200" i="27"/>
  <c r="L200" i="27"/>
  <c r="W199" i="27"/>
  <c r="W198" i="27"/>
  <c r="AF193" i="27"/>
  <c r="AB193" i="27"/>
  <c r="U193" i="27"/>
  <c r="AE192" i="27"/>
  <c r="V192" i="27"/>
  <c r="T192" i="27"/>
  <c r="R192" i="27"/>
  <c r="P192" i="27"/>
  <c r="L192" i="27"/>
  <c r="W191" i="27"/>
  <c r="W190" i="27"/>
  <c r="W187" i="27"/>
  <c r="W178" i="27"/>
  <c r="H177" i="27"/>
  <c r="L177" i="27"/>
  <c r="P177" i="27"/>
  <c r="R177" i="27"/>
  <c r="T177" i="27"/>
  <c r="V177" i="27"/>
  <c r="AE177" i="27"/>
  <c r="AD176" i="27"/>
  <c r="W175" i="27"/>
  <c r="AF169" i="27"/>
  <c r="AB169" i="27"/>
  <c r="U169" i="27"/>
  <c r="H168" i="27"/>
  <c r="U168" i="27"/>
  <c r="W168" i="27"/>
  <c r="AB168" i="27"/>
  <c r="AD168" i="27"/>
  <c r="AF168" i="27"/>
  <c r="H167" i="27"/>
  <c r="L167" i="27"/>
  <c r="P167" i="27"/>
  <c r="R167" i="27"/>
  <c r="T167" i="27"/>
  <c r="V167" i="27"/>
  <c r="AE167" i="27"/>
  <c r="W166" i="27"/>
  <c r="AF165" i="27"/>
  <c r="AB165" i="27"/>
  <c r="U165" i="27"/>
  <c r="W164" i="27"/>
  <c r="AF164" i="27"/>
  <c r="W156" i="27"/>
  <c r="F196" i="28"/>
  <c r="W196" i="28" s="1"/>
  <c r="F193" i="28"/>
  <c r="Y193" i="28" s="1"/>
  <c r="F183" i="28"/>
  <c r="F181" i="28"/>
  <c r="F177" i="28"/>
  <c r="F171" i="28"/>
  <c r="X171" i="28" s="1"/>
  <c r="E169" i="28"/>
  <c r="F169" i="28"/>
  <c r="E167" i="28"/>
  <c r="F167" i="28"/>
  <c r="E165" i="28"/>
  <c r="F165" i="28"/>
  <c r="E163" i="28"/>
  <c r="F163" i="28"/>
  <c r="G163" i="28" s="1"/>
  <c r="E161" i="28"/>
  <c r="F161" i="28"/>
  <c r="E159" i="28"/>
  <c r="F159" i="28"/>
  <c r="E157" i="28"/>
  <c r="F157" i="28"/>
  <c r="E155" i="28"/>
  <c r="F155" i="28"/>
  <c r="H198" i="27"/>
  <c r="L198" i="27"/>
  <c r="P198" i="27"/>
  <c r="R198" i="27"/>
  <c r="T198" i="27"/>
  <c r="V198" i="27"/>
  <c r="AE198" i="27"/>
  <c r="H194" i="27"/>
  <c r="L194" i="27"/>
  <c r="P194" i="27"/>
  <c r="R194" i="27"/>
  <c r="T194" i="27"/>
  <c r="V194" i="27"/>
  <c r="AE194" i="27"/>
  <c r="H190" i="27"/>
  <c r="L190" i="27"/>
  <c r="P190" i="27"/>
  <c r="R190" i="27"/>
  <c r="T190" i="27"/>
  <c r="V190" i="27"/>
  <c r="AE190" i="27"/>
  <c r="H186" i="27"/>
  <c r="L186" i="27"/>
  <c r="P186" i="27"/>
  <c r="R186" i="27"/>
  <c r="T186" i="27"/>
  <c r="V186" i="27"/>
  <c r="AE186" i="27"/>
  <c r="H179" i="27"/>
  <c r="L179" i="27"/>
  <c r="P179" i="27"/>
  <c r="R179" i="27"/>
  <c r="T179" i="27"/>
  <c r="V179" i="27"/>
  <c r="AE179" i="27"/>
  <c r="H175" i="27"/>
  <c r="L175" i="27"/>
  <c r="P175" i="27"/>
  <c r="R175" i="27"/>
  <c r="T175" i="27"/>
  <c r="V175" i="27"/>
  <c r="AE175" i="27"/>
  <c r="H171" i="27"/>
  <c r="L171" i="27"/>
  <c r="P171" i="27"/>
  <c r="R171" i="27"/>
  <c r="T171" i="27"/>
  <c r="V171" i="27"/>
  <c r="AE171" i="27"/>
  <c r="H161" i="27"/>
  <c r="L161" i="27"/>
  <c r="P161" i="27"/>
  <c r="R161" i="27"/>
  <c r="T161" i="27"/>
  <c r="V161" i="27"/>
  <c r="AE161" i="27"/>
  <c r="U161" i="27"/>
  <c r="AB161" i="27"/>
  <c r="AF161" i="27"/>
  <c r="H157" i="27"/>
  <c r="L157" i="27"/>
  <c r="P157" i="27"/>
  <c r="R157" i="27"/>
  <c r="T157" i="27"/>
  <c r="V157" i="27"/>
  <c r="AE157" i="27"/>
  <c r="U157" i="27"/>
  <c r="AB157" i="27"/>
  <c r="AF157" i="27"/>
  <c r="U154" i="27"/>
  <c r="AB154" i="27"/>
  <c r="AF154" i="27"/>
  <c r="AD154" i="27"/>
  <c r="E195" i="28"/>
  <c r="F195" i="28"/>
  <c r="E191" i="28"/>
  <c r="F191" i="28"/>
  <c r="E187" i="28"/>
  <c r="F187" i="28"/>
  <c r="H199" i="27"/>
  <c r="U199" i="27"/>
  <c r="AB199" i="27"/>
  <c r="AF199" i="27"/>
  <c r="AF198" i="27"/>
  <c r="AB198" i="27"/>
  <c r="U198" i="27"/>
  <c r="H195" i="27"/>
  <c r="U195" i="27"/>
  <c r="AB195" i="27"/>
  <c r="AF195" i="27"/>
  <c r="AF194" i="27"/>
  <c r="AB194" i="27"/>
  <c r="U194" i="27"/>
  <c r="H191" i="27"/>
  <c r="U191" i="27"/>
  <c r="AB191" i="27"/>
  <c r="AF191" i="27"/>
  <c r="AF190" i="27"/>
  <c r="AB190" i="27"/>
  <c r="U190" i="27"/>
  <c r="H187" i="27"/>
  <c r="U187" i="27"/>
  <c r="AB187" i="27"/>
  <c r="AF187" i="27"/>
  <c r="AF186" i="27"/>
  <c r="AB186" i="27"/>
  <c r="U186" i="27"/>
  <c r="W180" i="27"/>
  <c r="AF179" i="27"/>
  <c r="AB179" i="27"/>
  <c r="U179" i="27"/>
  <c r="W176" i="27"/>
  <c r="AF175" i="27"/>
  <c r="AB175" i="27"/>
  <c r="U175" i="27"/>
  <c r="W172" i="27"/>
  <c r="AF171" i="27"/>
  <c r="AB171" i="27"/>
  <c r="U171" i="27"/>
  <c r="H163" i="27"/>
  <c r="L163" i="27"/>
  <c r="P163" i="27"/>
  <c r="R163" i="27"/>
  <c r="T163" i="27"/>
  <c r="V163" i="27"/>
  <c r="AE163" i="27"/>
  <c r="U163" i="27"/>
  <c r="AB163" i="27"/>
  <c r="AF163" i="27"/>
  <c r="W161" i="27"/>
  <c r="H159" i="27"/>
  <c r="L159" i="27"/>
  <c r="P159" i="27"/>
  <c r="R159" i="27"/>
  <c r="T159" i="27"/>
  <c r="V159" i="27"/>
  <c r="AE159" i="27"/>
  <c r="U159" i="27"/>
  <c r="AB159" i="27"/>
  <c r="AF159" i="27"/>
  <c r="W157" i="27"/>
  <c r="H155" i="27"/>
  <c r="L155" i="27"/>
  <c r="P155" i="27"/>
  <c r="R155" i="27"/>
  <c r="T155" i="27"/>
  <c r="V155" i="27"/>
  <c r="AE155" i="27"/>
  <c r="U155" i="27"/>
  <c r="AB155" i="27"/>
  <c r="AF155" i="27"/>
  <c r="U164" i="27"/>
  <c r="AB164" i="27"/>
  <c r="U162" i="27"/>
  <c r="AB162" i="27"/>
  <c r="AF162" i="27"/>
  <c r="U160" i="27"/>
  <c r="AB160" i="27"/>
  <c r="AF160" i="27"/>
  <c r="U158" i="27"/>
  <c r="AB158" i="27"/>
  <c r="AF158" i="27"/>
  <c r="U156" i="27"/>
  <c r="AB156" i="27"/>
  <c r="AF156" i="27"/>
  <c r="H180" i="27"/>
  <c r="L180" i="27"/>
  <c r="P180" i="27"/>
  <c r="R180" i="27"/>
  <c r="T180" i="27"/>
  <c r="V180" i="27"/>
  <c r="AE180" i="27"/>
  <c r="H178" i="27"/>
  <c r="L178" i="27"/>
  <c r="P178" i="27"/>
  <c r="R178" i="27"/>
  <c r="T178" i="27"/>
  <c r="V178" i="27"/>
  <c r="AE178" i="27"/>
  <c r="H176" i="27"/>
  <c r="L176" i="27"/>
  <c r="P176" i="27"/>
  <c r="R176" i="27"/>
  <c r="T176" i="27"/>
  <c r="V176" i="27"/>
  <c r="AE176" i="27"/>
  <c r="H174" i="27"/>
  <c r="L174" i="27"/>
  <c r="P174" i="27"/>
  <c r="R174" i="27"/>
  <c r="T174" i="27"/>
  <c r="V174" i="27"/>
  <c r="AE174" i="27"/>
  <c r="H172" i="27"/>
  <c r="L172" i="27"/>
  <c r="P172" i="27"/>
  <c r="R172" i="27"/>
  <c r="T172" i="27"/>
  <c r="V172" i="27"/>
  <c r="AE172" i="27"/>
  <c r="H170" i="27"/>
  <c r="L170" i="27"/>
  <c r="P170" i="27"/>
  <c r="R170" i="27"/>
  <c r="T170" i="27"/>
  <c r="V170" i="27"/>
  <c r="AE170" i="27"/>
  <c r="AE199" i="27"/>
  <c r="V199" i="27"/>
  <c r="T199" i="27"/>
  <c r="R199" i="27"/>
  <c r="P199" i="27"/>
  <c r="L199" i="27"/>
  <c r="AE197" i="27"/>
  <c r="V197" i="27"/>
  <c r="T197" i="27"/>
  <c r="R197" i="27"/>
  <c r="P197" i="27"/>
  <c r="L197" i="27"/>
  <c r="AE195" i="27"/>
  <c r="V195" i="27"/>
  <c r="T195" i="27"/>
  <c r="R195" i="27"/>
  <c r="P195" i="27"/>
  <c r="L195" i="27"/>
  <c r="AE193" i="27"/>
  <c r="V193" i="27"/>
  <c r="T193" i="27"/>
  <c r="R193" i="27"/>
  <c r="P193" i="27"/>
  <c r="L193" i="27"/>
  <c r="AE191" i="27"/>
  <c r="V191" i="27"/>
  <c r="T191" i="27"/>
  <c r="R191" i="27"/>
  <c r="P191" i="27"/>
  <c r="L191" i="27"/>
  <c r="AE189" i="27"/>
  <c r="V189" i="27"/>
  <c r="T189" i="27"/>
  <c r="R189" i="27"/>
  <c r="P189" i="27"/>
  <c r="L189" i="27"/>
  <c r="AE187" i="27"/>
  <c r="V187" i="27"/>
  <c r="T187" i="27"/>
  <c r="R187" i="27"/>
  <c r="P187" i="27"/>
  <c r="L187" i="27"/>
  <c r="AE185" i="27"/>
  <c r="V185" i="27"/>
  <c r="T185" i="27"/>
  <c r="R185" i="27"/>
  <c r="P185" i="27"/>
  <c r="L185" i="27"/>
  <c r="AE183" i="27"/>
  <c r="V183" i="27"/>
  <c r="T183" i="27"/>
  <c r="R183" i="27"/>
  <c r="P183" i="27"/>
  <c r="L183" i="27"/>
  <c r="AF182" i="27"/>
  <c r="AD182" i="27"/>
  <c r="AB182" i="27"/>
  <c r="W182" i="27"/>
  <c r="U182" i="27"/>
  <c r="AF180" i="27"/>
  <c r="AB180" i="27"/>
  <c r="U180" i="27"/>
  <c r="AF178" i="27"/>
  <c r="AB178" i="27"/>
  <c r="U178" i="27"/>
  <c r="AF176" i="27"/>
  <c r="AB176" i="27"/>
  <c r="U176" i="27"/>
  <c r="AF174" i="27"/>
  <c r="AB174" i="27"/>
  <c r="U174" i="27"/>
  <c r="AF172" i="27"/>
  <c r="AB172" i="27"/>
  <c r="U172" i="27"/>
  <c r="AF170" i="27"/>
  <c r="AB170" i="27"/>
  <c r="U170" i="27"/>
  <c r="H166" i="27"/>
  <c r="L166" i="27"/>
  <c r="P166" i="27"/>
  <c r="R166" i="27"/>
  <c r="T166" i="27"/>
  <c r="V166" i="27"/>
  <c r="AE166" i="27"/>
  <c r="H164" i="27"/>
  <c r="L164" i="27"/>
  <c r="P164" i="27"/>
  <c r="R164" i="27"/>
  <c r="T164" i="27"/>
  <c r="V164" i="27"/>
  <c r="AE164" i="27"/>
  <c r="H162" i="27"/>
  <c r="L162" i="27"/>
  <c r="P162" i="27"/>
  <c r="R162" i="27"/>
  <c r="T162" i="27"/>
  <c r="V162" i="27"/>
  <c r="AE162" i="27"/>
  <c r="H160" i="27"/>
  <c r="L160" i="27"/>
  <c r="P160" i="27"/>
  <c r="R160" i="27"/>
  <c r="T160" i="27"/>
  <c r="V160" i="27"/>
  <c r="AE160" i="27"/>
  <c r="H158" i="27"/>
  <c r="L158" i="27"/>
  <c r="P158" i="27"/>
  <c r="R158" i="27"/>
  <c r="T158" i="27"/>
  <c r="V158" i="27"/>
  <c r="AE158" i="27"/>
  <c r="H156" i="27"/>
  <c r="L156" i="27"/>
  <c r="P156" i="27"/>
  <c r="R156" i="27"/>
  <c r="T156" i="27"/>
  <c r="V156" i="27"/>
  <c r="AE156" i="27"/>
  <c r="H154" i="27"/>
  <c r="L154" i="27"/>
  <c r="P154" i="27"/>
  <c r="R154" i="27"/>
  <c r="T154" i="27"/>
  <c r="V154" i="27"/>
  <c r="AE154" i="27"/>
  <c r="Q181" i="28"/>
  <c r="E160" i="28"/>
  <c r="F160" i="28"/>
  <c r="Y160" i="28" s="1"/>
  <c r="F194" i="28"/>
  <c r="Y194" i="28" s="1"/>
  <c r="F192" i="28"/>
  <c r="Y192" i="28" s="1"/>
  <c r="F190" i="28"/>
  <c r="Y190" i="28" s="1"/>
  <c r="F188" i="28"/>
  <c r="Y188" i="28" s="1"/>
  <c r="F186" i="28"/>
  <c r="Y186" i="28" s="1"/>
  <c r="E184" i="28"/>
  <c r="F184" i="28"/>
  <c r="Y184" i="28" s="1"/>
  <c r="E182" i="28"/>
  <c r="F182" i="28"/>
  <c r="Y182" i="28" s="1"/>
  <c r="E180" i="28"/>
  <c r="F180" i="28"/>
  <c r="Y180" i="28" s="1"/>
  <c r="E178" i="28"/>
  <c r="F178" i="28"/>
  <c r="Y178" i="28" s="1"/>
  <c r="E176" i="28"/>
  <c r="F176" i="28"/>
  <c r="Y176" i="28" s="1"/>
  <c r="E174" i="28"/>
  <c r="F174" i="28"/>
  <c r="Y174" i="28" s="1"/>
  <c r="E172" i="28"/>
  <c r="F172" i="28"/>
  <c r="Y172" i="28" s="1"/>
  <c r="E170" i="28"/>
  <c r="F170" i="28"/>
  <c r="Y170" i="28" s="1"/>
  <c r="E164" i="28"/>
  <c r="F164" i="28"/>
  <c r="Y164" i="28" s="1"/>
  <c r="E156" i="28"/>
  <c r="F156" i="28"/>
  <c r="Y156" i="28" s="1"/>
  <c r="E168" i="28"/>
  <c r="F168" i="28"/>
  <c r="Y168" i="28" s="1"/>
  <c r="E166" i="28"/>
  <c r="F166" i="28"/>
  <c r="Y166" i="28" s="1"/>
  <c r="E162" i="28"/>
  <c r="F162" i="28"/>
  <c r="Y162" i="28" s="1"/>
  <c r="E158" i="28"/>
  <c r="F158" i="28"/>
  <c r="Y158" i="28" s="1"/>
  <c r="E9" i="25"/>
  <c r="F9" i="25" s="1"/>
  <c r="G9" i="25" s="1"/>
  <c r="H9" i="25" s="1"/>
  <c r="I9" i="25" s="1"/>
  <c r="J9" i="25" s="1"/>
  <c r="K9" i="25" s="1"/>
  <c r="L9" i="25" s="1"/>
  <c r="M9" i="25" s="1"/>
  <c r="N9" i="25" s="1"/>
  <c r="O9" i="25" s="1"/>
  <c r="P9" i="25" s="1"/>
  <c r="Q9" i="25" s="1"/>
  <c r="R9" i="25" s="1"/>
  <c r="S9" i="25" s="1"/>
  <c r="T9" i="25" s="1"/>
  <c r="U9" i="25" s="1"/>
  <c r="V9" i="25" s="1"/>
  <c r="W9" i="25" s="1"/>
  <c r="X9" i="25" s="1"/>
  <c r="Y9" i="25" s="1"/>
  <c r="Z9" i="25" s="1"/>
  <c r="AA9" i="25" s="1"/>
  <c r="AB9" i="25" s="1"/>
  <c r="AC9" i="25" s="1"/>
  <c r="AD9" i="25" s="1"/>
  <c r="AE9" i="25" s="1"/>
  <c r="AF9" i="25" s="1"/>
  <c r="AG9" i="25" s="1"/>
  <c r="AH9" i="25" s="1"/>
  <c r="AI9" i="25" s="1"/>
  <c r="AJ9" i="25" s="1"/>
  <c r="AK9" i="25" s="1"/>
  <c r="AL9" i="25" s="1"/>
  <c r="AM9" i="25" s="1"/>
  <c r="AN9" i="25" s="1"/>
  <c r="AO9" i="25" s="1"/>
  <c r="AP9" i="25" s="1"/>
  <c r="AQ9" i="25" s="1"/>
  <c r="AR9" i="25" s="1"/>
  <c r="AS9" i="25" s="1"/>
  <c r="AT9" i="25" s="1"/>
  <c r="AU9" i="25" s="1"/>
  <c r="AV9" i="25" s="1"/>
  <c r="AB6" i="25"/>
  <c r="AB5" i="25"/>
  <c r="AB4" i="25"/>
  <c r="AB3" i="25"/>
  <c r="AB2" i="25"/>
  <c r="AB1" i="25"/>
  <c r="B116" i="28"/>
  <c r="J116" i="28" s="1"/>
  <c r="C116" i="28"/>
  <c r="B117" i="28"/>
  <c r="J117" i="28" s="1"/>
  <c r="C117" i="28"/>
  <c r="B118" i="28"/>
  <c r="J118" i="28" s="1"/>
  <c r="C118" i="28"/>
  <c r="B119" i="28"/>
  <c r="J119" i="28" s="1"/>
  <c r="C119" i="28"/>
  <c r="B120" i="28"/>
  <c r="J120" i="28" s="1"/>
  <c r="C120" i="28"/>
  <c r="B121" i="28"/>
  <c r="J121" i="28" s="1"/>
  <c r="C121" i="28"/>
  <c r="B122" i="28"/>
  <c r="J122" i="28" s="1"/>
  <c r="C122" i="28"/>
  <c r="B123" i="28"/>
  <c r="J123" i="28" s="1"/>
  <c r="C123" i="28"/>
  <c r="B124" i="28"/>
  <c r="J124" i="28" s="1"/>
  <c r="C124" i="28"/>
  <c r="B125" i="28"/>
  <c r="J125" i="28" s="1"/>
  <c r="C125" i="28"/>
  <c r="B126" i="28"/>
  <c r="J126" i="28" s="1"/>
  <c r="C126" i="28"/>
  <c r="B127" i="28"/>
  <c r="J127" i="28" s="1"/>
  <c r="C127" i="28"/>
  <c r="B128" i="28"/>
  <c r="J128" i="28" s="1"/>
  <c r="C128" i="28"/>
  <c r="B129" i="28"/>
  <c r="J129" i="28" s="1"/>
  <c r="C129" i="28"/>
  <c r="B130" i="28"/>
  <c r="J130" i="28" s="1"/>
  <c r="C130" i="28"/>
  <c r="B131" i="28"/>
  <c r="J131" i="28" s="1"/>
  <c r="C131" i="28"/>
  <c r="B132" i="28"/>
  <c r="J132" i="28" s="1"/>
  <c r="C132" i="28"/>
  <c r="B133" i="28"/>
  <c r="J133" i="28" s="1"/>
  <c r="C133" i="28"/>
  <c r="B134" i="28"/>
  <c r="J134" i="28" s="1"/>
  <c r="C134" i="28"/>
  <c r="B135" i="28"/>
  <c r="J135" i="28" s="1"/>
  <c r="C135" i="28"/>
  <c r="B136" i="28"/>
  <c r="J136" i="28" s="1"/>
  <c r="C136" i="28"/>
  <c r="B137" i="28"/>
  <c r="J137" i="28" s="1"/>
  <c r="C137" i="28"/>
  <c r="B138" i="28"/>
  <c r="J138" i="28" s="1"/>
  <c r="C138" i="28"/>
  <c r="B139" i="28"/>
  <c r="J139" i="28" s="1"/>
  <c r="C139" i="28"/>
  <c r="B140" i="28"/>
  <c r="J140" i="28" s="1"/>
  <c r="C140" i="28"/>
  <c r="B141" i="28"/>
  <c r="J141" i="28" s="1"/>
  <c r="C141" i="28"/>
  <c r="B142" i="28"/>
  <c r="J142" i="28" s="1"/>
  <c r="C142" i="28"/>
  <c r="B143" i="28"/>
  <c r="J143" i="28" s="1"/>
  <c r="C143" i="28"/>
  <c r="B144" i="28"/>
  <c r="J144" i="28" s="1"/>
  <c r="C144" i="28"/>
  <c r="B145" i="28"/>
  <c r="J145" i="28" s="1"/>
  <c r="C145" i="28"/>
  <c r="B146" i="28"/>
  <c r="J146" i="28" s="1"/>
  <c r="C146" i="28"/>
  <c r="B147" i="28"/>
  <c r="J147" i="28" s="1"/>
  <c r="C147" i="28"/>
  <c r="B148" i="28"/>
  <c r="J148" i="28" s="1"/>
  <c r="C148" i="28"/>
  <c r="B149" i="28"/>
  <c r="J149" i="28" s="1"/>
  <c r="C149" i="28"/>
  <c r="B150" i="28"/>
  <c r="C150" i="28"/>
  <c r="B151" i="28"/>
  <c r="C151" i="28"/>
  <c r="B152" i="28"/>
  <c r="C152" i="28"/>
  <c r="B153" i="28"/>
  <c r="C153" i="28"/>
  <c r="B154" i="28"/>
  <c r="C154" i="28"/>
  <c r="B115" i="27"/>
  <c r="C115" i="27" s="1"/>
  <c r="D115" i="27"/>
  <c r="E115" i="27"/>
  <c r="B116" i="27"/>
  <c r="C116" i="27" s="1"/>
  <c r="D116" i="27"/>
  <c r="E116" i="27"/>
  <c r="B117" i="27"/>
  <c r="C117" i="27" s="1"/>
  <c r="D117" i="27"/>
  <c r="E117" i="27"/>
  <c r="B118" i="27"/>
  <c r="C118" i="27" s="1"/>
  <c r="D118" i="27"/>
  <c r="E118" i="27"/>
  <c r="B119" i="27"/>
  <c r="C119" i="27" s="1"/>
  <c r="D119" i="27"/>
  <c r="E119" i="27"/>
  <c r="B120" i="27"/>
  <c r="C120" i="27" s="1"/>
  <c r="D120" i="27"/>
  <c r="E120" i="27"/>
  <c r="B121" i="27"/>
  <c r="C121" i="27" s="1"/>
  <c r="D121" i="27"/>
  <c r="E121" i="27"/>
  <c r="B122" i="27"/>
  <c r="C122" i="27" s="1"/>
  <c r="D122" i="27"/>
  <c r="E122" i="27"/>
  <c r="B123" i="27"/>
  <c r="C123" i="27" s="1"/>
  <c r="D123" i="27"/>
  <c r="E123" i="27"/>
  <c r="B124" i="27"/>
  <c r="C124" i="27" s="1"/>
  <c r="D124" i="27"/>
  <c r="E124" i="27"/>
  <c r="B125" i="27"/>
  <c r="C125" i="27" s="1"/>
  <c r="D125" i="27"/>
  <c r="E125" i="27"/>
  <c r="B126" i="27"/>
  <c r="C126" i="27" s="1"/>
  <c r="D126" i="27"/>
  <c r="E126" i="27"/>
  <c r="B127" i="27"/>
  <c r="C127" i="27" s="1"/>
  <c r="D127" i="27"/>
  <c r="E127" i="27"/>
  <c r="B128" i="27"/>
  <c r="C128" i="27" s="1"/>
  <c r="D128" i="27"/>
  <c r="E128" i="27"/>
  <c r="B129" i="27"/>
  <c r="C129" i="27" s="1"/>
  <c r="D129" i="27"/>
  <c r="E129" i="27"/>
  <c r="B130" i="27"/>
  <c r="C130" i="27" s="1"/>
  <c r="D130" i="27"/>
  <c r="E130" i="27"/>
  <c r="B131" i="27"/>
  <c r="C131" i="27" s="1"/>
  <c r="D131" i="27"/>
  <c r="E131" i="27"/>
  <c r="B132" i="27"/>
  <c r="C132" i="27" s="1"/>
  <c r="D132" i="27"/>
  <c r="E132" i="27"/>
  <c r="B133" i="27"/>
  <c r="C133" i="27" s="1"/>
  <c r="D133" i="27"/>
  <c r="E133" i="27"/>
  <c r="B134" i="27"/>
  <c r="C134" i="27" s="1"/>
  <c r="D134" i="27"/>
  <c r="E134" i="27"/>
  <c r="B135" i="27"/>
  <c r="C135" i="27" s="1"/>
  <c r="D135" i="27"/>
  <c r="E135" i="27"/>
  <c r="B136" i="27"/>
  <c r="C136" i="27" s="1"/>
  <c r="D136" i="27"/>
  <c r="E136" i="27"/>
  <c r="B137" i="27"/>
  <c r="C137" i="27" s="1"/>
  <c r="D137" i="27"/>
  <c r="E137" i="27"/>
  <c r="B138" i="27"/>
  <c r="C138" i="27" s="1"/>
  <c r="D138" i="27"/>
  <c r="E138" i="27"/>
  <c r="B139" i="27"/>
  <c r="C139" i="27" s="1"/>
  <c r="D139" i="27"/>
  <c r="E139" i="27"/>
  <c r="B140" i="27"/>
  <c r="C140" i="27" s="1"/>
  <c r="D140" i="27"/>
  <c r="E140" i="27"/>
  <c r="B141" i="27"/>
  <c r="C141" i="27" s="1"/>
  <c r="D141" i="27"/>
  <c r="E141" i="27"/>
  <c r="B142" i="27"/>
  <c r="C142" i="27" s="1"/>
  <c r="D142" i="27"/>
  <c r="E142" i="27"/>
  <c r="B143" i="27"/>
  <c r="C143" i="27" s="1"/>
  <c r="D143" i="27"/>
  <c r="E143" i="27"/>
  <c r="B144" i="27"/>
  <c r="C144" i="27" s="1"/>
  <c r="D144" i="27"/>
  <c r="E144" i="27"/>
  <c r="B145" i="27"/>
  <c r="C145" i="27" s="1"/>
  <c r="D145" i="27"/>
  <c r="E145" i="27"/>
  <c r="B146" i="27"/>
  <c r="C146" i="27" s="1"/>
  <c r="D146" i="27"/>
  <c r="E146" i="27"/>
  <c r="B147" i="27"/>
  <c r="C147" i="27" s="1"/>
  <c r="D147" i="27"/>
  <c r="E147" i="27"/>
  <c r="B148" i="27"/>
  <c r="C148" i="27" s="1"/>
  <c r="D148" i="27"/>
  <c r="E148" i="27"/>
  <c r="B149" i="27"/>
  <c r="C149" i="27" s="1"/>
  <c r="D149" i="27"/>
  <c r="E149" i="27"/>
  <c r="B150" i="27"/>
  <c r="C150" i="27" s="1"/>
  <c r="D150" i="27"/>
  <c r="E150" i="27"/>
  <c r="B151" i="27"/>
  <c r="C151" i="27" s="1"/>
  <c r="D151" i="27"/>
  <c r="E151" i="27"/>
  <c r="B152" i="27"/>
  <c r="C152" i="27" s="1"/>
  <c r="D152" i="27"/>
  <c r="E152" i="27"/>
  <c r="B153" i="27"/>
  <c r="C153" i="27" s="1"/>
  <c r="D153" i="27"/>
  <c r="E153" i="27"/>
  <c r="AD175" i="26"/>
  <c r="D136" i="28" s="1"/>
  <c r="AD176" i="26"/>
  <c r="AD177" i="26"/>
  <c r="AD178" i="26"/>
  <c r="D139" i="28" s="1"/>
  <c r="AD179" i="26"/>
  <c r="D140" i="28" s="1"/>
  <c r="AD180" i="26"/>
  <c r="AD181" i="26"/>
  <c r="AD182" i="26"/>
  <c r="D143" i="28" s="1"/>
  <c r="AD183" i="26"/>
  <c r="D144" i="28" s="1"/>
  <c r="AD184" i="26"/>
  <c r="AD185" i="26"/>
  <c r="AD186" i="26"/>
  <c r="D147" i="28" s="1"/>
  <c r="AD187" i="26"/>
  <c r="D148" i="28" s="1"/>
  <c r="AD188" i="26"/>
  <c r="D149" i="28" s="1"/>
  <c r="AD189" i="26"/>
  <c r="D150" i="28" s="1"/>
  <c r="AD190" i="26"/>
  <c r="D151" i="28" s="1"/>
  <c r="AD191" i="26"/>
  <c r="D152" i="28" s="1"/>
  <c r="AD192" i="26"/>
  <c r="D153" i="28" s="1"/>
  <c r="AD193" i="26"/>
  <c r="D154" i="28" s="1"/>
  <c r="AD155" i="26"/>
  <c r="AD156" i="26"/>
  <c r="AD157" i="26"/>
  <c r="AD158" i="26"/>
  <c r="AD159" i="26"/>
  <c r="AD160" i="26"/>
  <c r="AD161" i="26"/>
  <c r="AD162" i="26"/>
  <c r="AD163" i="26"/>
  <c r="AD164" i="26"/>
  <c r="AD165" i="26"/>
  <c r="AD166" i="26"/>
  <c r="AD167" i="26"/>
  <c r="AD168" i="26"/>
  <c r="AD169" i="26"/>
  <c r="AD170" i="26"/>
  <c r="AD171" i="26"/>
  <c r="AD172" i="26"/>
  <c r="AD173" i="26"/>
  <c r="AD174" i="26"/>
  <c r="D135" i="28" s="1"/>
  <c r="I155" i="28" l="1"/>
  <c r="F154" i="28"/>
  <c r="Y154" i="28" s="1"/>
  <c r="J154" i="28"/>
  <c r="F153" i="28"/>
  <c r="G153" i="28" s="1"/>
  <c r="J153" i="28"/>
  <c r="F152" i="28"/>
  <c r="Y152" i="28" s="1"/>
  <c r="J152" i="28"/>
  <c r="F151" i="28"/>
  <c r="Y151" i="28" s="1"/>
  <c r="J151" i="28"/>
  <c r="F150" i="28"/>
  <c r="Y150" i="28" s="1"/>
  <c r="J150" i="28"/>
  <c r="G180" i="27"/>
  <c r="G181" i="27"/>
  <c r="G175" i="27"/>
  <c r="G154" i="27"/>
  <c r="G177" i="27"/>
  <c r="K166" i="27"/>
  <c r="G166" i="27"/>
  <c r="K167" i="27"/>
  <c r="G167" i="27"/>
  <c r="K169" i="27"/>
  <c r="G169" i="27"/>
  <c r="K170" i="27"/>
  <c r="G170" i="27"/>
  <c r="K172" i="27"/>
  <c r="G172" i="27"/>
  <c r="K186" i="27"/>
  <c r="G186" i="27"/>
  <c r="K188" i="27"/>
  <c r="G188" i="27"/>
  <c r="K191" i="27"/>
  <c r="G191" i="27"/>
  <c r="K155" i="27"/>
  <c r="G155" i="27"/>
  <c r="K156" i="27"/>
  <c r="G156" i="27"/>
  <c r="K163" i="27"/>
  <c r="G163" i="27"/>
  <c r="K164" i="27"/>
  <c r="G164" i="27"/>
  <c r="K165" i="27"/>
  <c r="G165" i="27"/>
  <c r="K178" i="27"/>
  <c r="G178" i="27"/>
  <c r="K185" i="27"/>
  <c r="G185" i="27"/>
  <c r="K189" i="27"/>
  <c r="G189" i="27"/>
  <c r="K193" i="27"/>
  <c r="G193" i="27"/>
  <c r="K195" i="27"/>
  <c r="G195" i="27"/>
  <c r="K197" i="27"/>
  <c r="G197" i="27"/>
  <c r="K199" i="27"/>
  <c r="G199" i="27"/>
  <c r="G160" i="27"/>
  <c r="G174" i="27"/>
  <c r="G176" i="27"/>
  <c r="G179" i="27"/>
  <c r="K157" i="27"/>
  <c r="G157" i="27"/>
  <c r="K158" i="27"/>
  <c r="G158" i="27"/>
  <c r="K159" i="27"/>
  <c r="G159" i="27"/>
  <c r="K161" i="27"/>
  <c r="G161" i="27"/>
  <c r="K162" i="27"/>
  <c r="G162" i="27"/>
  <c r="K171" i="27"/>
  <c r="G171" i="27"/>
  <c r="K173" i="27"/>
  <c r="G173" i="27"/>
  <c r="K182" i="27"/>
  <c r="G182" i="27"/>
  <c r="K187" i="27"/>
  <c r="G187" i="27"/>
  <c r="K194" i="27"/>
  <c r="G194" i="27"/>
  <c r="K200" i="27"/>
  <c r="G200" i="27"/>
  <c r="K168" i="27"/>
  <c r="G168" i="27"/>
  <c r="K183" i="27"/>
  <c r="G183" i="27"/>
  <c r="K184" i="27"/>
  <c r="G184" i="27"/>
  <c r="K190" i="27"/>
  <c r="G190" i="27"/>
  <c r="K192" i="27"/>
  <c r="G192" i="27"/>
  <c r="K196" i="27"/>
  <c r="G196" i="27"/>
  <c r="K198" i="27"/>
  <c r="G198" i="27"/>
  <c r="AA153" i="27"/>
  <c r="AC153" i="27"/>
  <c r="AA151" i="27"/>
  <c r="AC151" i="27"/>
  <c r="AA149" i="27"/>
  <c r="AC149" i="27"/>
  <c r="AA147" i="27"/>
  <c r="AC147" i="27"/>
  <c r="AA145" i="27"/>
  <c r="AC145" i="27"/>
  <c r="AA143" i="27"/>
  <c r="AC143" i="27"/>
  <c r="AA141" i="27"/>
  <c r="AC141" i="27"/>
  <c r="AA139" i="27"/>
  <c r="AC139" i="27"/>
  <c r="AA137" i="27"/>
  <c r="AC137" i="27"/>
  <c r="AA135" i="27"/>
  <c r="AC135" i="27"/>
  <c r="AA133" i="27"/>
  <c r="AC133" i="27"/>
  <c r="AA131" i="27"/>
  <c r="AC131" i="27"/>
  <c r="AA129" i="27"/>
  <c r="AC129" i="27"/>
  <c r="AA127" i="27"/>
  <c r="AC127" i="27"/>
  <c r="AA125" i="27"/>
  <c r="AC125" i="27"/>
  <c r="AA123" i="27"/>
  <c r="AC123" i="27"/>
  <c r="AA121" i="27"/>
  <c r="AC121" i="27"/>
  <c r="AA119" i="27"/>
  <c r="AC119" i="27"/>
  <c r="AA117" i="27"/>
  <c r="AC117" i="27"/>
  <c r="AA115" i="27"/>
  <c r="AC115" i="27"/>
  <c r="AA152" i="27"/>
  <c r="AC152" i="27"/>
  <c r="AA150" i="27"/>
  <c r="AC150" i="27"/>
  <c r="AA148" i="27"/>
  <c r="AC148" i="27"/>
  <c r="AA146" i="27"/>
  <c r="AC146" i="27"/>
  <c r="AA144" i="27"/>
  <c r="AC144" i="27"/>
  <c r="AA142" i="27"/>
  <c r="AC142" i="27"/>
  <c r="AA140" i="27"/>
  <c r="AC140" i="27"/>
  <c r="AA138" i="27"/>
  <c r="AC138" i="27"/>
  <c r="AA136" i="27"/>
  <c r="AC136" i="27"/>
  <c r="AA134" i="27"/>
  <c r="AC134" i="27"/>
  <c r="AA132" i="27"/>
  <c r="AC132" i="27"/>
  <c r="AA130" i="27"/>
  <c r="AC130" i="27"/>
  <c r="AA128" i="27"/>
  <c r="AC128" i="27"/>
  <c r="AA126" i="27"/>
  <c r="AC126" i="27"/>
  <c r="AA124" i="27"/>
  <c r="AC124" i="27"/>
  <c r="AA122" i="27"/>
  <c r="AC122" i="27"/>
  <c r="AA120" i="27"/>
  <c r="AC120" i="27"/>
  <c r="AA118" i="27"/>
  <c r="AC118" i="27"/>
  <c r="AA116" i="27"/>
  <c r="AC116" i="27"/>
  <c r="Q152" i="27"/>
  <c r="S152" i="27"/>
  <c r="Q150" i="27"/>
  <c r="S150" i="27"/>
  <c r="Q148" i="27"/>
  <c r="S148" i="27"/>
  <c r="Q146" i="27"/>
  <c r="S146" i="27"/>
  <c r="Q144" i="27"/>
  <c r="S144" i="27"/>
  <c r="Q142" i="27"/>
  <c r="S142" i="27"/>
  <c r="Q140" i="27"/>
  <c r="S140" i="27"/>
  <c r="Q138" i="27"/>
  <c r="S138" i="27"/>
  <c r="Q136" i="27"/>
  <c r="S136" i="27"/>
  <c r="Q134" i="27"/>
  <c r="S134" i="27"/>
  <c r="Q132" i="27"/>
  <c r="S132" i="27"/>
  <c r="Q130" i="27"/>
  <c r="S130" i="27"/>
  <c r="Q128" i="27"/>
  <c r="S128" i="27"/>
  <c r="Q126" i="27"/>
  <c r="S126" i="27"/>
  <c r="Q124" i="27"/>
  <c r="S124" i="27"/>
  <c r="Q122" i="27"/>
  <c r="S122" i="27"/>
  <c r="Q120" i="27"/>
  <c r="S120" i="27"/>
  <c r="Q118" i="27"/>
  <c r="S118" i="27"/>
  <c r="Q116" i="27"/>
  <c r="S116" i="27"/>
  <c r="Q153" i="27"/>
  <c r="S153" i="27"/>
  <c r="Q151" i="27"/>
  <c r="S151" i="27"/>
  <c r="Q149" i="27"/>
  <c r="S149" i="27"/>
  <c r="Q147" i="27"/>
  <c r="S147" i="27"/>
  <c r="Q145" i="27"/>
  <c r="S145" i="27"/>
  <c r="Q143" i="27"/>
  <c r="S143" i="27"/>
  <c r="Q141" i="27"/>
  <c r="S141" i="27"/>
  <c r="Q139" i="27"/>
  <c r="S139" i="27"/>
  <c r="Q137" i="27"/>
  <c r="S137" i="27"/>
  <c r="Q135" i="27"/>
  <c r="S135" i="27"/>
  <c r="Q133" i="27"/>
  <c r="S133" i="27"/>
  <c r="Q131" i="27"/>
  <c r="S131" i="27"/>
  <c r="Q129" i="27"/>
  <c r="S129" i="27"/>
  <c r="Q127" i="27"/>
  <c r="S127" i="27"/>
  <c r="Q125" i="27"/>
  <c r="S125" i="27"/>
  <c r="Q123" i="27"/>
  <c r="S123" i="27"/>
  <c r="Q121" i="27"/>
  <c r="S121" i="27"/>
  <c r="Q119" i="27"/>
  <c r="S119" i="27"/>
  <c r="Q117" i="27"/>
  <c r="S117" i="27"/>
  <c r="Q115" i="27"/>
  <c r="S115" i="27"/>
  <c r="O151" i="27"/>
  <c r="O147" i="27"/>
  <c r="O145" i="27"/>
  <c r="O143" i="27"/>
  <c r="O141" i="27"/>
  <c r="O139" i="27"/>
  <c r="O137" i="27"/>
  <c r="O135" i="27"/>
  <c r="O133" i="27"/>
  <c r="O131" i="27"/>
  <c r="O129" i="27"/>
  <c r="O127" i="27"/>
  <c r="O125" i="27"/>
  <c r="O123" i="27"/>
  <c r="O121" i="27"/>
  <c r="O119" i="27"/>
  <c r="O117" i="27"/>
  <c r="O115" i="27"/>
  <c r="O153" i="27"/>
  <c r="O149" i="27"/>
  <c r="O152" i="27"/>
  <c r="O150" i="27"/>
  <c r="O148" i="27"/>
  <c r="O146" i="27"/>
  <c r="O144" i="27"/>
  <c r="O142" i="27"/>
  <c r="O140" i="27"/>
  <c r="O138" i="27"/>
  <c r="O136" i="27"/>
  <c r="O134" i="27"/>
  <c r="O132" i="27"/>
  <c r="O130" i="27"/>
  <c r="O128" i="27"/>
  <c r="O126" i="27"/>
  <c r="O124" i="27"/>
  <c r="O122" i="27"/>
  <c r="O120" i="27"/>
  <c r="O118" i="27"/>
  <c r="O116" i="27"/>
  <c r="I152" i="27"/>
  <c r="J152" i="27" s="1"/>
  <c r="I153" i="28" s="1"/>
  <c r="H153" i="28" s="1"/>
  <c r="I150" i="27"/>
  <c r="J150" i="27" s="1"/>
  <c r="I148" i="27"/>
  <c r="J148" i="27" s="1"/>
  <c r="I146" i="27"/>
  <c r="J146" i="27" s="1"/>
  <c r="I144" i="27"/>
  <c r="J144" i="27" s="1"/>
  <c r="I142" i="27"/>
  <c r="J142" i="27" s="1"/>
  <c r="I140" i="27"/>
  <c r="J140" i="27" s="1"/>
  <c r="I138" i="27"/>
  <c r="J138" i="27" s="1"/>
  <c r="I136" i="27"/>
  <c r="J136" i="27" s="1"/>
  <c r="I134" i="27"/>
  <c r="J134" i="27" s="1"/>
  <c r="I132" i="27"/>
  <c r="J132" i="27" s="1"/>
  <c r="I130" i="27"/>
  <c r="J130" i="27" s="1"/>
  <c r="I128" i="27"/>
  <c r="J128" i="27" s="1"/>
  <c r="I126" i="27"/>
  <c r="J126" i="27" s="1"/>
  <c r="I124" i="27"/>
  <c r="J124" i="27" s="1"/>
  <c r="I122" i="27"/>
  <c r="J122" i="27" s="1"/>
  <c r="I120" i="27"/>
  <c r="J120" i="27" s="1"/>
  <c r="I118" i="27"/>
  <c r="J118" i="27" s="1"/>
  <c r="I116" i="27"/>
  <c r="J116" i="27" s="1"/>
  <c r="I153" i="27"/>
  <c r="J153" i="27" s="1"/>
  <c r="I151" i="27"/>
  <c r="J151" i="27" s="1"/>
  <c r="I152" i="28" s="1"/>
  <c r="H152" i="28" s="1"/>
  <c r="I149" i="27"/>
  <c r="J149" i="27" s="1"/>
  <c r="I147" i="27"/>
  <c r="J147" i="27" s="1"/>
  <c r="I145" i="27"/>
  <c r="J145" i="27" s="1"/>
  <c r="I143" i="27"/>
  <c r="J143" i="27" s="1"/>
  <c r="I141" i="27"/>
  <c r="J141" i="27" s="1"/>
  <c r="I139" i="27"/>
  <c r="J139" i="27" s="1"/>
  <c r="I137" i="27"/>
  <c r="J137" i="27" s="1"/>
  <c r="I135" i="27"/>
  <c r="J135" i="27" s="1"/>
  <c r="I133" i="27"/>
  <c r="J133" i="27" s="1"/>
  <c r="I131" i="27"/>
  <c r="J131" i="27" s="1"/>
  <c r="I129" i="27"/>
  <c r="J129" i="27" s="1"/>
  <c r="I127" i="27"/>
  <c r="J127" i="27" s="1"/>
  <c r="I125" i="27"/>
  <c r="J125" i="27" s="1"/>
  <c r="I123" i="27"/>
  <c r="J123" i="27" s="1"/>
  <c r="I121" i="27"/>
  <c r="J121" i="27" s="1"/>
  <c r="I119" i="27"/>
  <c r="J119" i="27" s="1"/>
  <c r="I117" i="27"/>
  <c r="J117" i="27" s="1"/>
  <c r="I115" i="27"/>
  <c r="J115" i="27" s="1"/>
  <c r="F149" i="28"/>
  <c r="F148" i="28"/>
  <c r="F147" i="28"/>
  <c r="F144" i="28"/>
  <c r="V175" i="28"/>
  <c r="Q175" i="28"/>
  <c r="W175" i="28"/>
  <c r="X175" i="28"/>
  <c r="AG196" i="27"/>
  <c r="AI196" i="27" s="1"/>
  <c r="AG173" i="27"/>
  <c r="AI173" i="27" s="1"/>
  <c r="Y151" i="27"/>
  <c r="AH151" i="27"/>
  <c r="AG156" i="27"/>
  <c r="AI156" i="27" s="1"/>
  <c r="AG160" i="27"/>
  <c r="AI160" i="27" s="1"/>
  <c r="AG164" i="27"/>
  <c r="AI164" i="27" s="1"/>
  <c r="AG172" i="27"/>
  <c r="AI172" i="27" s="1"/>
  <c r="AG176" i="27"/>
  <c r="AI176" i="27" s="1"/>
  <c r="AG180" i="27"/>
  <c r="AI180" i="27" s="1"/>
  <c r="AG159" i="27"/>
  <c r="AI159" i="27" s="1"/>
  <c r="AG187" i="27"/>
  <c r="AI187" i="27" s="1"/>
  <c r="AG195" i="27"/>
  <c r="AI195" i="27" s="1"/>
  <c r="V187" i="28"/>
  <c r="Y187" i="28"/>
  <c r="V191" i="28"/>
  <c r="Y191" i="28"/>
  <c r="X195" i="28"/>
  <c r="Y195" i="28"/>
  <c r="AG157" i="27"/>
  <c r="AI157" i="27" s="1"/>
  <c r="AG171" i="27"/>
  <c r="AI171" i="27" s="1"/>
  <c r="AG179" i="27"/>
  <c r="AI179" i="27" s="1"/>
  <c r="AG190" i="27"/>
  <c r="AI190" i="27" s="1"/>
  <c r="AG198" i="27"/>
  <c r="AI198" i="27" s="1"/>
  <c r="T171" i="28"/>
  <c r="Y171" i="28"/>
  <c r="T181" i="28"/>
  <c r="Y181" i="28"/>
  <c r="AG165" i="27"/>
  <c r="AI165" i="27" s="1"/>
  <c r="V189" i="28"/>
  <c r="Y189" i="28"/>
  <c r="AG182" i="27"/>
  <c r="AI182" i="27" s="1"/>
  <c r="AG193" i="27"/>
  <c r="AI193" i="27" s="1"/>
  <c r="AG183" i="27"/>
  <c r="AI183" i="27" s="1"/>
  <c r="AG189" i="27"/>
  <c r="AI189" i="27" s="1"/>
  <c r="AG192" i="27"/>
  <c r="AI192" i="27" s="1"/>
  <c r="T173" i="28"/>
  <c r="Y173" i="28"/>
  <c r="Y153" i="27"/>
  <c r="AH153" i="27"/>
  <c r="Y149" i="27"/>
  <c r="AH149" i="27"/>
  <c r="Y152" i="27"/>
  <c r="AH152" i="27"/>
  <c r="Y150" i="27"/>
  <c r="AH150" i="27"/>
  <c r="AG154" i="27"/>
  <c r="AI154" i="27" s="1"/>
  <c r="AG158" i="27"/>
  <c r="AI158" i="27" s="1"/>
  <c r="AG162" i="27"/>
  <c r="AI162" i="27" s="1"/>
  <c r="AG166" i="27"/>
  <c r="AI166" i="27" s="1"/>
  <c r="AG170" i="27"/>
  <c r="AI170" i="27" s="1"/>
  <c r="AG174" i="27"/>
  <c r="AI174" i="27" s="1"/>
  <c r="AG178" i="27"/>
  <c r="AI178" i="27" s="1"/>
  <c r="AG155" i="27"/>
  <c r="AI155" i="27" s="1"/>
  <c r="AG163" i="27"/>
  <c r="AI163" i="27" s="1"/>
  <c r="AG191" i="27"/>
  <c r="AI191" i="27" s="1"/>
  <c r="AG199" i="27"/>
  <c r="AI199" i="27" s="1"/>
  <c r="AG161" i="27"/>
  <c r="AI161" i="27" s="1"/>
  <c r="AG175" i="27"/>
  <c r="AI175" i="27" s="1"/>
  <c r="AG186" i="27"/>
  <c r="AI186" i="27" s="1"/>
  <c r="AG194" i="27"/>
  <c r="AI194" i="27" s="1"/>
  <c r="V155" i="28"/>
  <c r="Y155" i="28"/>
  <c r="G157" i="28"/>
  <c r="Y157" i="28"/>
  <c r="V159" i="28"/>
  <c r="Y159" i="28"/>
  <c r="G161" i="28"/>
  <c r="Y161" i="28"/>
  <c r="V163" i="28"/>
  <c r="Y163" i="28"/>
  <c r="T165" i="28"/>
  <c r="Y165" i="28"/>
  <c r="T167" i="28"/>
  <c r="Y167" i="28"/>
  <c r="G169" i="28"/>
  <c r="Y169" i="28"/>
  <c r="T177" i="28"/>
  <c r="Y177" i="28"/>
  <c r="T183" i="28"/>
  <c r="Y183" i="28"/>
  <c r="T196" i="28"/>
  <c r="Y196" i="28"/>
  <c r="AG167" i="27"/>
  <c r="AI167" i="27" s="1"/>
  <c r="AG168" i="27"/>
  <c r="AI168" i="27" s="1"/>
  <c r="AG177" i="27"/>
  <c r="AI177" i="27" s="1"/>
  <c r="G197" i="28"/>
  <c r="Y197" i="28"/>
  <c r="AG169" i="27"/>
  <c r="AI169" i="27" s="1"/>
  <c r="T179" i="28"/>
  <c r="Y179" i="28"/>
  <c r="G198" i="28"/>
  <c r="Y198" i="28"/>
  <c r="AG185" i="27"/>
  <c r="AI185" i="27" s="1"/>
  <c r="AG197" i="27"/>
  <c r="AI197" i="27" s="1"/>
  <c r="AG181" i="27"/>
  <c r="AI181" i="27" s="1"/>
  <c r="AG184" i="27"/>
  <c r="AI184" i="27" s="1"/>
  <c r="AG188" i="27"/>
  <c r="AI188" i="27" s="1"/>
  <c r="AG200" i="27"/>
  <c r="AI200" i="27" s="1"/>
  <c r="T175" i="28"/>
  <c r="Y175" i="28"/>
  <c r="W185" i="28"/>
  <c r="V198" i="28"/>
  <c r="V179" i="28"/>
  <c r="T193" i="28"/>
  <c r="W198" i="28"/>
  <c r="X198" i="28"/>
  <c r="Q173" i="28"/>
  <c r="W179" i="28"/>
  <c r="X179" i="28"/>
  <c r="G179" i="28"/>
  <c r="Q198" i="28"/>
  <c r="V173" i="28"/>
  <c r="X183" i="28"/>
  <c r="W189" i="28"/>
  <c r="V196" i="28"/>
  <c r="W173" i="28"/>
  <c r="X173" i="28"/>
  <c r="G173" i="28"/>
  <c r="V177" i="28"/>
  <c r="V197" i="28"/>
  <c r="Q177" i="28"/>
  <c r="W183" i="28"/>
  <c r="G183" i="28"/>
  <c r="X196" i="28"/>
  <c r="X197" i="28"/>
  <c r="W177" i="28"/>
  <c r="X177" i="28"/>
  <c r="G177" i="28"/>
  <c r="Q183" i="28"/>
  <c r="V183" i="28"/>
  <c r="X187" i="28"/>
  <c r="G191" i="28"/>
  <c r="T197" i="28"/>
  <c r="W197" i="28"/>
  <c r="Q197" i="28"/>
  <c r="N152" i="27"/>
  <c r="X152" i="27"/>
  <c r="M152" i="27"/>
  <c r="K152" i="27" s="1"/>
  <c r="Z152" i="27"/>
  <c r="X150" i="27"/>
  <c r="N150" i="27"/>
  <c r="Z150" i="27"/>
  <c r="M150" i="27"/>
  <c r="K150" i="27" s="1"/>
  <c r="X148" i="27"/>
  <c r="Y148" i="27" s="1"/>
  <c r="X146" i="27"/>
  <c r="Y146" i="27" s="1"/>
  <c r="X144" i="27"/>
  <c r="Y144" i="27" s="1"/>
  <c r="X142" i="27"/>
  <c r="Y142" i="27" s="1"/>
  <c r="X140" i="27"/>
  <c r="Y140" i="27" s="1"/>
  <c r="X138" i="27"/>
  <c r="Y138" i="27" s="1"/>
  <c r="X136" i="27"/>
  <c r="Y136" i="27" s="1"/>
  <c r="X134" i="27"/>
  <c r="Y134" i="27" s="1"/>
  <c r="X132" i="27"/>
  <c r="Y132" i="27" s="1"/>
  <c r="X130" i="27"/>
  <c r="Y130" i="27" s="1"/>
  <c r="X128" i="27"/>
  <c r="Y128" i="27" s="1"/>
  <c r="X126" i="27"/>
  <c r="Y126" i="27" s="1"/>
  <c r="X124" i="27"/>
  <c r="X122" i="27"/>
  <c r="Y122" i="27" s="1"/>
  <c r="X120" i="27"/>
  <c r="X118" i="27"/>
  <c r="Y118" i="27" s="1"/>
  <c r="X116" i="27"/>
  <c r="Y116" i="27" s="1"/>
  <c r="X153" i="27"/>
  <c r="N153" i="27"/>
  <c r="Z153" i="27"/>
  <c r="M153" i="27"/>
  <c r="K153" i="27" s="1"/>
  <c r="X151" i="27"/>
  <c r="N151" i="27"/>
  <c r="Z151" i="27"/>
  <c r="M151" i="27"/>
  <c r="K151" i="27" s="1"/>
  <c r="X149" i="27"/>
  <c r="N149" i="27"/>
  <c r="Z149" i="27"/>
  <c r="M149" i="27"/>
  <c r="K149" i="27" s="1"/>
  <c r="X147" i="27"/>
  <c r="Y147" i="27" s="1"/>
  <c r="X145" i="27"/>
  <c r="Y145" i="27" s="1"/>
  <c r="X143" i="27"/>
  <c r="Y143" i="27" s="1"/>
  <c r="X141" i="27"/>
  <c r="Y141" i="27" s="1"/>
  <c r="X137" i="27"/>
  <c r="Y137" i="27" s="1"/>
  <c r="X135" i="27"/>
  <c r="Y135" i="27" s="1"/>
  <c r="X133" i="27"/>
  <c r="Y133" i="27" s="1"/>
  <c r="X131" i="27"/>
  <c r="Y131" i="27" s="1"/>
  <c r="X129" i="27"/>
  <c r="Y129" i="27" s="1"/>
  <c r="X127" i="27"/>
  <c r="Y127" i="27" s="1"/>
  <c r="X125" i="27"/>
  <c r="Y125" i="27" s="1"/>
  <c r="X123" i="27"/>
  <c r="Y123" i="27" s="1"/>
  <c r="X121" i="27"/>
  <c r="Y121" i="27" s="1"/>
  <c r="X119" i="27"/>
  <c r="Y119" i="27" s="1"/>
  <c r="X117" i="27"/>
  <c r="Y117" i="27" s="1"/>
  <c r="X115" i="27"/>
  <c r="Y115" i="27" s="1"/>
  <c r="X139" i="27"/>
  <c r="L150" i="27"/>
  <c r="AD142" i="27"/>
  <c r="AD138" i="27"/>
  <c r="AD126" i="27"/>
  <c r="AD122" i="27"/>
  <c r="AD120" i="27"/>
  <c r="AD116" i="27"/>
  <c r="AB152" i="27"/>
  <c r="W149" i="27"/>
  <c r="T189" i="28"/>
  <c r="AD146" i="27"/>
  <c r="V157" i="28"/>
  <c r="Q169" i="28"/>
  <c r="Q189" i="28"/>
  <c r="W193" i="28"/>
  <c r="W171" i="28"/>
  <c r="G171" i="28"/>
  <c r="V181" i="28"/>
  <c r="V185" i="28"/>
  <c r="X189" i="28"/>
  <c r="G189" i="28"/>
  <c r="V193" i="28"/>
  <c r="AB151" i="27"/>
  <c r="Q185" i="28"/>
  <c r="Q193" i="28"/>
  <c r="Q171" i="28"/>
  <c r="V171" i="28"/>
  <c r="W181" i="28"/>
  <c r="X181" i="28"/>
  <c r="G181" i="28"/>
  <c r="X185" i="28"/>
  <c r="G185" i="28"/>
  <c r="X193" i="28"/>
  <c r="G193" i="28"/>
  <c r="T185" i="28"/>
  <c r="R150" i="27"/>
  <c r="F143" i="28"/>
  <c r="G196" i="28"/>
  <c r="Q196" i="28"/>
  <c r="W155" i="28"/>
  <c r="Q161" i="28"/>
  <c r="W167" i="28"/>
  <c r="G155" i="28"/>
  <c r="X159" i="28"/>
  <c r="W163" i="28"/>
  <c r="X165" i="28"/>
  <c r="G167" i="28"/>
  <c r="X155" i="28"/>
  <c r="Q157" i="28"/>
  <c r="W159" i="28"/>
  <c r="G159" i="28"/>
  <c r="V161" i="28"/>
  <c r="X163" i="28"/>
  <c r="K163" i="28" s="1"/>
  <c r="W165" i="28"/>
  <c r="G165" i="28"/>
  <c r="X167" i="28"/>
  <c r="X169" i="28"/>
  <c r="Q191" i="28"/>
  <c r="Q155" i="28"/>
  <c r="W157" i="28"/>
  <c r="X157" i="28"/>
  <c r="Q159" i="28"/>
  <c r="W161" i="28"/>
  <c r="X161" i="28"/>
  <c r="Q163" i="28"/>
  <c r="Q165" i="28"/>
  <c r="V165" i="28"/>
  <c r="Q167" i="28"/>
  <c r="V167" i="28"/>
  <c r="W169" i="28"/>
  <c r="V169" i="28"/>
  <c r="Q187" i="28"/>
  <c r="V195" i="28"/>
  <c r="G187" i="28"/>
  <c r="X191" i="28"/>
  <c r="W187" i="28"/>
  <c r="W191" i="28"/>
  <c r="F140" i="28"/>
  <c r="F139" i="28"/>
  <c r="F136" i="28"/>
  <c r="F135" i="28"/>
  <c r="AD134" i="27"/>
  <c r="AD130" i="27"/>
  <c r="F154" i="27"/>
  <c r="D155" i="28"/>
  <c r="H155" i="28" s="1"/>
  <c r="W153" i="27"/>
  <c r="T155" i="28"/>
  <c r="T157" i="28"/>
  <c r="T159" i="28"/>
  <c r="T161" i="28"/>
  <c r="T163" i="28"/>
  <c r="T169" i="28"/>
  <c r="T187" i="28"/>
  <c r="T191" i="28"/>
  <c r="G195" i="28"/>
  <c r="Q195" i="28"/>
  <c r="T195" i="28"/>
  <c r="W195" i="28"/>
  <c r="AD153" i="27"/>
  <c r="AF152" i="27"/>
  <c r="U152" i="27"/>
  <c r="V150" i="27"/>
  <c r="G158" i="28"/>
  <c r="V158" i="28"/>
  <c r="X158" i="28"/>
  <c r="T158" i="28"/>
  <c r="Q158" i="28"/>
  <c r="W158" i="28"/>
  <c r="G162" i="28"/>
  <c r="V162" i="28"/>
  <c r="X162" i="28"/>
  <c r="T162" i="28"/>
  <c r="Q162" i="28"/>
  <c r="W162" i="28"/>
  <c r="G166" i="28"/>
  <c r="V166" i="28"/>
  <c r="X166" i="28"/>
  <c r="T166" i="28"/>
  <c r="W166" i="28"/>
  <c r="Q166" i="28"/>
  <c r="G168" i="28"/>
  <c r="V168" i="28"/>
  <c r="X168" i="28"/>
  <c r="T168" i="28"/>
  <c r="W168" i="28"/>
  <c r="Q168" i="28"/>
  <c r="G156" i="28"/>
  <c r="V156" i="28"/>
  <c r="X156" i="28"/>
  <c r="T156" i="28"/>
  <c r="Q156" i="28"/>
  <c r="W156" i="28"/>
  <c r="G164" i="28"/>
  <c r="V164" i="28"/>
  <c r="X164" i="28"/>
  <c r="T164" i="28"/>
  <c r="W164" i="28"/>
  <c r="Q164" i="28"/>
  <c r="G170" i="28"/>
  <c r="V170" i="28"/>
  <c r="X170" i="28"/>
  <c r="T170" i="28"/>
  <c r="W170" i="28"/>
  <c r="Q170" i="28"/>
  <c r="G174" i="28"/>
  <c r="V174" i="28"/>
  <c r="X174" i="28"/>
  <c r="T174" i="28"/>
  <c r="W174" i="28"/>
  <c r="Q174" i="28"/>
  <c r="G178" i="28"/>
  <c r="V178" i="28"/>
  <c r="X178" i="28"/>
  <c r="T178" i="28"/>
  <c r="W178" i="28"/>
  <c r="Q178" i="28"/>
  <c r="G182" i="28"/>
  <c r="V182" i="28"/>
  <c r="X182" i="28"/>
  <c r="T182" i="28"/>
  <c r="W182" i="28"/>
  <c r="Q182" i="28"/>
  <c r="G188" i="28"/>
  <c r="V188" i="28"/>
  <c r="X188" i="28"/>
  <c r="T188" i="28"/>
  <c r="Q188" i="28"/>
  <c r="W188" i="28"/>
  <c r="G192" i="28"/>
  <c r="V192" i="28"/>
  <c r="X192" i="28"/>
  <c r="T192" i="28"/>
  <c r="Q192" i="28"/>
  <c r="W192" i="28"/>
  <c r="G160" i="28"/>
  <c r="V160" i="28"/>
  <c r="X160" i="28"/>
  <c r="T160" i="28"/>
  <c r="Q160" i="28"/>
  <c r="W160" i="28"/>
  <c r="G172" i="28"/>
  <c r="V172" i="28"/>
  <c r="X172" i="28"/>
  <c r="T172" i="28"/>
  <c r="W172" i="28"/>
  <c r="Q172" i="28"/>
  <c r="G176" i="28"/>
  <c r="V176" i="28"/>
  <c r="X176" i="28"/>
  <c r="T176" i="28"/>
  <c r="W176" i="28"/>
  <c r="Q176" i="28"/>
  <c r="G180" i="28"/>
  <c r="V180" i="28"/>
  <c r="X180" i="28"/>
  <c r="T180" i="28"/>
  <c r="W180" i="28"/>
  <c r="Q180" i="28"/>
  <c r="G184" i="28"/>
  <c r="V184" i="28"/>
  <c r="X184" i="28"/>
  <c r="T184" i="28"/>
  <c r="Q184" i="28"/>
  <c r="W184" i="28"/>
  <c r="G186" i="28"/>
  <c r="V186" i="28"/>
  <c r="X186" i="28"/>
  <c r="T186" i="28"/>
  <c r="Q186" i="28"/>
  <c r="W186" i="28"/>
  <c r="G190" i="28"/>
  <c r="V190" i="28"/>
  <c r="X190" i="28"/>
  <c r="T190" i="28"/>
  <c r="Q190" i="28"/>
  <c r="W190" i="28"/>
  <c r="G194" i="28"/>
  <c r="V194" i="28"/>
  <c r="T194" i="28"/>
  <c r="X194" i="28"/>
  <c r="Q194" i="28"/>
  <c r="W194" i="28"/>
  <c r="AD152" i="27"/>
  <c r="W152" i="27"/>
  <c r="AF151" i="27"/>
  <c r="U151" i="27"/>
  <c r="AE146" i="27"/>
  <c r="AF146" i="27" s="1"/>
  <c r="AE116" i="27"/>
  <c r="AF116" i="27" s="1"/>
  <c r="H153" i="27"/>
  <c r="H151" i="27"/>
  <c r="AF153" i="27"/>
  <c r="AB153" i="27"/>
  <c r="U153" i="27"/>
  <c r="H152" i="27"/>
  <c r="AD151" i="27"/>
  <c r="W151" i="27"/>
  <c r="H149" i="27"/>
  <c r="AD123" i="27"/>
  <c r="AE150" i="27"/>
  <c r="T150" i="27"/>
  <c r="P150" i="27"/>
  <c r="H150" i="27"/>
  <c r="AD149" i="27"/>
  <c r="AE142" i="27"/>
  <c r="AF142" i="27" s="1"/>
  <c r="AE130" i="27"/>
  <c r="AF130" i="27" s="1"/>
  <c r="AE122" i="27"/>
  <c r="AF122" i="27" s="1"/>
  <c r="AE134" i="27"/>
  <c r="AF134" i="27" s="1"/>
  <c r="AE126" i="27"/>
  <c r="AF126" i="27" s="1"/>
  <c r="AE120" i="27"/>
  <c r="AF120" i="27" s="1"/>
  <c r="AE117" i="27"/>
  <c r="AF117" i="27" s="1"/>
  <c r="AE138" i="27"/>
  <c r="AF138" i="27" s="1"/>
  <c r="AE123" i="27"/>
  <c r="AF123" i="27" s="1"/>
  <c r="AF150" i="27"/>
  <c r="AD150" i="27"/>
  <c r="AB150" i="27"/>
  <c r="W150" i="27"/>
  <c r="U150" i="27"/>
  <c r="E154" i="28"/>
  <c r="E152" i="28"/>
  <c r="E150" i="28"/>
  <c r="E148" i="28"/>
  <c r="E153" i="28"/>
  <c r="E151" i="28"/>
  <c r="E149" i="28"/>
  <c r="E147" i="28"/>
  <c r="E143" i="28"/>
  <c r="E139" i="28"/>
  <c r="E135" i="28"/>
  <c r="AE119" i="27"/>
  <c r="AF119" i="27" s="1"/>
  <c r="AD119" i="27"/>
  <c r="AD117" i="27"/>
  <c r="E144" i="28"/>
  <c r="E140" i="28"/>
  <c r="E136" i="28"/>
  <c r="D133" i="28"/>
  <c r="F132" i="27"/>
  <c r="M132" i="27" s="1"/>
  <c r="K132" i="27" s="1"/>
  <c r="D131" i="28"/>
  <c r="F130" i="27"/>
  <c r="M130" i="27" s="1"/>
  <c r="K130" i="27" s="1"/>
  <c r="D129" i="28"/>
  <c r="F128" i="27"/>
  <c r="M128" i="27" s="1"/>
  <c r="K128" i="27" s="1"/>
  <c r="D127" i="28"/>
  <c r="F126" i="27"/>
  <c r="M126" i="27" s="1"/>
  <c r="K126" i="27" s="1"/>
  <c r="D125" i="28"/>
  <c r="F124" i="27"/>
  <c r="M124" i="27" s="1"/>
  <c r="K124" i="27" s="1"/>
  <c r="D123" i="28"/>
  <c r="F122" i="27"/>
  <c r="W122" i="27" s="1"/>
  <c r="F120" i="27"/>
  <c r="M120" i="27" s="1"/>
  <c r="K120" i="27" s="1"/>
  <c r="D121" i="28"/>
  <c r="D119" i="28"/>
  <c r="F118" i="27"/>
  <c r="F116" i="27"/>
  <c r="M116" i="27" s="1"/>
  <c r="K116" i="27" s="1"/>
  <c r="D117" i="28"/>
  <c r="D145" i="28"/>
  <c r="F144" i="27"/>
  <c r="N144" i="27" s="1"/>
  <c r="L144" i="27" s="1"/>
  <c r="D141" i="28"/>
  <c r="F140" i="27"/>
  <c r="N140" i="27" s="1"/>
  <c r="D137" i="28"/>
  <c r="F136" i="27"/>
  <c r="M136" i="27" s="1"/>
  <c r="K136" i="27" s="1"/>
  <c r="AD144" i="27"/>
  <c r="AE144" i="27"/>
  <c r="AF144" i="27" s="1"/>
  <c r="AD140" i="27"/>
  <c r="AE140" i="27"/>
  <c r="AF140" i="27" s="1"/>
  <c r="AD136" i="27"/>
  <c r="AE136" i="27"/>
  <c r="AF136" i="27" s="1"/>
  <c r="AE152" i="27"/>
  <c r="V152" i="27"/>
  <c r="T152" i="27"/>
  <c r="R152" i="27"/>
  <c r="P152" i="27"/>
  <c r="L152" i="27"/>
  <c r="F152" i="27"/>
  <c r="AF149" i="27"/>
  <c r="AB149" i="27"/>
  <c r="U149" i="27"/>
  <c r="F149" i="27"/>
  <c r="AE148" i="27"/>
  <c r="AF148" i="27" s="1"/>
  <c r="AD148" i="27"/>
  <c r="AB148" i="27"/>
  <c r="F148" i="27"/>
  <c r="Z148" i="27" s="1"/>
  <c r="F143" i="27"/>
  <c r="W143" i="27" s="1"/>
  <c r="F142" i="27"/>
  <c r="N142" i="27" s="1"/>
  <c r="F139" i="27"/>
  <c r="F138" i="27"/>
  <c r="N138" i="27" s="1"/>
  <c r="F135" i="27"/>
  <c r="M135" i="27" s="1"/>
  <c r="K135" i="27" s="1"/>
  <c r="F134" i="27"/>
  <c r="N134" i="27" s="1"/>
  <c r="D134" i="28"/>
  <c r="F133" i="27"/>
  <c r="N133" i="27" s="1"/>
  <c r="D132" i="28"/>
  <c r="E132" i="28" s="1"/>
  <c r="F131" i="27"/>
  <c r="R131" i="27" s="1"/>
  <c r="D130" i="28"/>
  <c r="F129" i="27"/>
  <c r="M129" i="27" s="1"/>
  <c r="K129" i="27" s="1"/>
  <c r="D128" i="28"/>
  <c r="E128" i="28" s="1"/>
  <c r="F127" i="27"/>
  <c r="R127" i="27" s="1"/>
  <c r="D126" i="28"/>
  <c r="F125" i="27"/>
  <c r="M125" i="27" s="1"/>
  <c r="K125" i="27" s="1"/>
  <c r="D124" i="28"/>
  <c r="E124" i="28" s="1"/>
  <c r="F123" i="27"/>
  <c r="U123" i="27" s="1"/>
  <c r="V123" i="27" s="1"/>
  <c r="D122" i="28"/>
  <c r="F121" i="27"/>
  <c r="R121" i="27" s="1"/>
  <c r="F119" i="27"/>
  <c r="N119" i="27" s="1"/>
  <c r="D120" i="28"/>
  <c r="D118" i="28"/>
  <c r="F117" i="27"/>
  <c r="N117" i="27" s="1"/>
  <c r="D116" i="28"/>
  <c r="E116" i="28" s="1"/>
  <c r="F115" i="27"/>
  <c r="W115" i="27" s="1"/>
  <c r="D146" i="28"/>
  <c r="F145" i="27"/>
  <c r="Z145" i="27" s="1"/>
  <c r="D142" i="28"/>
  <c r="F141" i="27"/>
  <c r="N141" i="27" s="1"/>
  <c r="D138" i="28"/>
  <c r="F137" i="27"/>
  <c r="M137" i="27" s="1"/>
  <c r="K137" i="27" s="1"/>
  <c r="F153" i="27"/>
  <c r="F151" i="27"/>
  <c r="F150" i="27"/>
  <c r="F147" i="27"/>
  <c r="N147" i="27" s="1"/>
  <c r="L147" i="27" s="1"/>
  <c r="F146" i="27"/>
  <c r="M146" i="27" s="1"/>
  <c r="H146" i="27" s="1"/>
  <c r="AE132" i="27"/>
  <c r="AF132" i="27" s="1"/>
  <c r="AD132" i="27"/>
  <c r="AE128" i="27"/>
  <c r="AF128" i="27" s="1"/>
  <c r="AD128" i="27"/>
  <c r="AE124" i="27"/>
  <c r="AF124" i="27" s="1"/>
  <c r="AD124" i="27"/>
  <c r="AE121" i="27"/>
  <c r="AF121" i="27" s="1"/>
  <c r="AD121" i="27"/>
  <c r="AE118" i="27"/>
  <c r="AF118" i="27" s="1"/>
  <c r="AD118" i="27"/>
  <c r="AE115" i="27"/>
  <c r="AF115" i="27" s="1"/>
  <c r="G152" i="28"/>
  <c r="X154" i="28"/>
  <c r="V153" i="28"/>
  <c r="AE153" i="27"/>
  <c r="V153" i="27"/>
  <c r="T153" i="27"/>
  <c r="R153" i="27"/>
  <c r="P153" i="27"/>
  <c r="L153" i="27"/>
  <c r="AE151" i="27"/>
  <c r="V151" i="27"/>
  <c r="T151" i="27"/>
  <c r="R151" i="27"/>
  <c r="P151" i="27"/>
  <c r="L151" i="27"/>
  <c r="AE149" i="27"/>
  <c r="V149" i="27"/>
  <c r="T149" i="27"/>
  <c r="R149" i="27"/>
  <c r="P149" i="27"/>
  <c r="L149" i="27"/>
  <c r="AE147" i="27"/>
  <c r="AF147" i="27" s="1"/>
  <c r="AD147" i="27"/>
  <c r="AE145" i="27"/>
  <c r="AF145" i="27" s="1"/>
  <c r="AD145" i="27"/>
  <c r="AE143" i="27"/>
  <c r="AF143" i="27" s="1"/>
  <c r="AD143" i="27"/>
  <c r="AE141" i="27"/>
  <c r="AF141" i="27" s="1"/>
  <c r="AD141" i="27"/>
  <c r="AE139" i="27"/>
  <c r="AF139" i="27" s="1"/>
  <c r="AD139" i="27"/>
  <c r="AE137" i="27"/>
  <c r="AF137" i="27" s="1"/>
  <c r="AD137" i="27"/>
  <c r="AE135" i="27"/>
  <c r="AF135" i="27" s="1"/>
  <c r="AD135" i="27"/>
  <c r="AE133" i="27"/>
  <c r="AF133" i="27" s="1"/>
  <c r="AD133" i="27"/>
  <c r="AE131" i="27"/>
  <c r="AF131" i="27" s="1"/>
  <c r="AD131" i="27"/>
  <c r="AE129" i="27"/>
  <c r="AF129" i="27" s="1"/>
  <c r="AD129" i="27"/>
  <c r="AE127" i="27"/>
  <c r="AF127" i="27" s="1"/>
  <c r="AD127" i="27"/>
  <c r="AE125" i="27"/>
  <c r="AF125" i="27" s="1"/>
  <c r="AD125" i="27"/>
  <c r="AD115" i="27"/>
  <c r="B17" i="28"/>
  <c r="C17" i="28"/>
  <c r="B18" i="28"/>
  <c r="J18" i="28" s="1"/>
  <c r="C18" i="28"/>
  <c r="B19" i="28"/>
  <c r="J19" i="28" s="1"/>
  <c r="C19" i="28"/>
  <c r="B20" i="28"/>
  <c r="J20" i="28" s="1"/>
  <c r="C20" i="28"/>
  <c r="B21" i="28"/>
  <c r="J21" i="28" s="1"/>
  <c r="C21" i="28"/>
  <c r="B22" i="28"/>
  <c r="J22" i="28" s="1"/>
  <c r="C22" i="28"/>
  <c r="B23" i="28"/>
  <c r="J23" i="28" s="1"/>
  <c r="C23" i="28"/>
  <c r="B24" i="28"/>
  <c r="J24" i="28" s="1"/>
  <c r="C24" i="28"/>
  <c r="B25" i="28"/>
  <c r="J25" i="28" s="1"/>
  <c r="C25" i="28"/>
  <c r="B26" i="28"/>
  <c r="J26" i="28" s="1"/>
  <c r="C26" i="28"/>
  <c r="B27" i="28"/>
  <c r="J27" i="28" s="1"/>
  <c r="C27" i="28"/>
  <c r="B28" i="28"/>
  <c r="J28" i="28" s="1"/>
  <c r="C28" i="28"/>
  <c r="B29" i="28"/>
  <c r="J29" i="28" s="1"/>
  <c r="C29" i="28"/>
  <c r="B30" i="28"/>
  <c r="J30" i="28" s="1"/>
  <c r="C30" i="28"/>
  <c r="B31" i="28"/>
  <c r="J31" i="28" s="1"/>
  <c r="C31" i="28"/>
  <c r="B32" i="28"/>
  <c r="J32" i="28" s="1"/>
  <c r="C32" i="28"/>
  <c r="B33" i="28"/>
  <c r="J33" i="28" s="1"/>
  <c r="C33" i="28"/>
  <c r="B34" i="28"/>
  <c r="J34" i="28" s="1"/>
  <c r="C34" i="28"/>
  <c r="B35" i="28"/>
  <c r="J35" i="28" s="1"/>
  <c r="C35" i="28"/>
  <c r="B36" i="28"/>
  <c r="J36" i="28" s="1"/>
  <c r="C36" i="28"/>
  <c r="B37" i="28"/>
  <c r="J37" i="28" s="1"/>
  <c r="C37" i="28"/>
  <c r="B38" i="28"/>
  <c r="J38" i="28" s="1"/>
  <c r="C38" i="28"/>
  <c r="B39" i="28"/>
  <c r="J39" i="28" s="1"/>
  <c r="C39" i="28"/>
  <c r="B40" i="28"/>
  <c r="J40" i="28" s="1"/>
  <c r="C40" i="28"/>
  <c r="B41" i="28"/>
  <c r="J41" i="28" s="1"/>
  <c r="C41" i="28"/>
  <c r="B42" i="28"/>
  <c r="J42" i="28" s="1"/>
  <c r="C42" i="28"/>
  <c r="B43" i="28"/>
  <c r="J43" i="28" s="1"/>
  <c r="C43" i="28"/>
  <c r="B44" i="28"/>
  <c r="J44" i="28" s="1"/>
  <c r="C44" i="28"/>
  <c r="B45" i="28"/>
  <c r="J45" i="28" s="1"/>
  <c r="C45" i="28"/>
  <c r="B46" i="28"/>
  <c r="J46" i="28" s="1"/>
  <c r="C46" i="28"/>
  <c r="B47" i="28"/>
  <c r="J47" i="28" s="1"/>
  <c r="C47" i="28"/>
  <c r="B48" i="28"/>
  <c r="J48" i="28" s="1"/>
  <c r="C48" i="28"/>
  <c r="B49" i="28"/>
  <c r="J49" i="28" s="1"/>
  <c r="C49" i="28"/>
  <c r="B50" i="28"/>
  <c r="J50" i="28" s="1"/>
  <c r="C50" i="28"/>
  <c r="B51" i="28"/>
  <c r="J51" i="28" s="1"/>
  <c r="C51" i="28"/>
  <c r="B52" i="28"/>
  <c r="J52" i="28" s="1"/>
  <c r="C52" i="28"/>
  <c r="B53" i="28"/>
  <c r="J53" i="28" s="1"/>
  <c r="C53" i="28"/>
  <c r="B54" i="28"/>
  <c r="J54" i="28" s="1"/>
  <c r="C54" i="28"/>
  <c r="B55" i="28"/>
  <c r="J55" i="28" s="1"/>
  <c r="C55" i="28"/>
  <c r="B56" i="28"/>
  <c r="J56" i="28" s="1"/>
  <c r="C56" i="28"/>
  <c r="B57" i="28"/>
  <c r="J57" i="28" s="1"/>
  <c r="C57" i="28"/>
  <c r="B58" i="28"/>
  <c r="J58" i="28" s="1"/>
  <c r="C58" i="28"/>
  <c r="B59" i="28"/>
  <c r="J59" i="28" s="1"/>
  <c r="C59" i="28"/>
  <c r="B60" i="28"/>
  <c r="J60" i="28" s="1"/>
  <c r="C60" i="28"/>
  <c r="B61" i="28"/>
  <c r="J61" i="28" s="1"/>
  <c r="C61" i="28"/>
  <c r="B62" i="28"/>
  <c r="J62" i="28" s="1"/>
  <c r="C62" i="28"/>
  <c r="B63" i="28"/>
  <c r="J63" i="28" s="1"/>
  <c r="C63" i="28"/>
  <c r="B64" i="28"/>
  <c r="J64" i="28" s="1"/>
  <c r="C64" i="28"/>
  <c r="B65" i="28"/>
  <c r="J65" i="28" s="1"/>
  <c r="C65" i="28"/>
  <c r="B66" i="28"/>
  <c r="J66" i="28" s="1"/>
  <c r="C66" i="28"/>
  <c r="B67" i="28"/>
  <c r="J67" i="28" s="1"/>
  <c r="C67" i="28"/>
  <c r="B68" i="28"/>
  <c r="J68" i="28" s="1"/>
  <c r="C68" i="28"/>
  <c r="B69" i="28"/>
  <c r="J69" i="28" s="1"/>
  <c r="C69" i="28"/>
  <c r="B70" i="28"/>
  <c r="J70" i="28" s="1"/>
  <c r="C70" i="28"/>
  <c r="B71" i="28"/>
  <c r="J71" i="28" s="1"/>
  <c r="C71" i="28"/>
  <c r="B72" i="28"/>
  <c r="J72" i="28" s="1"/>
  <c r="C72" i="28"/>
  <c r="B73" i="28"/>
  <c r="J73" i="28" s="1"/>
  <c r="C73" i="28"/>
  <c r="B74" i="28"/>
  <c r="J74" i="28" s="1"/>
  <c r="C74" i="28"/>
  <c r="B75" i="28"/>
  <c r="J75" i="28" s="1"/>
  <c r="C75" i="28"/>
  <c r="B76" i="28"/>
  <c r="J76" i="28" s="1"/>
  <c r="C76" i="28"/>
  <c r="B77" i="28"/>
  <c r="J77" i="28" s="1"/>
  <c r="C77" i="28"/>
  <c r="B78" i="28"/>
  <c r="J78" i="28" s="1"/>
  <c r="C78" i="28"/>
  <c r="B79" i="28"/>
  <c r="J79" i="28" s="1"/>
  <c r="C79" i="28"/>
  <c r="B80" i="28"/>
  <c r="J80" i="28" s="1"/>
  <c r="C80" i="28"/>
  <c r="B81" i="28"/>
  <c r="J81" i="28" s="1"/>
  <c r="C81" i="28"/>
  <c r="B82" i="28"/>
  <c r="J82" i="28" s="1"/>
  <c r="C82" i="28"/>
  <c r="B83" i="28"/>
  <c r="J83" i="28" s="1"/>
  <c r="C83" i="28"/>
  <c r="B84" i="28"/>
  <c r="J84" i="28" s="1"/>
  <c r="C84" i="28"/>
  <c r="B85" i="28"/>
  <c r="J85" i="28" s="1"/>
  <c r="C85" i="28"/>
  <c r="B86" i="28"/>
  <c r="J86" i="28" s="1"/>
  <c r="C86" i="28"/>
  <c r="B87" i="28"/>
  <c r="J87" i="28" s="1"/>
  <c r="C87" i="28"/>
  <c r="B88" i="28"/>
  <c r="J88" i="28" s="1"/>
  <c r="C88" i="28"/>
  <c r="B89" i="28"/>
  <c r="J89" i="28" s="1"/>
  <c r="C89" i="28"/>
  <c r="B90" i="28"/>
  <c r="J90" i="28" s="1"/>
  <c r="C90" i="28"/>
  <c r="B91" i="28"/>
  <c r="J91" i="28" s="1"/>
  <c r="C91" i="28"/>
  <c r="B92" i="28"/>
  <c r="J92" i="28" s="1"/>
  <c r="C92" i="28"/>
  <c r="B93" i="28"/>
  <c r="J93" i="28" s="1"/>
  <c r="C93" i="28"/>
  <c r="B94" i="28"/>
  <c r="J94" i="28" s="1"/>
  <c r="C94" i="28"/>
  <c r="B95" i="28"/>
  <c r="J95" i="28" s="1"/>
  <c r="C95" i="28"/>
  <c r="B96" i="28"/>
  <c r="J96" i="28" s="1"/>
  <c r="C96" i="28"/>
  <c r="B97" i="28"/>
  <c r="J97" i="28" s="1"/>
  <c r="C97" i="28"/>
  <c r="B98" i="28"/>
  <c r="J98" i="28" s="1"/>
  <c r="C98" i="28"/>
  <c r="B99" i="28"/>
  <c r="J99" i="28" s="1"/>
  <c r="C99" i="28"/>
  <c r="B100" i="28"/>
  <c r="J100" i="28" s="1"/>
  <c r="C100" i="28"/>
  <c r="B101" i="28"/>
  <c r="J101" i="28" s="1"/>
  <c r="C101" i="28"/>
  <c r="B102" i="28"/>
  <c r="J102" i="28" s="1"/>
  <c r="C102" i="28"/>
  <c r="B103" i="28"/>
  <c r="J103" i="28" s="1"/>
  <c r="C103" i="28"/>
  <c r="B104" i="28"/>
  <c r="J104" i="28" s="1"/>
  <c r="C104" i="28"/>
  <c r="B105" i="28"/>
  <c r="J105" i="28" s="1"/>
  <c r="C105" i="28"/>
  <c r="B106" i="28"/>
  <c r="J106" i="28" s="1"/>
  <c r="C106" i="28"/>
  <c r="B107" i="28"/>
  <c r="J107" i="28" s="1"/>
  <c r="C107" i="28"/>
  <c r="B108" i="28"/>
  <c r="J108" i="28" s="1"/>
  <c r="C108" i="28"/>
  <c r="B109" i="28"/>
  <c r="J109" i="28" s="1"/>
  <c r="C109" i="28"/>
  <c r="B110" i="28"/>
  <c r="J110" i="28" s="1"/>
  <c r="C110" i="28"/>
  <c r="B111" i="28"/>
  <c r="J111" i="28" s="1"/>
  <c r="C111" i="28"/>
  <c r="B112" i="28"/>
  <c r="J112" i="28" s="1"/>
  <c r="C112" i="28"/>
  <c r="B113" i="28"/>
  <c r="J113" i="28" s="1"/>
  <c r="C113" i="28"/>
  <c r="B114" i="28"/>
  <c r="J114" i="28" s="1"/>
  <c r="C114" i="28"/>
  <c r="B115" i="28"/>
  <c r="J115" i="28" s="1"/>
  <c r="C115" i="28"/>
  <c r="B16" i="27"/>
  <c r="D16" i="27"/>
  <c r="E16" i="27"/>
  <c r="B17" i="27"/>
  <c r="C17" i="27" s="1"/>
  <c r="D17" i="27"/>
  <c r="E17" i="27"/>
  <c r="B18" i="27"/>
  <c r="C18" i="27" s="1"/>
  <c r="D18" i="27"/>
  <c r="E18" i="27"/>
  <c r="B19" i="27"/>
  <c r="C19" i="27" s="1"/>
  <c r="D19" i="27"/>
  <c r="E19" i="27"/>
  <c r="B20" i="27"/>
  <c r="C20" i="27" s="1"/>
  <c r="D20" i="27"/>
  <c r="E20" i="27"/>
  <c r="B21" i="27"/>
  <c r="C21" i="27" s="1"/>
  <c r="D21" i="27"/>
  <c r="E21" i="27"/>
  <c r="B22" i="27"/>
  <c r="C22" i="27" s="1"/>
  <c r="D22" i="27"/>
  <c r="E22" i="27"/>
  <c r="B23" i="27"/>
  <c r="C23" i="27" s="1"/>
  <c r="D23" i="27"/>
  <c r="E23" i="27"/>
  <c r="B24" i="27"/>
  <c r="C24" i="27" s="1"/>
  <c r="D24" i="27"/>
  <c r="E24" i="27"/>
  <c r="B25" i="27"/>
  <c r="C25" i="27" s="1"/>
  <c r="D25" i="27"/>
  <c r="E25" i="27"/>
  <c r="B26" i="27"/>
  <c r="C26" i="27" s="1"/>
  <c r="D26" i="27"/>
  <c r="E26" i="27"/>
  <c r="B27" i="27"/>
  <c r="C27" i="27" s="1"/>
  <c r="D27" i="27"/>
  <c r="E27" i="27"/>
  <c r="B28" i="27"/>
  <c r="C28" i="27" s="1"/>
  <c r="D28" i="27"/>
  <c r="E28" i="27"/>
  <c r="B29" i="27"/>
  <c r="C29" i="27" s="1"/>
  <c r="D29" i="27"/>
  <c r="E29" i="27"/>
  <c r="B30" i="27"/>
  <c r="C30" i="27" s="1"/>
  <c r="D30" i="27"/>
  <c r="E30" i="27"/>
  <c r="B31" i="27"/>
  <c r="C31" i="27" s="1"/>
  <c r="D31" i="27"/>
  <c r="E31" i="27"/>
  <c r="B32" i="27"/>
  <c r="C32" i="27" s="1"/>
  <c r="D32" i="27"/>
  <c r="E32" i="27"/>
  <c r="B33" i="27"/>
  <c r="C33" i="27" s="1"/>
  <c r="D33" i="27"/>
  <c r="E33" i="27"/>
  <c r="B34" i="27"/>
  <c r="C34" i="27" s="1"/>
  <c r="D34" i="27"/>
  <c r="E34" i="27"/>
  <c r="B35" i="27"/>
  <c r="C35" i="27" s="1"/>
  <c r="D35" i="27"/>
  <c r="E35" i="27"/>
  <c r="B36" i="27"/>
  <c r="C36" i="27" s="1"/>
  <c r="D36" i="27"/>
  <c r="E36" i="27"/>
  <c r="B37" i="27"/>
  <c r="C37" i="27" s="1"/>
  <c r="D37" i="27"/>
  <c r="E37" i="27"/>
  <c r="B38" i="27"/>
  <c r="C38" i="27" s="1"/>
  <c r="D38" i="27"/>
  <c r="E38" i="27"/>
  <c r="B39" i="27"/>
  <c r="C39" i="27" s="1"/>
  <c r="D39" i="27"/>
  <c r="E39" i="27"/>
  <c r="B40" i="27"/>
  <c r="C40" i="27" s="1"/>
  <c r="D40" i="27"/>
  <c r="E40" i="27"/>
  <c r="B41" i="27"/>
  <c r="C41" i="27" s="1"/>
  <c r="D41" i="27"/>
  <c r="E41" i="27"/>
  <c r="B42" i="27"/>
  <c r="C42" i="27" s="1"/>
  <c r="D42" i="27"/>
  <c r="E42" i="27"/>
  <c r="B43" i="27"/>
  <c r="C43" i="27" s="1"/>
  <c r="D43" i="27"/>
  <c r="E43" i="27"/>
  <c r="B44" i="27"/>
  <c r="C44" i="27" s="1"/>
  <c r="D44" i="27"/>
  <c r="E44" i="27"/>
  <c r="B45" i="27"/>
  <c r="C45" i="27" s="1"/>
  <c r="D45" i="27"/>
  <c r="E45" i="27"/>
  <c r="B46" i="27"/>
  <c r="C46" i="27" s="1"/>
  <c r="D46" i="27"/>
  <c r="E46" i="27"/>
  <c r="B47" i="27"/>
  <c r="C47" i="27" s="1"/>
  <c r="D47" i="27"/>
  <c r="E47" i="27"/>
  <c r="B48" i="27"/>
  <c r="C48" i="27" s="1"/>
  <c r="D48" i="27"/>
  <c r="E48" i="27"/>
  <c r="B49" i="27"/>
  <c r="C49" i="27" s="1"/>
  <c r="D49" i="27"/>
  <c r="E49" i="27"/>
  <c r="B50" i="27"/>
  <c r="C50" i="27" s="1"/>
  <c r="D50" i="27"/>
  <c r="E50" i="27"/>
  <c r="B51" i="27"/>
  <c r="C51" i="27" s="1"/>
  <c r="D51" i="27"/>
  <c r="E51" i="27"/>
  <c r="B52" i="27"/>
  <c r="C52" i="27" s="1"/>
  <c r="D52" i="27"/>
  <c r="E52" i="27"/>
  <c r="B53" i="27"/>
  <c r="C53" i="27" s="1"/>
  <c r="D53" i="27"/>
  <c r="E53" i="27"/>
  <c r="B54" i="27"/>
  <c r="C54" i="27" s="1"/>
  <c r="D54" i="27"/>
  <c r="E54" i="27"/>
  <c r="B55" i="27"/>
  <c r="C55" i="27" s="1"/>
  <c r="D55" i="27"/>
  <c r="E55" i="27"/>
  <c r="B56" i="27"/>
  <c r="C56" i="27" s="1"/>
  <c r="D56" i="27"/>
  <c r="E56" i="27"/>
  <c r="B57" i="27"/>
  <c r="C57" i="27" s="1"/>
  <c r="D57" i="27"/>
  <c r="E57" i="27"/>
  <c r="B58" i="27"/>
  <c r="C58" i="27" s="1"/>
  <c r="D58" i="27"/>
  <c r="E58" i="27"/>
  <c r="B59" i="27"/>
  <c r="C59" i="27" s="1"/>
  <c r="D59" i="27"/>
  <c r="E59" i="27"/>
  <c r="B60" i="27"/>
  <c r="C60" i="27" s="1"/>
  <c r="D60" i="27"/>
  <c r="E60" i="27"/>
  <c r="B61" i="27"/>
  <c r="C61" i="27" s="1"/>
  <c r="D61" i="27"/>
  <c r="E61" i="27"/>
  <c r="B62" i="27"/>
  <c r="C62" i="27" s="1"/>
  <c r="D62" i="27"/>
  <c r="E62" i="27"/>
  <c r="B63" i="27"/>
  <c r="C63" i="27" s="1"/>
  <c r="D63" i="27"/>
  <c r="E63" i="27"/>
  <c r="B64" i="27"/>
  <c r="C64" i="27" s="1"/>
  <c r="D64" i="27"/>
  <c r="E64" i="27"/>
  <c r="B65" i="27"/>
  <c r="C65" i="27" s="1"/>
  <c r="D65" i="27"/>
  <c r="E65" i="27"/>
  <c r="B66" i="27"/>
  <c r="C66" i="27" s="1"/>
  <c r="D66" i="27"/>
  <c r="E66" i="27"/>
  <c r="B67" i="27"/>
  <c r="C67" i="27" s="1"/>
  <c r="D67" i="27"/>
  <c r="E67" i="27"/>
  <c r="B68" i="27"/>
  <c r="C68" i="27" s="1"/>
  <c r="D68" i="27"/>
  <c r="E68" i="27"/>
  <c r="B69" i="27"/>
  <c r="C69" i="27" s="1"/>
  <c r="D69" i="27"/>
  <c r="E69" i="27"/>
  <c r="B70" i="27"/>
  <c r="C70" i="27" s="1"/>
  <c r="D70" i="27"/>
  <c r="E70" i="27"/>
  <c r="B71" i="27"/>
  <c r="C71" i="27" s="1"/>
  <c r="D71" i="27"/>
  <c r="E71" i="27"/>
  <c r="B72" i="27"/>
  <c r="C72" i="27" s="1"/>
  <c r="D72" i="27"/>
  <c r="E72" i="27"/>
  <c r="B73" i="27"/>
  <c r="C73" i="27" s="1"/>
  <c r="D73" i="27"/>
  <c r="E73" i="27"/>
  <c r="B74" i="27"/>
  <c r="C74" i="27" s="1"/>
  <c r="D74" i="27"/>
  <c r="E74" i="27"/>
  <c r="B75" i="27"/>
  <c r="C75" i="27" s="1"/>
  <c r="D75" i="27"/>
  <c r="E75" i="27"/>
  <c r="B76" i="27"/>
  <c r="C76" i="27" s="1"/>
  <c r="D76" i="27"/>
  <c r="E76" i="27"/>
  <c r="B77" i="27"/>
  <c r="C77" i="27" s="1"/>
  <c r="D77" i="27"/>
  <c r="E77" i="27"/>
  <c r="B78" i="27"/>
  <c r="C78" i="27" s="1"/>
  <c r="D78" i="27"/>
  <c r="E78" i="27"/>
  <c r="B79" i="27"/>
  <c r="C79" i="27" s="1"/>
  <c r="D79" i="27"/>
  <c r="E79" i="27"/>
  <c r="B80" i="27"/>
  <c r="C80" i="27" s="1"/>
  <c r="D80" i="27"/>
  <c r="E80" i="27"/>
  <c r="B81" i="27"/>
  <c r="C81" i="27" s="1"/>
  <c r="D81" i="27"/>
  <c r="E81" i="27"/>
  <c r="B82" i="27"/>
  <c r="C82" i="27" s="1"/>
  <c r="D82" i="27"/>
  <c r="E82" i="27"/>
  <c r="B83" i="27"/>
  <c r="C83" i="27" s="1"/>
  <c r="D83" i="27"/>
  <c r="E83" i="27"/>
  <c r="B84" i="27"/>
  <c r="C84" i="27" s="1"/>
  <c r="D84" i="27"/>
  <c r="E84" i="27"/>
  <c r="B85" i="27"/>
  <c r="C85" i="27" s="1"/>
  <c r="D85" i="27"/>
  <c r="E85" i="27"/>
  <c r="B86" i="27"/>
  <c r="C86" i="27" s="1"/>
  <c r="D86" i="27"/>
  <c r="E86" i="27"/>
  <c r="B87" i="27"/>
  <c r="C87" i="27" s="1"/>
  <c r="D87" i="27"/>
  <c r="E87" i="27"/>
  <c r="B88" i="27"/>
  <c r="C88" i="27" s="1"/>
  <c r="D88" i="27"/>
  <c r="E88" i="27"/>
  <c r="B89" i="27"/>
  <c r="C89" i="27" s="1"/>
  <c r="D89" i="27"/>
  <c r="E89" i="27"/>
  <c r="B90" i="27"/>
  <c r="C90" i="27" s="1"/>
  <c r="D90" i="27"/>
  <c r="E90" i="27"/>
  <c r="B91" i="27"/>
  <c r="C91" i="27" s="1"/>
  <c r="D91" i="27"/>
  <c r="E91" i="27"/>
  <c r="B92" i="27"/>
  <c r="C92" i="27" s="1"/>
  <c r="D92" i="27"/>
  <c r="E92" i="27"/>
  <c r="B93" i="27"/>
  <c r="C93" i="27" s="1"/>
  <c r="D93" i="27"/>
  <c r="E93" i="27"/>
  <c r="B94" i="27"/>
  <c r="C94" i="27" s="1"/>
  <c r="D94" i="27"/>
  <c r="E94" i="27"/>
  <c r="B95" i="27"/>
  <c r="C95" i="27" s="1"/>
  <c r="D95" i="27"/>
  <c r="E95" i="27"/>
  <c r="B96" i="27"/>
  <c r="C96" i="27" s="1"/>
  <c r="D96" i="27"/>
  <c r="E96" i="27"/>
  <c r="B97" i="27"/>
  <c r="C97" i="27" s="1"/>
  <c r="D97" i="27"/>
  <c r="E97" i="27"/>
  <c r="B98" i="27"/>
  <c r="C98" i="27" s="1"/>
  <c r="D98" i="27"/>
  <c r="E98" i="27"/>
  <c r="B99" i="27"/>
  <c r="C99" i="27" s="1"/>
  <c r="D99" i="27"/>
  <c r="E99" i="27"/>
  <c r="B100" i="27"/>
  <c r="C100" i="27" s="1"/>
  <c r="D100" i="27"/>
  <c r="E100" i="27"/>
  <c r="B101" i="27"/>
  <c r="C101" i="27" s="1"/>
  <c r="D101" i="27"/>
  <c r="E101" i="27"/>
  <c r="B102" i="27"/>
  <c r="C102" i="27" s="1"/>
  <c r="D102" i="27"/>
  <c r="E102" i="27"/>
  <c r="B103" i="27"/>
  <c r="C103" i="27" s="1"/>
  <c r="D103" i="27"/>
  <c r="E103" i="27"/>
  <c r="B104" i="27"/>
  <c r="C104" i="27" s="1"/>
  <c r="D104" i="27"/>
  <c r="E104" i="27"/>
  <c r="B105" i="27"/>
  <c r="C105" i="27" s="1"/>
  <c r="D105" i="27"/>
  <c r="E105" i="27"/>
  <c r="B106" i="27"/>
  <c r="C106" i="27" s="1"/>
  <c r="D106" i="27"/>
  <c r="E106" i="27"/>
  <c r="B107" i="27"/>
  <c r="C107" i="27" s="1"/>
  <c r="D107" i="27"/>
  <c r="E107" i="27"/>
  <c r="B108" i="27"/>
  <c r="C108" i="27" s="1"/>
  <c r="D108" i="27"/>
  <c r="E108" i="27"/>
  <c r="B109" i="27"/>
  <c r="C109" i="27" s="1"/>
  <c r="D109" i="27"/>
  <c r="E109" i="27"/>
  <c r="B110" i="27"/>
  <c r="C110" i="27" s="1"/>
  <c r="D110" i="27"/>
  <c r="E110" i="27"/>
  <c r="B111" i="27"/>
  <c r="C111" i="27" s="1"/>
  <c r="D111" i="27"/>
  <c r="E111" i="27"/>
  <c r="B112" i="27"/>
  <c r="C112" i="27" s="1"/>
  <c r="D112" i="27"/>
  <c r="E112" i="27"/>
  <c r="B113" i="27"/>
  <c r="C113" i="27" s="1"/>
  <c r="D113" i="27"/>
  <c r="E113" i="27"/>
  <c r="B114" i="27"/>
  <c r="C114" i="27" s="1"/>
  <c r="D114" i="27"/>
  <c r="E114" i="27"/>
  <c r="AD66" i="26"/>
  <c r="AD67" i="26"/>
  <c r="AD68" i="26"/>
  <c r="AD69" i="26"/>
  <c r="AD70" i="26"/>
  <c r="AD71" i="26"/>
  <c r="AD72" i="26"/>
  <c r="AD73" i="26"/>
  <c r="AD74" i="26"/>
  <c r="AD75" i="26"/>
  <c r="AD76" i="26"/>
  <c r="AD77" i="26"/>
  <c r="AD78" i="26"/>
  <c r="AD79" i="26"/>
  <c r="AD80" i="26"/>
  <c r="AD81" i="26"/>
  <c r="AD82" i="26"/>
  <c r="AD83" i="26"/>
  <c r="AD84" i="26"/>
  <c r="AD85" i="26"/>
  <c r="AD86" i="26"/>
  <c r="AD87" i="26"/>
  <c r="AD88" i="26"/>
  <c r="AD89" i="26"/>
  <c r="AD90" i="26"/>
  <c r="AD91" i="26"/>
  <c r="AD92" i="26"/>
  <c r="AD93" i="26"/>
  <c r="AD94" i="26"/>
  <c r="AD95" i="26"/>
  <c r="AD96" i="26"/>
  <c r="AD97" i="26"/>
  <c r="AD98" i="26"/>
  <c r="AD99" i="26"/>
  <c r="AD100" i="26"/>
  <c r="AD101" i="26"/>
  <c r="AD102" i="26"/>
  <c r="AD103" i="26"/>
  <c r="AD104" i="26"/>
  <c r="AD105" i="26"/>
  <c r="AD106" i="26"/>
  <c r="D67" i="28" s="1"/>
  <c r="AD107" i="26"/>
  <c r="D68" i="28" s="1"/>
  <c r="AD108" i="26"/>
  <c r="D69" i="28" s="1"/>
  <c r="AD109" i="26"/>
  <c r="D70" i="28" s="1"/>
  <c r="AD110" i="26"/>
  <c r="D71" i="28" s="1"/>
  <c r="AD111" i="26"/>
  <c r="D72" i="28" s="1"/>
  <c r="AD112" i="26"/>
  <c r="D73" i="28" s="1"/>
  <c r="AD113" i="26"/>
  <c r="D74" i="28" s="1"/>
  <c r="AD114" i="26"/>
  <c r="D75" i="28" s="1"/>
  <c r="AD115" i="26"/>
  <c r="D76" i="28" s="1"/>
  <c r="AD116" i="26"/>
  <c r="D77" i="28" s="1"/>
  <c r="AD117" i="26"/>
  <c r="D78" i="28" s="1"/>
  <c r="AD118" i="26"/>
  <c r="D79" i="28" s="1"/>
  <c r="AD119" i="26"/>
  <c r="D80" i="28" s="1"/>
  <c r="AD120" i="26"/>
  <c r="D81" i="28" s="1"/>
  <c r="AD121" i="26"/>
  <c r="D82" i="28" s="1"/>
  <c r="AD122" i="26"/>
  <c r="D83" i="28" s="1"/>
  <c r="AD123" i="26"/>
  <c r="D84" i="28" s="1"/>
  <c r="AD124" i="26"/>
  <c r="D85" i="28" s="1"/>
  <c r="AD125" i="26"/>
  <c r="D86" i="28" s="1"/>
  <c r="AD126" i="26"/>
  <c r="D87" i="28" s="1"/>
  <c r="AD127" i="26"/>
  <c r="D88" i="28" s="1"/>
  <c r="AD128" i="26"/>
  <c r="D89" i="28" s="1"/>
  <c r="AD129" i="26"/>
  <c r="D90" i="28" s="1"/>
  <c r="AD130" i="26"/>
  <c r="D91" i="28" s="1"/>
  <c r="AD131" i="26"/>
  <c r="D92" i="28" s="1"/>
  <c r="AD132" i="26"/>
  <c r="D93" i="28" s="1"/>
  <c r="AD133" i="26"/>
  <c r="D94" i="28" s="1"/>
  <c r="AD134" i="26"/>
  <c r="D95" i="28" s="1"/>
  <c r="AD135" i="26"/>
  <c r="D96" i="28" s="1"/>
  <c r="AD136" i="26"/>
  <c r="D97" i="28" s="1"/>
  <c r="AD137" i="26"/>
  <c r="D98" i="28" s="1"/>
  <c r="AD138" i="26"/>
  <c r="D99" i="28" s="1"/>
  <c r="AD139" i="26"/>
  <c r="D100" i="28" s="1"/>
  <c r="AD140" i="26"/>
  <c r="D101" i="28" s="1"/>
  <c r="AD141" i="26"/>
  <c r="D102" i="28" s="1"/>
  <c r="AD142" i="26"/>
  <c r="D103" i="28" s="1"/>
  <c r="AD143" i="26"/>
  <c r="D104" i="28" s="1"/>
  <c r="AD144" i="26"/>
  <c r="D105" i="28" s="1"/>
  <c r="AD145" i="26"/>
  <c r="D106" i="28" s="1"/>
  <c r="AD146" i="26"/>
  <c r="D107" i="28" s="1"/>
  <c r="AD147" i="26"/>
  <c r="D108" i="28" s="1"/>
  <c r="AD148" i="26"/>
  <c r="D109" i="28" s="1"/>
  <c r="AD149" i="26"/>
  <c r="D110" i="28" s="1"/>
  <c r="AD150" i="26"/>
  <c r="D111" i="28" s="1"/>
  <c r="AD151" i="26"/>
  <c r="D112" i="28" s="1"/>
  <c r="AD152" i="26"/>
  <c r="D113" i="28" s="1"/>
  <c r="AD153" i="26"/>
  <c r="D114" i="28" s="1"/>
  <c r="AD154" i="26"/>
  <c r="D115" i="28" s="1"/>
  <c r="AD64" i="26"/>
  <c r="AD62" i="26"/>
  <c r="AD63" i="26"/>
  <c r="AD59" i="26"/>
  <c r="AD60" i="26"/>
  <c r="AD57" i="26"/>
  <c r="AD58" i="26"/>
  <c r="AD55" i="26"/>
  <c r="AD56" i="26"/>
  <c r="AD61" i="26"/>
  <c r="AD65" i="26"/>
  <c r="B16" i="28"/>
  <c r="B15" i="27"/>
  <c r="E15" i="27"/>
  <c r="A17" i="28"/>
  <c r="A18" i="28" s="1"/>
  <c r="A19" i="28" s="1"/>
  <c r="A20" i="28" s="1"/>
  <c r="A21" i="28" s="1"/>
  <c r="A22" i="28" s="1"/>
  <c r="A23" i="28" s="1"/>
  <c r="A24" i="28" s="1"/>
  <c r="A25" i="28" s="1"/>
  <c r="A26" i="28" s="1"/>
  <c r="A27" i="28" s="1"/>
  <c r="A28" i="28" s="1"/>
  <c r="A29" i="28" s="1"/>
  <c r="A30" i="28" s="1"/>
  <c r="A31" i="28" s="1"/>
  <c r="A32" i="28" s="1"/>
  <c r="A33" i="28" s="1"/>
  <c r="A34" i="28" s="1"/>
  <c r="A35" i="28" s="1"/>
  <c r="A36" i="28" s="1"/>
  <c r="A37" i="28" s="1"/>
  <c r="A38" i="28" s="1"/>
  <c r="A39" i="28" s="1"/>
  <c r="A40" i="28" s="1"/>
  <c r="A41" i="28" s="1"/>
  <c r="A42" i="28" s="1"/>
  <c r="A43" i="28" s="1"/>
  <c r="A44" i="28" s="1"/>
  <c r="A45" i="28" s="1"/>
  <c r="A46" i="28" s="1"/>
  <c r="A47" i="28" s="1"/>
  <c r="A48" i="28" s="1"/>
  <c r="A49" i="28" s="1"/>
  <c r="A50" i="28" s="1"/>
  <c r="A51" i="28" s="1"/>
  <c r="A52" i="28" s="1"/>
  <c r="A53" i="28" s="1"/>
  <c r="A54" i="28" s="1"/>
  <c r="A55" i="28" s="1"/>
  <c r="A56" i="28" s="1"/>
  <c r="A57" i="28" s="1"/>
  <c r="A58" i="28" s="1"/>
  <c r="A59" i="28" s="1"/>
  <c r="A60" i="28" s="1"/>
  <c r="A61" i="28" s="1"/>
  <c r="A62" i="28" s="1"/>
  <c r="A63" i="28" s="1"/>
  <c r="A64" i="28" s="1"/>
  <c r="A65" i="28" s="1"/>
  <c r="A66" i="28" s="1"/>
  <c r="A67" i="28" s="1"/>
  <c r="A68" i="28" s="1"/>
  <c r="A69" i="28" s="1"/>
  <c r="A70" i="28" s="1"/>
  <c r="A71" i="28" s="1"/>
  <c r="A72" i="28" s="1"/>
  <c r="A73" i="28" s="1"/>
  <c r="A74" i="28" s="1"/>
  <c r="A75" i="28" s="1"/>
  <c r="A76" i="28" s="1"/>
  <c r="A77" i="28" s="1"/>
  <c r="A78" i="28" s="1"/>
  <c r="A79" i="28" s="1"/>
  <c r="A80" i="28" s="1"/>
  <c r="A81" i="28" s="1"/>
  <c r="A82" i="28" s="1"/>
  <c r="A83" i="28" s="1"/>
  <c r="A84" i="28" s="1"/>
  <c r="A85" i="28" s="1"/>
  <c r="A86" i="28" s="1"/>
  <c r="A87" i="28" s="1"/>
  <c r="A88" i="28" s="1"/>
  <c r="A89" i="28" s="1"/>
  <c r="A90" i="28" s="1"/>
  <c r="A91" i="28" s="1"/>
  <c r="A92" i="28" s="1"/>
  <c r="A93" i="28" s="1"/>
  <c r="A94" i="28" s="1"/>
  <c r="A95" i="28" s="1"/>
  <c r="A96" i="28" s="1"/>
  <c r="A97" i="28" s="1"/>
  <c r="A98" i="28" s="1"/>
  <c r="A99" i="28" s="1"/>
  <c r="A100" i="28" s="1"/>
  <c r="A101" i="28" s="1"/>
  <c r="A102" i="28" s="1"/>
  <c r="A103" i="28" s="1"/>
  <c r="A104" i="28" s="1"/>
  <c r="A105" i="28" s="1"/>
  <c r="A106" i="28" s="1"/>
  <c r="A107" i="28" s="1"/>
  <c r="A108" i="28" s="1"/>
  <c r="A109" i="28" s="1"/>
  <c r="A110" i="28" s="1"/>
  <c r="A111" i="28" s="1"/>
  <c r="A112" i="28" s="1"/>
  <c r="A113" i="28" s="1"/>
  <c r="A114" i="28" s="1"/>
  <c r="A115" i="28" s="1"/>
  <c r="A116" i="28" s="1"/>
  <c r="A117" i="28" s="1"/>
  <c r="A118" i="28" s="1"/>
  <c r="A119" i="28" s="1"/>
  <c r="A120" i="28" s="1"/>
  <c r="A121" i="28" s="1"/>
  <c r="A122" i="28" s="1"/>
  <c r="A123" i="28" s="1"/>
  <c r="A124" i="28" s="1"/>
  <c r="A125" i="28" s="1"/>
  <c r="A126" i="28" s="1"/>
  <c r="A127" i="28" s="1"/>
  <c r="A128" i="28" s="1"/>
  <c r="A129" i="28" s="1"/>
  <c r="A130" i="28" s="1"/>
  <c r="A131" i="28" s="1"/>
  <c r="A132" i="28" s="1"/>
  <c r="A133" i="28" s="1"/>
  <c r="A134" i="28" s="1"/>
  <c r="A135" i="28" s="1"/>
  <c r="A136" i="28" s="1"/>
  <c r="A137" i="28" s="1"/>
  <c r="A138" i="28" s="1"/>
  <c r="A139" i="28" s="1"/>
  <c r="A140" i="28" s="1"/>
  <c r="A141" i="28" s="1"/>
  <c r="A142" i="28" s="1"/>
  <c r="A143" i="28" s="1"/>
  <c r="A144" i="28" s="1"/>
  <c r="A145" i="28" s="1"/>
  <c r="A146" i="28" s="1"/>
  <c r="A147" i="28" s="1"/>
  <c r="A148" i="28" s="1"/>
  <c r="A149" i="28" s="1"/>
  <c r="A150" i="28" s="1"/>
  <c r="A151" i="28" s="1"/>
  <c r="A152" i="28" s="1"/>
  <c r="A153" i="28" s="1"/>
  <c r="A154" i="28" s="1"/>
  <c r="A155" i="28" s="1"/>
  <c r="A156" i="28" s="1"/>
  <c r="A157" i="28" s="1"/>
  <c r="A158" i="28" s="1"/>
  <c r="A159" i="28" s="1"/>
  <c r="A160" i="28" s="1"/>
  <c r="A161" i="28" s="1"/>
  <c r="A162" i="28" s="1"/>
  <c r="A163" i="28" s="1"/>
  <c r="A164" i="28" s="1"/>
  <c r="A165" i="28" s="1"/>
  <c r="A166" i="28" s="1"/>
  <c r="A167" i="28" s="1"/>
  <c r="A168" i="28" s="1"/>
  <c r="A169" i="28" s="1"/>
  <c r="A170" i="28" s="1"/>
  <c r="A171" i="28" s="1"/>
  <c r="A172" i="28" s="1"/>
  <c r="A173" i="28" s="1"/>
  <c r="A174" i="28" s="1"/>
  <c r="A175" i="28" s="1"/>
  <c r="A176" i="28" s="1"/>
  <c r="A177" i="28" s="1"/>
  <c r="A178" i="28" s="1"/>
  <c r="A179" i="28" s="1"/>
  <c r="A180" i="28" s="1"/>
  <c r="A181" i="28" s="1"/>
  <c r="A182" i="28" s="1"/>
  <c r="A183" i="28" s="1"/>
  <c r="A184" i="28" s="1"/>
  <c r="A185" i="28" s="1"/>
  <c r="A186" i="28" s="1"/>
  <c r="A187" i="28" s="1"/>
  <c r="A188" i="28" s="1"/>
  <c r="A189" i="28" s="1"/>
  <c r="A190" i="28" s="1"/>
  <c r="A191" i="28" s="1"/>
  <c r="A192" i="28" s="1"/>
  <c r="A193" i="28" s="1"/>
  <c r="A194" i="28" s="1"/>
  <c r="A195" i="28" s="1"/>
  <c r="A196" i="28" s="1"/>
  <c r="A197" i="28" s="1"/>
  <c r="A198" i="28" s="1"/>
  <c r="H23" i="26"/>
  <c r="H41" i="26"/>
  <c r="H42" i="26"/>
  <c r="H32" i="26"/>
  <c r="H33" i="26"/>
  <c r="H34" i="26"/>
  <c r="H35" i="26"/>
  <c r="H36" i="26"/>
  <c r="H37" i="26"/>
  <c r="H38" i="26"/>
  <c r="H39" i="26"/>
  <c r="H40" i="26"/>
  <c r="C16" i="28"/>
  <c r="A16" i="27"/>
  <c r="A17" i="27" s="1"/>
  <c r="A18" i="27" s="1"/>
  <c r="A19" i="27" s="1"/>
  <c r="A20" i="27" s="1"/>
  <c r="A21" i="27" s="1"/>
  <c r="A22" i="27" s="1"/>
  <c r="A23" i="27" s="1"/>
  <c r="A24" i="27" s="1"/>
  <c r="A25" i="27" s="1"/>
  <c r="A26" i="27" s="1"/>
  <c r="A27" i="27" s="1"/>
  <c r="A28" i="27" s="1"/>
  <c r="A29" i="27" s="1"/>
  <c r="A30" i="27" s="1"/>
  <c r="A31" i="27" s="1"/>
  <c r="A32" i="27" s="1"/>
  <c r="A33" i="27" s="1"/>
  <c r="A34" i="27" s="1"/>
  <c r="A35" i="27" s="1"/>
  <c r="A36" i="27" s="1"/>
  <c r="A37" i="27" s="1"/>
  <c r="A38" i="27" s="1"/>
  <c r="A39" i="27" s="1"/>
  <c r="A40" i="27" s="1"/>
  <c r="A41" i="27" s="1"/>
  <c r="A42" i="27" s="1"/>
  <c r="A43" i="27" s="1"/>
  <c r="A44" i="27" s="1"/>
  <c r="A45" i="27" s="1"/>
  <c r="A46" i="27" s="1"/>
  <c r="A47" i="27" s="1"/>
  <c r="A48" i="27" s="1"/>
  <c r="A49" i="27" s="1"/>
  <c r="A50" i="27" s="1"/>
  <c r="A51" i="27" s="1"/>
  <c r="A52" i="27" s="1"/>
  <c r="A53" i="27" s="1"/>
  <c r="A54" i="27" s="1"/>
  <c r="A55" i="27" s="1"/>
  <c r="A56" i="27" s="1"/>
  <c r="A57" i="27" s="1"/>
  <c r="A58" i="27" s="1"/>
  <c r="A59" i="27" s="1"/>
  <c r="A60" i="27" s="1"/>
  <c r="A61" i="27" s="1"/>
  <c r="A62" i="27" s="1"/>
  <c r="A63" i="27" s="1"/>
  <c r="A64" i="27" s="1"/>
  <c r="A65" i="27" s="1"/>
  <c r="A66" i="27" s="1"/>
  <c r="A67" i="27" s="1"/>
  <c r="A68" i="27" s="1"/>
  <c r="A69" i="27" s="1"/>
  <c r="A70" i="27" s="1"/>
  <c r="A71" i="27" s="1"/>
  <c r="A72" i="27" s="1"/>
  <c r="A73" i="27" s="1"/>
  <c r="A74" i="27" s="1"/>
  <c r="A75" i="27" s="1"/>
  <c r="A76" i="27" s="1"/>
  <c r="A77" i="27" s="1"/>
  <c r="A78" i="27" s="1"/>
  <c r="A79" i="27" s="1"/>
  <c r="A80" i="27" s="1"/>
  <c r="A81" i="27" s="1"/>
  <c r="A82" i="27" s="1"/>
  <c r="A83" i="27" s="1"/>
  <c r="A84" i="27" s="1"/>
  <c r="A85" i="27" s="1"/>
  <c r="A86" i="27" s="1"/>
  <c r="A87" i="27" s="1"/>
  <c r="A88" i="27" s="1"/>
  <c r="A89" i="27" s="1"/>
  <c r="A90" i="27" s="1"/>
  <c r="A91" i="27" s="1"/>
  <c r="A92" i="27" s="1"/>
  <c r="A93" i="27" s="1"/>
  <c r="A94" i="27" s="1"/>
  <c r="A95" i="27" s="1"/>
  <c r="A96" i="27" s="1"/>
  <c r="A97" i="27" s="1"/>
  <c r="A98" i="27" s="1"/>
  <c r="A99" i="27" s="1"/>
  <c r="A100" i="27" s="1"/>
  <c r="A101" i="27" s="1"/>
  <c r="A102" i="27" s="1"/>
  <c r="A103" i="27" s="1"/>
  <c r="A104" i="27" s="1"/>
  <c r="A105" i="27" s="1"/>
  <c r="A106" i="27" s="1"/>
  <c r="A107" i="27" s="1"/>
  <c r="A108" i="27" s="1"/>
  <c r="A109" i="27" s="1"/>
  <c r="A110" i="27" s="1"/>
  <c r="A111" i="27" s="1"/>
  <c r="A112" i="27" s="1"/>
  <c r="A113" i="27" s="1"/>
  <c r="A114" i="27" s="1"/>
  <c r="A115" i="27" s="1"/>
  <c r="A116" i="27" s="1"/>
  <c r="A117" i="27" s="1"/>
  <c r="A118" i="27" s="1"/>
  <c r="A119" i="27" s="1"/>
  <c r="A120" i="27" s="1"/>
  <c r="A121" i="27" s="1"/>
  <c r="A122" i="27" s="1"/>
  <c r="A123" i="27" s="1"/>
  <c r="A124" i="27" s="1"/>
  <c r="A125" i="27" s="1"/>
  <c r="A126" i="27" s="1"/>
  <c r="A127" i="27" s="1"/>
  <c r="A128" i="27" s="1"/>
  <c r="A129" i="27" s="1"/>
  <c r="A130" i="27" s="1"/>
  <c r="A131" i="27" s="1"/>
  <c r="A132" i="27" s="1"/>
  <c r="A133" i="27" s="1"/>
  <c r="A134" i="27" s="1"/>
  <c r="A135" i="27" s="1"/>
  <c r="A136" i="27" s="1"/>
  <c r="A137" i="27" s="1"/>
  <c r="A138" i="27" s="1"/>
  <c r="A139" i="27" s="1"/>
  <c r="A140" i="27" s="1"/>
  <c r="A141" i="27" s="1"/>
  <c r="A142" i="27" s="1"/>
  <c r="A143" i="27" s="1"/>
  <c r="A144" i="27" s="1"/>
  <c r="A145" i="27" s="1"/>
  <c r="A146" i="27" s="1"/>
  <c r="A147" i="27" s="1"/>
  <c r="A148" i="27" s="1"/>
  <c r="A149" i="27" s="1"/>
  <c r="A150" i="27" s="1"/>
  <c r="A151" i="27" s="1"/>
  <c r="A152" i="27" s="1"/>
  <c r="A153" i="27" s="1"/>
  <c r="A154" i="27" s="1"/>
  <c r="A155" i="27" s="1"/>
  <c r="A156" i="27" s="1"/>
  <c r="A157" i="27" s="1"/>
  <c r="A158" i="27" s="1"/>
  <c r="A159" i="27" s="1"/>
  <c r="A160" i="27" s="1"/>
  <c r="A161" i="27" s="1"/>
  <c r="A162" i="27" s="1"/>
  <c r="A163" i="27" s="1"/>
  <c r="A164" i="27" s="1"/>
  <c r="A165" i="27" s="1"/>
  <c r="A166" i="27" s="1"/>
  <c r="A167" i="27" s="1"/>
  <c r="A168" i="27" s="1"/>
  <c r="A169" i="27" s="1"/>
  <c r="A170" i="27" s="1"/>
  <c r="A171" i="27" s="1"/>
  <c r="A172" i="27" s="1"/>
  <c r="A173" i="27" s="1"/>
  <c r="A174" i="27" s="1"/>
  <c r="A175" i="27" s="1"/>
  <c r="A176" i="27" s="1"/>
  <c r="A177" i="27" s="1"/>
  <c r="A178" i="27" s="1"/>
  <c r="A179" i="27" s="1"/>
  <c r="A180" i="27" s="1"/>
  <c r="A181" i="27" s="1"/>
  <c r="A182" i="27" s="1"/>
  <c r="A183" i="27" s="1"/>
  <c r="A184" i="27" s="1"/>
  <c r="A185" i="27" s="1"/>
  <c r="A186" i="27" s="1"/>
  <c r="A187" i="27" s="1"/>
  <c r="A188" i="27" s="1"/>
  <c r="A189" i="27" s="1"/>
  <c r="A190" i="27" s="1"/>
  <c r="A191" i="27" s="1"/>
  <c r="A192" i="27" s="1"/>
  <c r="A193" i="27" s="1"/>
  <c r="A194" i="27" s="1"/>
  <c r="A195" i="27" s="1"/>
  <c r="A196" i="27" s="1"/>
  <c r="A197" i="27" s="1"/>
  <c r="A198" i="27" s="1"/>
  <c r="A199" i="27" s="1"/>
  <c r="A200" i="27" s="1"/>
  <c r="A56" i="26"/>
  <c r="A57" i="26" s="1"/>
  <c r="A58" i="26" s="1"/>
  <c r="A59" i="26" s="1"/>
  <c r="A60" i="26" s="1"/>
  <c r="A61" i="26" s="1"/>
  <c r="A62" i="26" s="1"/>
  <c r="A63" i="26" s="1"/>
  <c r="A64" i="26" s="1"/>
  <c r="A65" i="26" s="1"/>
  <c r="A66" i="26" s="1"/>
  <c r="A67" i="26" s="1"/>
  <c r="A68" i="26" s="1"/>
  <c r="A69" i="26" s="1"/>
  <c r="A70" i="26" s="1"/>
  <c r="A71" i="26" s="1"/>
  <c r="A72" i="26" s="1"/>
  <c r="A73" i="26" s="1"/>
  <c r="A74" i="26" s="1"/>
  <c r="A75" i="26" s="1"/>
  <c r="A76" i="26" s="1"/>
  <c r="A77" i="26" s="1"/>
  <c r="A78" i="26" s="1"/>
  <c r="A79" i="26" s="1"/>
  <c r="A80" i="26" s="1"/>
  <c r="A81" i="26" s="1"/>
  <c r="A82" i="26" s="1"/>
  <c r="A83" i="26" s="1"/>
  <c r="A84" i="26" s="1"/>
  <c r="A85" i="26" s="1"/>
  <c r="A86" i="26" s="1"/>
  <c r="A87" i="26" s="1"/>
  <c r="A88" i="26" s="1"/>
  <c r="A89" i="26" s="1"/>
  <c r="A90" i="26" s="1"/>
  <c r="A91" i="26" s="1"/>
  <c r="A92" i="26" s="1"/>
  <c r="A93" i="26" s="1"/>
  <c r="A94" i="26" s="1"/>
  <c r="A95" i="26" s="1"/>
  <c r="A96" i="26" s="1"/>
  <c r="A97" i="26" s="1"/>
  <c r="A98" i="26" s="1"/>
  <c r="A99" i="26" s="1"/>
  <c r="A100" i="26" s="1"/>
  <c r="A101" i="26" s="1"/>
  <c r="A102" i="26" s="1"/>
  <c r="A103" i="26" s="1"/>
  <c r="A104" i="26" s="1"/>
  <c r="A105" i="26" s="1"/>
  <c r="A106" i="26" s="1"/>
  <c r="A107" i="26" s="1"/>
  <c r="A108" i="26" s="1"/>
  <c r="A109" i="26" s="1"/>
  <c r="A110" i="26" s="1"/>
  <c r="A111" i="26" s="1"/>
  <c r="A112" i="26" s="1"/>
  <c r="A113" i="26" s="1"/>
  <c r="A114" i="26" s="1"/>
  <c r="A115" i="26" s="1"/>
  <c r="A116" i="26" s="1"/>
  <c r="A117" i="26" s="1"/>
  <c r="A118" i="26" s="1"/>
  <c r="A119" i="26" s="1"/>
  <c r="A120" i="26" s="1"/>
  <c r="A121" i="26" s="1"/>
  <c r="A122" i="26" s="1"/>
  <c r="A123" i="26" s="1"/>
  <c r="A124" i="26" s="1"/>
  <c r="A125" i="26" s="1"/>
  <c r="A126" i="26" s="1"/>
  <c r="A127" i="26" s="1"/>
  <c r="A128" i="26" s="1"/>
  <c r="A129" i="26" s="1"/>
  <c r="A130" i="26" s="1"/>
  <c r="A131" i="26" s="1"/>
  <c r="A132" i="26" s="1"/>
  <c r="A133" i="26" s="1"/>
  <c r="A134" i="26" s="1"/>
  <c r="A135" i="26" s="1"/>
  <c r="A136" i="26" s="1"/>
  <c r="A137" i="26" s="1"/>
  <c r="A138" i="26" s="1"/>
  <c r="A139" i="26" s="1"/>
  <c r="A140" i="26" s="1"/>
  <c r="A141" i="26" s="1"/>
  <c r="A142" i="26" s="1"/>
  <c r="A143" i="26" s="1"/>
  <c r="A144" i="26" s="1"/>
  <c r="A145" i="26" s="1"/>
  <c r="A146" i="26" s="1"/>
  <c r="A147" i="26" s="1"/>
  <c r="A148" i="26" s="1"/>
  <c r="A149" i="26" s="1"/>
  <c r="A150" i="26" s="1"/>
  <c r="A151" i="26" s="1"/>
  <c r="A152" i="26" s="1"/>
  <c r="A153" i="26" s="1"/>
  <c r="A154" i="26" s="1"/>
  <c r="A155" i="26" s="1"/>
  <c r="A156" i="26" s="1"/>
  <c r="A157" i="26" s="1"/>
  <c r="A158" i="26" s="1"/>
  <c r="A159" i="26" s="1"/>
  <c r="A160" i="26" s="1"/>
  <c r="A161" i="26" s="1"/>
  <c r="A162" i="26" s="1"/>
  <c r="A163" i="26" s="1"/>
  <c r="A164" i="26" s="1"/>
  <c r="A165" i="26" s="1"/>
  <c r="A166" i="26" s="1"/>
  <c r="A167" i="26" s="1"/>
  <c r="A168" i="26" s="1"/>
  <c r="A169" i="26" s="1"/>
  <c r="A170" i="26" s="1"/>
  <c r="A171" i="26" s="1"/>
  <c r="A172" i="26" s="1"/>
  <c r="A173" i="26" s="1"/>
  <c r="A174" i="26" s="1"/>
  <c r="A175" i="26" s="1"/>
  <c r="A176" i="26" s="1"/>
  <c r="A177" i="26" s="1"/>
  <c r="A178" i="26" s="1"/>
  <c r="A179" i="26" s="1"/>
  <c r="A180" i="26" s="1"/>
  <c r="A181" i="26" s="1"/>
  <c r="A182" i="26" s="1"/>
  <c r="A183" i="26" s="1"/>
  <c r="A184" i="26" s="1"/>
  <c r="A185" i="26" s="1"/>
  <c r="A186" i="26" s="1"/>
  <c r="A187" i="26" s="1"/>
  <c r="A188" i="26" s="1"/>
  <c r="A189" i="26" s="1"/>
  <c r="A190" i="26" s="1"/>
  <c r="A191" i="26" s="1"/>
  <c r="A192" i="26" s="1"/>
  <c r="A193" i="26" s="1"/>
  <c r="A194" i="26" s="1"/>
  <c r="A195" i="26" s="1"/>
  <c r="A196" i="26" s="1"/>
  <c r="A197" i="26" s="1"/>
  <c r="A198" i="26" s="1"/>
  <c r="A199" i="26" s="1"/>
  <c r="A200" i="26" s="1"/>
  <c r="A201" i="26" s="1"/>
  <c r="A202" i="26" s="1"/>
  <c r="A203" i="26" s="1"/>
  <c r="A204" i="26" s="1"/>
  <c r="A205" i="26" s="1"/>
  <c r="A206" i="26" s="1"/>
  <c r="A207" i="26" s="1"/>
  <c r="A208" i="26" s="1"/>
  <c r="A209" i="26" s="1"/>
  <c r="A210" i="26" s="1"/>
  <c r="A211" i="26" s="1"/>
  <c r="A212" i="26" s="1"/>
  <c r="A213" i="26" s="1"/>
  <c r="A214" i="26" s="1"/>
  <c r="A215" i="26" s="1"/>
  <c r="A216" i="26" s="1"/>
  <c r="A217" i="26" s="1"/>
  <c r="A218" i="26" s="1"/>
  <c r="A219" i="26" s="1"/>
  <c r="A220" i="26" s="1"/>
  <c r="A221" i="26" s="1"/>
  <c r="A222" i="26" s="1"/>
  <c r="A223" i="26" s="1"/>
  <c r="A224" i="26" s="1"/>
  <c r="A225" i="26" s="1"/>
  <c r="A226" i="26" s="1"/>
  <c r="A227" i="26" s="1"/>
  <c r="A228" i="26" s="1"/>
  <c r="A229" i="26" s="1"/>
  <c r="A230" i="26" s="1"/>
  <c r="A231" i="26" s="1"/>
  <c r="A232" i="26" s="1"/>
  <c r="A233" i="26" s="1"/>
  <c r="A234" i="26" s="1"/>
  <c r="A235" i="26" s="1"/>
  <c r="A236" i="26" s="1"/>
  <c r="A237" i="26" s="1"/>
  <c r="A238" i="26" s="1"/>
  <c r="A239" i="26" s="1"/>
  <c r="A240" i="26" s="1"/>
  <c r="A241" i="26" s="1"/>
  <c r="A242" i="26" s="1"/>
  <c r="A243" i="26" s="1"/>
  <c r="A244" i="26" s="1"/>
  <c r="A245" i="26" s="1"/>
  <c r="C7" i="28"/>
  <c r="C6" i="28"/>
  <c r="C5" i="28"/>
  <c r="C4" i="28"/>
  <c r="C3" i="28"/>
  <c r="C2" i="28"/>
  <c r="C1" i="28"/>
  <c r="E7" i="27"/>
  <c r="E2" i="27"/>
  <c r="E3" i="27"/>
  <c r="E4" i="27"/>
  <c r="E5" i="27"/>
  <c r="E6" i="27"/>
  <c r="E1" i="27"/>
  <c r="E45" i="26"/>
  <c r="E44" i="26"/>
  <c r="E43" i="26"/>
  <c r="H24" i="26"/>
  <c r="H25" i="26"/>
  <c r="H26" i="26"/>
  <c r="H27" i="26"/>
  <c r="H28" i="26"/>
  <c r="H29" i="26"/>
  <c r="H30" i="26"/>
  <c r="H31" i="26"/>
  <c r="G150" i="28" l="1"/>
  <c r="T154" i="28"/>
  <c r="Q153" i="28"/>
  <c r="W151" i="28"/>
  <c r="V151" i="28"/>
  <c r="V150" i="28"/>
  <c r="T150" i="28"/>
  <c r="G154" i="28"/>
  <c r="X152" i="28"/>
  <c r="T152" i="28"/>
  <c r="G151" i="28"/>
  <c r="T153" i="28"/>
  <c r="Y153" i="28"/>
  <c r="I149" i="28"/>
  <c r="H149" i="28" s="1"/>
  <c r="I136" i="28"/>
  <c r="H136" i="28" s="1"/>
  <c r="I140" i="28"/>
  <c r="H140" i="28" s="1"/>
  <c r="I144" i="28"/>
  <c r="H144" i="28" s="1"/>
  <c r="I148" i="28"/>
  <c r="H148" i="28" s="1"/>
  <c r="X151" i="28"/>
  <c r="X153" i="28"/>
  <c r="X150" i="28"/>
  <c r="W150" i="28"/>
  <c r="Q150" i="28"/>
  <c r="V154" i="28"/>
  <c r="W154" i="28"/>
  <c r="Q154" i="28"/>
  <c r="V152" i="28"/>
  <c r="W152" i="28"/>
  <c r="Q152" i="28"/>
  <c r="W153" i="28"/>
  <c r="T151" i="28"/>
  <c r="Q151" i="28"/>
  <c r="I150" i="28"/>
  <c r="H150" i="28" s="1"/>
  <c r="I154" i="28"/>
  <c r="H154" i="28" s="1"/>
  <c r="I135" i="28"/>
  <c r="H135" i="28" s="1"/>
  <c r="I139" i="28"/>
  <c r="H139" i="28" s="1"/>
  <c r="I143" i="28"/>
  <c r="H143" i="28" s="1"/>
  <c r="I147" i="28"/>
  <c r="H147" i="28" s="1"/>
  <c r="I151" i="28"/>
  <c r="H151" i="28" s="1"/>
  <c r="G125" i="27"/>
  <c r="G129" i="27"/>
  <c r="G135" i="27"/>
  <c r="G137" i="27"/>
  <c r="G149" i="27"/>
  <c r="G151" i="27"/>
  <c r="G153" i="27"/>
  <c r="G116" i="27"/>
  <c r="G120" i="27"/>
  <c r="G124" i="27"/>
  <c r="G126" i="27"/>
  <c r="G128" i="27"/>
  <c r="G130" i="27"/>
  <c r="G132" i="27"/>
  <c r="G136" i="27"/>
  <c r="G146" i="27"/>
  <c r="G150" i="27"/>
  <c r="G152" i="27"/>
  <c r="K146" i="27"/>
  <c r="AA114" i="27"/>
  <c r="AC114" i="27"/>
  <c r="AA112" i="27"/>
  <c r="AC112" i="27"/>
  <c r="AA110" i="27"/>
  <c r="AC110" i="27"/>
  <c r="AA108" i="27"/>
  <c r="AC108" i="27"/>
  <c r="AA106" i="27"/>
  <c r="AC106" i="27"/>
  <c r="AA104" i="27"/>
  <c r="AC104" i="27"/>
  <c r="AA102" i="27"/>
  <c r="AC102" i="27"/>
  <c r="AA100" i="27"/>
  <c r="AC100" i="27"/>
  <c r="AA98" i="27"/>
  <c r="AC98" i="27"/>
  <c r="AA96" i="27"/>
  <c r="AC96" i="27"/>
  <c r="AA94" i="27"/>
  <c r="AC94" i="27"/>
  <c r="AA92" i="27"/>
  <c r="AC92" i="27"/>
  <c r="AA90" i="27"/>
  <c r="AC90" i="27"/>
  <c r="AA88" i="27"/>
  <c r="AC88" i="27"/>
  <c r="AA86" i="27"/>
  <c r="AC86" i="27"/>
  <c r="AA84" i="27"/>
  <c r="AC84" i="27"/>
  <c r="AA82" i="27"/>
  <c r="AC82" i="27"/>
  <c r="AA80" i="27"/>
  <c r="AC80" i="27"/>
  <c r="AA78" i="27"/>
  <c r="AC78" i="27"/>
  <c r="AA76" i="27"/>
  <c r="AC76" i="27"/>
  <c r="AA74" i="27"/>
  <c r="AC74" i="27"/>
  <c r="AA72" i="27"/>
  <c r="AC72" i="27"/>
  <c r="AA70" i="27"/>
  <c r="AC70" i="27"/>
  <c r="AA68" i="27"/>
  <c r="AC68" i="27"/>
  <c r="AA66" i="27"/>
  <c r="AC66" i="27"/>
  <c r="AA64" i="27"/>
  <c r="AC64" i="27"/>
  <c r="AA62" i="27"/>
  <c r="AC62" i="27"/>
  <c r="AA60" i="27"/>
  <c r="AC60" i="27"/>
  <c r="AA58" i="27"/>
  <c r="AC58" i="27"/>
  <c r="AA56" i="27"/>
  <c r="AC56" i="27"/>
  <c r="AA54" i="27"/>
  <c r="AC54" i="27"/>
  <c r="AA52" i="27"/>
  <c r="AC52" i="27"/>
  <c r="AA50" i="27"/>
  <c r="AC50" i="27"/>
  <c r="AA48" i="27"/>
  <c r="AC48" i="27"/>
  <c r="AA46" i="27"/>
  <c r="AC46" i="27"/>
  <c r="AA44" i="27"/>
  <c r="AC44" i="27"/>
  <c r="AA42" i="27"/>
  <c r="AC42" i="27"/>
  <c r="AA40" i="27"/>
  <c r="AC40" i="27"/>
  <c r="AA38" i="27"/>
  <c r="AC38" i="27"/>
  <c r="AA36" i="27"/>
  <c r="AC36" i="27"/>
  <c r="AA34" i="27"/>
  <c r="AC34" i="27"/>
  <c r="AA32" i="27"/>
  <c r="AC32" i="27"/>
  <c r="AA30" i="27"/>
  <c r="AC30" i="27"/>
  <c r="AA28" i="27"/>
  <c r="AC28" i="27"/>
  <c r="AA26" i="27"/>
  <c r="AC26" i="27"/>
  <c r="AA24" i="27"/>
  <c r="AC24" i="27"/>
  <c r="AA22" i="27"/>
  <c r="AC22" i="27"/>
  <c r="AA20" i="27"/>
  <c r="AC20" i="27"/>
  <c r="AA18" i="27"/>
  <c r="AC18" i="27"/>
  <c r="AA113" i="27"/>
  <c r="AC113" i="27"/>
  <c r="AA111" i="27"/>
  <c r="AC111" i="27"/>
  <c r="AA109" i="27"/>
  <c r="AC109" i="27"/>
  <c r="AA107" i="27"/>
  <c r="AC107" i="27"/>
  <c r="AA105" i="27"/>
  <c r="AC105" i="27"/>
  <c r="AA103" i="27"/>
  <c r="AC103" i="27"/>
  <c r="AA101" i="27"/>
  <c r="AC101" i="27"/>
  <c r="AA99" i="27"/>
  <c r="AC99" i="27"/>
  <c r="AA97" i="27"/>
  <c r="AC97" i="27"/>
  <c r="AA95" i="27"/>
  <c r="AC95" i="27"/>
  <c r="AA93" i="27"/>
  <c r="AC93" i="27"/>
  <c r="AA91" i="27"/>
  <c r="AC91" i="27"/>
  <c r="AA89" i="27"/>
  <c r="AC89" i="27"/>
  <c r="AA87" i="27"/>
  <c r="AC87" i="27"/>
  <c r="AA85" i="27"/>
  <c r="AC85" i="27"/>
  <c r="AA83" i="27"/>
  <c r="AC83" i="27"/>
  <c r="AA81" i="27"/>
  <c r="AC81" i="27"/>
  <c r="AA79" i="27"/>
  <c r="AC79" i="27"/>
  <c r="AA77" i="27"/>
  <c r="AC77" i="27"/>
  <c r="AA75" i="27"/>
  <c r="AC75" i="27"/>
  <c r="AA73" i="27"/>
  <c r="AC73" i="27"/>
  <c r="AA71" i="27"/>
  <c r="AC71" i="27"/>
  <c r="AA69" i="27"/>
  <c r="AC69" i="27"/>
  <c r="AA67" i="27"/>
  <c r="AC67" i="27"/>
  <c r="AA65" i="27"/>
  <c r="AC65" i="27"/>
  <c r="AA63" i="27"/>
  <c r="AC63" i="27"/>
  <c r="AA61" i="27"/>
  <c r="AC61" i="27"/>
  <c r="AA59" i="27"/>
  <c r="AC59" i="27"/>
  <c r="AA57" i="27"/>
  <c r="AC57" i="27"/>
  <c r="AA55" i="27"/>
  <c r="AC55" i="27"/>
  <c r="AA53" i="27"/>
  <c r="AC53" i="27"/>
  <c r="AA51" i="27"/>
  <c r="AC51" i="27"/>
  <c r="AA49" i="27"/>
  <c r="AC49" i="27"/>
  <c r="AA47" i="27"/>
  <c r="AC47" i="27"/>
  <c r="AA45" i="27"/>
  <c r="AC45" i="27"/>
  <c r="AA43" i="27"/>
  <c r="AC43" i="27"/>
  <c r="AA41" i="27"/>
  <c r="AC41" i="27"/>
  <c r="AA39" i="27"/>
  <c r="AC39" i="27"/>
  <c r="AA37" i="27"/>
  <c r="AC37" i="27"/>
  <c r="AA35" i="27"/>
  <c r="AC35" i="27"/>
  <c r="AA33" i="27"/>
  <c r="AC33" i="27"/>
  <c r="AA31" i="27"/>
  <c r="AC31" i="27"/>
  <c r="AA29" i="27"/>
  <c r="AC29" i="27"/>
  <c r="AA27" i="27"/>
  <c r="AC27" i="27"/>
  <c r="AA25" i="27"/>
  <c r="AC25" i="27"/>
  <c r="AA23" i="27"/>
  <c r="AC23" i="27"/>
  <c r="AA21" i="27"/>
  <c r="AC21" i="27"/>
  <c r="AA19" i="27"/>
  <c r="AC19" i="27"/>
  <c r="AA17" i="27"/>
  <c r="AC17" i="27"/>
  <c r="Q114" i="27"/>
  <c r="S114" i="27"/>
  <c r="Q112" i="27"/>
  <c r="S112" i="27"/>
  <c r="Q110" i="27"/>
  <c r="S110" i="27"/>
  <c r="Q108" i="27"/>
  <c r="S108" i="27"/>
  <c r="Q106" i="27"/>
  <c r="S106" i="27"/>
  <c r="Q104" i="27"/>
  <c r="S104" i="27"/>
  <c r="Q102" i="27"/>
  <c r="S102" i="27"/>
  <c r="Q100" i="27"/>
  <c r="S100" i="27"/>
  <c r="Q98" i="27"/>
  <c r="S98" i="27"/>
  <c r="Q96" i="27"/>
  <c r="S96" i="27"/>
  <c r="Q94" i="27"/>
  <c r="S94" i="27"/>
  <c r="Q92" i="27"/>
  <c r="S92" i="27"/>
  <c r="Q90" i="27"/>
  <c r="S90" i="27"/>
  <c r="Q88" i="27"/>
  <c r="S88" i="27"/>
  <c r="Q86" i="27"/>
  <c r="S86" i="27"/>
  <c r="Q84" i="27"/>
  <c r="S84" i="27"/>
  <c r="Q82" i="27"/>
  <c r="S82" i="27"/>
  <c r="Q80" i="27"/>
  <c r="S80" i="27"/>
  <c r="Q78" i="27"/>
  <c r="S78" i="27"/>
  <c r="Q76" i="27"/>
  <c r="S76" i="27"/>
  <c r="Q74" i="27"/>
  <c r="S74" i="27"/>
  <c r="Q72" i="27"/>
  <c r="S72" i="27"/>
  <c r="Q70" i="27"/>
  <c r="S70" i="27"/>
  <c r="Q68" i="27"/>
  <c r="S68" i="27"/>
  <c r="Q66" i="27"/>
  <c r="S66" i="27"/>
  <c r="Q64" i="27"/>
  <c r="S64" i="27"/>
  <c r="Q62" i="27"/>
  <c r="S62" i="27"/>
  <c r="Q60" i="27"/>
  <c r="S60" i="27"/>
  <c r="Q58" i="27"/>
  <c r="S58" i="27"/>
  <c r="Q56" i="27"/>
  <c r="S56" i="27"/>
  <c r="Q54" i="27"/>
  <c r="S54" i="27"/>
  <c r="Q52" i="27"/>
  <c r="S52" i="27"/>
  <c r="Q50" i="27"/>
  <c r="S50" i="27"/>
  <c r="Q48" i="27"/>
  <c r="S48" i="27"/>
  <c r="Q46" i="27"/>
  <c r="S46" i="27"/>
  <c r="Q44" i="27"/>
  <c r="S44" i="27"/>
  <c r="Q42" i="27"/>
  <c r="S42" i="27"/>
  <c r="Q40" i="27"/>
  <c r="S40" i="27"/>
  <c r="Q38" i="27"/>
  <c r="S38" i="27"/>
  <c r="Q36" i="27"/>
  <c r="S36" i="27"/>
  <c r="Q34" i="27"/>
  <c r="S34" i="27"/>
  <c r="Q32" i="27"/>
  <c r="S32" i="27"/>
  <c r="Q30" i="27"/>
  <c r="S30" i="27"/>
  <c r="Q28" i="27"/>
  <c r="S28" i="27"/>
  <c r="Q26" i="27"/>
  <c r="S26" i="27"/>
  <c r="Q24" i="27"/>
  <c r="S24" i="27"/>
  <c r="Q22" i="27"/>
  <c r="S22" i="27"/>
  <c r="Q20" i="27"/>
  <c r="S20" i="27"/>
  <c r="Q18" i="27"/>
  <c r="S18" i="27"/>
  <c r="Q113" i="27"/>
  <c r="S113" i="27"/>
  <c r="Q111" i="27"/>
  <c r="S111" i="27"/>
  <c r="Q109" i="27"/>
  <c r="S109" i="27"/>
  <c r="Q107" i="27"/>
  <c r="S107" i="27"/>
  <c r="Q105" i="27"/>
  <c r="S105" i="27"/>
  <c r="Q103" i="27"/>
  <c r="S103" i="27"/>
  <c r="Q101" i="27"/>
  <c r="S101" i="27"/>
  <c r="Q99" i="27"/>
  <c r="S99" i="27"/>
  <c r="Q97" i="27"/>
  <c r="S97" i="27"/>
  <c r="Q95" i="27"/>
  <c r="S95" i="27"/>
  <c r="Q93" i="27"/>
  <c r="S93" i="27"/>
  <c r="Q91" i="27"/>
  <c r="S91" i="27"/>
  <c r="Q89" i="27"/>
  <c r="S89" i="27"/>
  <c r="Q87" i="27"/>
  <c r="S87" i="27"/>
  <c r="Q85" i="27"/>
  <c r="S85" i="27"/>
  <c r="Q83" i="27"/>
  <c r="S83" i="27"/>
  <c r="Q81" i="27"/>
  <c r="S81" i="27"/>
  <c r="Q79" i="27"/>
  <c r="S79" i="27"/>
  <c r="Q77" i="27"/>
  <c r="S77" i="27"/>
  <c r="Q75" i="27"/>
  <c r="S75" i="27"/>
  <c r="Q73" i="27"/>
  <c r="S73" i="27"/>
  <c r="Q71" i="27"/>
  <c r="S71" i="27"/>
  <c r="Q69" i="27"/>
  <c r="S69" i="27"/>
  <c r="Q67" i="27"/>
  <c r="S67" i="27"/>
  <c r="Q65" i="27"/>
  <c r="S65" i="27"/>
  <c r="Q63" i="27"/>
  <c r="S63" i="27"/>
  <c r="Q61" i="27"/>
  <c r="S61" i="27"/>
  <c r="Q59" i="27"/>
  <c r="S59" i="27"/>
  <c r="Q57" i="27"/>
  <c r="S57" i="27"/>
  <c r="Q55" i="27"/>
  <c r="S55" i="27"/>
  <c r="Q53" i="27"/>
  <c r="S53" i="27"/>
  <c r="Q51" i="27"/>
  <c r="S51" i="27"/>
  <c r="Q49" i="27"/>
  <c r="S49" i="27"/>
  <c r="Q47" i="27"/>
  <c r="S47" i="27"/>
  <c r="Q45" i="27"/>
  <c r="S45" i="27"/>
  <c r="Q43" i="27"/>
  <c r="S43" i="27"/>
  <c r="Q41" i="27"/>
  <c r="S41" i="27"/>
  <c r="Q39" i="27"/>
  <c r="S39" i="27"/>
  <c r="Q37" i="27"/>
  <c r="S37" i="27"/>
  <c r="Q35" i="27"/>
  <c r="S35" i="27"/>
  <c r="Q33" i="27"/>
  <c r="S33" i="27"/>
  <c r="Q31" i="27"/>
  <c r="S31" i="27"/>
  <c r="Q29" i="27"/>
  <c r="S29" i="27"/>
  <c r="Q27" i="27"/>
  <c r="S27" i="27"/>
  <c r="Q25" i="27"/>
  <c r="S25" i="27"/>
  <c r="Q23" i="27"/>
  <c r="S23" i="27"/>
  <c r="Q21" i="27"/>
  <c r="S21" i="27"/>
  <c r="Q19" i="27"/>
  <c r="S19" i="27"/>
  <c r="Q17" i="27"/>
  <c r="S17" i="27"/>
  <c r="O114" i="27"/>
  <c r="O112" i="27"/>
  <c r="O110" i="27"/>
  <c r="O108" i="27"/>
  <c r="O106" i="27"/>
  <c r="O104" i="27"/>
  <c r="O102" i="27"/>
  <c r="O100" i="27"/>
  <c r="O98" i="27"/>
  <c r="O96" i="27"/>
  <c r="O94" i="27"/>
  <c r="O92" i="27"/>
  <c r="O90" i="27"/>
  <c r="O88" i="27"/>
  <c r="O86" i="27"/>
  <c r="O84" i="27"/>
  <c r="O82" i="27"/>
  <c r="O80" i="27"/>
  <c r="O78" i="27"/>
  <c r="O76" i="27"/>
  <c r="O74" i="27"/>
  <c r="O72" i="27"/>
  <c r="O70" i="27"/>
  <c r="O68" i="27"/>
  <c r="O66" i="27"/>
  <c r="O64" i="27"/>
  <c r="O62" i="27"/>
  <c r="O60" i="27"/>
  <c r="O58" i="27"/>
  <c r="O56" i="27"/>
  <c r="O54" i="27"/>
  <c r="O52" i="27"/>
  <c r="O50" i="27"/>
  <c r="O48" i="27"/>
  <c r="O46" i="27"/>
  <c r="O44" i="27"/>
  <c r="O42" i="27"/>
  <c r="O40" i="27"/>
  <c r="O38" i="27"/>
  <c r="O36" i="27"/>
  <c r="O34" i="27"/>
  <c r="O32" i="27"/>
  <c r="O30" i="27"/>
  <c r="O28" i="27"/>
  <c r="O26" i="27"/>
  <c r="O24" i="27"/>
  <c r="O22" i="27"/>
  <c r="O20" i="27"/>
  <c r="O18" i="27"/>
  <c r="O113" i="27"/>
  <c r="O111" i="27"/>
  <c r="O109" i="27"/>
  <c r="O107" i="27"/>
  <c r="O105" i="27"/>
  <c r="O103" i="27"/>
  <c r="O101" i="27"/>
  <c r="O99" i="27"/>
  <c r="O97" i="27"/>
  <c r="O95" i="27"/>
  <c r="O93" i="27"/>
  <c r="O91" i="27"/>
  <c r="O89" i="27"/>
  <c r="O87" i="27"/>
  <c r="O85" i="27"/>
  <c r="O83" i="27"/>
  <c r="O81" i="27"/>
  <c r="O79" i="27"/>
  <c r="O77" i="27"/>
  <c r="O75" i="27"/>
  <c r="O73" i="27"/>
  <c r="O71" i="27"/>
  <c r="O69" i="27"/>
  <c r="O67" i="27"/>
  <c r="O65" i="27"/>
  <c r="O63" i="27"/>
  <c r="O61" i="27"/>
  <c r="O59" i="27"/>
  <c r="O57" i="27"/>
  <c r="O55" i="27"/>
  <c r="O53" i="27"/>
  <c r="O51" i="27"/>
  <c r="O49" i="27"/>
  <c r="O47" i="27"/>
  <c r="O45" i="27"/>
  <c r="O43" i="27"/>
  <c r="O41" i="27"/>
  <c r="O39" i="27"/>
  <c r="O37" i="27"/>
  <c r="O35" i="27"/>
  <c r="O33" i="27"/>
  <c r="O31" i="27"/>
  <c r="O29" i="27"/>
  <c r="O27" i="27"/>
  <c r="O25" i="27"/>
  <c r="O23" i="27"/>
  <c r="O21" i="27"/>
  <c r="O19" i="27"/>
  <c r="O17" i="27"/>
  <c r="I113" i="27"/>
  <c r="J113" i="27" s="1"/>
  <c r="I111" i="27"/>
  <c r="J111" i="27" s="1"/>
  <c r="I109" i="27"/>
  <c r="J109" i="27" s="1"/>
  <c r="I107" i="27"/>
  <c r="J107" i="27" s="1"/>
  <c r="I105" i="27"/>
  <c r="J105" i="27" s="1"/>
  <c r="I103" i="27"/>
  <c r="J103" i="27" s="1"/>
  <c r="I101" i="27"/>
  <c r="J101" i="27" s="1"/>
  <c r="I99" i="27"/>
  <c r="J99" i="27" s="1"/>
  <c r="I97" i="27"/>
  <c r="J97" i="27" s="1"/>
  <c r="I95" i="27"/>
  <c r="J95" i="27" s="1"/>
  <c r="I93" i="27"/>
  <c r="J93" i="27" s="1"/>
  <c r="I91" i="27"/>
  <c r="J91" i="27" s="1"/>
  <c r="I89" i="27"/>
  <c r="J89" i="27" s="1"/>
  <c r="I87" i="27"/>
  <c r="J87" i="27" s="1"/>
  <c r="I85" i="27"/>
  <c r="J85" i="27" s="1"/>
  <c r="I83" i="27"/>
  <c r="J83" i="27" s="1"/>
  <c r="I81" i="27"/>
  <c r="J81" i="27" s="1"/>
  <c r="I79" i="27"/>
  <c r="J79" i="27" s="1"/>
  <c r="I77" i="27"/>
  <c r="J77" i="27" s="1"/>
  <c r="I75" i="27"/>
  <c r="J75" i="27" s="1"/>
  <c r="I73" i="27"/>
  <c r="J73" i="27" s="1"/>
  <c r="I71" i="27"/>
  <c r="J71" i="27" s="1"/>
  <c r="I69" i="27"/>
  <c r="J69" i="27" s="1"/>
  <c r="I67" i="27"/>
  <c r="J67" i="27" s="1"/>
  <c r="I65" i="27"/>
  <c r="J65" i="27" s="1"/>
  <c r="I63" i="27"/>
  <c r="J63" i="27" s="1"/>
  <c r="I61" i="27"/>
  <c r="J61" i="27" s="1"/>
  <c r="I59" i="27"/>
  <c r="J59" i="27" s="1"/>
  <c r="I57" i="27"/>
  <c r="J57" i="27" s="1"/>
  <c r="I55" i="27"/>
  <c r="J55" i="27" s="1"/>
  <c r="I53" i="27"/>
  <c r="J53" i="27" s="1"/>
  <c r="I51" i="27"/>
  <c r="J51" i="27" s="1"/>
  <c r="I49" i="27"/>
  <c r="J49" i="27" s="1"/>
  <c r="I47" i="27"/>
  <c r="J47" i="27" s="1"/>
  <c r="I45" i="27"/>
  <c r="J45" i="27" s="1"/>
  <c r="I43" i="27"/>
  <c r="J43" i="27" s="1"/>
  <c r="I41" i="27"/>
  <c r="J41" i="27" s="1"/>
  <c r="I39" i="27"/>
  <c r="J39" i="27" s="1"/>
  <c r="I37" i="27"/>
  <c r="J37" i="27" s="1"/>
  <c r="I35" i="27"/>
  <c r="J35" i="27" s="1"/>
  <c r="I33" i="27"/>
  <c r="J33" i="27" s="1"/>
  <c r="I31" i="27"/>
  <c r="J31" i="27" s="1"/>
  <c r="I29" i="27"/>
  <c r="J29" i="27" s="1"/>
  <c r="I27" i="27"/>
  <c r="J27" i="27" s="1"/>
  <c r="I25" i="27"/>
  <c r="J25" i="27" s="1"/>
  <c r="I23" i="27"/>
  <c r="J23" i="27" s="1"/>
  <c r="I21" i="27"/>
  <c r="J21" i="27" s="1"/>
  <c r="I19" i="27"/>
  <c r="J19" i="27" s="1"/>
  <c r="I17" i="27"/>
  <c r="J17" i="27" s="1"/>
  <c r="I114" i="27"/>
  <c r="J114" i="27" s="1"/>
  <c r="I112" i="27"/>
  <c r="J112" i="27" s="1"/>
  <c r="I110" i="27"/>
  <c r="J110" i="27" s="1"/>
  <c r="I108" i="27"/>
  <c r="J108" i="27" s="1"/>
  <c r="I106" i="27"/>
  <c r="J106" i="27" s="1"/>
  <c r="I104" i="27"/>
  <c r="J104" i="27" s="1"/>
  <c r="I102" i="27"/>
  <c r="J102" i="27" s="1"/>
  <c r="I100" i="27"/>
  <c r="J100" i="27" s="1"/>
  <c r="I98" i="27"/>
  <c r="J98" i="27" s="1"/>
  <c r="I96" i="27"/>
  <c r="J96" i="27" s="1"/>
  <c r="I94" i="27"/>
  <c r="J94" i="27" s="1"/>
  <c r="I92" i="27"/>
  <c r="J92" i="27" s="1"/>
  <c r="I90" i="27"/>
  <c r="J90" i="27" s="1"/>
  <c r="I88" i="27"/>
  <c r="J88" i="27" s="1"/>
  <c r="I86" i="27"/>
  <c r="J86" i="27" s="1"/>
  <c r="I84" i="27"/>
  <c r="J84" i="27" s="1"/>
  <c r="I82" i="27"/>
  <c r="J82" i="27" s="1"/>
  <c r="I80" i="27"/>
  <c r="J80" i="27" s="1"/>
  <c r="I78" i="27"/>
  <c r="J78" i="27" s="1"/>
  <c r="I76" i="27"/>
  <c r="J76" i="27" s="1"/>
  <c r="I74" i="27"/>
  <c r="J74" i="27" s="1"/>
  <c r="I72" i="27"/>
  <c r="J72" i="27" s="1"/>
  <c r="I70" i="27"/>
  <c r="J70" i="27" s="1"/>
  <c r="I68" i="27"/>
  <c r="J68" i="27" s="1"/>
  <c r="I66" i="27"/>
  <c r="J66" i="27" s="1"/>
  <c r="I64" i="27"/>
  <c r="J64" i="27" s="1"/>
  <c r="I62" i="27"/>
  <c r="J62" i="27" s="1"/>
  <c r="I60" i="27"/>
  <c r="J60" i="27" s="1"/>
  <c r="I58" i="27"/>
  <c r="J58" i="27" s="1"/>
  <c r="I56" i="27"/>
  <c r="J56" i="27" s="1"/>
  <c r="I54" i="27"/>
  <c r="J54" i="27" s="1"/>
  <c r="I52" i="27"/>
  <c r="J52" i="27" s="1"/>
  <c r="I50" i="27"/>
  <c r="J50" i="27" s="1"/>
  <c r="I48" i="27"/>
  <c r="J48" i="27" s="1"/>
  <c r="I46" i="27"/>
  <c r="J46" i="27" s="1"/>
  <c r="I44" i="27"/>
  <c r="J44" i="27" s="1"/>
  <c r="I42" i="27"/>
  <c r="J42" i="27" s="1"/>
  <c r="I40" i="27"/>
  <c r="J40" i="27" s="1"/>
  <c r="I38" i="27"/>
  <c r="J38" i="27" s="1"/>
  <c r="I36" i="27"/>
  <c r="J36" i="27" s="1"/>
  <c r="I34" i="27"/>
  <c r="J34" i="27" s="1"/>
  <c r="I32" i="27"/>
  <c r="J32" i="27" s="1"/>
  <c r="I30" i="27"/>
  <c r="J30" i="27" s="1"/>
  <c r="I28" i="27"/>
  <c r="J28" i="27" s="1"/>
  <c r="I26" i="27"/>
  <c r="J26" i="27" s="1"/>
  <c r="I24" i="27"/>
  <c r="J24" i="27" s="1"/>
  <c r="I22" i="27"/>
  <c r="J22" i="27" s="1"/>
  <c r="I20" i="27"/>
  <c r="J20" i="27" s="1"/>
  <c r="I18" i="27"/>
  <c r="J18" i="27" s="1"/>
  <c r="M148" i="27"/>
  <c r="P148" i="27"/>
  <c r="R148" i="27"/>
  <c r="V149" i="28" s="1"/>
  <c r="W148" i="27"/>
  <c r="X149" i="28"/>
  <c r="T148" i="27"/>
  <c r="W149" i="28" s="1"/>
  <c r="U148" i="27"/>
  <c r="V148" i="27" s="1"/>
  <c r="N148" i="27"/>
  <c r="L148" i="27" s="1"/>
  <c r="M147" i="27"/>
  <c r="P147" i="27"/>
  <c r="AB147" i="27"/>
  <c r="X148" i="28" s="1"/>
  <c r="W147" i="27"/>
  <c r="U147" i="27"/>
  <c r="V147" i="27" s="1"/>
  <c r="R147" i="27"/>
  <c r="Z147" i="27"/>
  <c r="T147" i="27" s="1"/>
  <c r="S175" i="28"/>
  <c r="R146" i="27"/>
  <c r="V147" i="28" s="1"/>
  <c r="Z146" i="27"/>
  <c r="T146" i="27" s="1"/>
  <c r="AB146" i="27"/>
  <c r="X147" i="28" s="1"/>
  <c r="N146" i="27"/>
  <c r="L146" i="27" s="1"/>
  <c r="P146" i="27"/>
  <c r="U146" i="27"/>
  <c r="V146" i="27" s="1"/>
  <c r="W146" i="27"/>
  <c r="AB145" i="27"/>
  <c r="AB143" i="27"/>
  <c r="X144" i="28" s="1"/>
  <c r="K185" i="28"/>
  <c r="P145" i="27"/>
  <c r="N145" i="27"/>
  <c r="L145" i="27" s="1"/>
  <c r="T145" i="27"/>
  <c r="E146" i="28"/>
  <c r="R145" i="27"/>
  <c r="M145" i="27"/>
  <c r="W145" i="27"/>
  <c r="U145" i="27"/>
  <c r="V145" i="27" s="1"/>
  <c r="F146" i="28"/>
  <c r="I146" i="28" s="1"/>
  <c r="H146" i="28" s="1"/>
  <c r="M144" i="27"/>
  <c r="S167" i="28"/>
  <c r="M167" i="28" s="1"/>
  <c r="O167" i="28" s="1"/>
  <c r="AB140" i="27"/>
  <c r="P142" i="27"/>
  <c r="AB142" i="27"/>
  <c r="X143" i="28" s="1"/>
  <c r="AB144" i="27"/>
  <c r="W144" i="27"/>
  <c r="U144" i="27"/>
  <c r="V144" i="27" s="1"/>
  <c r="P144" i="27"/>
  <c r="R144" i="27"/>
  <c r="Z144" i="27"/>
  <c r="T144" i="27" s="1"/>
  <c r="E145" i="28"/>
  <c r="F145" i="28"/>
  <c r="I145" i="28" s="1"/>
  <c r="H145" i="28" s="1"/>
  <c r="P143" i="27"/>
  <c r="R143" i="27"/>
  <c r="M143" i="27"/>
  <c r="Z143" i="27"/>
  <c r="T143" i="27" s="1"/>
  <c r="U143" i="27"/>
  <c r="V143" i="27" s="1"/>
  <c r="N143" i="27"/>
  <c r="L143" i="27" s="1"/>
  <c r="M142" i="27"/>
  <c r="Z142" i="27"/>
  <c r="T142" i="27" s="1"/>
  <c r="W143" i="28" s="1"/>
  <c r="M141" i="27"/>
  <c r="Z141" i="27"/>
  <c r="T141" i="27" s="1"/>
  <c r="S150" i="28"/>
  <c r="P123" i="27"/>
  <c r="P140" i="27"/>
  <c r="C16" i="27"/>
  <c r="S195" i="28"/>
  <c r="S191" i="28"/>
  <c r="S193" i="28"/>
  <c r="K189" i="28"/>
  <c r="X15" i="27"/>
  <c r="Y15" i="27" s="1"/>
  <c r="C15" i="27"/>
  <c r="Z140" i="27"/>
  <c r="T140" i="27" s="1"/>
  <c r="M140" i="27"/>
  <c r="P124" i="27"/>
  <c r="P131" i="27"/>
  <c r="P137" i="27"/>
  <c r="P115" i="27"/>
  <c r="S179" i="28"/>
  <c r="S198" i="28"/>
  <c r="S154" i="28"/>
  <c r="S152" i="28"/>
  <c r="AG150" i="27"/>
  <c r="AI150" i="27" s="1"/>
  <c r="AG149" i="27"/>
  <c r="AI149" i="27" s="1"/>
  <c r="AG152" i="27"/>
  <c r="AI152" i="27" s="1"/>
  <c r="AG151" i="27"/>
  <c r="AI151" i="27" s="1"/>
  <c r="Y120" i="27"/>
  <c r="Y124" i="27"/>
  <c r="AG153" i="27"/>
  <c r="AI153" i="27" s="1"/>
  <c r="Y139" i="27"/>
  <c r="K173" i="28"/>
  <c r="K197" i="28"/>
  <c r="U131" i="27"/>
  <c r="V131" i="27" s="1"/>
  <c r="P132" i="27"/>
  <c r="K177" i="28"/>
  <c r="S187" i="28"/>
  <c r="X114" i="27"/>
  <c r="Y114" i="27" s="1"/>
  <c r="X110" i="27"/>
  <c r="Y110" i="27" s="1"/>
  <c r="X108" i="27"/>
  <c r="Y108" i="27" s="1"/>
  <c r="X104" i="27"/>
  <c r="Y104" i="27" s="1"/>
  <c r="X100" i="27"/>
  <c r="Y100" i="27" s="1"/>
  <c r="X96" i="27"/>
  <c r="Y96" i="27" s="1"/>
  <c r="X92" i="27"/>
  <c r="Y92" i="27" s="1"/>
  <c r="X90" i="27"/>
  <c r="Y90" i="27" s="1"/>
  <c r="X86" i="27"/>
  <c r="Y86" i="27" s="1"/>
  <c r="X82" i="27"/>
  <c r="X78" i="27"/>
  <c r="Y78" i="27" s="1"/>
  <c r="X72" i="27"/>
  <c r="Y72" i="27" s="1"/>
  <c r="X70" i="27"/>
  <c r="Y70" i="27" s="1"/>
  <c r="X66" i="27"/>
  <c r="Y66" i="27" s="1"/>
  <c r="X62" i="27"/>
  <c r="Y62" i="27" s="1"/>
  <c r="X58" i="27"/>
  <c r="Y58" i="27" s="1"/>
  <c r="X54" i="27"/>
  <c r="Y54" i="27" s="1"/>
  <c r="X52" i="27"/>
  <c r="X46" i="27"/>
  <c r="Y46" i="27" s="1"/>
  <c r="X42" i="27"/>
  <c r="Y42" i="27" s="1"/>
  <c r="X40" i="27"/>
  <c r="Y40" i="27" s="1"/>
  <c r="X38" i="27"/>
  <c r="Y38" i="27" s="1"/>
  <c r="X34" i="27"/>
  <c r="Y34" i="27" s="1"/>
  <c r="X32" i="27"/>
  <c r="Y32" i="27" s="1"/>
  <c r="X26" i="27"/>
  <c r="Y26" i="27" s="1"/>
  <c r="X24" i="27"/>
  <c r="Y24" i="27" s="1"/>
  <c r="X22" i="27"/>
  <c r="Y22" i="27" s="1"/>
  <c r="AE113" i="27"/>
  <c r="AF113" i="27" s="1"/>
  <c r="X113" i="27"/>
  <c r="Y113" i="27" s="1"/>
  <c r="X111" i="27"/>
  <c r="Y111" i="27" s="1"/>
  <c r="X109" i="27"/>
  <c r="Y109" i="27" s="1"/>
  <c r="X107" i="27"/>
  <c r="Y107" i="27" s="1"/>
  <c r="X105" i="27"/>
  <c r="Y105" i="27" s="1"/>
  <c r="X103" i="27"/>
  <c r="Y103" i="27" s="1"/>
  <c r="X101" i="27"/>
  <c r="Y101" i="27" s="1"/>
  <c r="X99" i="27"/>
  <c r="Y99" i="27" s="1"/>
  <c r="X97" i="27"/>
  <c r="Y97" i="27" s="1"/>
  <c r="X95" i="27"/>
  <c r="Y95" i="27" s="1"/>
  <c r="X93" i="27"/>
  <c r="Y93" i="27" s="1"/>
  <c r="X91" i="27"/>
  <c r="Y91" i="27" s="1"/>
  <c r="X89" i="27"/>
  <c r="Y89" i="27" s="1"/>
  <c r="X87" i="27"/>
  <c r="Y87" i="27" s="1"/>
  <c r="X85" i="27"/>
  <c r="X83" i="27"/>
  <c r="Y83" i="27" s="1"/>
  <c r="X81" i="27"/>
  <c r="Y81" i="27" s="1"/>
  <c r="X79" i="27"/>
  <c r="Y79" i="27" s="1"/>
  <c r="X77" i="27"/>
  <c r="Y77" i="27" s="1"/>
  <c r="X75" i="27"/>
  <c r="Y75" i="27" s="1"/>
  <c r="X73" i="27"/>
  <c r="Y73" i="27" s="1"/>
  <c r="X71" i="27"/>
  <c r="Y71" i="27" s="1"/>
  <c r="X69" i="27"/>
  <c r="Y69" i="27" s="1"/>
  <c r="X67" i="27"/>
  <c r="Y67" i="27" s="1"/>
  <c r="X65" i="27"/>
  <c r="Y65" i="27" s="1"/>
  <c r="X63" i="27"/>
  <c r="Y63" i="27" s="1"/>
  <c r="X61" i="27"/>
  <c r="Y61" i="27" s="1"/>
  <c r="X59" i="27"/>
  <c r="Y59" i="27" s="1"/>
  <c r="AE57" i="27"/>
  <c r="AF57" i="27" s="1"/>
  <c r="X57" i="27"/>
  <c r="Y57" i="27" s="1"/>
  <c r="X55" i="27"/>
  <c r="Y55" i="27" s="1"/>
  <c r="X53" i="27"/>
  <c r="Y53" i="27" s="1"/>
  <c r="X51" i="27"/>
  <c r="Y51" i="27" s="1"/>
  <c r="X49" i="27"/>
  <c r="Y49" i="27" s="1"/>
  <c r="X47" i="27"/>
  <c r="Y47" i="27" s="1"/>
  <c r="X45" i="27"/>
  <c r="Y45" i="27" s="1"/>
  <c r="X43" i="27"/>
  <c r="Y43" i="27" s="1"/>
  <c r="X41" i="27"/>
  <c r="Y41" i="27" s="1"/>
  <c r="X39" i="27"/>
  <c r="Y39" i="27" s="1"/>
  <c r="X37" i="27"/>
  <c r="Y37" i="27" s="1"/>
  <c r="X35" i="27"/>
  <c r="Y35" i="27" s="1"/>
  <c r="X33" i="27"/>
  <c r="Y33" i="27" s="1"/>
  <c r="X31" i="27"/>
  <c r="Y31" i="27" s="1"/>
  <c r="AE29" i="27"/>
  <c r="X29" i="27"/>
  <c r="Y29" i="27" s="1"/>
  <c r="X27" i="27"/>
  <c r="Y27" i="27" s="1"/>
  <c r="X25" i="27"/>
  <c r="Y25" i="27" s="1"/>
  <c r="X23" i="27"/>
  <c r="Y23" i="27" s="1"/>
  <c r="X21" i="27"/>
  <c r="Y21" i="27" s="1"/>
  <c r="X19" i="27"/>
  <c r="Y19" i="27" s="1"/>
  <c r="X17" i="27"/>
  <c r="Y17" i="27" s="1"/>
  <c r="Z124" i="27"/>
  <c r="X112" i="27"/>
  <c r="Y112" i="27" s="1"/>
  <c r="X106" i="27"/>
  <c r="Y106" i="27" s="1"/>
  <c r="X102" i="27"/>
  <c r="Y102" i="27" s="1"/>
  <c r="X98" i="27"/>
  <c r="Y98" i="27" s="1"/>
  <c r="X94" i="27"/>
  <c r="Y94" i="27" s="1"/>
  <c r="X88" i="27"/>
  <c r="Y88" i="27" s="1"/>
  <c r="X84" i="27"/>
  <c r="Y84" i="27" s="1"/>
  <c r="X80" i="27"/>
  <c r="Y80" i="27" s="1"/>
  <c r="X76" i="27"/>
  <c r="Y76" i="27" s="1"/>
  <c r="X74" i="27"/>
  <c r="Y74" i="27" s="1"/>
  <c r="X68" i="27"/>
  <c r="X64" i="27"/>
  <c r="Y64" i="27" s="1"/>
  <c r="X60" i="27"/>
  <c r="Y60" i="27" s="1"/>
  <c r="X56" i="27"/>
  <c r="Y56" i="27" s="1"/>
  <c r="X50" i="27"/>
  <c r="Y50" i="27" s="1"/>
  <c r="X48" i="27"/>
  <c r="Y48" i="27" s="1"/>
  <c r="X44" i="27"/>
  <c r="Y44" i="27" s="1"/>
  <c r="X36" i="27"/>
  <c r="Y36" i="27" s="1"/>
  <c r="X30" i="27"/>
  <c r="Y30" i="27" s="1"/>
  <c r="X28" i="27"/>
  <c r="Y28" i="27" s="1"/>
  <c r="X20" i="27"/>
  <c r="Y20" i="27" s="1"/>
  <c r="X18" i="27"/>
  <c r="Y18" i="27" s="1"/>
  <c r="X16" i="27"/>
  <c r="Y16" i="27" s="1"/>
  <c r="R123" i="27"/>
  <c r="P134" i="27"/>
  <c r="P127" i="27"/>
  <c r="M139" i="27"/>
  <c r="N139" i="27"/>
  <c r="Z139" i="27"/>
  <c r="AB139" i="27"/>
  <c r="X140" i="28" s="1"/>
  <c r="P139" i="27"/>
  <c r="Z120" i="27"/>
  <c r="Z116" i="27"/>
  <c r="AE73" i="27"/>
  <c r="AF73" i="27" s="1"/>
  <c r="AD43" i="27"/>
  <c r="AE35" i="27"/>
  <c r="AF35" i="27" s="1"/>
  <c r="AE21" i="27"/>
  <c r="AF21" i="27" s="1"/>
  <c r="Z115" i="27"/>
  <c r="Z119" i="27"/>
  <c r="Z123" i="27"/>
  <c r="Z127" i="27"/>
  <c r="Z131" i="27"/>
  <c r="Z135" i="27"/>
  <c r="Z122" i="27"/>
  <c r="Z128" i="27"/>
  <c r="Z132" i="27"/>
  <c r="Z136" i="27"/>
  <c r="AD111" i="27"/>
  <c r="AE105" i="27"/>
  <c r="AF105" i="27" s="1"/>
  <c r="AE63" i="27"/>
  <c r="AF63" i="27" s="1"/>
  <c r="Z117" i="27"/>
  <c r="Z121" i="27"/>
  <c r="Z125" i="27"/>
  <c r="Z129" i="27"/>
  <c r="Z133" i="27"/>
  <c r="Z137" i="27"/>
  <c r="Z118" i="27"/>
  <c r="Z126" i="27"/>
  <c r="Z130" i="27"/>
  <c r="Z134" i="27"/>
  <c r="Z138" i="27"/>
  <c r="N135" i="27"/>
  <c r="N128" i="27"/>
  <c r="N136" i="27"/>
  <c r="AB124" i="27"/>
  <c r="N124" i="27"/>
  <c r="N132" i="27"/>
  <c r="M123" i="27"/>
  <c r="M131" i="27"/>
  <c r="M138" i="27"/>
  <c r="N115" i="27"/>
  <c r="N123" i="27"/>
  <c r="N127" i="27"/>
  <c r="N131" i="27"/>
  <c r="N116" i="27"/>
  <c r="N120" i="27"/>
  <c r="M115" i="27"/>
  <c r="M127" i="27"/>
  <c r="M134" i="27"/>
  <c r="N121" i="27"/>
  <c r="N125" i="27"/>
  <c r="N129" i="27"/>
  <c r="N137" i="27"/>
  <c r="N118" i="27"/>
  <c r="N122" i="27"/>
  <c r="N126" i="27"/>
  <c r="N130" i="27"/>
  <c r="AD113" i="27"/>
  <c r="AE111" i="27"/>
  <c r="AF111" i="27" s="1"/>
  <c r="AD109" i="27"/>
  <c r="AE107" i="27"/>
  <c r="AF107" i="27" s="1"/>
  <c r="AD105" i="27"/>
  <c r="AD103" i="27"/>
  <c r="AE101" i="27"/>
  <c r="AF101" i="27" s="1"/>
  <c r="AD99" i="27"/>
  <c r="AD95" i="27"/>
  <c r="AD93" i="27"/>
  <c r="AE91" i="27"/>
  <c r="AF91" i="27" s="1"/>
  <c r="AE89" i="27"/>
  <c r="AF89" i="27" s="1"/>
  <c r="AE87" i="27"/>
  <c r="AF87" i="27" s="1"/>
  <c r="AE85" i="27"/>
  <c r="AF85" i="27" s="1"/>
  <c r="AD83" i="27"/>
  <c r="AE81" i="27"/>
  <c r="AF81" i="27" s="1"/>
  <c r="AD79" i="27"/>
  <c r="AD77" i="27"/>
  <c r="AE75" i="27"/>
  <c r="AF75" i="27" s="1"/>
  <c r="AE71" i="27"/>
  <c r="AF71" i="27" s="1"/>
  <c r="AD69" i="27"/>
  <c r="AD67" i="27"/>
  <c r="AD61" i="27"/>
  <c r="AE59" i="27"/>
  <c r="AF59" i="27" s="1"/>
  <c r="AD57" i="27"/>
  <c r="AD35" i="27"/>
  <c r="AD31" i="27"/>
  <c r="AD29" i="27"/>
  <c r="AD27" i="27"/>
  <c r="M119" i="27"/>
  <c r="M122" i="27"/>
  <c r="AD59" i="27"/>
  <c r="AE61" i="27"/>
  <c r="AF61" i="27" s="1"/>
  <c r="AE65" i="27"/>
  <c r="AF65" i="27" s="1"/>
  <c r="AE69" i="27"/>
  <c r="AF69" i="27" s="1"/>
  <c r="AE79" i="27"/>
  <c r="AF79" i="27" s="1"/>
  <c r="AE39" i="27"/>
  <c r="AF39" i="27" s="1"/>
  <c r="AE41" i="27"/>
  <c r="AF41" i="27" s="1"/>
  <c r="AD55" i="27"/>
  <c r="AE99" i="27"/>
  <c r="AF99" i="27" s="1"/>
  <c r="AE103" i="27"/>
  <c r="AF103" i="27" s="1"/>
  <c r="AD107" i="27"/>
  <c r="AE109" i="27"/>
  <c r="AF109" i="27" s="1"/>
  <c r="AE95" i="27"/>
  <c r="AF95" i="27" s="1"/>
  <c r="AD97" i="27"/>
  <c r="AE84" i="27"/>
  <c r="AF84" i="27" s="1"/>
  <c r="AD80" i="27"/>
  <c r="AD76" i="27"/>
  <c r="AE70" i="27"/>
  <c r="AF70" i="27" s="1"/>
  <c r="AD66" i="27"/>
  <c r="AD64" i="27"/>
  <c r="AE62" i="27"/>
  <c r="AF62" i="27" s="1"/>
  <c r="AD60" i="27"/>
  <c r="AD58" i="27"/>
  <c r="AE48" i="27"/>
  <c r="AF48" i="27" s="1"/>
  <c r="AE40" i="27"/>
  <c r="AF40" i="27" s="1"/>
  <c r="AE38" i="27"/>
  <c r="AF38" i="27" s="1"/>
  <c r="AE34" i="27"/>
  <c r="AF34" i="27" s="1"/>
  <c r="AD32" i="27"/>
  <c r="AD28" i="27"/>
  <c r="AE26" i="27"/>
  <c r="AF26" i="27" s="1"/>
  <c r="AD24" i="27"/>
  <c r="AE18" i="27"/>
  <c r="P133" i="27"/>
  <c r="S165" i="28"/>
  <c r="M117" i="27"/>
  <c r="M121" i="27"/>
  <c r="M133" i="27"/>
  <c r="M118" i="27"/>
  <c r="AD33" i="27"/>
  <c r="AE67" i="27"/>
  <c r="AF67" i="27" s="1"/>
  <c r="AD75" i="27"/>
  <c r="AE77" i="27"/>
  <c r="AF77" i="27" s="1"/>
  <c r="AD81" i="27"/>
  <c r="AE83" i="27"/>
  <c r="AF83" i="27" s="1"/>
  <c r="AD37" i="27"/>
  <c r="AE45" i="27"/>
  <c r="AF45" i="27" s="1"/>
  <c r="AE49" i="27"/>
  <c r="AF49" i="27" s="1"/>
  <c r="AD101" i="27"/>
  <c r="AE97" i="27"/>
  <c r="AF97" i="27" s="1"/>
  <c r="P117" i="27"/>
  <c r="P125" i="27"/>
  <c r="K181" i="28"/>
  <c r="AB115" i="27"/>
  <c r="AB127" i="27"/>
  <c r="R115" i="27"/>
  <c r="R117" i="27"/>
  <c r="P138" i="27"/>
  <c r="P116" i="27"/>
  <c r="AE30" i="27"/>
  <c r="AB125" i="27"/>
  <c r="AB131" i="27"/>
  <c r="U117" i="27"/>
  <c r="V117" i="27" s="1"/>
  <c r="AB121" i="27"/>
  <c r="U127" i="27"/>
  <c r="V127" i="27" s="1"/>
  <c r="P118" i="27"/>
  <c r="P126" i="27"/>
  <c r="AE53" i="27"/>
  <c r="AF53" i="27" s="1"/>
  <c r="AE20" i="27"/>
  <c r="AF20" i="27" s="1"/>
  <c r="AE64" i="27"/>
  <c r="AF64" i="27" s="1"/>
  <c r="AE68" i="27"/>
  <c r="AF68" i="27" s="1"/>
  <c r="AE72" i="27"/>
  <c r="AF72" i="27" s="1"/>
  <c r="AB118" i="27"/>
  <c r="P122" i="27"/>
  <c r="P130" i="27"/>
  <c r="W142" i="27"/>
  <c r="AB123" i="27"/>
  <c r="AB129" i="27"/>
  <c r="AB133" i="27"/>
  <c r="AB137" i="27"/>
  <c r="AB141" i="27"/>
  <c r="U115" i="27"/>
  <c r="V115" i="27" s="1"/>
  <c r="L117" i="27"/>
  <c r="W117" i="27"/>
  <c r="L142" i="27"/>
  <c r="R142" i="27"/>
  <c r="V143" i="28" s="1"/>
  <c r="U142" i="27"/>
  <c r="V142" i="27" s="1"/>
  <c r="K169" i="28"/>
  <c r="K155" i="28"/>
  <c r="K159" i="28"/>
  <c r="K161" i="28"/>
  <c r="K157" i="28"/>
  <c r="P119" i="27"/>
  <c r="AB135" i="27"/>
  <c r="X136" i="28" s="1"/>
  <c r="AB128" i="27"/>
  <c r="AB132" i="27"/>
  <c r="AB136" i="27"/>
  <c r="E115" i="28"/>
  <c r="E114" i="28"/>
  <c r="E113" i="28"/>
  <c r="E112" i="28"/>
  <c r="E111" i="28"/>
  <c r="E110" i="28"/>
  <c r="E109" i="28"/>
  <c r="E108" i="28"/>
  <c r="E107" i="28"/>
  <c r="E106" i="28"/>
  <c r="E105" i="28"/>
  <c r="F92" i="28"/>
  <c r="F84" i="28"/>
  <c r="F76" i="28"/>
  <c r="F94" i="28"/>
  <c r="F86" i="28"/>
  <c r="E85" i="28"/>
  <c r="F78" i="28"/>
  <c r="W137" i="27"/>
  <c r="H137" i="27"/>
  <c r="W141" i="27"/>
  <c r="F120" i="28"/>
  <c r="I120" i="28" s="1"/>
  <c r="H120" i="28" s="1"/>
  <c r="U121" i="27"/>
  <c r="V121" i="27" s="1"/>
  <c r="W121" i="27"/>
  <c r="W123" i="27"/>
  <c r="H125" i="27"/>
  <c r="R125" i="27"/>
  <c r="U125" i="27"/>
  <c r="V125" i="27" s="1"/>
  <c r="W125" i="27"/>
  <c r="W127" i="27"/>
  <c r="U129" i="27"/>
  <c r="V129" i="27" s="1"/>
  <c r="W129" i="27"/>
  <c r="R129" i="27"/>
  <c r="H129" i="27"/>
  <c r="W131" i="27"/>
  <c r="W133" i="27"/>
  <c r="W134" i="27"/>
  <c r="U134" i="27"/>
  <c r="V134" i="27" s="1"/>
  <c r="R134" i="27"/>
  <c r="L134" i="27"/>
  <c r="U138" i="27"/>
  <c r="V138" i="27" s="1"/>
  <c r="R138" i="27"/>
  <c r="V139" i="28" s="1"/>
  <c r="L138" i="27"/>
  <c r="W138" i="27"/>
  <c r="U133" i="27"/>
  <c r="V133" i="27" s="1"/>
  <c r="L133" i="27"/>
  <c r="R137" i="27"/>
  <c r="R141" i="27"/>
  <c r="F137" i="28"/>
  <c r="I137" i="28" s="1"/>
  <c r="H137" i="28" s="1"/>
  <c r="E137" i="28"/>
  <c r="F141" i="28"/>
  <c r="I141" i="28" s="1"/>
  <c r="H141" i="28" s="1"/>
  <c r="E141" i="28"/>
  <c r="W116" i="27"/>
  <c r="H116" i="27"/>
  <c r="AB116" i="27"/>
  <c r="U116" i="27"/>
  <c r="V116" i="27" s="1"/>
  <c r="R116" i="27"/>
  <c r="F119" i="28"/>
  <c r="I119" i="28" s="1"/>
  <c r="H119" i="28" s="1"/>
  <c r="E119" i="28"/>
  <c r="H120" i="27"/>
  <c r="F123" i="28"/>
  <c r="I123" i="28" s="1"/>
  <c r="H123" i="28" s="1"/>
  <c r="E123" i="28"/>
  <c r="F125" i="28"/>
  <c r="I125" i="28" s="1"/>
  <c r="H125" i="28" s="1"/>
  <c r="E125" i="28"/>
  <c r="E127" i="28"/>
  <c r="F127" i="28"/>
  <c r="I127" i="28" s="1"/>
  <c r="H127" i="28" s="1"/>
  <c r="F129" i="28"/>
  <c r="I129" i="28" s="1"/>
  <c r="H129" i="28" s="1"/>
  <c r="E129" i="28"/>
  <c r="E131" i="28"/>
  <c r="F131" i="28"/>
  <c r="I131" i="28" s="1"/>
  <c r="H131" i="28" s="1"/>
  <c r="F133" i="28"/>
  <c r="I133" i="28" s="1"/>
  <c r="H133" i="28" s="1"/>
  <c r="E133" i="28"/>
  <c r="E120" i="28"/>
  <c r="AB119" i="27"/>
  <c r="P120" i="27"/>
  <c r="W120" i="27"/>
  <c r="R122" i="27"/>
  <c r="F138" i="28"/>
  <c r="I138" i="28" s="1"/>
  <c r="H138" i="28" s="1"/>
  <c r="F142" i="28"/>
  <c r="I142" i="28" s="1"/>
  <c r="H142" i="28" s="1"/>
  <c r="F116" i="28"/>
  <c r="I116" i="28" s="1"/>
  <c r="H116" i="28" s="1"/>
  <c r="F118" i="28"/>
  <c r="I118" i="28" s="1"/>
  <c r="H118" i="28" s="1"/>
  <c r="R119" i="27"/>
  <c r="L119" i="27"/>
  <c r="W119" i="27"/>
  <c r="U119" i="27"/>
  <c r="V119" i="27" s="1"/>
  <c r="F122" i="28"/>
  <c r="I122" i="28" s="1"/>
  <c r="H122" i="28" s="1"/>
  <c r="F124" i="28"/>
  <c r="I124" i="28" s="1"/>
  <c r="H124" i="28" s="1"/>
  <c r="F126" i="28"/>
  <c r="I126" i="28" s="1"/>
  <c r="H126" i="28" s="1"/>
  <c r="F128" i="28"/>
  <c r="I128" i="28" s="1"/>
  <c r="H128" i="28" s="1"/>
  <c r="F130" i="28"/>
  <c r="I130" i="28" s="1"/>
  <c r="H130" i="28" s="1"/>
  <c r="F132" i="28"/>
  <c r="I132" i="28" s="1"/>
  <c r="H132" i="28" s="1"/>
  <c r="F134" i="28"/>
  <c r="I134" i="28" s="1"/>
  <c r="H134" i="28" s="1"/>
  <c r="U135" i="27"/>
  <c r="V135" i="27" s="1"/>
  <c r="W135" i="27"/>
  <c r="R135" i="27"/>
  <c r="H135" i="27"/>
  <c r="R139" i="27"/>
  <c r="W139" i="27"/>
  <c r="U139" i="27"/>
  <c r="V139" i="27" s="1"/>
  <c r="R133" i="27"/>
  <c r="U137" i="27"/>
  <c r="V137" i="27" s="1"/>
  <c r="U141" i="27"/>
  <c r="V141" i="27" s="1"/>
  <c r="L141" i="27"/>
  <c r="H136" i="27"/>
  <c r="U136" i="27"/>
  <c r="V136" i="27" s="1"/>
  <c r="R136" i="27"/>
  <c r="W136" i="27"/>
  <c r="R140" i="27"/>
  <c r="L140" i="27"/>
  <c r="U140" i="27"/>
  <c r="V140" i="27" s="1"/>
  <c r="W140" i="27"/>
  <c r="F117" i="28"/>
  <c r="I117" i="28" s="1"/>
  <c r="H117" i="28" s="1"/>
  <c r="E117" i="28"/>
  <c r="R118" i="27"/>
  <c r="U118" i="27"/>
  <c r="V118" i="27" s="1"/>
  <c r="F121" i="28"/>
  <c r="I121" i="28" s="1"/>
  <c r="H121" i="28" s="1"/>
  <c r="E121" i="28"/>
  <c r="U122" i="27"/>
  <c r="V122" i="27" s="1"/>
  <c r="R124" i="27"/>
  <c r="H124" i="27"/>
  <c r="U124" i="27"/>
  <c r="V124" i="27" s="1"/>
  <c r="W124" i="27"/>
  <c r="H126" i="27"/>
  <c r="AB126" i="27"/>
  <c r="U126" i="27"/>
  <c r="V126" i="27" s="1"/>
  <c r="R126" i="27"/>
  <c r="W126" i="27"/>
  <c r="R128" i="27"/>
  <c r="U128" i="27"/>
  <c r="V128" i="27" s="1"/>
  <c r="W128" i="27"/>
  <c r="H128" i="27"/>
  <c r="H130" i="27"/>
  <c r="W130" i="27"/>
  <c r="U130" i="27"/>
  <c r="V130" i="27" s="1"/>
  <c r="R130" i="27"/>
  <c r="H132" i="27"/>
  <c r="R132" i="27"/>
  <c r="U132" i="27"/>
  <c r="V132" i="27" s="1"/>
  <c r="W132" i="27"/>
  <c r="E118" i="28"/>
  <c r="E122" i="28"/>
  <c r="E126" i="28"/>
  <c r="E130" i="28"/>
  <c r="E134" i="28"/>
  <c r="E138" i="28"/>
  <c r="E142" i="28"/>
  <c r="W118" i="27"/>
  <c r="R120" i="27"/>
  <c r="U120" i="27"/>
  <c r="V120" i="27" s="1"/>
  <c r="P136" i="27"/>
  <c r="P121" i="27"/>
  <c r="AB138" i="27"/>
  <c r="X139" i="28" s="1"/>
  <c r="AB120" i="27"/>
  <c r="AB134" i="27"/>
  <c r="X135" i="28" s="1"/>
  <c r="AB122" i="27"/>
  <c r="AB130" i="27"/>
  <c r="AB117" i="27"/>
  <c r="P135" i="27"/>
  <c r="P128" i="27"/>
  <c r="P129" i="27"/>
  <c r="P141" i="27"/>
  <c r="AD98" i="27"/>
  <c r="AE93" i="27"/>
  <c r="AF93" i="27" s="1"/>
  <c r="AD91" i="27"/>
  <c r="AD89" i="27"/>
  <c r="AD87" i="27"/>
  <c r="AD85" i="27"/>
  <c r="AD65" i="27"/>
  <c r="AD63" i="27"/>
  <c r="AE55" i="27"/>
  <c r="AF55" i="27" s="1"/>
  <c r="AE51" i="27"/>
  <c r="AF51" i="27" s="1"/>
  <c r="AE47" i="27"/>
  <c r="AF47" i="27" s="1"/>
  <c r="AE43" i="27"/>
  <c r="AF43" i="27" s="1"/>
  <c r="AE37" i="27"/>
  <c r="AF37" i="27" s="1"/>
  <c r="AE33" i="27"/>
  <c r="AF33" i="27" s="1"/>
  <c r="AE31" i="27"/>
  <c r="AF31" i="27" s="1"/>
  <c r="AE27" i="27"/>
  <c r="AE25" i="27"/>
  <c r="AF25" i="27" s="1"/>
  <c r="AE22" i="27"/>
  <c r="AF22" i="27" s="1"/>
  <c r="S151" i="28"/>
  <c r="K190" i="28"/>
  <c r="K186" i="28"/>
  <c r="K184" i="28"/>
  <c r="K180" i="28"/>
  <c r="K176" i="28"/>
  <c r="K172" i="28"/>
  <c r="S183" i="28"/>
  <c r="S171" i="28"/>
  <c r="K195" i="28"/>
  <c r="K156" i="28"/>
  <c r="K166" i="28"/>
  <c r="K158" i="28"/>
  <c r="K183" i="28"/>
  <c r="K175" i="28"/>
  <c r="K171" i="28"/>
  <c r="K196" i="28"/>
  <c r="S196" i="28"/>
  <c r="K194" i="28"/>
  <c r="S163" i="28"/>
  <c r="S155" i="28"/>
  <c r="AE112" i="27"/>
  <c r="AF112" i="27" s="1"/>
  <c r="AD112" i="27"/>
  <c r="AE108" i="27"/>
  <c r="AF108" i="27" s="1"/>
  <c r="AD108" i="27"/>
  <c r="AE104" i="27"/>
  <c r="AF104" i="27" s="1"/>
  <c r="AD104" i="27"/>
  <c r="AE102" i="27"/>
  <c r="AF102" i="27" s="1"/>
  <c r="AD102" i="27"/>
  <c r="AD96" i="27"/>
  <c r="AE96" i="27"/>
  <c r="AF96" i="27" s="1"/>
  <c r="AE94" i="27"/>
  <c r="AF94" i="27" s="1"/>
  <c r="AD94" i="27"/>
  <c r="AE90" i="27"/>
  <c r="AF90" i="27" s="1"/>
  <c r="AE86" i="27"/>
  <c r="AF86" i="27" s="1"/>
  <c r="AD86" i="27"/>
  <c r="AE82" i="27"/>
  <c r="AF82" i="27" s="1"/>
  <c r="AD82" i="27"/>
  <c r="AE78" i="27"/>
  <c r="AF78" i="27" s="1"/>
  <c r="AE74" i="27"/>
  <c r="AF74" i="27" s="1"/>
  <c r="AE60" i="27"/>
  <c r="AF60" i="27" s="1"/>
  <c r="AE54" i="27"/>
  <c r="AF54" i="27" s="1"/>
  <c r="AE50" i="27"/>
  <c r="AF50" i="27" s="1"/>
  <c r="AE46" i="27"/>
  <c r="AF46" i="27" s="1"/>
  <c r="AE44" i="27"/>
  <c r="AF44" i="27" s="1"/>
  <c r="AD38" i="27"/>
  <c r="AE32" i="27"/>
  <c r="AF32" i="27" s="1"/>
  <c r="AE66" i="27"/>
  <c r="AF66" i="27" s="1"/>
  <c r="AD78" i="27"/>
  <c r="AD90" i="27"/>
  <c r="AE92" i="27"/>
  <c r="AF92" i="27" s="1"/>
  <c r="AE114" i="27"/>
  <c r="AF114" i="27" s="1"/>
  <c r="AD114" i="27"/>
  <c r="AE110" i="27"/>
  <c r="AF110" i="27" s="1"/>
  <c r="AD110" i="27"/>
  <c r="AE106" i="27"/>
  <c r="AF106" i="27" s="1"/>
  <c r="AD106" i="27"/>
  <c r="AE100" i="27"/>
  <c r="AF100" i="27" s="1"/>
  <c r="AD100" i="27"/>
  <c r="AE98" i="27"/>
  <c r="AF98" i="27" s="1"/>
  <c r="AD92" i="27"/>
  <c r="AD88" i="27"/>
  <c r="AE88" i="27"/>
  <c r="AF88" i="27" s="1"/>
  <c r="AD84" i="27"/>
  <c r="AE80" i="27"/>
  <c r="AF80" i="27" s="1"/>
  <c r="AE76" i="27"/>
  <c r="AF76" i="27" s="1"/>
  <c r="AD72" i="27"/>
  <c r="AD62" i="27"/>
  <c r="AE58" i="27"/>
  <c r="AF58" i="27" s="1"/>
  <c r="AE52" i="27"/>
  <c r="AF52" i="27" s="1"/>
  <c r="AD48" i="27"/>
  <c r="AE42" i="27"/>
  <c r="AF42" i="27" s="1"/>
  <c r="AE36" i="27"/>
  <c r="AF36" i="27" s="1"/>
  <c r="AE28" i="27"/>
  <c r="AE24" i="27"/>
  <c r="AF24" i="27" s="1"/>
  <c r="AE17" i="27"/>
  <c r="AE19" i="27"/>
  <c r="AF19" i="27" s="1"/>
  <c r="AE23" i="27"/>
  <c r="AF23" i="27" s="1"/>
  <c r="F95" i="28"/>
  <c r="E95" i="28"/>
  <c r="E92" i="28"/>
  <c r="F91" i="28"/>
  <c r="E91" i="28"/>
  <c r="F90" i="28"/>
  <c r="E90" i="28"/>
  <c r="F89" i="28"/>
  <c r="E89" i="28"/>
  <c r="F88" i="28"/>
  <c r="E88" i="28"/>
  <c r="E86" i="28"/>
  <c r="F79" i="28"/>
  <c r="E79" i="28"/>
  <c r="E76" i="28"/>
  <c r="F75" i="28"/>
  <c r="E75" i="28"/>
  <c r="F74" i="28"/>
  <c r="E74" i="28"/>
  <c r="F73" i="28"/>
  <c r="E73" i="28"/>
  <c r="E70" i="28"/>
  <c r="AE56" i="27"/>
  <c r="AF56" i="27" s="1"/>
  <c r="F70" i="28"/>
  <c r="E69" i="28"/>
  <c r="F104" i="28"/>
  <c r="E104" i="28"/>
  <c r="F103" i="28"/>
  <c r="E103" i="28"/>
  <c r="F102" i="28"/>
  <c r="E102" i="28"/>
  <c r="F101" i="28"/>
  <c r="E101" i="28"/>
  <c r="F100" i="28"/>
  <c r="E100" i="28"/>
  <c r="F99" i="28"/>
  <c r="E99" i="28"/>
  <c r="F98" i="28"/>
  <c r="E98" i="28"/>
  <c r="F97" i="28"/>
  <c r="E97" i="28"/>
  <c r="F96" i="28"/>
  <c r="E96" i="28"/>
  <c r="E94" i="28"/>
  <c r="F93" i="28"/>
  <c r="E93" i="28"/>
  <c r="F87" i="28"/>
  <c r="E87" i="28"/>
  <c r="E84" i="28"/>
  <c r="F83" i="28"/>
  <c r="E83" i="28"/>
  <c r="F82" i="28"/>
  <c r="E82" i="28"/>
  <c r="F81" i="28"/>
  <c r="E81" i="28"/>
  <c r="F80" i="28"/>
  <c r="E80" i="28"/>
  <c r="E78" i="28"/>
  <c r="F77" i="28"/>
  <c r="E77" i="28"/>
  <c r="E72" i="28"/>
  <c r="E68" i="28"/>
  <c r="F72" i="28"/>
  <c r="E71" i="28"/>
  <c r="F68" i="28"/>
  <c r="E67" i="28"/>
  <c r="AD56" i="27"/>
  <c r="F85" i="28"/>
  <c r="F71" i="28"/>
  <c r="F69" i="28"/>
  <c r="F67" i="28"/>
  <c r="D16" i="28"/>
  <c r="E16" i="28" s="1"/>
  <c r="F15" i="27"/>
  <c r="AE16" i="27"/>
  <c r="D22" i="28"/>
  <c r="F22" i="28" s="1"/>
  <c r="F21" i="27"/>
  <c r="M21" i="27" s="1"/>
  <c r="K21" i="27" s="1"/>
  <c r="D18" i="28"/>
  <c r="F18" i="28" s="1"/>
  <c r="F17" i="27"/>
  <c r="D20" i="28"/>
  <c r="E20" i="28" s="1"/>
  <c r="F19" i="27"/>
  <c r="Z19" i="27" s="1"/>
  <c r="D23" i="28"/>
  <c r="E23" i="28" s="1"/>
  <c r="F22" i="27"/>
  <c r="N22" i="27" s="1"/>
  <c r="D65" i="28"/>
  <c r="E65" i="28" s="1"/>
  <c r="F64" i="27"/>
  <c r="D63" i="28"/>
  <c r="F62" i="27"/>
  <c r="D61" i="28"/>
  <c r="F60" i="27"/>
  <c r="D59" i="28"/>
  <c r="F58" i="27"/>
  <c r="D57" i="28"/>
  <c r="F56" i="27"/>
  <c r="N56" i="27" s="1"/>
  <c r="D55" i="28"/>
  <c r="F54" i="27"/>
  <c r="R54" i="27" s="1"/>
  <c r="D53" i="28"/>
  <c r="F52" i="27"/>
  <c r="M52" i="27" s="1"/>
  <c r="K52" i="27" s="1"/>
  <c r="D51" i="28"/>
  <c r="F50" i="27"/>
  <c r="U50" i="27" s="1"/>
  <c r="D49" i="28"/>
  <c r="F48" i="27"/>
  <c r="M48" i="27" s="1"/>
  <c r="K48" i="27" s="1"/>
  <c r="D47" i="28"/>
  <c r="F46" i="27"/>
  <c r="U46" i="27" s="1"/>
  <c r="D45" i="28"/>
  <c r="F44" i="27"/>
  <c r="M44" i="27" s="1"/>
  <c r="K44" i="27" s="1"/>
  <c r="D43" i="28"/>
  <c r="F42" i="27"/>
  <c r="M42" i="27" s="1"/>
  <c r="K42" i="27" s="1"/>
  <c r="D41" i="28"/>
  <c r="F40" i="27"/>
  <c r="M40" i="27" s="1"/>
  <c r="K40" i="27" s="1"/>
  <c r="D39" i="28"/>
  <c r="F38" i="27"/>
  <c r="R38" i="27" s="1"/>
  <c r="D37" i="28"/>
  <c r="F36" i="27"/>
  <c r="Z36" i="27" s="1"/>
  <c r="D35" i="28"/>
  <c r="F34" i="27"/>
  <c r="M34" i="27" s="1"/>
  <c r="K34" i="27" s="1"/>
  <c r="D33" i="28"/>
  <c r="F32" i="27"/>
  <c r="M32" i="27" s="1"/>
  <c r="K32" i="27" s="1"/>
  <c r="D31" i="28"/>
  <c r="F30" i="27"/>
  <c r="M30" i="27" s="1"/>
  <c r="K30" i="27" s="1"/>
  <c r="D29" i="28"/>
  <c r="F28" i="27"/>
  <c r="N28" i="27" s="1"/>
  <c r="D27" i="28"/>
  <c r="F26" i="27"/>
  <c r="M26" i="27" s="1"/>
  <c r="K26" i="27" s="1"/>
  <c r="AE15" i="27"/>
  <c r="F114" i="27"/>
  <c r="Z114" i="27" s="1"/>
  <c r="F113" i="27"/>
  <c r="W113" i="27" s="1"/>
  <c r="F112" i="27"/>
  <c r="F111" i="27"/>
  <c r="F110" i="27"/>
  <c r="Z110" i="27" s="1"/>
  <c r="F109" i="27"/>
  <c r="W109" i="27" s="1"/>
  <c r="F108" i="27"/>
  <c r="N108" i="27" s="1"/>
  <c r="F107" i="27"/>
  <c r="N107" i="27" s="1"/>
  <c r="F106" i="27"/>
  <c r="Z106" i="27" s="1"/>
  <c r="F105" i="27"/>
  <c r="U105" i="27" s="1"/>
  <c r="F104" i="27"/>
  <c r="W104" i="27" s="1"/>
  <c r="F103" i="27"/>
  <c r="W103" i="27" s="1"/>
  <c r="F102" i="27"/>
  <c r="N102" i="27" s="1"/>
  <c r="F101" i="27"/>
  <c r="F100" i="27"/>
  <c r="F99" i="27"/>
  <c r="U99" i="27" s="1"/>
  <c r="F98" i="27"/>
  <c r="N98" i="27" s="1"/>
  <c r="F97" i="27"/>
  <c r="M97" i="27" s="1"/>
  <c r="K97" i="27" s="1"/>
  <c r="F94" i="27"/>
  <c r="M94" i="27" s="1"/>
  <c r="K94" i="27" s="1"/>
  <c r="F93" i="27"/>
  <c r="R93" i="27" s="1"/>
  <c r="F90" i="27"/>
  <c r="M90" i="27" s="1"/>
  <c r="K90" i="27" s="1"/>
  <c r="F89" i="27"/>
  <c r="M89" i="27" s="1"/>
  <c r="K89" i="27" s="1"/>
  <c r="F86" i="27"/>
  <c r="W86" i="27" s="1"/>
  <c r="F85" i="27"/>
  <c r="M85" i="27" s="1"/>
  <c r="K85" i="27" s="1"/>
  <c r="F84" i="27"/>
  <c r="U84" i="27" s="1"/>
  <c r="F83" i="27"/>
  <c r="F82" i="27"/>
  <c r="N82" i="27" s="1"/>
  <c r="F81" i="27"/>
  <c r="W81" i="27" s="1"/>
  <c r="F80" i="27"/>
  <c r="W80" i="27" s="1"/>
  <c r="D26" i="28"/>
  <c r="F25" i="27"/>
  <c r="N25" i="27" s="1"/>
  <c r="D17" i="28"/>
  <c r="F16" i="27"/>
  <c r="M16" i="27" s="1"/>
  <c r="D19" i="28"/>
  <c r="F18" i="27"/>
  <c r="D21" i="28"/>
  <c r="F20" i="27"/>
  <c r="M20" i="27" s="1"/>
  <c r="K20" i="27" s="1"/>
  <c r="D24" i="28"/>
  <c r="F23" i="27"/>
  <c r="D25" i="28"/>
  <c r="F24" i="27"/>
  <c r="M24" i="27" s="1"/>
  <c r="K24" i="27" s="1"/>
  <c r="D66" i="28"/>
  <c r="F65" i="27"/>
  <c r="D64" i="28"/>
  <c r="F63" i="27"/>
  <c r="D62" i="28"/>
  <c r="F61" i="27"/>
  <c r="D60" i="28"/>
  <c r="F59" i="27"/>
  <c r="N59" i="27" s="1"/>
  <c r="D58" i="28"/>
  <c r="F57" i="27"/>
  <c r="Z57" i="27" s="1"/>
  <c r="D56" i="28"/>
  <c r="F55" i="27"/>
  <c r="D54" i="28"/>
  <c r="F53" i="27"/>
  <c r="M53" i="27" s="1"/>
  <c r="K53" i="27" s="1"/>
  <c r="D52" i="28"/>
  <c r="F51" i="27"/>
  <c r="M51" i="27" s="1"/>
  <c r="K51" i="27" s="1"/>
  <c r="D50" i="28"/>
  <c r="F49" i="27"/>
  <c r="M49" i="27" s="1"/>
  <c r="K49" i="27" s="1"/>
  <c r="D48" i="28"/>
  <c r="F47" i="27"/>
  <c r="M47" i="27" s="1"/>
  <c r="K47" i="27" s="1"/>
  <c r="D46" i="28"/>
  <c r="F45" i="27"/>
  <c r="M45" i="27" s="1"/>
  <c r="K45" i="27" s="1"/>
  <c r="D44" i="28"/>
  <c r="F43" i="27"/>
  <c r="D42" i="28"/>
  <c r="F41" i="27"/>
  <c r="M41" i="27" s="1"/>
  <c r="K41" i="27" s="1"/>
  <c r="D40" i="28"/>
  <c r="F39" i="27"/>
  <c r="M39" i="27" s="1"/>
  <c r="K39" i="27" s="1"/>
  <c r="D38" i="28"/>
  <c r="F37" i="27"/>
  <c r="M37" i="27" s="1"/>
  <c r="K37" i="27" s="1"/>
  <c r="D36" i="28"/>
  <c r="F35" i="27"/>
  <c r="M35" i="27" s="1"/>
  <c r="K35" i="27" s="1"/>
  <c r="D34" i="28"/>
  <c r="F33" i="27"/>
  <c r="N33" i="27" s="1"/>
  <c r="D32" i="28"/>
  <c r="F31" i="27"/>
  <c r="D30" i="28"/>
  <c r="F29" i="27"/>
  <c r="N29" i="27" s="1"/>
  <c r="D28" i="28"/>
  <c r="F27" i="27"/>
  <c r="F96" i="27"/>
  <c r="R96" i="27" s="1"/>
  <c r="F95" i="27"/>
  <c r="N95" i="27" s="1"/>
  <c r="F92" i="27"/>
  <c r="N92" i="27" s="1"/>
  <c r="F91" i="27"/>
  <c r="M91" i="27" s="1"/>
  <c r="K91" i="27" s="1"/>
  <c r="F88" i="27"/>
  <c r="N88" i="27" s="1"/>
  <c r="F87" i="27"/>
  <c r="U87" i="27" s="1"/>
  <c r="F79" i="27"/>
  <c r="M79" i="27" s="1"/>
  <c r="K79" i="27" s="1"/>
  <c r="F78" i="27"/>
  <c r="R78" i="27" s="1"/>
  <c r="F77" i="27"/>
  <c r="M77" i="27" s="1"/>
  <c r="K77" i="27" s="1"/>
  <c r="F76" i="27"/>
  <c r="M76" i="27" s="1"/>
  <c r="K76" i="27" s="1"/>
  <c r="F75" i="27"/>
  <c r="M75" i="27" s="1"/>
  <c r="K75" i="27" s="1"/>
  <c r="F74" i="27"/>
  <c r="M74" i="27" s="1"/>
  <c r="K74" i="27" s="1"/>
  <c r="F73" i="27"/>
  <c r="N73" i="27" s="1"/>
  <c r="F72" i="27"/>
  <c r="F71" i="27"/>
  <c r="N71" i="27" s="1"/>
  <c r="F70" i="27"/>
  <c r="M70" i="27" s="1"/>
  <c r="K70" i="27" s="1"/>
  <c r="F69" i="27"/>
  <c r="N69" i="27" s="1"/>
  <c r="F68" i="27"/>
  <c r="M68" i="27" s="1"/>
  <c r="K68" i="27" s="1"/>
  <c r="F67" i="27"/>
  <c r="F66" i="27"/>
  <c r="N66" i="27" s="1"/>
  <c r="F115" i="28"/>
  <c r="F113" i="28"/>
  <c r="F111" i="28"/>
  <c r="F109" i="28"/>
  <c r="F107" i="28"/>
  <c r="F105" i="28"/>
  <c r="F114" i="28"/>
  <c r="F112" i="28"/>
  <c r="F110" i="28"/>
  <c r="F108" i="28"/>
  <c r="F106" i="28"/>
  <c r="I69" i="28" l="1"/>
  <c r="H69" i="28" s="1"/>
  <c r="I73" i="28"/>
  <c r="H73" i="28" s="1"/>
  <c r="I77" i="28"/>
  <c r="H77" i="28" s="1"/>
  <c r="I81" i="28"/>
  <c r="H81" i="28" s="1"/>
  <c r="I85" i="28"/>
  <c r="H85" i="28" s="1"/>
  <c r="I89" i="28"/>
  <c r="H89" i="28" s="1"/>
  <c r="I93" i="28"/>
  <c r="H93" i="28" s="1"/>
  <c r="I97" i="28"/>
  <c r="H97" i="28" s="1"/>
  <c r="I101" i="28"/>
  <c r="H101" i="28" s="1"/>
  <c r="I105" i="28"/>
  <c r="H105" i="28" s="1"/>
  <c r="I109" i="28"/>
  <c r="H109" i="28" s="1"/>
  <c r="I113" i="28"/>
  <c r="H113" i="28" s="1"/>
  <c r="I18" i="28"/>
  <c r="H18" i="28" s="1"/>
  <c r="I22" i="28"/>
  <c r="H22" i="28" s="1"/>
  <c r="I70" i="28"/>
  <c r="H70" i="28" s="1"/>
  <c r="I74" i="28"/>
  <c r="H74" i="28" s="1"/>
  <c r="I78" i="28"/>
  <c r="H78" i="28" s="1"/>
  <c r="I82" i="28"/>
  <c r="H82" i="28" s="1"/>
  <c r="I86" i="28"/>
  <c r="H86" i="28" s="1"/>
  <c r="I90" i="28"/>
  <c r="H90" i="28" s="1"/>
  <c r="I94" i="28"/>
  <c r="H94" i="28" s="1"/>
  <c r="I98" i="28"/>
  <c r="H98" i="28" s="1"/>
  <c r="I102" i="28"/>
  <c r="H102" i="28" s="1"/>
  <c r="I106" i="28"/>
  <c r="H106" i="28" s="1"/>
  <c r="I110" i="28"/>
  <c r="H110" i="28" s="1"/>
  <c r="I114" i="28"/>
  <c r="H114" i="28" s="1"/>
  <c r="I67" i="28"/>
  <c r="H67" i="28" s="1"/>
  <c r="I71" i="28"/>
  <c r="H71" i="28" s="1"/>
  <c r="I75" i="28"/>
  <c r="H75" i="28" s="1"/>
  <c r="I79" i="28"/>
  <c r="H79" i="28" s="1"/>
  <c r="I83" i="28"/>
  <c r="H83" i="28" s="1"/>
  <c r="I87" i="28"/>
  <c r="H87" i="28" s="1"/>
  <c r="I91" i="28"/>
  <c r="H91" i="28" s="1"/>
  <c r="I95" i="28"/>
  <c r="H95" i="28" s="1"/>
  <c r="I99" i="28"/>
  <c r="H99" i="28" s="1"/>
  <c r="I103" i="28"/>
  <c r="H103" i="28" s="1"/>
  <c r="I107" i="28"/>
  <c r="H107" i="28" s="1"/>
  <c r="I111" i="28"/>
  <c r="H111" i="28" s="1"/>
  <c r="I115" i="28"/>
  <c r="H115" i="28" s="1"/>
  <c r="I68" i="28"/>
  <c r="H68" i="28" s="1"/>
  <c r="I72" i="28"/>
  <c r="H72" i="28" s="1"/>
  <c r="I76" i="28"/>
  <c r="H76" i="28" s="1"/>
  <c r="I80" i="28"/>
  <c r="H80" i="28" s="1"/>
  <c r="I84" i="28"/>
  <c r="H84" i="28" s="1"/>
  <c r="I88" i="28"/>
  <c r="H88" i="28" s="1"/>
  <c r="I92" i="28"/>
  <c r="H92" i="28" s="1"/>
  <c r="I96" i="28"/>
  <c r="H96" i="28" s="1"/>
  <c r="I100" i="28"/>
  <c r="H100" i="28" s="1"/>
  <c r="I104" i="28"/>
  <c r="H104" i="28" s="1"/>
  <c r="I108" i="28"/>
  <c r="H108" i="28" s="1"/>
  <c r="I112" i="28"/>
  <c r="H112" i="28" s="1"/>
  <c r="K118" i="27"/>
  <c r="G118" i="27"/>
  <c r="K121" i="27"/>
  <c r="G121" i="27"/>
  <c r="K122" i="27"/>
  <c r="G122" i="27"/>
  <c r="K127" i="27"/>
  <c r="G127" i="27"/>
  <c r="K138" i="27"/>
  <c r="G138" i="27"/>
  <c r="K123" i="27"/>
  <c r="G123" i="27"/>
  <c r="H140" i="27"/>
  <c r="AG140" i="27" s="1"/>
  <c r="AH140" i="27" s="1"/>
  <c r="AI140" i="27" s="1"/>
  <c r="G141" i="28" s="1"/>
  <c r="K140" i="27"/>
  <c r="G140" i="27"/>
  <c r="H144" i="27"/>
  <c r="AG144" i="27" s="1"/>
  <c r="AH144" i="27" s="1"/>
  <c r="AI144" i="27" s="1"/>
  <c r="G145" i="28" s="1"/>
  <c r="K144" i="27"/>
  <c r="G144" i="27"/>
  <c r="H145" i="27"/>
  <c r="AG145" i="27" s="1"/>
  <c r="AH145" i="27" s="1"/>
  <c r="AI145" i="27" s="1"/>
  <c r="G146" i="28" s="1"/>
  <c r="K145" i="27"/>
  <c r="G145" i="27"/>
  <c r="K133" i="27"/>
  <c r="G133" i="27"/>
  <c r="K117" i="27"/>
  <c r="G117" i="27"/>
  <c r="K119" i="27"/>
  <c r="G119" i="27"/>
  <c r="K134" i="27"/>
  <c r="G134" i="27"/>
  <c r="K115" i="27"/>
  <c r="G115" i="27"/>
  <c r="K131" i="27"/>
  <c r="G131" i="27"/>
  <c r="K139" i="27"/>
  <c r="G139" i="27"/>
  <c r="H141" i="27"/>
  <c r="AG141" i="27" s="1"/>
  <c r="AH141" i="27" s="1"/>
  <c r="K141" i="27"/>
  <c r="G141" i="27"/>
  <c r="H142" i="27"/>
  <c r="K142" i="27"/>
  <c r="G142" i="27"/>
  <c r="H143" i="27"/>
  <c r="AG143" i="27" s="1"/>
  <c r="AH143" i="27" s="1"/>
  <c r="AI143" i="27" s="1"/>
  <c r="G144" i="28" s="1"/>
  <c r="K143" i="27"/>
  <c r="G143" i="27"/>
  <c r="H147" i="27"/>
  <c r="AG147" i="27" s="1"/>
  <c r="AH147" i="27" s="1"/>
  <c r="AI147" i="27" s="1"/>
  <c r="G148" i="28" s="1"/>
  <c r="K147" i="27"/>
  <c r="G147" i="27"/>
  <c r="H148" i="27"/>
  <c r="AG148" i="27" s="1"/>
  <c r="AH148" i="27" s="1"/>
  <c r="AI148" i="27" s="1"/>
  <c r="G149" i="28" s="1"/>
  <c r="K148" i="27"/>
  <c r="G148" i="27"/>
  <c r="G20" i="27"/>
  <c r="G24" i="27"/>
  <c r="G26" i="27"/>
  <c r="G30" i="27"/>
  <c r="G32" i="27"/>
  <c r="G34" i="27"/>
  <c r="G40" i="27"/>
  <c r="G42" i="27"/>
  <c r="G44" i="27"/>
  <c r="G48" i="27"/>
  <c r="G52" i="27"/>
  <c r="G68" i="27"/>
  <c r="G70" i="27"/>
  <c r="G74" i="27"/>
  <c r="G76" i="27"/>
  <c r="G90" i="27"/>
  <c r="G94" i="27"/>
  <c r="G21" i="27"/>
  <c r="G35" i="27"/>
  <c r="G37" i="27"/>
  <c r="G39" i="27"/>
  <c r="G41" i="27"/>
  <c r="G45" i="27"/>
  <c r="G47" i="27"/>
  <c r="G49" i="27"/>
  <c r="G51" i="27"/>
  <c r="G53" i="27"/>
  <c r="G75" i="27"/>
  <c r="G77" i="27"/>
  <c r="G79" i="27"/>
  <c r="G85" i="27"/>
  <c r="G89" i="27"/>
  <c r="G91" i="27"/>
  <c r="G97" i="27"/>
  <c r="AA16" i="27"/>
  <c r="AB16" i="27" s="1"/>
  <c r="AC16" i="27"/>
  <c r="AD16" i="27" s="1"/>
  <c r="Q16" i="27"/>
  <c r="S16" i="27"/>
  <c r="K16" i="27"/>
  <c r="O16" i="27"/>
  <c r="G16" i="27"/>
  <c r="I16" i="27"/>
  <c r="J16" i="27" s="1"/>
  <c r="AA15" i="27"/>
  <c r="AB207" i="27" s="1"/>
  <c r="AC15" i="27"/>
  <c r="AD15" i="27" s="1"/>
  <c r="O15" i="27"/>
  <c r="P15" i="27" s="1"/>
  <c r="Q15" i="27"/>
  <c r="R15" i="27" s="1"/>
  <c r="M15" i="27"/>
  <c r="G15" i="27" s="1"/>
  <c r="S197" i="28"/>
  <c r="M197" i="28" s="1"/>
  <c r="O197" i="28" s="1"/>
  <c r="P197" i="28" s="1"/>
  <c r="S185" i="28"/>
  <c r="M185" i="28" s="1"/>
  <c r="O185" i="28" s="1"/>
  <c r="P185" i="28" s="1"/>
  <c r="Y149" i="28"/>
  <c r="Q149" i="28"/>
  <c r="Y148" i="28"/>
  <c r="W148" i="28"/>
  <c r="Q148" i="28"/>
  <c r="V148" i="28"/>
  <c r="P23" i="27"/>
  <c r="K193" i="28"/>
  <c r="K167" i="28"/>
  <c r="P167" i="28" s="1"/>
  <c r="K165" i="28"/>
  <c r="Y147" i="28"/>
  <c r="AG146" i="27"/>
  <c r="AH146" i="27" s="1"/>
  <c r="AI146" i="27" s="1"/>
  <c r="G147" i="28" s="1"/>
  <c r="Q147" i="28"/>
  <c r="W147" i="28"/>
  <c r="S173" i="28"/>
  <c r="M173" i="28" s="1"/>
  <c r="O173" i="28" s="1"/>
  <c r="P173" i="28" s="1"/>
  <c r="S189" i="28"/>
  <c r="M189" i="28" s="1"/>
  <c r="O189" i="28" s="1"/>
  <c r="P189" i="28" s="1"/>
  <c r="Y146" i="28"/>
  <c r="Q146" i="28"/>
  <c r="V146" i="28"/>
  <c r="X146" i="28"/>
  <c r="W146" i="28"/>
  <c r="P82" i="27"/>
  <c r="W145" i="28"/>
  <c r="X145" i="28"/>
  <c r="Y145" i="28"/>
  <c r="Q145" i="28"/>
  <c r="V145" i="28"/>
  <c r="K150" i="28"/>
  <c r="M150" i="28"/>
  <c r="L150" i="28" s="1"/>
  <c r="P54" i="27"/>
  <c r="W144" i="28"/>
  <c r="Y144" i="28"/>
  <c r="Q144" i="28"/>
  <c r="V144" i="28"/>
  <c r="K154" i="28"/>
  <c r="P62" i="27"/>
  <c r="Y143" i="28"/>
  <c r="Y142" i="28"/>
  <c r="AB67" i="27"/>
  <c r="X68" i="28" s="1"/>
  <c r="K152" i="28"/>
  <c r="H16" i="27"/>
  <c r="M154" i="28"/>
  <c r="N154" i="28" s="1"/>
  <c r="P113" i="27"/>
  <c r="AB64" i="27"/>
  <c r="K179" i="28"/>
  <c r="K198" i="28"/>
  <c r="S177" i="28"/>
  <c r="M177" i="28" s="1"/>
  <c r="O177" i="28" s="1"/>
  <c r="P177" i="28" s="1"/>
  <c r="M152" i="28"/>
  <c r="L152" i="28" s="1"/>
  <c r="K191" i="28"/>
  <c r="I15" i="27"/>
  <c r="J15" i="27" s="1"/>
  <c r="AB43" i="27"/>
  <c r="Y141" i="28"/>
  <c r="F16" i="28"/>
  <c r="AB55" i="27"/>
  <c r="L126" i="27"/>
  <c r="Y127" i="28" s="1"/>
  <c r="L118" i="27"/>
  <c r="L129" i="27"/>
  <c r="Y130" i="28" s="1"/>
  <c r="L121" i="27"/>
  <c r="L116" i="27"/>
  <c r="Y117" i="28" s="1"/>
  <c r="L127" i="27"/>
  <c r="L115" i="27"/>
  <c r="L132" i="27"/>
  <c r="Y133" i="28" s="1"/>
  <c r="L128" i="27"/>
  <c r="Y129" i="28" s="1"/>
  <c r="L139" i="27"/>
  <c r="L130" i="27"/>
  <c r="Y131" i="28" s="1"/>
  <c r="L122" i="27"/>
  <c r="L137" i="27"/>
  <c r="Y138" i="28" s="1"/>
  <c r="L125" i="27"/>
  <c r="Y126" i="28" s="1"/>
  <c r="L120" i="27"/>
  <c r="Y121" i="28" s="1"/>
  <c r="L131" i="27"/>
  <c r="L123" i="27"/>
  <c r="L136" i="27"/>
  <c r="Y137" i="28" s="1"/>
  <c r="L135" i="27"/>
  <c r="Y136" i="28" s="1"/>
  <c r="H139" i="27"/>
  <c r="T120" i="27"/>
  <c r="T124" i="27"/>
  <c r="AG142" i="27"/>
  <c r="Y85" i="27"/>
  <c r="Y82" i="27"/>
  <c r="Y52" i="27"/>
  <c r="Y68" i="27"/>
  <c r="T139" i="27"/>
  <c r="W140" i="28" s="1"/>
  <c r="S140" i="28" s="1"/>
  <c r="T36" i="27"/>
  <c r="T106" i="27"/>
  <c r="W107" i="28" s="1"/>
  <c r="T57" i="27"/>
  <c r="T110" i="27"/>
  <c r="T19" i="27"/>
  <c r="T114" i="27"/>
  <c r="W115" i="28" s="1"/>
  <c r="H35" i="27"/>
  <c r="H118" i="27"/>
  <c r="H121" i="27"/>
  <c r="H119" i="27"/>
  <c r="Y120" i="28" s="1"/>
  <c r="H134" i="27"/>
  <c r="Y135" i="28" s="1"/>
  <c r="H115" i="27"/>
  <c r="H123" i="27"/>
  <c r="AB72" i="27"/>
  <c r="X73" i="28" s="1"/>
  <c r="H133" i="27"/>
  <c r="Y134" i="28" s="1"/>
  <c r="H117" i="27"/>
  <c r="Y118" i="28" s="1"/>
  <c r="H122" i="27"/>
  <c r="H127" i="27"/>
  <c r="H131" i="27"/>
  <c r="K187" i="28"/>
  <c r="R42" i="27"/>
  <c r="AB96" i="27"/>
  <c r="X97" i="28" s="1"/>
  <c r="T121" i="27"/>
  <c r="P31" i="27"/>
  <c r="P95" i="27"/>
  <c r="P112" i="27"/>
  <c r="P20" i="27"/>
  <c r="P39" i="27"/>
  <c r="P45" i="27"/>
  <c r="P97" i="27"/>
  <c r="AB37" i="27"/>
  <c r="Z68" i="27"/>
  <c r="Z45" i="27"/>
  <c r="Z85" i="27"/>
  <c r="Z82" i="27"/>
  <c r="P34" i="27"/>
  <c r="P70" i="27"/>
  <c r="P84" i="27"/>
  <c r="P93" i="27"/>
  <c r="H138" i="27"/>
  <c r="Y139" i="28" s="1"/>
  <c r="T137" i="27"/>
  <c r="Z52" i="27"/>
  <c r="T123" i="27"/>
  <c r="T138" i="27"/>
  <c r="T130" i="27"/>
  <c r="T118" i="27"/>
  <c r="T133" i="27"/>
  <c r="T125" i="27"/>
  <c r="T117" i="27"/>
  <c r="T136" i="27"/>
  <c r="T135" i="27"/>
  <c r="T127" i="27"/>
  <c r="T119" i="27"/>
  <c r="AB83" i="27"/>
  <c r="X84" i="28" s="1"/>
  <c r="T134" i="27"/>
  <c r="T126" i="27"/>
  <c r="T129" i="27"/>
  <c r="T132" i="27"/>
  <c r="T122" i="27"/>
  <c r="T131" i="27"/>
  <c r="T115" i="27"/>
  <c r="T116" i="27"/>
  <c r="T128" i="27"/>
  <c r="W129" i="28" s="1"/>
  <c r="S181" i="28"/>
  <c r="M181" i="28" s="1"/>
  <c r="O181" i="28" s="1"/>
  <c r="P181" i="28" s="1"/>
  <c r="M93" i="27"/>
  <c r="N93" i="27"/>
  <c r="N109" i="27"/>
  <c r="Z16" i="27"/>
  <c r="Z20" i="27"/>
  <c r="Z24" i="27"/>
  <c r="Z28" i="27"/>
  <c r="Z32" i="27"/>
  <c r="Z40" i="27"/>
  <c r="Z44" i="27"/>
  <c r="Z48" i="27"/>
  <c r="Z54" i="27"/>
  <c r="Z58" i="27"/>
  <c r="Z62" i="27"/>
  <c r="Z66" i="27"/>
  <c r="Z72" i="27"/>
  <c r="Z76" i="27"/>
  <c r="Z80" i="27"/>
  <c r="Z86" i="27"/>
  <c r="Z90" i="27"/>
  <c r="Z94" i="27"/>
  <c r="Z98" i="27"/>
  <c r="Z102" i="27"/>
  <c r="Z67" i="27"/>
  <c r="Z77" i="27"/>
  <c r="Z87" i="27"/>
  <c r="Z89" i="27"/>
  <c r="Z95" i="27"/>
  <c r="Z97" i="27"/>
  <c r="Z105" i="27"/>
  <c r="Z107" i="27"/>
  <c r="Z25" i="27"/>
  <c r="Z29" i="27"/>
  <c r="Z33" i="27"/>
  <c r="Z39" i="27"/>
  <c r="Z43" i="27"/>
  <c r="Z47" i="27"/>
  <c r="Z51" i="27"/>
  <c r="Z53" i="27"/>
  <c r="Z59" i="27"/>
  <c r="Z69" i="27"/>
  <c r="Z73" i="27"/>
  <c r="Z75" i="27"/>
  <c r="Z83" i="27"/>
  <c r="Z93" i="27"/>
  <c r="Z103" i="27"/>
  <c r="M96" i="27"/>
  <c r="N85" i="27"/>
  <c r="N101" i="27"/>
  <c r="Z18" i="27"/>
  <c r="Z22" i="27"/>
  <c r="Z26" i="27"/>
  <c r="Z30" i="27"/>
  <c r="Z34" i="27"/>
  <c r="Z38" i="27"/>
  <c r="Z42" i="27"/>
  <c r="Z46" i="27"/>
  <c r="Z50" i="27"/>
  <c r="Z56" i="27"/>
  <c r="Z60" i="27"/>
  <c r="Z64" i="27"/>
  <c r="Z70" i="27"/>
  <c r="Z74" i="27"/>
  <c r="Z78" i="27"/>
  <c r="Z84" i="27"/>
  <c r="Z88" i="27"/>
  <c r="Z92" i="27"/>
  <c r="Z96" i="27"/>
  <c r="Z100" i="27"/>
  <c r="Z104" i="27"/>
  <c r="Z108" i="27"/>
  <c r="Z112" i="27"/>
  <c r="Z15" i="27"/>
  <c r="S15" i="27" s="1"/>
  <c r="Z61" i="27"/>
  <c r="Z63" i="27"/>
  <c r="Z71" i="27"/>
  <c r="Z81" i="27"/>
  <c r="Z91" i="27"/>
  <c r="Z101" i="27"/>
  <c r="Z111" i="27"/>
  <c r="Z113" i="27"/>
  <c r="Z17" i="27"/>
  <c r="Z21" i="27"/>
  <c r="Z23" i="27"/>
  <c r="Z27" i="27"/>
  <c r="Z31" i="27"/>
  <c r="Z35" i="27"/>
  <c r="Z37" i="27"/>
  <c r="Z41" i="27"/>
  <c r="Z49" i="27"/>
  <c r="Z55" i="27"/>
  <c r="Z65" i="27"/>
  <c r="Z79" i="27"/>
  <c r="Z99" i="27"/>
  <c r="Z109" i="27"/>
  <c r="N21" i="27"/>
  <c r="N30" i="27"/>
  <c r="N38" i="27"/>
  <c r="N46" i="27"/>
  <c r="N54" i="27"/>
  <c r="N62" i="27"/>
  <c r="U38" i="27"/>
  <c r="V38" i="27" s="1"/>
  <c r="S161" i="28"/>
  <c r="M161" i="28" s="1"/>
  <c r="O161" i="28" s="1"/>
  <c r="P161" i="28" s="1"/>
  <c r="M81" i="27"/>
  <c r="M83" i="27"/>
  <c r="N17" i="27"/>
  <c r="N81" i="27"/>
  <c r="N89" i="27"/>
  <c r="N97" i="27"/>
  <c r="N105" i="27"/>
  <c r="N113" i="27"/>
  <c r="N26" i="27"/>
  <c r="N34" i="27"/>
  <c r="N42" i="27"/>
  <c r="N50" i="27"/>
  <c r="N58" i="27"/>
  <c r="M73" i="27"/>
  <c r="N41" i="27"/>
  <c r="N49" i="27"/>
  <c r="N57" i="27"/>
  <c r="N65" i="27"/>
  <c r="N18" i="27"/>
  <c r="N114" i="27"/>
  <c r="N37" i="27"/>
  <c r="N45" i="27"/>
  <c r="N53" i="27"/>
  <c r="N61" i="27"/>
  <c r="N77" i="27"/>
  <c r="N70" i="27"/>
  <c r="N74" i="27"/>
  <c r="N78" i="27"/>
  <c r="N86" i="27"/>
  <c r="N90" i="27"/>
  <c r="N94" i="27"/>
  <c r="N106" i="27"/>
  <c r="N110" i="27"/>
  <c r="S169" i="28"/>
  <c r="M169" i="28" s="1"/>
  <c r="O169" i="28" s="1"/>
  <c r="P169" i="28" s="1"/>
  <c r="M46" i="27"/>
  <c r="M56" i="27"/>
  <c r="M78" i="27"/>
  <c r="M92" i="27"/>
  <c r="M17" i="27"/>
  <c r="M19" i="27"/>
  <c r="M99" i="27"/>
  <c r="M101" i="27"/>
  <c r="M103" i="27"/>
  <c r="M105" i="27"/>
  <c r="M107" i="27"/>
  <c r="M109" i="27"/>
  <c r="M111" i="27"/>
  <c r="M113" i="27"/>
  <c r="N19" i="27"/>
  <c r="N23" i="27"/>
  <c r="N27" i="27"/>
  <c r="N31" i="27"/>
  <c r="N35" i="27"/>
  <c r="N39" i="27"/>
  <c r="N43" i="27"/>
  <c r="N47" i="27"/>
  <c r="N51" i="27"/>
  <c r="N55" i="27"/>
  <c r="N63" i="27"/>
  <c r="N67" i="27"/>
  <c r="N75" i="27"/>
  <c r="N79" i="27"/>
  <c r="N83" i="27"/>
  <c r="N87" i="27"/>
  <c r="N91" i="27"/>
  <c r="N99" i="27"/>
  <c r="N103" i="27"/>
  <c r="N111" i="27"/>
  <c r="N16" i="27"/>
  <c r="N20" i="27"/>
  <c r="N24" i="27"/>
  <c r="N32" i="27"/>
  <c r="N36" i="27"/>
  <c r="N40" i="27"/>
  <c r="N44" i="27"/>
  <c r="N48" i="27"/>
  <c r="N52" i="27"/>
  <c r="N60" i="27"/>
  <c r="N64" i="27"/>
  <c r="N68" i="27"/>
  <c r="N72" i="27"/>
  <c r="N76" i="27"/>
  <c r="N80" i="27"/>
  <c r="N84" i="27"/>
  <c r="N96" i="27"/>
  <c r="N100" i="27"/>
  <c r="N104" i="27"/>
  <c r="N112" i="27"/>
  <c r="N15" i="27"/>
  <c r="M84" i="27"/>
  <c r="M86" i="27"/>
  <c r="M98" i="27"/>
  <c r="M102" i="27"/>
  <c r="M106" i="27"/>
  <c r="M110" i="27"/>
  <c r="M114" i="27"/>
  <c r="M23" i="27"/>
  <c r="M25" i="27"/>
  <c r="M27" i="27"/>
  <c r="M29" i="27"/>
  <c r="M31" i="27"/>
  <c r="M33" i="27"/>
  <c r="M43" i="27"/>
  <c r="M55" i="27"/>
  <c r="M57" i="27"/>
  <c r="M59" i="27"/>
  <c r="M61" i="27"/>
  <c r="M63" i="27"/>
  <c r="M65" i="27"/>
  <c r="M67" i="27"/>
  <c r="M69" i="27"/>
  <c r="M71" i="27"/>
  <c r="M87" i="27"/>
  <c r="M95" i="27"/>
  <c r="W82" i="27"/>
  <c r="AB88" i="27"/>
  <c r="X89" i="28" s="1"/>
  <c r="AB89" i="27"/>
  <c r="X90" i="28" s="1"/>
  <c r="H97" i="27"/>
  <c r="AB28" i="27"/>
  <c r="AD22" i="27"/>
  <c r="H21" i="27"/>
  <c r="M18" i="27"/>
  <c r="M22" i="27"/>
  <c r="M28" i="27"/>
  <c r="M36" i="27"/>
  <c r="M38" i="27"/>
  <c r="M50" i="27"/>
  <c r="M54" i="27"/>
  <c r="M58" i="27"/>
  <c r="M60" i="27"/>
  <c r="M62" i="27"/>
  <c r="M64" i="27"/>
  <c r="M66" i="27"/>
  <c r="M72" i="27"/>
  <c r="M80" i="27"/>
  <c r="M82" i="27"/>
  <c r="M88" i="27"/>
  <c r="M100" i="27"/>
  <c r="M104" i="27"/>
  <c r="M108" i="27"/>
  <c r="M112" i="27"/>
  <c r="W102" i="27"/>
  <c r="W108" i="27"/>
  <c r="AB107" i="27"/>
  <c r="X108" i="28" s="1"/>
  <c r="W99" i="27"/>
  <c r="W105" i="27"/>
  <c r="W111" i="27"/>
  <c r="F20" i="28"/>
  <c r="I20" i="28" s="1"/>
  <c r="H20" i="28" s="1"/>
  <c r="W101" i="27"/>
  <c r="W107" i="27"/>
  <c r="S143" i="28"/>
  <c r="AB103" i="27"/>
  <c r="X104" i="28" s="1"/>
  <c r="P83" i="27"/>
  <c r="P105" i="27"/>
  <c r="F23" i="28"/>
  <c r="I23" i="28" s="1"/>
  <c r="H23" i="28" s="1"/>
  <c r="W83" i="27"/>
  <c r="P24" i="27"/>
  <c r="AB48" i="27"/>
  <c r="AB69" i="27"/>
  <c r="X70" i="28" s="1"/>
  <c r="P92" i="27"/>
  <c r="P106" i="27"/>
  <c r="P107" i="27"/>
  <c r="AB75" i="27"/>
  <c r="X76" i="28" s="1"/>
  <c r="P86" i="27"/>
  <c r="AB86" i="27"/>
  <c r="X87" i="28" s="1"/>
  <c r="W17" i="27"/>
  <c r="AB50" i="27"/>
  <c r="W57" i="27"/>
  <c r="W59" i="27"/>
  <c r="W61" i="27"/>
  <c r="W63" i="27"/>
  <c r="W65" i="27"/>
  <c r="AB105" i="27"/>
  <c r="X106" i="28" s="1"/>
  <c r="P81" i="27"/>
  <c r="P100" i="27"/>
  <c r="P75" i="27"/>
  <c r="P79" i="27"/>
  <c r="P89" i="27"/>
  <c r="P103" i="27"/>
  <c r="P111" i="27"/>
  <c r="AB80" i="27"/>
  <c r="X81" i="28" s="1"/>
  <c r="AB114" i="27"/>
  <c r="X115" i="28" s="1"/>
  <c r="S159" i="28"/>
  <c r="M159" i="28" s="1"/>
  <c r="O159" i="28" s="1"/>
  <c r="P159" i="28" s="1"/>
  <c r="AB95" i="27"/>
  <c r="X96" i="28" s="1"/>
  <c r="Q143" i="28"/>
  <c r="R50" i="27"/>
  <c r="U54" i="27"/>
  <c r="V54" i="27" s="1"/>
  <c r="W58" i="27"/>
  <c r="W60" i="27"/>
  <c r="W62" i="27"/>
  <c r="W64" i="27"/>
  <c r="S157" i="28"/>
  <c r="M157" i="28" s="1"/>
  <c r="O157" i="28" s="1"/>
  <c r="P157" i="28" s="1"/>
  <c r="S149" i="28"/>
  <c r="K153" i="28"/>
  <c r="S153" i="28"/>
  <c r="M151" i="28"/>
  <c r="V135" i="28"/>
  <c r="U77" i="27"/>
  <c r="V77" i="27" s="1"/>
  <c r="U76" i="27"/>
  <c r="V76" i="27" s="1"/>
  <c r="W88" i="27"/>
  <c r="R88" i="27"/>
  <c r="V89" i="28" s="1"/>
  <c r="AB35" i="27"/>
  <c r="AB59" i="27"/>
  <c r="W18" i="27"/>
  <c r="L25" i="27"/>
  <c r="U82" i="27"/>
  <c r="V82" i="27" s="1"/>
  <c r="V84" i="27"/>
  <c r="AB84" i="27"/>
  <c r="X85" i="28" s="1"/>
  <c r="R84" i="27"/>
  <c r="V85" i="28" s="1"/>
  <c r="W100" i="27"/>
  <c r="R102" i="27"/>
  <c r="V103" i="28" s="1"/>
  <c r="U106" i="27"/>
  <c r="V106" i="27" s="1"/>
  <c r="W106" i="27"/>
  <c r="U108" i="27"/>
  <c r="V108" i="27" s="1"/>
  <c r="W110" i="27"/>
  <c r="W112" i="27"/>
  <c r="W114" i="27"/>
  <c r="U42" i="27"/>
  <c r="V42" i="27" s="1"/>
  <c r="AB46" i="27"/>
  <c r="R46" i="27"/>
  <c r="AB19" i="27"/>
  <c r="AB21" i="27"/>
  <c r="V94" i="28"/>
  <c r="V140" i="28"/>
  <c r="V136" i="28"/>
  <c r="U75" i="27"/>
  <c r="V75" i="27" s="1"/>
  <c r="U78" i="27"/>
  <c r="V78" i="27" s="1"/>
  <c r="U79" i="27"/>
  <c r="V79" i="27" s="1"/>
  <c r="U88" i="27"/>
  <c r="V88" i="27" s="1"/>
  <c r="R91" i="27"/>
  <c r="V92" i="28" s="1"/>
  <c r="AB91" i="27"/>
  <c r="X92" i="28" s="1"/>
  <c r="R92" i="27"/>
  <c r="V93" i="28" s="1"/>
  <c r="U96" i="27"/>
  <c r="V96" i="27" s="1"/>
  <c r="W79" i="27"/>
  <c r="H79" i="27"/>
  <c r="L98" i="27"/>
  <c r="R80" i="27"/>
  <c r="V81" i="28" s="1"/>
  <c r="W84" i="27"/>
  <c r="H85" i="27"/>
  <c r="W90" i="27"/>
  <c r="H90" i="27"/>
  <c r="R99" i="27"/>
  <c r="R107" i="27"/>
  <c r="AB111" i="27"/>
  <c r="X112" i="28" s="1"/>
  <c r="R75" i="27"/>
  <c r="V76" i="28" s="1"/>
  <c r="R77" i="27"/>
  <c r="R82" i="27"/>
  <c r="W91" i="27"/>
  <c r="AB101" i="27"/>
  <c r="X102" i="28" s="1"/>
  <c r="R105" i="27"/>
  <c r="V106" i="28" s="1"/>
  <c r="AB109" i="27"/>
  <c r="X110" i="28" s="1"/>
  <c r="R113" i="27"/>
  <c r="V114" i="28" s="1"/>
  <c r="P27" i="27"/>
  <c r="AB77" i="27"/>
  <c r="X78" i="28" s="1"/>
  <c r="AB79" i="27"/>
  <c r="X80" i="28" s="1"/>
  <c r="W89" i="27"/>
  <c r="W92" i="27"/>
  <c r="R94" i="27"/>
  <c r="V95" i="28" s="1"/>
  <c r="U101" i="27"/>
  <c r="V101" i="27" s="1"/>
  <c r="U102" i="27"/>
  <c r="V102" i="27" s="1"/>
  <c r="L108" i="27"/>
  <c r="P32" i="27"/>
  <c r="P46" i="27"/>
  <c r="P76" i="27"/>
  <c r="P80" i="27"/>
  <c r="P90" i="27"/>
  <c r="P94" i="27"/>
  <c r="P104" i="27"/>
  <c r="P108" i="27"/>
  <c r="U86" i="27"/>
  <c r="V86" i="27" s="1"/>
  <c r="R100" i="27"/>
  <c r="V101" i="28" s="1"/>
  <c r="R108" i="27"/>
  <c r="V109" i="28" s="1"/>
  <c r="R90" i="27"/>
  <c r="V91" i="28" s="1"/>
  <c r="W96" i="27"/>
  <c r="AB108" i="27"/>
  <c r="X109" i="28" s="1"/>
  <c r="U113" i="27"/>
  <c r="V113" i="27" s="1"/>
  <c r="U114" i="27"/>
  <c r="V114" i="27" s="1"/>
  <c r="U81" i="27"/>
  <c r="V81" i="27" s="1"/>
  <c r="R106" i="27"/>
  <c r="V107" i="28" s="1"/>
  <c r="R114" i="27"/>
  <c r="V115" i="28" s="1"/>
  <c r="R81" i="27"/>
  <c r="V82" i="28" s="1"/>
  <c r="AB112" i="27"/>
  <c r="X113" i="28" s="1"/>
  <c r="H94" i="27"/>
  <c r="U98" i="27"/>
  <c r="V98" i="27" s="1"/>
  <c r="P73" i="27"/>
  <c r="P77" i="27"/>
  <c r="P85" i="27"/>
  <c r="P101" i="27"/>
  <c r="P109" i="27"/>
  <c r="AB98" i="27"/>
  <c r="X99" i="28" s="1"/>
  <c r="AB54" i="27"/>
  <c r="AB94" i="27"/>
  <c r="X95" i="28" s="1"/>
  <c r="AB104" i="27"/>
  <c r="X105" i="28" s="1"/>
  <c r="R85" i="27"/>
  <c r="V86" i="28" s="1"/>
  <c r="V87" i="27"/>
  <c r="AB87" i="27"/>
  <c r="X88" i="28" s="1"/>
  <c r="U91" i="27"/>
  <c r="V91" i="27" s="1"/>
  <c r="V99" i="27"/>
  <c r="V105" i="27"/>
  <c r="X134" i="28"/>
  <c r="V134" i="28"/>
  <c r="V132" i="28"/>
  <c r="X132" i="28"/>
  <c r="V130" i="28"/>
  <c r="X130" i="28"/>
  <c r="X128" i="28"/>
  <c r="V128" i="28"/>
  <c r="V126" i="28"/>
  <c r="X126" i="28"/>
  <c r="V124" i="28"/>
  <c r="X124" i="28"/>
  <c r="V122" i="28"/>
  <c r="X122" i="28"/>
  <c r="V133" i="28"/>
  <c r="X133" i="28"/>
  <c r="X131" i="28"/>
  <c r="V131" i="28"/>
  <c r="V129" i="28"/>
  <c r="X129" i="28"/>
  <c r="X127" i="28"/>
  <c r="V127" i="28"/>
  <c r="V125" i="28"/>
  <c r="X125" i="28"/>
  <c r="X119" i="28"/>
  <c r="V119" i="28"/>
  <c r="V137" i="28"/>
  <c r="X137" i="28"/>
  <c r="X120" i="28"/>
  <c r="V120" i="28"/>
  <c r="U92" i="27"/>
  <c r="V92" i="27" s="1"/>
  <c r="R95" i="27"/>
  <c r="V96" i="28" s="1"/>
  <c r="U95" i="27"/>
  <c r="V95" i="27" s="1"/>
  <c r="L95" i="27"/>
  <c r="U85" i="27"/>
  <c r="V85" i="27" s="1"/>
  <c r="U89" i="27"/>
  <c r="V89" i="27" s="1"/>
  <c r="AB97" i="27"/>
  <c r="X98" i="28" s="1"/>
  <c r="R97" i="27"/>
  <c r="U97" i="27"/>
  <c r="V97" i="27" s="1"/>
  <c r="W75" i="27"/>
  <c r="H75" i="27"/>
  <c r="W76" i="27"/>
  <c r="H76" i="27"/>
  <c r="W77" i="27"/>
  <c r="H77" i="27"/>
  <c r="W78" i="27"/>
  <c r="R98" i="27"/>
  <c r="AB66" i="27"/>
  <c r="X67" i="28" s="1"/>
  <c r="AB99" i="27"/>
  <c r="X100" i="28" s="1"/>
  <c r="R103" i="27"/>
  <c r="L107" i="27"/>
  <c r="R111" i="27"/>
  <c r="R79" i="27"/>
  <c r="AB82" i="27"/>
  <c r="X83" i="28" s="1"/>
  <c r="L88" i="27"/>
  <c r="H91" i="27"/>
  <c r="W98" i="27"/>
  <c r="R101" i="27"/>
  <c r="R109" i="27"/>
  <c r="V110" i="28" s="1"/>
  <c r="AB113" i="27"/>
  <c r="X114" i="28" s="1"/>
  <c r="P87" i="27"/>
  <c r="AB76" i="27"/>
  <c r="X77" i="28" s="1"/>
  <c r="AB78" i="27"/>
  <c r="X79" i="28" s="1"/>
  <c r="W85" i="27"/>
  <c r="H89" i="27"/>
  <c r="U90" i="27"/>
  <c r="V90" i="27" s="1"/>
  <c r="W93" i="27"/>
  <c r="U94" i="27"/>
  <c r="V94" i="27" s="1"/>
  <c r="W97" i="27"/>
  <c r="U100" i="27"/>
  <c r="V100" i="27" s="1"/>
  <c r="L102" i="27"/>
  <c r="U103" i="27"/>
  <c r="V103" i="27" s="1"/>
  <c r="U109" i="27"/>
  <c r="V109" i="27" s="1"/>
  <c r="U110" i="27"/>
  <c r="V110" i="27" s="1"/>
  <c r="U111" i="27"/>
  <c r="V111" i="27" s="1"/>
  <c r="P26" i="27"/>
  <c r="P48" i="27"/>
  <c r="P78" i="27"/>
  <c r="P88" i="27"/>
  <c r="P98" i="27"/>
  <c r="P102" i="27"/>
  <c r="P110" i="27"/>
  <c r="P114" i="27"/>
  <c r="R86" i="27"/>
  <c r="V87" i="28" s="1"/>
  <c r="R110" i="27"/>
  <c r="V111" i="28" s="1"/>
  <c r="R76" i="27"/>
  <c r="V77" i="28" s="1"/>
  <c r="W94" i="27"/>
  <c r="AB100" i="27"/>
  <c r="X101" i="28" s="1"/>
  <c r="U83" i="27"/>
  <c r="V83" i="27" s="1"/>
  <c r="AB90" i="27"/>
  <c r="X91" i="28" s="1"/>
  <c r="U104" i="27"/>
  <c r="V104" i="27" s="1"/>
  <c r="U107" i="27"/>
  <c r="V107" i="27" s="1"/>
  <c r="R83" i="27"/>
  <c r="V84" i="28" s="1"/>
  <c r="U112" i="27"/>
  <c r="V112" i="27" s="1"/>
  <c r="AB56" i="27"/>
  <c r="R104" i="27"/>
  <c r="V105" i="28" s="1"/>
  <c r="R112" i="27"/>
  <c r="V113" i="28" s="1"/>
  <c r="AB81" i="27"/>
  <c r="X82" i="28" s="1"/>
  <c r="P58" i="27"/>
  <c r="U80" i="27"/>
  <c r="V80" i="27" s="1"/>
  <c r="L92" i="27"/>
  <c r="P96" i="27"/>
  <c r="P47" i="27"/>
  <c r="W87" i="27"/>
  <c r="P91" i="27"/>
  <c r="W95" i="27"/>
  <c r="P99" i="27"/>
  <c r="AB42" i="27"/>
  <c r="AB92" i="27"/>
  <c r="X93" i="28" s="1"/>
  <c r="AB106" i="27"/>
  <c r="X107" i="28" s="1"/>
  <c r="AB110" i="27"/>
  <c r="X111" i="28" s="1"/>
  <c r="AB38" i="27"/>
  <c r="AB32" i="27"/>
  <c r="AB102" i="27"/>
  <c r="X103" i="28" s="1"/>
  <c r="AB85" i="27"/>
  <c r="X86" i="28" s="1"/>
  <c r="R87" i="27"/>
  <c r="V88" i="28" s="1"/>
  <c r="R89" i="27"/>
  <c r="V90" i="28" s="1"/>
  <c r="AB93" i="27"/>
  <c r="X94" i="28" s="1"/>
  <c r="U93" i="27"/>
  <c r="V93" i="27" s="1"/>
  <c r="V121" i="28"/>
  <c r="X121" i="28"/>
  <c r="V117" i="28"/>
  <c r="X117" i="28"/>
  <c r="V118" i="28"/>
  <c r="X118" i="28"/>
  <c r="X116" i="28"/>
  <c r="V116" i="28"/>
  <c r="X142" i="28"/>
  <c r="Q142" i="28"/>
  <c r="W142" i="28"/>
  <c r="V142" i="28"/>
  <c r="X138" i="28"/>
  <c r="V138" i="28"/>
  <c r="X123" i="28"/>
  <c r="V123" i="28"/>
  <c r="Q141" i="28"/>
  <c r="X141" i="28"/>
  <c r="W141" i="28"/>
  <c r="V141" i="28"/>
  <c r="P56" i="27"/>
  <c r="AB17" i="27"/>
  <c r="W15" i="27"/>
  <c r="K151" i="28"/>
  <c r="M165" i="28"/>
  <c r="O165" i="28" s="1"/>
  <c r="N167" i="28"/>
  <c r="S170" i="28"/>
  <c r="M170" i="28" s="1"/>
  <c r="O170" i="28" s="1"/>
  <c r="S174" i="28"/>
  <c r="M174" i="28" s="1"/>
  <c r="O174" i="28" s="1"/>
  <c r="S178" i="28"/>
  <c r="M178" i="28" s="1"/>
  <c r="O178" i="28" s="1"/>
  <c r="S182" i="28"/>
  <c r="M182" i="28" s="1"/>
  <c r="O182" i="28" s="1"/>
  <c r="S188" i="28"/>
  <c r="M188" i="28" s="1"/>
  <c r="O188" i="28" s="1"/>
  <c r="S192" i="28"/>
  <c r="M192" i="28" s="1"/>
  <c r="O192" i="28" s="1"/>
  <c r="S160" i="28"/>
  <c r="M160" i="28" s="1"/>
  <c r="O160" i="28" s="1"/>
  <c r="S194" i="28"/>
  <c r="M198" i="28"/>
  <c r="O198" i="28" s="1"/>
  <c r="S158" i="28"/>
  <c r="S162" i="28"/>
  <c r="S166" i="28"/>
  <c r="S168" i="28"/>
  <c r="S156" i="28"/>
  <c r="S164" i="28"/>
  <c r="L167" i="28"/>
  <c r="K174" i="28"/>
  <c r="K182" i="28"/>
  <c r="K192" i="28"/>
  <c r="M155" i="28"/>
  <c r="O155" i="28" s="1"/>
  <c r="P155" i="28" s="1"/>
  <c r="M163" i="28"/>
  <c r="O163" i="28" s="1"/>
  <c r="P163" i="28" s="1"/>
  <c r="K162" i="28"/>
  <c r="K168" i="28"/>
  <c r="K164" i="28"/>
  <c r="M196" i="28"/>
  <c r="K170" i="28"/>
  <c r="K178" i="28"/>
  <c r="K188" i="28"/>
  <c r="M195" i="28"/>
  <c r="K160" i="28"/>
  <c r="M171" i="28"/>
  <c r="O171" i="28" s="1"/>
  <c r="P171" i="28" s="1"/>
  <c r="M175" i="28"/>
  <c r="O175" i="28" s="1"/>
  <c r="P175" i="28" s="1"/>
  <c r="M179" i="28"/>
  <c r="O179" i="28" s="1"/>
  <c r="M183" i="28"/>
  <c r="O183" i="28" s="1"/>
  <c r="P183" i="28" s="1"/>
  <c r="M187" i="28"/>
  <c r="O187" i="28" s="1"/>
  <c r="M191" i="28"/>
  <c r="O191" i="28" s="1"/>
  <c r="M193" i="28"/>
  <c r="O193" i="28" s="1"/>
  <c r="S172" i="28"/>
  <c r="M172" i="28" s="1"/>
  <c r="O172" i="28" s="1"/>
  <c r="P172" i="28" s="1"/>
  <c r="S176" i="28"/>
  <c r="M176" i="28" s="1"/>
  <c r="O176" i="28" s="1"/>
  <c r="P176" i="28" s="1"/>
  <c r="S180" i="28"/>
  <c r="M180" i="28" s="1"/>
  <c r="O180" i="28" s="1"/>
  <c r="P180" i="28" s="1"/>
  <c r="S184" i="28"/>
  <c r="M184" i="28" s="1"/>
  <c r="O184" i="28" s="1"/>
  <c r="P184" i="28" s="1"/>
  <c r="S186" i="28"/>
  <c r="M186" i="28" s="1"/>
  <c r="O186" i="28" s="1"/>
  <c r="P186" i="28" s="1"/>
  <c r="S190" i="28"/>
  <c r="M190" i="28" s="1"/>
  <c r="O190" i="28" s="1"/>
  <c r="P190" i="28" s="1"/>
  <c r="U15" i="27"/>
  <c r="V15" i="27" s="1"/>
  <c r="P19" i="27"/>
  <c r="P16" i="27"/>
  <c r="P18" i="27"/>
  <c r="P22" i="27"/>
  <c r="AB24" i="27"/>
  <c r="U71" i="27"/>
  <c r="V71" i="27" s="1"/>
  <c r="U69" i="27"/>
  <c r="V69" i="27" s="1"/>
  <c r="U73" i="27"/>
  <c r="V73" i="27" s="1"/>
  <c r="P67" i="27"/>
  <c r="R67" i="27"/>
  <c r="V68" i="28" s="1"/>
  <c r="P68" i="27"/>
  <c r="R68" i="27"/>
  <c r="V69" i="28" s="1"/>
  <c r="AB68" i="27"/>
  <c r="R70" i="27"/>
  <c r="V71" i="28" s="1"/>
  <c r="AB70" i="27"/>
  <c r="R72" i="27"/>
  <c r="V73" i="28" s="1"/>
  <c r="R74" i="27"/>
  <c r="V75" i="28" s="1"/>
  <c r="AB74" i="27"/>
  <c r="R27" i="27"/>
  <c r="U27" i="27"/>
  <c r="V27" i="27" s="1"/>
  <c r="W27" i="27"/>
  <c r="AB27" i="27"/>
  <c r="AF27" i="27"/>
  <c r="U29" i="27"/>
  <c r="V29" i="27" s="1"/>
  <c r="R29" i="27"/>
  <c r="AF29" i="27"/>
  <c r="L29" i="27"/>
  <c r="AB29" i="27"/>
  <c r="W29" i="27"/>
  <c r="R31" i="27"/>
  <c r="U31" i="27"/>
  <c r="V31" i="27" s="1"/>
  <c r="AB31" i="27"/>
  <c r="W31" i="27"/>
  <c r="R33" i="27"/>
  <c r="U33" i="27"/>
  <c r="V33" i="27" s="1"/>
  <c r="AB33" i="27"/>
  <c r="L33" i="27"/>
  <c r="W33" i="27"/>
  <c r="R35" i="27"/>
  <c r="U35" i="27"/>
  <c r="V35" i="27" s="1"/>
  <c r="W35" i="27"/>
  <c r="R37" i="27"/>
  <c r="U37" i="27"/>
  <c r="V37" i="27" s="1"/>
  <c r="W37" i="27"/>
  <c r="H37" i="27"/>
  <c r="R39" i="27"/>
  <c r="U39" i="27"/>
  <c r="V39" i="27" s="1"/>
  <c r="AD39" i="27"/>
  <c r="H39" i="27"/>
  <c r="AB39" i="27"/>
  <c r="W39" i="27"/>
  <c r="AB41" i="27"/>
  <c r="R41" i="27"/>
  <c r="U41" i="27"/>
  <c r="V41" i="27" s="1"/>
  <c r="W41" i="27"/>
  <c r="H41" i="27"/>
  <c r="AD41" i="27"/>
  <c r="P43" i="27"/>
  <c r="U43" i="27"/>
  <c r="V43" i="27" s="1"/>
  <c r="R43" i="27"/>
  <c r="W43" i="27"/>
  <c r="AB45" i="27"/>
  <c r="R45" i="27"/>
  <c r="U45" i="27"/>
  <c r="V45" i="27" s="1"/>
  <c r="AD45" i="27"/>
  <c r="W45" i="27"/>
  <c r="U47" i="27"/>
  <c r="V47" i="27" s="1"/>
  <c r="AB47" i="27"/>
  <c r="R47" i="27"/>
  <c r="W47" i="27"/>
  <c r="H47" i="27"/>
  <c r="AD47" i="27"/>
  <c r="AB49" i="27"/>
  <c r="R49" i="27"/>
  <c r="U49" i="27"/>
  <c r="V49" i="27" s="1"/>
  <c r="AD49" i="27"/>
  <c r="W49" i="27"/>
  <c r="H49" i="27"/>
  <c r="P51" i="27"/>
  <c r="U51" i="27"/>
  <c r="V51" i="27" s="1"/>
  <c r="AB51" i="27"/>
  <c r="R51" i="27"/>
  <c r="AD51" i="27"/>
  <c r="H51" i="27"/>
  <c r="W51" i="27"/>
  <c r="P53" i="27"/>
  <c r="AB53" i="27"/>
  <c r="R53" i="27"/>
  <c r="U53" i="27"/>
  <c r="V53" i="27" s="1"/>
  <c r="W53" i="27"/>
  <c r="AD53" i="27"/>
  <c r="H53" i="27"/>
  <c r="P55" i="27"/>
  <c r="U55" i="27"/>
  <c r="V55" i="27" s="1"/>
  <c r="R55" i="27"/>
  <c r="W55" i="27"/>
  <c r="U57" i="27"/>
  <c r="V57" i="27" s="1"/>
  <c r="AB57" i="27"/>
  <c r="R57" i="27"/>
  <c r="L59" i="27"/>
  <c r="R59" i="27"/>
  <c r="U59" i="27"/>
  <c r="V59" i="27" s="1"/>
  <c r="AB61" i="27"/>
  <c r="R61" i="27"/>
  <c r="U61" i="27"/>
  <c r="V61" i="27" s="1"/>
  <c r="AB63" i="27"/>
  <c r="R63" i="27"/>
  <c r="U63" i="27"/>
  <c r="V63" i="27" s="1"/>
  <c r="AB65" i="27"/>
  <c r="U65" i="27"/>
  <c r="V65" i="27" s="1"/>
  <c r="R65" i="27"/>
  <c r="AB23" i="27"/>
  <c r="AD23" i="27"/>
  <c r="AB20" i="27"/>
  <c r="AD20" i="27"/>
  <c r="AF18" i="27"/>
  <c r="AD18" i="27"/>
  <c r="AB18" i="27"/>
  <c r="AB25" i="27"/>
  <c r="AD25" i="27"/>
  <c r="P25" i="27"/>
  <c r="W26" i="27"/>
  <c r="AB26" i="27"/>
  <c r="R26" i="27"/>
  <c r="H26" i="27"/>
  <c r="AD26" i="27"/>
  <c r="U26" i="27"/>
  <c r="V26" i="27" s="1"/>
  <c r="L28" i="27"/>
  <c r="R28" i="27"/>
  <c r="W28" i="27"/>
  <c r="AF28" i="27"/>
  <c r="U28" i="27"/>
  <c r="V28" i="27" s="1"/>
  <c r="AD30" i="27"/>
  <c r="AB30" i="27"/>
  <c r="R30" i="27"/>
  <c r="H30" i="27"/>
  <c r="W30" i="27"/>
  <c r="AF30" i="27"/>
  <c r="U30" i="27"/>
  <c r="V30" i="27" s="1"/>
  <c r="H32" i="27"/>
  <c r="R32" i="27"/>
  <c r="W32" i="27"/>
  <c r="U32" i="27"/>
  <c r="V32" i="27" s="1"/>
  <c r="W34" i="27"/>
  <c r="AB34" i="27"/>
  <c r="R34" i="27"/>
  <c r="H34" i="27"/>
  <c r="AD34" i="27"/>
  <c r="U34" i="27"/>
  <c r="V34" i="27" s="1"/>
  <c r="AB36" i="27"/>
  <c r="R36" i="27"/>
  <c r="AD36" i="27"/>
  <c r="W36" i="27"/>
  <c r="U36" i="27"/>
  <c r="V36" i="27" s="1"/>
  <c r="W66" i="27"/>
  <c r="W67" i="27"/>
  <c r="W68" i="27"/>
  <c r="H68" i="27"/>
  <c r="W69" i="27"/>
  <c r="W70" i="27"/>
  <c r="H70" i="27"/>
  <c r="W71" i="27"/>
  <c r="W72" i="27"/>
  <c r="W73" i="27"/>
  <c r="W74" i="27"/>
  <c r="H74" i="27"/>
  <c r="P66" i="27"/>
  <c r="U66" i="27"/>
  <c r="V66" i="27" s="1"/>
  <c r="L66" i="27"/>
  <c r="R66" i="27"/>
  <c r="V67" i="28" s="1"/>
  <c r="P69" i="27"/>
  <c r="R69" i="27"/>
  <c r="V70" i="28" s="1"/>
  <c r="L69" i="27"/>
  <c r="P71" i="27"/>
  <c r="AB71" i="27"/>
  <c r="R71" i="27"/>
  <c r="V72" i="28" s="1"/>
  <c r="L71" i="27"/>
  <c r="AB73" i="27"/>
  <c r="R73" i="27"/>
  <c r="L73" i="27"/>
  <c r="F28" i="28"/>
  <c r="I28" i="28" s="1"/>
  <c r="H28" i="28" s="1"/>
  <c r="E28" i="28"/>
  <c r="F30" i="28"/>
  <c r="I30" i="28" s="1"/>
  <c r="H30" i="28" s="1"/>
  <c r="E30" i="28"/>
  <c r="F32" i="28"/>
  <c r="I32" i="28" s="1"/>
  <c r="H32" i="28" s="1"/>
  <c r="E32" i="28"/>
  <c r="E34" i="28"/>
  <c r="F34" i="28"/>
  <c r="I34" i="28" s="1"/>
  <c r="H34" i="28" s="1"/>
  <c r="E36" i="28"/>
  <c r="F36" i="28"/>
  <c r="I36" i="28" s="1"/>
  <c r="H36" i="28" s="1"/>
  <c r="F38" i="28"/>
  <c r="I38" i="28" s="1"/>
  <c r="H38" i="28" s="1"/>
  <c r="E38" i="28"/>
  <c r="F40" i="28"/>
  <c r="I40" i="28" s="1"/>
  <c r="H40" i="28" s="1"/>
  <c r="E40" i="28"/>
  <c r="F42" i="28"/>
  <c r="I42" i="28" s="1"/>
  <c r="H42" i="28" s="1"/>
  <c r="E42" i="28"/>
  <c r="F44" i="28"/>
  <c r="I44" i="28" s="1"/>
  <c r="H44" i="28" s="1"/>
  <c r="E44" i="28"/>
  <c r="F46" i="28"/>
  <c r="I46" i="28" s="1"/>
  <c r="H46" i="28" s="1"/>
  <c r="E46" i="28"/>
  <c r="F48" i="28"/>
  <c r="I48" i="28" s="1"/>
  <c r="H48" i="28" s="1"/>
  <c r="E48" i="28"/>
  <c r="F50" i="28"/>
  <c r="I50" i="28" s="1"/>
  <c r="H50" i="28" s="1"/>
  <c r="E50" i="28"/>
  <c r="F52" i="28"/>
  <c r="I52" i="28" s="1"/>
  <c r="H52" i="28" s="1"/>
  <c r="E52" i="28"/>
  <c r="F54" i="28"/>
  <c r="I54" i="28" s="1"/>
  <c r="H54" i="28" s="1"/>
  <c r="E54" i="28"/>
  <c r="F56" i="28"/>
  <c r="I56" i="28" s="1"/>
  <c r="H56" i="28" s="1"/>
  <c r="E56" i="28"/>
  <c r="F58" i="28"/>
  <c r="I58" i="28" s="1"/>
  <c r="H58" i="28" s="1"/>
  <c r="E58" i="28"/>
  <c r="F60" i="28"/>
  <c r="I60" i="28" s="1"/>
  <c r="H60" i="28" s="1"/>
  <c r="E60" i="28"/>
  <c r="F62" i="28"/>
  <c r="I62" i="28" s="1"/>
  <c r="H62" i="28" s="1"/>
  <c r="E62" i="28"/>
  <c r="F64" i="28"/>
  <c r="I64" i="28" s="1"/>
  <c r="H64" i="28" s="1"/>
  <c r="E64" i="28"/>
  <c r="F66" i="28"/>
  <c r="I66" i="28" s="1"/>
  <c r="H66" i="28" s="1"/>
  <c r="E66" i="28"/>
  <c r="F25" i="28"/>
  <c r="I25" i="28" s="1"/>
  <c r="H25" i="28" s="1"/>
  <c r="E25" i="28"/>
  <c r="F24" i="28"/>
  <c r="I24" i="28" s="1"/>
  <c r="H24" i="28" s="1"/>
  <c r="E24" i="28"/>
  <c r="F21" i="28"/>
  <c r="I21" i="28" s="1"/>
  <c r="H21" i="28" s="1"/>
  <c r="E21" i="28"/>
  <c r="F19" i="28"/>
  <c r="I19" i="28" s="1"/>
  <c r="H19" i="28" s="1"/>
  <c r="E19" i="28"/>
  <c r="F17" i="28"/>
  <c r="E17" i="28"/>
  <c r="F26" i="28"/>
  <c r="I26" i="28" s="1"/>
  <c r="H26" i="28" s="1"/>
  <c r="E26" i="28"/>
  <c r="F27" i="28"/>
  <c r="I27" i="28" s="1"/>
  <c r="H27" i="28" s="1"/>
  <c r="E27" i="28"/>
  <c r="F29" i="28"/>
  <c r="I29" i="28" s="1"/>
  <c r="H29" i="28" s="1"/>
  <c r="E29" i="28"/>
  <c r="E31" i="28"/>
  <c r="F31" i="28"/>
  <c r="I31" i="28" s="1"/>
  <c r="H31" i="28" s="1"/>
  <c r="F33" i="28"/>
  <c r="I33" i="28" s="1"/>
  <c r="H33" i="28" s="1"/>
  <c r="E33" i="28"/>
  <c r="E35" i="28"/>
  <c r="F35" i="28"/>
  <c r="I35" i="28" s="1"/>
  <c r="H35" i="28" s="1"/>
  <c r="E37" i="28"/>
  <c r="F37" i="28"/>
  <c r="I37" i="28" s="1"/>
  <c r="H37" i="28" s="1"/>
  <c r="E39" i="28"/>
  <c r="F39" i="28"/>
  <c r="I39" i="28" s="1"/>
  <c r="H39" i="28" s="1"/>
  <c r="E41" i="28"/>
  <c r="F41" i="28"/>
  <c r="I41" i="28" s="1"/>
  <c r="H41" i="28" s="1"/>
  <c r="F43" i="28"/>
  <c r="I43" i="28" s="1"/>
  <c r="H43" i="28" s="1"/>
  <c r="E43" i="28"/>
  <c r="F45" i="28"/>
  <c r="I45" i="28" s="1"/>
  <c r="H45" i="28" s="1"/>
  <c r="E45" i="28"/>
  <c r="F47" i="28"/>
  <c r="I47" i="28" s="1"/>
  <c r="H47" i="28" s="1"/>
  <c r="E47" i="28"/>
  <c r="F49" i="28"/>
  <c r="I49" i="28" s="1"/>
  <c r="H49" i="28" s="1"/>
  <c r="E49" i="28"/>
  <c r="E51" i="28"/>
  <c r="F51" i="28"/>
  <c r="I51" i="28" s="1"/>
  <c r="H51" i="28" s="1"/>
  <c r="E53" i="28"/>
  <c r="F53" i="28"/>
  <c r="I53" i="28" s="1"/>
  <c r="H53" i="28" s="1"/>
  <c r="F55" i="28"/>
  <c r="I55" i="28" s="1"/>
  <c r="H55" i="28" s="1"/>
  <c r="E55" i="28"/>
  <c r="F57" i="28"/>
  <c r="I57" i="28" s="1"/>
  <c r="H57" i="28" s="1"/>
  <c r="E57" i="28"/>
  <c r="E59" i="28"/>
  <c r="F59" i="28"/>
  <c r="I59" i="28" s="1"/>
  <c r="H59" i="28" s="1"/>
  <c r="E61" i="28"/>
  <c r="F61" i="28"/>
  <c r="I61" i="28" s="1"/>
  <c r="H61" i="28" s="1"/>
  <c r="F63" i="28"/>
  <c r="I63" i="28" s="1"/>
  <c r="H63" i="28" s="1"/>
  <c r="E63" i="28"/>
  <c r="U67" i="27"/>
  <c r="V67" i="27" s="1"/>
  <c r="U68" i="27"/>
  <c r="V68" i="27" s="1"/>
  <c r="U70" i="27"/>
  <c r="V70" i="27" s="1"/>
  <c r="U72" i="27"/>
  <c r="V72" i="27" s="1"/>
  <c r="U74" i="27"/>
  <c r="V74" i="27" s="1"/>
  <c r="AD68" i="27"/>
  <c r="AD70" i="27"/>
  <c r="AD71" i="27"/>
  <c r="AD73" i="27"/>
  <c r="AD74" i="27"/>
  <c r="P42" i="27"/>
  <c r="V50" i="27"/>
  <c r="P50" i="27"/>
  <c r="P52" i="27"/>
  <c r="P60" i="27"/>
  <c r="P64" i="27"/>
  <c r="V97" i="28"/>
  <c r="V46" i="27"/>
  <c r="AF16" i="27"/>
  <c r="R44" i="27"/>
  <c r="AD42" i="27"/>
  <c r="H42" i="27"/>
  <c r="W52" i="27"/>
  <c r="H52" i="27"/>
  <c r="R58" i="27"/>
  <c r="R62" i="27"/>
  <c r="W44" i="27"/>
  <c r="H44" i="27"/>
  <c r="R60" i="27"/>
  <c r="R64" i="27"/>
  <c r="P29" i="27"/>
  <c r="P33" i="27"/>
  <c r="P37" i="27"/>
  <c r="P49" i="27"/>
  <c r="P59" i="27"/>
  <c r="P63" i="27"/>
  <c r="W38" i="27"/>
  <c r="R40" i="27"/>
  <c r="AB40" i="27"/>
  <c r="U48" i="27"/>
  <c r="V48" i="27" s="1"/>
  <c r="P28" i="27"/>
  <c r="P36" i="27"/>
  <c r="P40" i="27"/>
  <c r="P72" i="27"/>
  <c r="W54" i="27"/>
  <c r="U56" i="27"/>
  <c r="V56" i="27" s="1"/>
  <c r="U60" i="27"/>
  <c r="V60" i="27" s="1"/>
  <c r="U62" i="27"/>
  <c r="V62" i="27" s="1"/>
  <c r="AD54" i="27"/>
  <c r="AD40" i="27"/>
  <c r="L56" i="27"/>
  <c r="W48" i="27"/>
  <c r="W50" i="27"/>
  <c r="E18" i="28"/>
  <c r="E22" i="28"/>
  <c r="P21" i="27"/>
  <c r="H40" i="27"/>
  <c r="R52" i="27"/>
  <c r="AD21" i="27"/>
  <c r="AB52" i="27"/>
  <c r="AD19" i="27"/>
  <c r="V79" i="28"/>
  <c r="AB44" i="27"/>
  <c r="AD52" i="27"/>
  <c r="AB58" i="27"/>
  <c r="AB62" i="27"/>
  <c r="F65" i="28"/>
  <c r="I65" i="28" s="1"/>
  <c r="H65" i="28" s="1"/>
  <c r="AD44" i="27"/>
  <c r="AD50" i="27"/>
  <c r="AB60" i="27"/>
  <c r="P35" i="27"/>
  <c r="P41" i="27"/>
  <c r="P57" i="27"/>
  <c r="P61" i="27"/>
  <c r="P65" i="27"/>
  <c r="U40" i="27"/>
  <c r="V40" i="27" s="1"/>
  <c r="R48" i="27"/>
  <c r="P30" i="27"/>
  <c r="P38" i="27"/>
  <c r="P44" i="27"/>
  <c r="P74" i="27"/>
  <c r="R56" i="27"/>
  <c r="W56" i="27"/>
  <c r="W40" i="27"/>
  <c r="W42" i="27"/>
  <c r="W46" i="27"/>
  <c r="U58" i="27"/>
  <c r="V58" i="27" s="1"/>
  <c r="U64" i="27"/>
  <c r="V64" i="27" s="1"/>
  <c r="AD46" i="27"/>
  <c r="U52" i="27"/>
  <c r="V52" i="27" s="1"/>
  <c r="P17" i="27"/>
  <c r="U44" i="27"/>
  <c r="V44" i="27" s="1"/>
  <c r="H48" i="27"/>
  <c r="AB22" i="27"/>
  <c r="AF17" i="27"/>
  <c r="AD17" i="27"/>
  <c r="H24" i="27"/>
  <c r="W24" i="27"/>
  <c r="R24" i="27"/>
  <c r="U24" i="27"/>
  <c r="V24" i="27" s="1"/>
  <c r="W23" i="27"/>
  <c r="U23" i="27"/>
  <c r="V23" i="27" s="1"/>
  <c r="R23" i="27"/>
  <c r="H20" i="27"/>
  <c r="W20" i="27"/>
  <c r="R20" i="27"/>
  <c r="U20" i="27"/>
  <c r="V20" i="27" s="1"/>
  <c r="R18" i="27"/>
  <c r="U18" i="27"/>
  <c r="V18" i="27" s="1"/>
  <c r="U16" i="27"/>
  <c r="V16" i="27" s="1"/>
  <c r="W16" i="27"/>
  <c r="W25" i="27"/>
  <c r="U25" i="27"/>
  <c r="V25" i="27" s="1"/>
  <c r="R25" i="27"/>
  <c r="AF203" i="27"/>
  <c r="AF207" i="27"/>
  <c r="AF206" i="27"/>
  <c r="AF204" i="27"/>
  <c r="AF205" i="27"/>
  <c r="W22" i="27"/>
  <c r="L22" i="27"/>
  <c r="R22" i="27"/>
  <c r="U22" i="27"/>
  <c r="V22" i="27" s="1"/>
  <c r="W19" i="27"/>
  <c r="U19" i="27"/>
  <c r="V19" i="27" s="1"/>
  <c r="R19" i="27"/>
  <c r="R17" i="27"/>
  <c r="V18" i="28" s="1"/>
  <c r="U17" i="27"/>
  <c r="V17" i="27" s="1"/>
  <c r="W21" i="27"/>
  <c r="U21" i="27"/>
  <c r="V21" i="27" s="1"/>
  <c r="R21" i="27"/>
  <c r="V22" i="28" s="1"/>
  <c r="AF15" i="27"/>
  <c r="I17" i="28" l="1"/>
  <c r="H17" i="28" s="1"/>
  <c r="J17" i="28" s="1"/>
  <c r="I16" i="28"/>
  <c r="H16" i="28" s="1"/>
  <c r="AB206" i="27"/>
  <c r="AB15" i="27"/>
  <c r="AB202" i="27" s="1"/>
  <c r="K112" i="27"/>
  <c r="G112" i="27"/>
  <c r="K104" i="27"/>
  <c r="G104" i="27"/>
  <c r="K88" i="27"/>
  <c r="G88" i="27"/>
  <c r="K80" i="27"/>
  <c r="G80" i="27"/>
  <c r="K66" i="27"/>
  <c r="G66" i="27"/>
  <c r="K62" i="27"/>
  <c r="G62" i="27"/>
  <c r="K58" i="27"/>
  <c r="G58" i="27"/>
  <c r="K50" i="27"/>
  <c r="G50" i="27"/>
  <c r="K36" i="27"/>
  <c r="G36" i="27"/>
  <c r="K22" i="27"/>
  <c r="G22" i="27"/>
  <c r="K87" i="27"/>
  <c r="G87" i="27"/>
  <c r="K69" i="27"/>
  <c r="G69" i="27"/>
  <c r="K65" i="27"/>
  <c r="G65" i="27"/>
  <c r="K61" i="27"/>
  <c r="G61" i="27"/>
  <c r="K57" i="27"/>
  <c r="G57" i="27"/>
  <c r="K43" i="27"/>
  <c r="G43" i="27"/>
  <c r="K31" i="27"/>
  <c r="G31" i="27"/>
  <c r="K27" i="27"/>
  <c r="G27" i="27"/>
  <c r="K23" i="27"/>
  <c r="G23" i="27"/>
  <c r="K110" i="27"/>
  <c r="G110" i="27"/>
  <c r="K102" i="27"/>
  <c r="G102" i="27"/>
  <c r="K86" i="27"/>
  <c r="G86" i="27"/>
  <c r="K111" i="27"/>
  <c r="G111" i="27"/>
  <c r="K107" i="27"/>
  <c r="G107" i="27"/>
  <c r="K103" i="27"/>
  <c r="G103" i="27"/>
  <c r="K99" i="27"/>
  <c r="G99" i="27"/>
  <c r="K17" i="27"/>
  <c r="G17" i="27"/>
  <c r="K78" i="27"/>
  <c r="G78" i="27"/>
  <c r="K46" i="27"/>
  <c r="G46" i="27"/>
  <c r="K81" i="27"/>
  <c r="G81" i="27"/>
  <c r="K108" i="27"/>
  <c r="G108" i="27"/>
  <c r="K100" i="27"/>
  <c r="G100" i="27"/>
  <c r="K82" i="27"/>
  <c r="G82" i="27"/>
  <c r="K72" i="27"/>
  <c r="G72" i="27"/>
  <c r="K64" i="27"/>
  <c r="G64" i="27"/>
  <c r="K60" i="27"/>
  <c r="G60" i="27"/>
  <c r="K54" i="27"/>
  <c r="G54" i="27"/>
  <c r="K38" i="27"/>
  <c r="G38" i="27"/>
  <c r="K28" i="27"/>
  <c r="G28" i="27"/>
  <c r="K18" i="27"/>
  <c r="G18" i="27"/>
  <c r="K95" i="27"/>
  <c r="G95" i="27"/>
  <c r="K71" i="27"/>
  <c r="G71" i="27"/>
  <c r="K67" i="27"/>
  <c r="G67" i="27"/>
  <c r="K63" i="27"/>
  <c r="G63" i="27"/>
  <c r="K59" i="27"/>
  <c r="G59" i="27"/>
  <c r="K55" i="27"/>
  <c r="G55" i="27"/>
  <c r="K33" i="27"/>
  <c r="G33" i="27"/>
  <c r="K29" i="27"/>
  <c r="G29" i="27"/>
  <c r="K25" i="27"/>
  <c r="G25" i="27"/>
  <c r="K114" i="27"/>
  <c r="G114" i="27"/>
  <c r="K106" i="27"/>
  <c r="G106" i="27"/>
  <c r="K98" i="27"/>
  <c r="G98" i="27"/>
  <c r="K84" i="27"/>
  <c r="G84" i="27"/>
  <c r="K113" i="27"/>
  <c r="G113" i="27"/>
  <c r="K109" i="27"/>
  <c r="G109" i="27"/>
  <c r="K105" i="27"/>
  <c r="G105" i="27"/>
  <c r="K101" i="27"/>
  <c r="G101" i="27"/>
  <c r="K19" i="27"/>
  <c r="G19" i="27"/>
  <c r="K92" i="27"/>
  <c r="G92" i="27"/>
  <c r="K56" i="27"/>
  <c r="G56" i="27"/>
  <c r="K73" i="27"/>
  <c r="G73" i="27"/>
  <c r="K83" i="27"/>
  <c r="G83" i="27"/>
  <c r="K96" i="27"/>
  <c r="G96" i="27"/>
  <c r="K93" i="27"/>
  <c r="G93" i="27"/>
  <c r="AD203" i="27"/>
  <c r="AB203" i="27"/>
  <c r="AB205" i="27"/>
  <c r="AD205" i="27"/>
  <c r="AB204" i="27"/>
  <c r="AD204" i="27"/>
  <c r="AD206" i="27"/>
  <c r="AD207" i="27"/>
  <c r="P207" i="27"/>
  <c r="P204" i="27"/>
  <c r="P198" i="28"/>
  <c r="P206" i="27"/>
  <c r="P205" i="27"/>
  <c r="P193" i="28"/>
  <c r="P179" i="28"/>
  <c r="K15" i="27"/>
  <c r="L15" i="27" s="1"/>
  <c r="O150" i="28"/>
  <c r="P150" i="28" s="1"/>
  <c r="K149" i="28"/>
  <c r="T149" i="28"/>
  <c r="M149" i="28" s="1"/>
  <c r="K148" i="28"/>
  <c r="S148" i="28"/>
  <c r="T148" i="28" s="1"/>
  <c r="P191" i="28"/>
  <c r="P165" i="28"/>
  <c r="V16" i="28"/>
  <c r="K147" i="28"/>
  <c r="S147" i="28"/>
  <c r="T147" i="28" s="1"/>
  <c r="S146" i="28"/>
  <c r="L154" i="28"/>
  <c r="S145" i="28"/>
  <c r="N150" i="28"/>
  <c r="K144" i="28"/>
  <c r="S144" i="28"/>
  <c r="T144" i="28" s="1"/>
  <c r="T143" i="28"/>
  <c r="M143" i="28" s="1"/>
  <c r="N143" i="28" s="1"/>
  <c r="AH142" i="27"/>
  <c r="AI142" i="27" s="1"/>
  <c r="G143" i="28" s="1"/>
  <c r="K143" i="28" s="1"/>
  <c r="V23" i="28"/>
  <c r="O154" i="28"/>
  <c r="P154" i="28" s="1"/>
  <c r="T52" i="27"/>
  <c r="W53" i="28" s="1"/>
  <c r="V20" i="28"/>
  <c r="N152" i="28"/>
  <c r="O152" i="28"/>
  <c r="P152" i="28" s="1"/>
  <c r="L53" i="27"/>
  <c r="Y54" i="28" s="1"/>
  <c r="S142" i="28"/>
  <c r="T142" i="28" s="1"/>
  <c r="M142" i="28" s="1"/>
  <c r="AG135" i="27"/>
  <c r="AH135" i="27" s="1"/>
  <c r="AI135" i="27" s="1"/>
  <c r="G136" i="28" s="1"/>
  <c r="AG137" i="27"/>
  <c r="AH137" i="27" s="1"/>
  <c r="AI137" i="27" s="1"/>
  <c r="G138" i="28" s="1"/>
  <c r="Y132" i="28"/>
  <c r="Y123" i="28"/>
  <c r="AG120" i="27"/>
  <c r="AH120" i="27" s="1"/>
  <c r="AI120" i="27" s="1"/>
  <c r="G121" i="28" s="1"/>
  <c r="Y140" i="28"/>
  <c r="AG136" i="27"/>
  <c r="AH136" i="27" s="1"/>
  <c r="AI136" i="27" s="1"/>
  <c r="G137" i="28" s="1"/>
  <c r="AG125" i="27"/>
  <c r="AH125" i="27" s="1"/>
  <c r="AI125" i="27" s="1"/>
  <c r="G126" i="28" s="1"/>
  <c r="Y124" i="28"/>
  <c r="L112" i="27"/>
  <c r="L100" i="27"/>
  <c r="L84" i="27"/>
  <c r="L76" i="27"/>
  <c r="Y77" i="28" s="1"/>
  <c r="L60" i="27"/>
  <c r="L48" i="27"/>
  <c r="Y49" i="28" s="1"/>
  <c r="L40" i="27"/>
  <c r="Y41" i="28" s="1"/>
  <c r="L32" i="27"/>
  <c r="Y33" i="28" s="1"/>
  <c r="L20" i="27"/>
  <c r="Y21" i="28" s="1"/>
  <c r="L111" i="27"/>
  <c r="L99" i="27"/>
  <c r="L87" i="27"/>
  <c r="L79" i="27"/>
  <c r="Y80" i="28" s="1"/>
  <c r="L67" i="27"/>
  <c r="L55" i="27"/>
  <c r="L47" i="27"/>
  <c r="Y48" i="28" s="1"/>
  <c r="L39" i="27"/>
  <c r="Y40" i="28" s="1"/>
  <c r="L31" i="27"/>
  <c r="L23" i="27"/>
  <c r="L106" i="27"/>
  <c r="L90" i="27"/>
  <c r="Y91" i="28" s="1"/>
  <c r="L78" i="27"/>
  <c r="L70" i="27"/>
  <c r="Y71" i="28" s="1"/>
  <c r="L61" i="27"/>
  <c r="L114" i="27"/>
  <c r="L65" i="27"/>
  <c r="L49" i="27"/>
  <c r="Y50" i="28" s="1"/>
  <c r="L50" i="27"/>
  <c r="L34" i="27"/>
  <c r="Y35" i="28" s="1"/>
  <c r="L113" i="27"/>
  <c r="L97" i="27"/>
  <c r="Y98" i="28" s="1"/>
  <c r="L81" i="27"/>
  <c r="L62" i="27"/>
  <c r="L46" i="27"/>
  <c r="L30" i="27"/>
  <c r="Y31" i="28" s="1"/>
  <c r="L101" i="27"/>
  <c r="L109" i="27"/>
  <c r="AG129" i="27"/>
  <c r="AH129" i="27" s="1"/>
  <c r="AI129" i="27" s="1"/>
  <c r="G130" i="28" s="1"/>
  <c r="AG130" i="27"/>
  <c r="AH130" i="27" s="1"/>
  <c r="AI130" i="27" s="1"/>
  <c r="G131" i="28" s="1"/>
  <c r="Y116" i="28"/>
  <c r="Y119" i="28"/>
  <c r="L104" i="27"/>
  <c r="L96" i="27"/>
  <c r="L80" i="27"/>
  <c r="L72" i="27"/>
  <c r="L64" i="27"/>
  <c r="L44" i="27"/>
  <c r="Y45" i="28" s="1"/>
  <c r="L36" i="27"/>
  <c r="L24" i="27"/>
  <c r="Y25" i="28" s="1"/>
  <c r="L16" i="27"/>
  <c r="Y17" i="28" s="1"/>
  <c r="L103" i="27"/>
  <c r="L91" i="27"/>
  <c r="Y92" i="28" s="1"/>
  <c r="L83" i="27"/>
  <c r="L75" i="27"/>
  <c r="Y76" i="28" s="1"/>
  <c r="L63" i="27"/>
  <c r="L51" i="27"/>
  <c r="Y52" i="28" s="1"/>
  <c r="L43" i="27"/>
  <c r="L35" i="27"/>
  <c r="Y36" i="28" s="1"/>
  <c r="L27" i="27"/>
  <c r="L19" i="27"/>
  <c r="L110" i="27"/>
  <c r="L94" i="27"/>
  <c r="Y95" i="28" s="1"/>
  <c r="L86" i="27"/>
  <c r="L74" i="27"/>
  <c r="Y75" i="28" s="1"/>
  <c r="L77" i="27"/>
  <c r="Y78" i="28" s="1"/>
  <c r="L37" i="27"/>
  <c r="Y38" i="28" s="1"/>
  <c r="L18" i="27"/>
  <c r="L57" i="27"/>
  <c r="L41" i="27"/>
  <c r="Y42" i="28" s="1"/>
  <c r="L58" i="27"/>
  <c r="L42" i="27"/>
  <c r="Y43" i="28" s="1"/>
  <c r="L26" i="27"/>
  <c r="Y27" i="28" s="1"/>
  <c r="L105" i="27"/>
  <c r="L89" i="27"/>
  <c r="Y90" i="28" s="1"/>
  <c r="L17" i="27"/>
  <c r="L54" i="27"/>
  <c r="L38" i="27"/>
  <c r="L21" i="27"/>
  <c r="Y22" i="28" s="1"/>
  <c r="L93" i="27"/>
  <c r="AG116" i="27"/>
  <c r="AH116" i="27" s="1"/>
  <c r="AI116" i="27" s="1"/>
  <c r="G117" i="28" s="1"/>
  <c r="AG132" i="27"/>
  <c r="AH132" i="27" s="1"/>
  <c r="AI132" i="27" s="1"/>
  <c r="G133" i="28" s="1"/>
  <c r="AG126" i="27"/>
  <c r="AH126" i="27" s="1"/>
  <c r="AI126" i="27" s="1"/>
  <c r="G127" i="28" s="1"/>
  <c r="Y128" i="28"/>
  <c r="Y122" i="28"/>
  <c r="W125" i="28"/>
  <c r="Q125" i="28"/>
  <c r="T68" i="27"/>
  <c r="W69" i="28" s="1"/>
  <c r="T82" i="27"/>
  <c r="T85" i="27"/>
  <c r="W86" i="28" s="1"/>
  <c r="S86" i="28" s="1"/>
  <c r="W121" i="28"/>
  <c r="Q121" i="28"/>
  <c r="T45" i="27"/>
  <c r="Q46" i="28" s="1"/>
  <c r="P187" i="28"/>
  <c r="AG139" i="27"/>
  <c r="AH139" i="27" s="1"/>
  <c r="AI139" i="27" s="1"/>
  <c r="G140" i="28" s="1"/>
  <c r="AG138" i="27"/>
  <c r="AG127" i="27"/>
  <c r="AH127" i="27" s="1"/>
  <c r="AI127" i="27" s="1"/>
  <c r="G128" i="28" s="1"/>
  <c r="AG117" i="27"/>
  <c r="AH117" i="27" s="1"/>
  <c r="AI117" i="27" s="1"/>
  <c r="G118" i="28" s="1"/>
  <c r="AG115" i="27"/>
  <c r="AG119" i="27"/>
  <c r="AG118" i="27"/>
  <c r="AG131" i="27"/>
  <c r="AH131" i="27" s="1"/>
  <c r="AI131" i="27" s="1"/>
  <c r="G132" i="28" s="1"/>
  <c r="AG122" i="27"/>
  <c r="AH122" i="27" s="1"/>
  <c r="AI122" i="27" s="1"/>
  <c r="G123" i="28" s="1"/>
  <c r="AG133" i="27"/>
  <c r="AH133" i="27" s="1"/>
  <c r="AI133" i="27" s="1"/>
  <c r="G134" i="28" s="1"/>
  <c r="AG123" i="27"/>
  <c r="AH123" i="27" s="1"/>
  <c r="AI123" i="27" s="1"/>
  <c r="G124" i="28" s="1"/>
  <c r="AG134" i="27"/>
  <c r="AH134" i="27" s="1"/>
  <c r="AI134" i="27" s="1"/>
  <c r="G135" i="28" s="1"/>
  <c r="AG121" i="27"/>
  <c r="AH121" i="27" s="1"/>
  <c r="AI121" i="27" s="1"/>
  <c r="G122" i="28" s="1"/>
  <c r="AG128" i="27"/>
  <c r="AH128" i="27" s="1"/>
  <c r="AI128" i="27" s="1"/>
  <c r="G129" i="28" s="1"/>
  <c r="H108" i="27"/>
  <c r="Y109" i="28" s="1"/>
  <c r="H100" i="27"/>
  <c r="H82" i="27"/>
  <c r="H72" i="27"/>
  <c r="H64" i="27"/>
  <c r="H60" i="27"/>
  <c r="H54" i="27"/>
  <c r="H38" i="27"/>
  <c r="H28" i="27"/>
  <c r="Y29" i="28" s="1"/>
  <c r="H18" i="27"/>
  <c r="H95" i="27"/>
  <c r="Y96" i="28" s="1"/>
  <c r="H71" i="27"/>
  <c r="Y72" i="28" s="1"/>
  <c r="H67" i="27"/>
  <c r="H63" i="27"/>
  <c r="H59" i="27"/>
  <c r="Y60" i="28" s="1"/>
  <c r="H55" i="27"/>
  <c r="H33" i="27"/>
  <c r="Y34" i="28" s="1"/>
  <c r="H29" i="27"/>
  <c r="Y30" i="28" s="1"/>
  <c r="H25" i="27"/>
  <c r="Y26" i="28" s="1"/>
  <c r="H114" i="27"/>
  <c r="H106" i="27"/>
  <c r="H98" i="27"/>
  <c r="Y99" i="28" s="1"/>
  <c r="H84" i="27"/>
  <c r="H113" i="27"/>
  <c r="H109" i="27"/>
  <c r="H105" i="27"/>
  <c r="H101" i="27"/>
  <c r="H19" i="27"/>
  <c r="H92" i="27"/>
  <c r="Y93" i="28" s="1"/>
  <c r="H56" i="27"/>
  <c r="Y57" i="28" s="1"/>
  <c r="H73" i="27"/>
  <c r="Y74" i="28" s="1"/>
  <c r="H83" i="27"/>
  <c r="H96" i="27"/>
  <c r="H93" i="27"/>
  <c r="H112" i="27"/>
  <c r="H104" i="27"/>
  <c r="H88" i="27"/>
  <c r="Y89" i="28" s="1"/>
  <c r="H80" i="27"/>
  <c r="H66" i="27"/>
  <c r="Y67" i="28" s="1"/>
  <c r="H62" i="27"/>
  <c r="H58" i="27"/>
  <c r="H50" i="27"/>
  <c r="H36" i="27"/>
  <c r="H22" i="27"/>
  <c r="Y23" i="28" s="1"/>
  <c r="H87" i="27"/>
  <c r="H69" i="27"/>
  <c r="Y70" i="28" s="1"/>
  <c r="H65" i="27"/>
  <c r="H61" i="27"/>
  <c r="H57" i="27"/>
  <c r="H43" i="27"/>
  <c r="H31" i="27"/>
  <c r="H27" i="27"/>
  <c r="H23" i="27"/>
  <c r="H110" i="27"/>
  <c r="H102" i="27"/>
  <c r="Y103" i="28" s="1"/>
  <c r="H86" i="27"/>
  <c r="H111" i="27"/>
  <c r="H107" i="27"/>
  <c r="Y108" i="28" s="1"/>
  <c r="H103" i="27"/>
  <c r="H99" i="27"/>
  <c r="H17" i="27"/>
  <c r="H78" i="27"/>
  <c r="H46" i="27"/>
  <c r="H81" i="27"/>
  <c r="T83" i="27"/>
  <c r="W84" i="28" s="1"/>
  <c r="S84" i="28" s="1"/>
  <c r="T84" i="28" s="1"/>
  <c r="T33" i="27"/>
  <c r="Q34" i="28" s="1"/>
  <c r="W20" i="28"/>
  <c r="Q122" i="28"/>
  <c r="W122" i="28"/>
  <c r="W124" i="28"/>
  <c r="Q124" i="28"/>
  <c r="W138" i="28"/>
  <c r="S138" i="28" s="1"/>
  <c r="T138" i="28" s="1"/>
  <c r="M138" i="28" s="1"/>
  <c r="Q138" i="28"/>
  <c r="T26" i="27"/>
  <c r="T29" i="27"/>
  <c r="AI141" i="27"/>
  <c r="G142" i="28" s="1"/>
  <c r="Q129" i="28"/>
  <c r="W117" i="28"/>
  <c r="Q117" i="28"/>
  <c r="W132" i="28"/>
  <c r="Q132" i="28"/>
  <c r="W133" i="28"/>
  <c r="Q133" i="28"/>
  <c r="W127" i="28"/>
  <c r="Q127" i="28"/>
  <c r="Q120" i="28"/>
  <c r="W120" i="28"/>
  <c r="W136" i="28"/>
  <c r="S136" i="28" s="1"/>
  <c r="T136" i="28" s="1"/>
  <c r="M136" i="28" s="1"/>
  <c r="O136" i="28" s="1"/>
  <c r="Q136" i="28"/>
  <c r="W118" i="28"/>
  <c r="Q118" i="28"/>
  <c r="Q134" i="28"/>
  <c r="W134" i="28"/>
  <c r="Q131" i="28"/>
  <c r="W131" i="28"/>
  <c r="S131" i="28" s="1"/>
  <c r="Q116" i="28"/>
  <c r="W116" i="28"/>
  <c r="W123" i="28"/>
  <c r="Q123" i="28"/>
  <c r="Q130" i="28"/>
  <c r="W130" i="28"/>
  <c r="W135" i="28"/>
  <c r="Q135" i="28"/>
  <c r="W128" i="28"/>
  <c r="Q128" i="28"/>
  <c r="Q137" i="28"/>
  <c r="W137" i="28"/>
  <c r="W126" i="28"/>
  <c r="Q126" i="28"/>
  <c r="Q119" i="28"/>
  <c r="W119" i="28"/>
  <c r="S119" i="28" s="1"/>
  <c r="W139" i="28"/>
  <c r="S139" i="28" s="1"/>
  <c r="T139" i="28" s="1"/>
  <c r="M139" i="28" s="1"/>
  <c r="Q139" i="28"/>
  <c r="T99" i="27"/>
  <c r="T65" i="27"/>
  <c r="T49" i="27"/>
  <c r="Q50" i="28" s="1"/>
  <c r="T37" i="27"/>
  <c r="W38" i="28" s="1"/>
  <c r="T31" i="27"/>
  <c r="Q32" i="28" s="1"/>
  <c r="T23" i="27"/>
  <c r="W24" i="28" s="1"/>
  <c r="T17" i="27"/>
  <c r="W18" i="28" s="1"/>
  <c r="T111" i="27"/>
  <c r="T91" i="27"/>
  <c r="T71" i="27"/>
  <c r="T61" i="27"/>
  <c r="Q62" i="28" s="1"/>
  <c r="T112" i="27"/>
  <c r="T104" i="27"/>
  <c r="T96" i="27"/>
  <c r="T88" i="27"/>
  <c r="T78" i="27"/>
  <c r="T70" i="27"/>
  <c r="T60" i="27"/>
  <c r="T50" i="27"/>
  <c r="T42" i="27"/>
  <c r="T34" i="27"/>
  <c r="Q35" i="28" s="1"/>
  <c r="T18" i="27"/>
  <c r="T103" i="27"/>
  <c r="T73" i="27"/>
  <c r="T59" i="27"/>
  <c r="Q60" i="28" s="1"/>
  <c r="T51" i="27"/>
  <c r="Q52" i="28" s="1"/>
  <c r="T43" i="27"/>
  <c r="Q44" i="28" s="1"/>
  <c r="T25" i="27"/>
  <c r="T105" i="27"/>
  <c r="T95" i="27"/>
  <c r="T87" i="27"/>
  <c r="T67" i="27"/>
  <c r="T98" i="27"/>
  <c r="T90" i="27"/>
  <c r="T80" i="27"/>
  <c r="T72" i="27"/>
  <c r="T62" i="27"/>
  <c r="T54" i="27"/>
  <c r="T44" i="27"/>
  <c r="Q45" i="28" s="1"/>
  <c r="T32" i="27"/>
  <c r="Q33" i="28" s="1"/>
  <c r="T24" i="27"/>
  <c r="T16" i="27"/>
  <c r="T109" i="27"/>
  <c r="W110" i="28" s="1"/>
  <c r="T79" i="27"/>
  <c r="T55" i="27"/>
  <c r="W56" i="28" s="1"/>
  <c r="T41" i="27"/>
  <c r="T35" i="27"/>
  <c r="T27" i="27"/>
  <c r="W28" i="28" s="1"/>
  <c r="T21" i="27"/>
  <c r="W22" i="28" s="1"/>
  <c r="T113" i="27"/>
  <c r="W114" i="28" s="1"/>
  <c r="T101" i="27"/>
  <c r="T81" i="27"/>
  <c r="Q82" i="28" s="1"/>
  <c r="T63" i="27"/>
  <c r="T15" i="27"/>
  <c r="Q16" i="28" s="1"/>
  <c r="T108" i="27"/>
  <c r="W109" i="28" s="1"/>
  <c r="T100" i="27"/>
  <c r="T92" i="27"/>
  <c r="T84" i="27"/>
  <c r="W85" i="28" s="1"/>
  <c r="T74" i="27"/>
  <c r="W75" i="28" s="1"/>
  <c r="T64" i="27"/>
  <c r="Q65" i="28" s="1"/>
  <c r="T56" i="27"/>
  <c r="T46" i="27"/>
  <c r="Q47" i="28" s="1"/>
  <c r="T38" i="27"/>
  <c r="T30" i="27"/>
  <c r="T22" i="27"/>
  <c r="W23" i="28" s="1"/>
  <c r="T93" i="27"/>
  <c r="W94" i="28" s="1"/>
  <c r="T75" i="27"/>
  <c r="Q76" i="28" s="1"/>
  <c r="T69" i="27"/>
  <c r="Q70" i="28" s="1"/>
  <c r="T53" i="27"/>
  <c r="W54" i="28" s="1"/>
  <c r="T47" i="27"/>
  <c r="W48" i="28" s="1"/>
  <c r="T39" i="27"/>
  <c r="Q40" i="28" s="1"/>
  <c r="T107" i="27"/>
  <c r="T97" i="27"/>
  <c r="T89" i="27"/>
  <c r="W90" i="28" s="1"/>
  <c r="S90" i="28" s="1"/>
  <c r="T77" i="27"/>
  <c r="T102" i="27"/>
  <c r="W103" i="28" s="1"/>
  <c r="T94" i="27"/>
  <c r="T86" i="27"/>
  <c r="Q87" i="28" s="1"/>
  <c r="T76" i="27"/>
  <c r="T66" i="27"/>
  <c r="W67" i="28" s="1"/>
  <c r="T58" i="27"/>
  <c r="T48" i="27"/>
  <c r="Q49" i="28" s="1"/>
  <c r="T40" i="27"/>
  <c r="W41" i="28" s="1"/>
  <c r="T28" i="27"/>
  <c r="W29" i="28" s="1"/>
  <c r="T20" i="27"/>
  <c r="Q140" i="28"/>
  <c r="Q111" i="28"/>
  <c r="W111" i="28"/>
  <c r="X23" i="28"/>
  <c r="V51" i="28"/>
  <c r="L169" i="28"/>
  <c r="N169" i="28"/>
  <c r="H15" i="27"/>
  <c r="X49" i="28"/>
  <c r="Q115" i="28"/>
  <c r="V112" i="28"/>
  <c r="X20" i="28"/>
  <c r="X22" i="28"/>
  <c r="V104" i="28"/>
  <c r="X71" i="28"/>
  <c r="X69" i="28"/>
  <c r="Q107" i="28"/>
  <c r="V108" i="28"/>
  <c r="V99" i="28"/>
  <c r="V83" i="28"/>
  <c r="X75" i="28"/>
  <c r="X57" i="28"/>
  <c r="X18" i="28"/>
  <c r="V74" i="28"/>
  <c r="V102" i="28"/>
  <c r="V80" i="28"/>
  <c r="P188" i="28"/>
  <c r="P170" i="28"/>
  <c r="N151" i="28"/>
  <c r="O151" i="28"/>
  <c r="P151" i="28" s="1"/>
  <c r="L151" i="28"/>
  <c r="M153" i="28"/>
  <c r="V100" i="28"/>
  <c r="V59" i="28"/>
  <c r="V53" i="28"/>
  <c r="X39" i="28"/>
  <c r="V98" i="28"/>
  <c r="X51" i="28"/>
  <c r="X63" i="28"/>
  <c r="X55" i="28"/>
  <c r="X47" i="28"/>
  <c r="X26" i="28"/>
  <c r="V25" i="28"/>
  <c r="T140" i="28"/>
  <c r="M140" i="28" s="1"/>
  <c r="V78" i="28"/>
  <c r="L173" i="28"/>
  <c r="K141" i="28"/>
  <c r="P192" i="28"/>
  <c r="P174" i="28"/>
  <c r="L165" i="28"/>
  <c r="L189" i="28"/>
  <c r="N165" i="28"/>
  <c r="N159" i="28"/>
  <c r="N190" i="28"/>
  <c r="N186" i="28"/>
  <c r="N184" i="28"/>
  <c r="N180" i="28"/>
  <c r="N176" i="28"/>
  <c r="N172" i="28"/>
  <c r="N160" i="28"/>
  <c r="N192" i="28"/>
  <c r="N188" i="28"/>
  <c r="N182" i="28"/>
  <c r="N178" i="28"/>
  <c r="N174" i="28"/>
  <c r="N170" i="28"/>
  <c r="N163" i="28"/>
  <c r="N155" i="28"/>
  <c r="L181" i="28"/>
  <c r="L159" i="28"/>
  <c r="L190" i="28"/>
  <c r="L186" i="28"/>
  <c r="L184" i="28"/>
  <c r="L180" i="28"/>
  <c r="L176" i="28"/>
  <c r="L172" i="28"/>
  <c r="N191" i="28"/>
  <c r="N187" i="28"/>
  <c r="N183" i="28"/>
  <c r="N179" i="28"/>
  <c r="N175" i="28"/>
  <c r="N171" i="28"/>
  <c r="L160" i="28"/>
  <c r="L192" i="28"/>
  <c r="L188" i="28"/>
  <c r="L182" i="28"/>
  <c r="L178" i="28"/>
  <c r="L174" i="28"/>
  <c r="L170" i="28"/>
  <c r="L191" i="28"/>
  <c r="L183" i="28"/>
  <c r="L175" i="28"/>
  <c r="N197" i="28"/>
  <c r="N198" i="28"/>
  <c r="L161" i="28"/>
  <c r="P160" i="28"/>
  <c r="O195" i="28"/>
  <c r="P195" i="28" s="1"/>
  <c r="N195" i="28"/>
  <c r="P178" i="28"/>
  <c r="O196" i="28"/>
  <c r="P196" i="28" s="1"/>
  <c r="N196" i="28"/>
  <c r="N193" i="28"/>
  <c r="N189" i="28"/>
  <c r="N185" i="28"/>
  <c r="N181" i="28"/>
  <c r="N177" i="28"/>
  <c r="N173" i="28"/>
  <c r="L197" i="28"/>
  <c r="P182" i="28"/>
  <c r="M164" i="28"/>
  <c r="O164" i="28" s="1"/>
  <c r="P164" i="28" s="1"/>
  <c r="M156" i="28"/>
  <c r="O156" i="28" s="1"/>
  <c r="P156" i="28" s="1"/>
  <c r="M168" i="28"/>
  <c r="O168" i="28" s="1"/>
  <c r="P168" i="28" s="1"/>
  <c r="M166" i="28"/>
  <c r="O166" i="28" s="1"/>
  <c r="P166" i="28" s="1"/>
  <c r="M162" i="28"/>
  <c r="O162" i="28" s="1"/>
  <c r="P162" i="28" s="1"/>
  <c r="M158" i="28"/>
  <c r="O158" i="28" s="1"/>
  <c r="P158" i="28" s="1"/>
  <c r="L198" i="28"/>
  <c r="M194" i="28"/>
  <c r="O194" i="28" s="1"/>
  <c r="P194" i="28" s="1"/>
  <c r="N161" i="28"/>
  <c r="N157" i="28"/>
  <c r="L193" i="28"/>
  <c r="L185" i="28"/>
  <c r="L177" i="28"/>
  <c r="L163" i="28"/>
  <c r="L155" i="28"/>
  <c r="L187" i="28"/>
  <c r="L179" i="28"/>
  <c r="L171" i="28"/>
  <c r="L195" i="28"/>
  <c r="L196" i="28"/>
  <c r="L157" i="28"/>
  <c r="X65" i="28"/>
  <c r="X21" i="28"/>
  <c r="X24" i="28"/>
  <c r="V61" i="28"/>
  <c r="V65" i="28"/>
  <c r="X53" i="28"/>
  <c r="V19" i="28"/>
  <c r="AD202" i="27"/>
  <c r="X61" i="28"/>
  <c r="X59" i="28"/>
  <c r="V39" i="28"/>
  <c r="AF202" i="27"/>
  <c r="X19" i="28"/>
  <c r="V26" i="28"/>
  <c r="V21" i="28"/>
  <c r="V63" i="28"/>
  <c r="V55" i="28"/>
  <c r="V47" i="28"/>
  <c r="P202" i="27"/>
  <c r="X17" i="28"/>
  <c r="X25" i="28"/>
  <c r="V24" i="28"/>
  <c r="V57" i="28"/>
  <c r="V49" i="28"/>
  <c r="V43" i="28"/>
  <c r="X43" i="28"/>
  <c r="V41" i="28"/>
  <c r="X41" i="28"/>
  <c r="V37" i="28"/>
  <c r="X37" i="28"/>
  <c r="Q37" i="28"/>
  <c r="W37" i="28"/>
  <c r="V27" i="28"/>
  <c r="X27" i="28"/>
  <c r="V64" i="28"/>
  <c r="X64" i="28"/>
  <c r="V60" i="28"/>
  <c r="X60" i="28"/>
  <c r="V56" i="28"/>
  <c r="X56" i="28"/>
  <c r="V52" i="28"/>
  <c r="X52" i="28"/>
  <c r="V48" i="28"/>
  <c r="X48" i="28"/>
  <c r="V44" i="28"/>
  <c r="X44" i="28"/>
  <c r="V40" i="28"/>
  <c r="X40" i="28"/>
  <c r="V34" i="28"/>
  <c r="X34" i="28"/>
  <c r="V32" i="28"/>
  <c r="X32" i="28"/>
  <c r="V28" i="28"/>
  <c r="X28" i="28"/>
  <c r="X74" i="28"/>
  <c r="X72" i="28"/>
  <c r="X45" i="28"/>
  <c r="V45" i="28"/>
  <c r="X35" i="28"/>
  <c r="V35" i="28"/>
  <c r="V33" i="28"/>
  <c r="X33" i="28"/>
  <c r="X31" i="28"/>
  <c r="V31" i="28"/>
  <c r="X29" i="28"/>
  <c r="V29" i="28"/>
  <c r="V66" i="28"/>
  <c r="X66" i="28"/>
  <c r="V62" i="28"/>
  <c r="X62" i="28"/>
  <c r="W58" i="28"/>
  <c r="Q58" i="28"/>
  <c r="V58" i="28"/>
  <c r="X58" i="28"/>
  <c r="V54" i="28"/>
  <c r="X54" i="28"/>
  <c r="V50" i="28"/>
  <c r="X50" i="28"/>
  <c r="V46" i="28"/>
  <c r="X46" i="28"/>
  <c r="V42" i="28"/>
  <c r="X42" i="28"/>
  <c r="V38" i="28"/>
  <c r="X38" i="28"/>
  <c r="V36" i="28"/>
  <c r="X36" i="28"/>
  <c r="V30" i="28"/>
  <c r="X30" i="28"/>
  <c r="W204" i="27"/>
  <c r="U202" i="27"/>
  <c r="U204" i="27"/>
  <c r="V202" i="27"/>
  <c r="W202" i="27"/>
  <c r="R16" i="27"/>
  <c r="Q202" i="27"/>
  <c r="Q204" i="27"/>
  <c r="Q20" i="28"/>
  <c r="X16" i="28" l="1"/>
  <c r="X200" i="28" s="1"/>
  <c r="O149" i="28"/>
  <c r="P149" i="28" s="1"/>
  <c r="L149" i="28"/>
  <c r="N149" i="28"/>
  <c r="M148" i="28"/>
  <c r="N148" i="28" s="1"/>
  <c r="M147" i="28"/>
  <c r="L147" i="28" s="1"/>
  <c r="T146" i="28"/>
  <c r="K146" i="28"/>
  <c r="K145" i="28"/>
  <c r="T145" i="28"/>
  <c r="M145" i="28" s="1"/>
  <c r="O145" i="28" s="1"/>
  <c r="M144" i="28"/>
  <c r="L144" i="28" s="1"/>
  <c r="K142" i="28"/>
  <c r="Y51" i="28"/>
  <c r="Y94" i="28"/>
  <c r="Y18" i="28"/>
  <c r="Y88" i="28"/>
  <c r="Y97" i="28"/>
  <c r="AG42" i="27"/>
  <c r="AH42" i="27" s="1"/>
  <c r="Y104" i="28"/>
  <c r="Y102" i="28"/>
  <c r="Y82" i="28"/>
  <c r="Y87" i="28"/>
  <c r="Y28" i="28"/>
  <c r="Y62" i="28"/>
  <c r="K121" i="28"/>
  <c r="AG41" i="27"/>
  <c r="AH41" i="27" s="1"/>
  <c r="AI41" i="27" s="1"/>
  <c r="G42" i="28" s="1"/>
  <c r="Y79" i="28"/>
  <c r="Y111" i="28"/>
  <c r="Y44" i="28"/>
  <c r="Y106" i="28"/>
  <c r="Y16" i="28"/>
  <c r="AG77" i="27"/>
  <c r="AH77" i="27" s="1"/>
  <c r="AI77" i="27" s="1"/>
  <c r="G78" i="28" s="1"/>
  <c r="Y112" i="28"/>
  <c r="Y68" i="28"/>
  <c r="AG35" i="27"/>
  <c r="AH35" i="27" s="1"/>
  <c r="AI35" i="27" s="1"/>
  <c r="G36" i="28" s="1"/>
  <c r="Y58" i="28"/>
  <c r="Y110" i="28"/>
  <c r="AG20" i="27"/>
  <c r="AH20" i="27" s="1"/>
  <c r="AI20" i="27" s="1"/>
  <c r="G21" i="28" s="1"/>
  <c r="AG91" i="27"/>
  <c r="AH91" i="27" s="1"/>
  <c r="AI91" i="27" s="1"/>
  <c r="G92" i="28" s="1"/>
  <c r="AG26" i="27"/>
  <c r="AH26" i="27" s="1"/>
  <c r="AI26" i="27" s="1"/>
  <c r="G27" i="28" s="1"/>
  <c r="Y55" i="28"/>
  <c r="Q69" i="28"/>
  <c r="Y59" i="28"/>
  <c r="AG94" i="27"/>
  <c r="AH94" i="27" s="1"/>
  <c r="AI94" i="27" s="1"/>
  <c r="G95" i="28" s="1"/>
  <c r="AG97" i="27"/>
  <c r="AH97" i="27" s="1"/>
  <c r="AI97" i="27" s="1"/>
  <c r="G98" i="28" s="1"/>
  <c r="AG24" i="27"/>
  <c r="AH24" i="27" s="1"/>
  <c r="AI24" i="27" s="1"/>
  <c r="G25" i="28" s="1"/>
  <c r="AG70" i="27"/>
  <c r="AH70" i="27" s="1"/>
  <c r="AI70" i="27" s="1"/>
  <c r="G71" i="28" s="1"/>
  <c r="Y84" i="28"/>
  <c r="Y114" i="28"/>
  <c r="Y24" i="28"/>
  <c r="Y65" i="28"/>
  <c r="Y47" i="28"/>
  <c r="Y32" i="28"/>
  <c r="Y66" i="28"/>
  <c r="AG30" i="27"/>
  <c r="AH30" i="27" s="1"/>
  <c r="AI30" i="27" s="1"/>
  <c r="G31" i="28" s="1"/>
  <c r="AG90" i="27"/>
  <c r="AH90" i="27" s="1"/>
  <c r="AI90" i="27" s="1"/>
  <c r="G91" i="28" s="1"/>
  <c r="Y100" i="28"/>
  <c r="Y63" i="28"/>
  <c r="Y81" i="28"/>
  <c r="Y105" i="28"/>
  <c r="Y20" i="28"/>
  <c r="Y56" i="28"/>
  <c r="Y64" i="28"/>
  <c r="Y19" i="28"/>
  <c r="Y39" i="28"/>
  <c r="Y73" i="28"/>
  <c r="Y61" i="28"/>
  <c r="AG76" i="27"/>
  <c r="AH76" i="27" s="1"/>
  <c r="AI76" i="27" s="1"/>
  <c r="G77" i="28" s="1"/>
  <c r="Y85" i="28"/>
  <c r="Y101" i="28"/>
  <c r="Y113" i="28"/>
  <c r="W83" i="28"/>
  <c r="S83" i="28" s="1"/>
  <c r="T83" i="28" s="1"/>
  <c r="Q83" i="28"/>
  <c r="W46" i="28"/>
  <c r="Q86" i="28"/>
  <c r="Q53" i="28"/>
  <c r="AG16" i="27"/>
  <c r="AH16" i="27" s="1"/>
  <c r="AG36" i="27"/>
  <c r="AH36" i="27" s="1"/>
  <c r="AI36" i="27" s="1"/>
  <c r="G37" i="28" s="1"/>
  <c r="Y37" i="28"/>
  <c r="AG106" i="27"/>
  <c r="AH106" i="27" s="1"/>
  <c r="AI106" i="27" s="1"/>
  <c r="G107" i="28" s="1"/>
  <c r="Y107" i="28"/>
  <c r="AG114" i="27"/>
  <c r="AH114" i="27" s="1"/>
  <c r="AI114" i="27" s="1"/>
  <c r="G115" i="28" s="1"/>
  <c r="Y115" i="28"/>
  <c r="AG37" i="27"/>
  <c r="AH37" i="27" s="1"/>
  <c r="AI37" i="27" s="1"/>
  <c r="G38" i="28" s="1"/>
  <c r="AG33" i="27"/>
  <c r="AH33" i="27" s="1"/>
  <c r="AI33" i="27" s="1"/>
  <c r="G34" i="28" s="1"/>
  <c r="AG54" i="27"/>
  <c r="AH54" i="27" s="1"/>
  <c r="AI54" i="27" s="1"/>
  <c r="G55" i="28" s="1"/>
  <c r="AG51" i="27"/>
  <c r="AH51" i="27" s="1"/>
  <c r="AI51" i="27" s="1"/>
  <c r="G52" i="28" s="1"/>
  <c r="AH118" i="27"/>
  <c r="AI118" i="27" s="1"/>
  <c r="G119" i="28" s="1"/>
  <c r="AH119" i="27"/>
  <c r="AI119" i="27" s="1"/>
  <c r="G120" i="28" s="1"/>
  <c r="AH115" i="27"/>
  <c r="AI115" i="27" s="1"/>
  <c r="G116" i="28" s="1"/>
  <c r="AH138" i="27"/>
  <c r="AI138" i="27" s="1"/>
  <c r="G139" i="28" s="1"/>
  <c r="AG75" i="27"/>
  <c r="AH75" i="27" s="1"/>
  <c r="AI75" i="27" s="1"/>
  <c r="G76" i="28" s="1"/>
  <c r="AG40" i="27"/>
  <c r="AH40" i="27" s="1"/>
  <c r="AI40" i="27" s="1"/>
  <c r="G41" i="28" s="1"/>
  <c r="AG21" i="27"/>
  <c r="AH21" i="27" s="1"/>
  <c r="AI21" i="27" s="1"/>
  <c r="G22" i="28" s="1"/>
  <c r="AG46" i="27"/>
  <c r="AG17" i="27"/>
  <c r="AG103" i="27"/>
  <c r="AH103" i="27" s="1"/>
  <c r="AI103" i="27" s="1"/>
  <c r="G104" i="28" s="1"/>
  <c r="AG111" i="27"/>
  <c r="AG102" i="27"/>
  <c r="AG23" i="27"/>
  <c r="AH23" i="27" s="1"/>
  <c r="AI23" i="27" s="1"/>
  <c r="G24" i="28" s="1"/>
  <c r="AG31" i="27"/>
  <c r="AH31" i="27" s="1"/>
  <c r="AI31" i="27" s="1"/>
  <c r="G32" i="28" s="1"/>
  <c r="AG57" i="27"/>
  <c r="AG65" i="27"/>
  <c r="AG87" i="27"/>
  <c r="AH87" i="27" s="1"/>
  <c r="AI87" i="27" s="1"/>
  <c r="G88" i="28" s="1"/>
  <c r="AG58" i="27"/>
  <c r="AG66" i="27"/>
  <c r="AG88" i="27"/>
  <c r="AH88" i="27" s="1"/>
  <c r="AI88" i="27" s="1"/>
  <c r="G89" i="28" s="1"/>
  <c r="AG112" i="27"/>
  <c r="AH112" i="27" s="1"/>
  <c r="AI112" i="27" s="1"/>
  <c r="G113" i="28" s="1"/>
  <c r="AG96" i="27"/>
  <c r="AG73" i="27"/>
  <c r="AG92" i="27"/>
  <c r="AG101" i="27"/>
  <c r="AG109" i="27"/>
  <c r="AG84" i="27"/>
  <c r="AH84" i="27" s="1"/>
  <c r="AI84" i="27" s="1"/>
  <c r="G85" i="28" s="1"/>
  <c r="AG25" i="27"/>
  <c r="AH25" i="27" s="1"/>
  <c r="AI25" i="27" s="1"/>
  <c r="G26" i="28" s="1"/>
  <c r="AG59" i="27"/>
  <c r="AG67" i="27"/>
  <c r="AH67" i="27" s="1"/>
  <c r="AI67" i="27" s="1"/>
  <c r="G68" i="28" s="1"/>
  <c r="AG95" i="27"/>
  <c r="AG28" i="27"/>
  <c r="AH28" i="27" s="1"/>
  <c r="AI28" i="27" s="1"/>
  <c r="G29" i="28" s="1"/>
  <c r="AG64" i="27"/>
  <c r="AG108" i="27"/>
  <c r="AG79" i="27"/>
  <c r="AG47" i="27"/>
  <c r="AG34" i="27"/>
  <c r="AH34" i="27" s="1"/>
  <c r="AI34" i="27" s="1"/>
  <c r="G35" i="28" s="1"/>
  <c r="AG44" i="27"/>
  <c r="AG15" i="27"/>
  <c r="AH15" i="27" s="1"/>
  <c r="AG81" i="27"/>
  <c r="AH81" i="27" s="1"/>
  <c r="AI81" i="27" s="1"/>
  <c r="G82" i="28" s="1"/>
  <c r="AG78" i="27"/>
  <c r="AH78" i="27" s="1"/>
  <c r="AI78" i="27" s="1"/>
  <c r="G79" i="28" s="1"/>
  <c r="AG99" i="27"/>
  <c r="AG107" i="27"/>
  <c r="AH107" i="27" s="1"/>
  <c r="AI107" i="27" s="1"/>
  <c r="G108" i="28" s="1"/>
  <c r="AG86" i="27"/>
  <c r="AH86" i="27" s="1"/>
  <c r="AI86" i="27" s="1"/>
  <c r="G87" i="28" s="1"/>
  <c r="AG110" i="27"/>
  <c r="AH110" i="27" s="1"/>
  <c r="AI110" i="27" s="1"/>
  <c r="G111" i="28" s="1"/>
  <c r="AG27" i="27"/>
  <c r="AG43" i="27"/>
  <c r="AH43" i="27" s="1"/>
  <c r="AI43" i="27" s="1"/>
  <c r="G44" i="28" s="1"/>
  <c r="AG61" i="27"/>
  <c r="AH61" i="27" s="1"/>
  <c r="AI61" i="27" s="1"/>
  <c r="G62" i="28" s="1"/>
  <c r="AG69" i="27"/>
  <c r="AH69" i="27" s="1"/>
  <c r="AI69" i="27" s="1"/>
  <c r="G70" i="28" s="1"/>
  <c r="AG22" i="27"/>
  <c r="AG50" i="27"/>
  <c r="AG62" i="27"/>
  <c r="AH62" i="27" s="1"/>
  <c r="AI62" i="27" s="1"/>
  <c r="G63" i="28" s="1"/>
  <c r="AG80" i="27"/>
  <c r="AG104" i="27"/>
  <c r="AH104" i="27" s="1"/>
  <c r="AI104" i="27" s="1"/>
  <c r="G105" i="28" s="1"/>
  <c r="AG93" i="27"/>
  <c r="AH93" i="27" s="1"/>
  <c r="AI93" i="27" s="1"/>
  <c r="G94" i="28" s="1"/>
  <c r="AG83" i="27"/>
  <c r="AG56" i="27"/>
  <c r="AG19" i="27"/>
  <c r="AG105" i="27"/>
  <c r="AG113" i="27"/>
  <c r="AG98" i="27"/>
  <c r="AG29" i="27"/>
  <c r="AH29" i="27" s="1"/>
  <c r="AI29" i="27" s="1"/>
  <c r="G30" i="28" s="1"/>
  <c r="AG55" i="27"/>
  <c r="AG63" i="27"/>
  <c r="AH63" i="27" s="1"/>
  <c r="AI63" i="27" s="1"/>
  <c r="G64" i="28" s="1"/>
  <c r="AG71" i="27"/>
  <c r="AG18" i="27"/>
  <c r="AG38" i="27"/>
  <c r="AH38" i="27" s="1"/>
  <c r="AI38" i="27" s="1"/>
  <c r="G39" i="28" s="1"/>
  <c r="AG60" i="27"/>
  <c r="AG72" i="27"/>
  <c r="AH72" i="27" s="1"/>
  <c r="AI72" i="27" s="1"/>
  <c r="G73" i="28" s="1"/>
  <c r="AG100" i="27"/>
  <c r="AH100" i="27" s="1"/>
  <c r="AI100" i="27" s="1"/>
  <c r="G101" i="28" s="1"/>
  <c r="AG89" i="27"/>
  <c r="AG39" i="27"/>
  <c r="AH39" i="27" s="1"/>
  <c r="AI39" i="27" s="1"/>
  <c r="G40" i="28" s="1"/>
  <c r="AG48" i="27"/>
  <c r="AH48" i="27" s="1"/>
  <c r="AI48" i="27" s="1"/>
  <c r="G49" i="28" s="1"/>
  <c r="AG49" i="27"/>
  <c r="AH49" i="27" s="1"/>
  <c r="AI49" i="27" s="1"/>
  <c r="G50" i="28" s="1"/>
  <c r="AG53" i="27"/>
  <c r="AH53" i="27" s="1"/>
  <c r="AI53" i="27" s="1"/>
  <c r="G54" i="28" s="1"/>
  <c r="AG32" i="27"/>
  <c r="AG74" i="27"/>
  <c r="W34" i="28"/>
  <c r="Q84" i="28"/>
  <c r="K138" i="28"/>
  <c r="Q30" i="28"/>
  <c r="W30" i="28"/>
  <c r="Q27" i="28"/>
  <c r="W27" i="28"/>
  <c r="W42" i="28"/>
  <c r="Q29" i="28"/>
  <c r="Q54" i="28"/>
  <c r="Q56" i="28"/>
  <c r="W49" i="28"/>
  <c r="Q114" i="28"/>
  <c r="Q28" i="28"/>
  <c r="W44" i="28"/>
  <c r="Q48" i="28"/>
  <c r="W64" i="28"/>
  <c r="Q18" i="28"/>
  <c r="W16" i="28"/>
  <c r="S202" i="27"/>
  <c r="Q42" i="28"/>
  <c r="W50" i="28"/>
  <c r="W31" i="28"/>
  <c r="Q31" i="28"/>
  <c r="W65" i="28"/>
  <c r="Q94" i="28"/>
  <c r="Q90" i="28"/>
  <c r="Q103" i="28"/>
  <c r="Q85" i="28"/>
  <c r="K133" i="28"/>
  <c r="W39" i="28"/>
  <c r="Q39" i="28"/>
  <c r="W93" i="28"/>
  <c r="S93" i="28" s="1"/>
  <c r="T93" i="28" s="1"/>
  <c r="Q93" i="28"/>
  <c r="K137" i="28"/>
  <c r="L136" i="28"/>
  <c r="W36" i="28"/>
  <c r="Q38" i="28"/>
  <c r="W40" i="28"/>
  <c r="Q41" i="28"/>
  <c r="W43" i="28"/>
  <c r="Q43" i="28"/>
  <c r="K136" i="28"/>
  <c r="P136" i="28" s="1"/>
  <c r="N136" i="28"/>
  <c r="K127" i="28"/>
  <c r="W21" i="28"/>
  <c r="Q21" i="28"/>
  <c r="Q59" i="28"/>
  <c r="W59" i="28"/>
  <c r="W77" i="28"/>
  <c r="S77" i="28" s="1"/>
  <c r="T77" i="28" s="1"/>
  <c r="Q77" i="28"/>
  <c r="W95" i="28"/>
  <c r="S95" i="28" s="1"/>
  <c r="T95" i="28" s="1"/>
  <c r="M95" i="28" s="1"/>
  <c r="O95" i="28" s="1"/>
  <c r="W78" i="28"/>
  <c r="S78" i="28" s="1"/>
  <c r="T78" i="28" s="1"/>
  <c r="W98" i="28"/>
  <c r="S98" i="28" s="1"/>
  <c r="Q98" i="28"/>
  <c r="W76" i="28"/>
  <c r="S76" i="28" s="1"/>
  <c r="T76" i="28" s="1"/>
  <c r="M76" i="28" s="1"/>
  <c r="O76" i="28" s="1"/>
  <c r="Q57" i="28"/>
  <c r="W102" i="28"/>
  <c r="S102" i="28" s="1"/>
  <c r="S204" i="27"/>
  <c r="Q22" i="28"/>
  <c r="Q23" i="28"/>
  <c r="Q75" i="28"/>
  <c r="Q36" i="28"/>
  <c r="Q64" i="28"/>
  <c r="W57" i="28"/>
  <c r="Q102" i="28"/>
  <c r="Q95" i="28"/>
  <c r="Q109" i="28"/>
  <c r="Q110" i="28"/>
  <c r="W87" i="28"/>
  <c r="S87" i="28" s="1"/>
  <c r="T87" i="28" s="1"/>
  <c r="M87" i="28" s="1"/>
  <c r="W108" i="28"/>
  <c r="S108" i="28" s="1"/>
  <c r="T108" i="28" s="1"/>
  <c r="M108" i="28" s="1"/>
  <c r="W70" i="28"/>
  <c r="S70" i="28" s="1"/>
  <c r="W47" i="28"/>
  <c r="W101" i="28"/>
  <c r="S101" i="28" s="1"/>
  <c r="T101" i="28" s="1"/>
  <c r="Q101" i="28"/>
  <c r="W82" i="28"/>
  <c r="S82" i="28" s="1"/>
  <c r="W80" i="28"/>
  <c r="S80" i="28" s="1"/>
  <c r="T80" i="28" s="1"/>
  <c r="M80" i="28" s="1"/>
  <c r="O80" i="28" s="1"/>
  <c r="Q80" i="28"/>
  <c r="S133" i="28"/>
  <c r="T133" i="28" s="1"/>
  <c r="S135" i="28"/>
  <c r="T135" i="28" s="1"/>
  <c r="M135" i="28" s="1"/>
  <c r="O135" i="28" s="1"/>
  <c r="K135" i="28"/>
  <c r="K118" i="28"/>
  <c r="W17" i="28"/>
  <c r="T202" i="27"/>
  <c r="W33" i="28"/>
  <c r="Q55" i="28"/>
  <c r="W55" i="28"/>
  <c r="W73" i="28"/>
  <c r="Q73" i="28"/>
  <c r="W91" i="28"/>
  <c r="S91" i="28" s="1"/>
  <c r="T91" i="28" s="1"/>
  <c r="Q91" i="28"/>
  <c r="W68" i="28"/>
  <c r="S68" i="28" s="1"/>
  <c r="Q68" i="28"/>
  <c r="W96" i="28"/>
  <c r="S96" i="28" s="1"/>
  <c r="Q96" i="28"/>
  <c r="Q26" i="28"/>
  <c r="W26" i="28"/>
  <c r="W52" i="28"/>
  <c r="W74" i="28"/>
  <c r="S74" i="28" s="1"/>
  <c r="Q74" i="28"/>
  <c r="W19" i="28"/>
  <c r="Q19" i="28"/>
  <c r="W61" i="28"/>
  <c r="Q61" i="28"/>
  <c r="Q79" i="28"/>
  <c r="W79" i="28"/>
  <c r="S79" i="28" s="1"/>
  <c r="T79" i="28" s="1"/>
  <c r="W97" i="28"/>
  <c r="S97" i="28" s="1"/>
  <c r="T97" i="28" s="1"/>
  <c r="Q97" i="28"/>
  <c r="W113" i="28"/>
  <c r="S113" i="28" s="1"/>
  <c r="T113" i="28" s="1"/>
  <c r="M113" i="28" s="1"/>
  <c r="Q113" i="28"/>
  <c r="W72" i="28"/>
  <c r="S72" i="28" s="1"/>
  <c r="Q72" i="28"/>
  <c r="W112" i="28"/>
  <c r="S112" i="28" s="1"/>
  <c r="T112" i="28" s="1"/>
  <c r="M112" i="28" s="1"/>
  <c r="Q112" i="28"/>
  <c r="Q66" i="28"/>
  <c r="Q24" i="28"/>
  <c r="W66" i="28"/>
  <c r="Q25" i="28"/>
  <c r="W25" i="28"/>
  <c r="W45" i="28"/>
  <c r="W63" i="28"/>
  <c r="Q63" i="28"/>
  <c r="Q81" i="28"/>
  <c r="W81" i="28"/>
  <c r="S81" i="28" s="1"/>
  <c r="T81" i="28" s="1"/>
  <c r="M81" i="28" s="1"/>
  <c r="O81" i="28" s="1"/>
  <c r="W99" i="28"/>
  <c r="S99" i="28" s="1"/>
  <c r="T99" i="28" s="1"/>
  <c r="Q99" i="28"/>
  <c r="W88" i="28"/>
  <c r="S88" i="28" s="1"/>
  <c r="T88" i="28" s="1"/>
  <c r="M88" i="28" s="1"/>
  <c r="O88" i="28" s="1"/>
  <c r="Q88" i="28"/>
  <c r="W106" i="28"/>
  <c r="S106" i="28" s="1"/>
  <c r="T106" i="28" s="1"/>
  <c r="Q106" i="28"/>
  <c r="W60" i="28"/>
  <c r="W104" i="28"/>
  <c r="S104" i="28" s="1"/>
  <c r="T104" i="28" s="1"/>
  <c r="Q104" i="28"/>
  <c r="W35" i="28"/>
  <c r="Q51" i="28"/>
  <c r="W51" i="28"/>
  <c r="W71" i="28"/>
  <c r="Q71" i="28"/>
  <c r="W89" i="28"/>
  <c r="Q89" i="28"/>
  <c r="W105" i="28"/>
  <c r="S105" i="28" s="1"/>
  <c r="T105" i="28" s="1"/>
  <c r="M105" i="28" s="1"/>
  <c r="Q105" i="28"/>
  <c r="W62" i="28"/>
  <c r="W92" i="28"/>
  <c r="S92" i="28" s="1"/>
  <c r="Q92" i="28"/>
  <c r="W32" i="28"/>
  <c r="W100" i="28"/>
  <c r="S100" i="28" s="1"/>
  <c r="T100" i="28" s="1"/>
  <c r="Q100" i="28"/>
  <c r="Q67" i="28"/>
  <c r="Q108" i="28"/>
  <c r="Q78" i="28"/>
  <c r="K140" i="28"/>
  <c r="S127" i="28"/>
  <c r="T127" i="28" s="1"/>
  <c r="M127" i="28" s="1"/>
  <c r="T131" i="28"/>
  <c r="M131" i="28" s="1"/>
  <c r="O131" i="28" s="1"/>
  <c r="K131" i="28"/>
  <c r="T90" i="28"/>
  <c r="M90" i="28" s="1"/>
  <c r="O90" i="28" s="1"/>
  <c r="T119" i="28"/>
  <c r="M119" i="28" s="1"/>
  <c r="O119" i="28" s="1"/>
  <c r="O143" i="28"/>
  <c r="P143" i="28" s="1"/>
  <c r="L143" i="28"/>
  <c r="S137" i="28"/>
  <c r="T137" i="28" s="1"/>
  <c r="M137" i="28" s="1"/>
  <c r="S121" i="28"/>
  <c r="T121" i="28" s="1"/>
  <c r="M121" i="28" s="1"/>
  <c r="O121" i="28" s="1"/>
  <c r="O140" i="28"/>
  <c r="N140" i="28"/>
  <c r="L140" i="28"/>
  <c r="L153" i="28"/>
  <c r="O153" i="28"/>
  <c r="P153" i="28" s="1"/>
  <c r="N153" i="28"/>
  <c r="N138" i="28"/>
  <c r="L138" i="28"/>
  <c r="O138" i="28"/>
  <c r="L139" i="28"/>
  <c r="O139" i="28"/>
  <c r="N142" i="28"/>
  <c r="O142" i="28"/>
  <c r="S109" i="28"/>
  <c r="T109" i="28" s="1"/>
  <c r="M109" i="28" s="1"/>
  <c r="S110" i="28"/>
  <c r="T110" i="28" s="1"/>
  <c r="S125" i="28"/>
  <c r="T125" i="28" s="1"/>
  <c r="M125" i="28" s="1"/>
  <c r="L142" i="28"/>
  <c r="S94" i="28"/>
  <c r="T94" i="28" s="1"/>
  <c r="S85" i="28"/>
  <c r="T85" i="28" s="1"/>
  <c r="S107" i="28"/>
  <c r="T107" i="28" s="1"/>
  <c r="M107" i="28" s="1"/>
  <c r="S111" i="28"/>
  <c r="T111" i="28" s="1"/>
  <c r="M111" i="28" s="1"/>
  <c r="S115" i="28"/>
  <c r="T115" i="28" s="1"/>
  <c r="M115" i="28" s="1"/>
  <c r="S114" i="28"/>
  <c r="T114" i="28" s="1"/>
  <c r="M84" i="28"/>
  <c r="O84" i="28" s="1"/>
  <c r="K129" i="28"/>
  <c r="S129" i="28"/>
  <c r="T129" i="28" s="1"/>
  <c r="M129" i="28" s="1"/>
  <c r="S130" i="28"/>
  <c r="T130" i="28" s="1"/>
  <c r="M130" i="28" s="1"/>
  <c r="S117" i="28"/>
  <c r="T117" i="28" s="1"/>
  <c r="M117" i="28" s="1"/>
  <c r="L117" i="28" s="1"/>
  <c r="N139" i="28"/>
  <c r="T86" i="28"/>
  <c r="M86" i="28" s="1"/>
  <c r="S134" i="28"/>
  <c r="T134" i="28" s="1"/>
  <c r="K134" i="28"/>
  <c r="S124" i="28"/>
  <c r="T124" i="28" s="1"/>
  <c r="K124" i="28"/>
  <c r="S128" i="28"/>
  <c r="K128" i="28"/>
  <c r="S122" i="28"/>
  <c r="K122" i="28"/>
  <c r="K117" i="28"/>
  <c r="S116" i="28"/>
  <c r="T116" i="28" s="1"/>
  <c r="M116" i="28" s="1"/>
  <c r="O116" i="28" s="1"/>
  <c r="S123" i="28"/>
  <c r="K123" i="28"/>
  <c r="S132" i="28"/>
  <c r="K132" i="28"/>
  <c r="S120" i="28"/>
  <c r="T120" i="28" s="1"/>
  <c r="K130" i="28"/>
  <c r="S126" i="28"/>
  <c r="T126" i="28" s="1"/>
  <c r="M126" i="28" s="1"/>
  <c r="K126" i="28"/>
  <c r="S118" i="28"/>
  <c r="T118" i="28" s="1"/>
  <c r="S141" i="28"/>
  <c r="N194" i="28"/>
  <c r="N162" i="28"/>
  <c r="N168" i="28"/>
  <c r="N164" i="28"/>
  <c r="L158" i="28"/>
  <c r="L156" i="28"/>
  <c r="L168" i="28"/>
  <c r="N158" i="28"/>
  <c r="N166" i="28"/>
  <c r="N156" i="28"/>
  <c r="L194" i="28"/>
  <c r="L166" i="28"/>
  <c r="L162" i="28"/>
  <c r="L164" i="28"/>
  <c r="S103" i="28"/>
  <c r="R202" i="27"/>
  <c r="V17" i="28"/>
  <c r="Q17" i="28"/>
  <c r="P121" i="28" l="1"/>
  <c r="AI42" i="27"/>
  <c r="G43" i="28" s="1"/>
  <c r="L148" i="28"/>
  <c r="O148" i="28"/>
  <c r="P148" i="28" s="1"/>
  <c r="N147" i="28"/>
  <c r="O147" i="28"/>
  <c r="P147" i="28" s="1"/>
  <c r="M146" i="28"/>
  <c r="L146" i="28" s="1"/>
  <c r="P145" i="28"/>
  <c r="L145" i="28"/>
  <c r="N145" i="28"/>
  <c r="N144" i="28"/>
  <c r="O144" i="28"/>
  <c r="P144" i="28" s="1"/>
  <c r="P142" i="28"/>
  <c r="P140" i="28"/>
  <c r="N111" i="28"/>
  <c r="N109" i="28"/>
  <c r="N113" i="28"/>
  <c r="N105" i="28"/>
  <c r="N112" i="28"/>
  <c r="K139" i="28"/>
  <c r="P139" i="28" s="1"/>
  <c r="K119" i="28"/>
  <c r="P119" i="28" s="1"/>
  <c r="AH32" i="27"/>
  <c r="AI32" i="27" s="1"/>
  <c r="G33" i="28" s="1"/>
  <c r="AH60" i="27"/>
  <c r="AI60" i="27" s="1"/>
  <c r="G61" i="28" s="1"/>
  <c r="K61" i="28" s="1"/>
  <c r="AH18" i="27"/>
  <c r="AI18" i="27" s="1"/>
  <c r="G19" i="28" s="1"/>
  <c r="S19" i="28" s="1"/>
  <c r="T19" i="28" s="1"/>
  <c r="M19" i="28" s="1"/>
  <c r="O19" i="28" s="1"/>
  <c r="AH71" i="27"/>
  <c r="AI71" i="27" s="1"/>
  <c r="G72" i="28" s="1"/>
  <c r="AH55" i="27"/>
  <c r="AI55" i="27" s="1"/>
  <c r="G56" i="28" s="1"/>
  <c r="AH98" i="27"/>
  <c r="AI98" i="27" s="1"/>
  <c r="G99" i="28" s="1"/>
  <c r="AH113" i="27"/>
  <c r="AI113" i="27" s="1"/>
  <c r="G114" i="28" s="1"/>
  <c r="AH80" i="27"/>
  <c r="AI80" i="27" s="1"/>
  <c r="G81" i="28" s="1"/>
  <c r="AH50" i="27"/>
  <c r="AI50" i="27" s="1"/>
  <c r="G51" i="28" s="1"/>
  <c r="AH22" i="27"/>
  <c r="AI22" i="27" s="1"/>
  <c r="G23" i="28" s="1"/>
  <c r="AH27" i="27"/>
  <c r="AI27" i="27" s="1"/>
  <c r="G28" i="28" s="1"/>
  <c r="AH99" i="27"/>
  <c r="AI99" i="27" s="1"/>
  <c r="G100" i="28" s="1"/>
  <c r="AH44" i="27"/>
  <c r="AI44" i="27" s="1"/>
  <c r="G45" i="28" s="1"/>
  <c r="AH47" i="27"/>
  <c r="AI47" i="27" s="1"/>
  <c r="G48" i="28" s="1"/>
  <c r="AH108" i="27"/>
  <c r="AI108" i="27" s="1"/>
  <c r="G109" i="28" s="1"/>
  <c r="AH64" i="27"/>
  <c r="AI64" i="27" s="1"/>
  <c r="G65" i="28" s="1"/>
  <c r="K65" i="28" s="1"/>
  <c r="AH95" i="27"/>
  <c r="AI95" i="27" s="1"/>
  <c r="G96" i="28" s="1"/>
  <c r="AH59" i="27"/>
  <c r="AI59" i="27" s="1"/>
  <c r="G60" i="28" s="1"/>
  <c r="AH109" i="27"/>
  <c r="AI109" i="27" s="1"/>
  <c r="G110" i="28" s="1"/>
  <c r="AH101" i="27"/>
  <c r="AI101" i="27" s="1"/>
  <c r="G102" i="28" s="1"/>
  <c r="AH92" i="27"/>
  <c r="AI92" i="27" s="1"/>
  <c r="G93" i="28" s="1"/>
  <c r="AH73" i="27"/>
  <c r="AI73" i="27" s="1"/>
  <c r="G74" i="28" s="1"/>
  <c r="AH96" i="27"/>
  <c r="AI96" i="27" s="1"/>
  <c r="G97" i="28" s="1"/>
  <c r="AH66" i="27"/>
  <c r="AI66" i="27" s="1"/>
  <c r="G67" i="28" s="1"/>
  <c r="K67" i="28" s="1"/>
  <c r="AH58" i="27"/>
  <c r="AI58" i="27" s="1"/>
  <c r="G59" i="28" s="1"/>
  <c r="K59" i="28" s="1"/>
  <c r="AH65" i="27"/>
  <c r="AI65" i="27" s="1"/>
  <c r="G66" i="28" s="1"/>
  <c r="AH57" i="27"/>
  <c r="AI57" i="27" s="1"/>
  <c r="G58" i="28" s="1"/>
  <c r="AH102" i="27"/>
  <c r="AI102" i="27" s="1"/>
  <c r="G103" i="28" s="1"/>
  <c r="AH111" i="27"/>
  <c r="AI111" i="27" s="1"/>
  <c r="G112" i="28" s="1"/>
  <c r="AH17" i="27"/>
  <c r="AI17" i="27" s="1"/>
  <c r="G18" i="28" s="1"/>
  <c r="AH46" i="27"/>
  <c r="AI46" i="27" s="1"/>
  <c r="G47" i="28" s="1"/>
  <c r="K120" i="28"/>
  <c r="K116" i="28"/>
  <c r="P116" i="28" s="1"/>
  <c r="AH74" i="27"/>
  <c r="AI74" i="27" s="1"/>
  <c r="G75" i="28" s="1"/>
  <c r="AH89" i="27"/>
  <c r="AI89" i="27" s="1"/>
  <c r="G90" i="28" s="1"/>
  <c r="AH105" i="27"/>
  <c r="AI105" i="27" s="1"/>
  <c r="G106" i="28" s="1"/>
  <c r="AH19" i="27"/>
  <c r="AI19" i="27" s="1"/>
  <c r="G20" i="28" s="1"/>
  <c r="AH56" i="27"/>
  <c r="AI56" i="27" s="1"/>
  <c r="G57" i="28" s="1"/>
  <c r="AH83" i="27"/>
  <c r="AI83" i="27" s="1"/>
  <c r="G84" i="28" s="1"/>
  <c r="AH79" i="27"/>
  <c r="AI79" i="27" s="1"/>
  <c r="G80" i="28" s="1"/>
  <c r="K107" i="28"/>
  <c r="N115" i="28"/>
  <c r="N107" i="28"/>
  <c r="K104" i="28"/>
  <c r="K115" i="28"/>
  <c r="K111" i="28"/>
  <c r="P138" i="28"/>
  <c r="K98" i="28"/>
  <c r="N76" i="28"/>
  <c r="K85" i="28"/>
  <c r="K94" i="28"/>
  <c r="K88" i="28"/>
  <c r="P88" i="28" s="1"/>
  <c r="T82" i="28"/>
  <c r="M82" i="28" s="1"/>
  <c r="O82" i="28" s="1"/>
  <c r="N135" i="28"/>
  <c r="L76" i="28"/>
  <c r="K113" i="28"/>
  <c r="K105" i="28"/>
  <c r="M78" i="28"/>
  <c r="O78" i="28" s="1"/>
  <c r="K76" i="28"/>
  <c r="P76" i="28" s="1"/>
  <c r="K77" i="28"/>
  <c r="K89" i="28"/>
  <c r="P135" i="28"/>
  <c r="W200" i="28"/>
  <c r="L135" i="28"/>
  <c r="Q200" i="28"/>
  <c r="K101" i="28"/>
  <c r="K95" i="28"/>
  <c r="P95" i="28" s="1"/>
  <c r="M133" i="28"/>
  <c r="O133" i="28" s="1"/>
  <c r="P133" i="28" s="1"/>
  <c r="L80" i="28"/>
  <c r="N80" i="28"/>
  <c r="K91" i="28"/>
  <c r="K108" i="28"/>
  <c r="K87" i="28"/>
  <c r="K78" i="28"/>
  <c r="T92" i="28"/>
  <c r="M92" i="28" s="1"/>
  <c r="O92" i="28" s="1"/>
  <c r="S89" i="28"/>
  <c r="T89" i="28" s="1"/>
  <c r="M89" i="28" s="1"/>
  <c r="O89" i="28" s="1"/>
  <c r="K92" i="28"/>
  <c r="K82" i="28"/>
  <c r="K79" i="28"/>
  <c r="T96" i="28"/>
  <c r="M96" i="28" s="1"/>
  <c r="O96" i="28" s="1"/>
  <c r="P131" i="28"/>
  <c r="K52" i="28"/>
  <c r="L90" i="28"/>
  <c r="N90" i="28"/>
  <c r="K64" i="28"/>
  <c r="L119" i="28"/>
  <c r="N119" i="28"/>
  <c r="L121" i="28"/>
  <c r="N121" i="28"/>
  <c r="K62" i="28"/>
  <c r="N131" i="28"/>
  <c r="N84" i="28"/>
  <c r="L129" i="28"/>
  <c r="O129" i="28"/>
  <c r="P129" i="28" s="1"/>
  <c r="M114" i="28"/>
  <c r="L114" i="28" s="1"/>
  <c r="M85" i="28"/>
  <c r="L85" i="28" s="1"/>
  <c r="M77" i="28"/>
  <c r="O77" i="28" s="1"/>
  <c r="L131" i="28"/>
  <c r="L88" i="28"/>
  <c r="N88" i="28"/>
  <c r="K54" i="28"/>
  <c r="L113" i="28"/>
  <c r="O113" i="28"/>
  <c r="L87" i="28"/>
  <c r="L84" i="28"/>
  <c r="M134" i="28"/>
  <c r="O134" i="28" s="1"/>
  <c r="P134" i="28" s="1"/>
  <c r="M100" i="28"/>
  <c r="O100" i="28" s="1"/>
  <c r="M97" i="28"/>
  <c r="O97" i="28" s="1"/>
  <c r="M106" i="28"/>
  <c r="M83" i="28"/>
  <c r="O83" i="28" s="1"/>
  <c r="M94" i="28"/>
  <c r="O94" i="28" s="1"/>
  <c r="M104" i="28"/>
  <c r="M79" i="28"/>
  <c r="O79" i="28" s="1"/>
  <c r="M91" i="28"/>
  <c r="O91" i="28" s="1"/>
  <c r="O86" i="28"/>
  <c r="M99" i="28"/>
  <c r="O99" i="28" s="1"/>
  <c r="M110" i="28"/>
  <c r="N108" i="28"/>
  <c r="O108" i="28"/>
  <c r="T68" i="28"/>
  <c r="M68" i="28" s="1"/>
  <c r="O68" i="28" s="1"/>
  <c r="O112" i="28"/>
  <c r="K68" i="28"/>
  <c r="T123" i="28"/>
  <c r="M123" i="28" s="1"/>
  <c r="O123" i="28" s="1"/>
  <c r="P123" i="28" s="1"/>
  <c r="T98" i="28"/>
  <c r="M98" i="28" s="1"/>
  <c r="T128" i="28"/>
  <c r="M128" i="28" s="1"/>
  <c r="T102" i="28"/>
  <c r="T70" i="28"/>
  <c r="M70" i="28" s="1"/>
  <c r="M101" i="28"/>
  <c r="L101" i="28" s="1"/>
  <c r="K70" i="28"/>
  <c r="M93" i="28"/>
  <c r="O93" i="28" s="1"/>
  <c r="N129" i="28"/>
  <c r="T132" i="28"/>
  <c r="M132" i="28" s="1"/>
  <c r="T103" i="28"/>
  <c r="M103" i="28" s="1"/>
  <c r="O103" i="28" s="1"/>
  <c r="T141" i="28"/>
  <c r="T122" i="28"/>
  <c r="M122" i="28" s="1"/>
  <c r="T72" i="28"/>
  <c r="M72" i="28" s="1"/>
  <c r="O127" i="28"/>
  <c r="P127" i="28" s="1"/>
  <c r="L127" i="28"/>
  <c r="N126" i="28"/>
  <c r="O126" i="28"/>
  <c r="P126" i="28" s="1"/>
  <c r="L126" i="28"/>
  <c r="L130" i="28"/>
  <c r="O130" i="28"/>
  <c r="P130" i="28" s="1"/>
  <c r="M118" i="28"/>
  <c r="N118" i="28" s="1"/>
  <c r="N127" i="28"/>
  <c r="N130" i="28"/>
  <c r="O125" i="28"/>
  <c r="M120" i="28"/>
  <c r="L120" i="28" s="1"/>
  <c r="N137" i="28"/>
  <c r="O137" i="28"/>
  <c r="P137" i="28" s="1"/>
  <c r="L116" i="28"/>
  <c r="N116" i="28"/>
  <c r="N117" i="28"/>
  <c r="O117" i="28"/>
  <c r="P117" i="28" s="1"/>
  <c r="L137" i="28"/>
  <c r="M124" i="28"/>
  <c r="L115" i="28"/>
  <c r="L111" i="28"/>
  <c r="O105" i="28"/>
  <c r="L105" i="28"/>
  <c r="O87" i="28"/>
  <c r="N87" i="28"/>
  <c r="N81" i="28"/>
  <c r="K42" i="28"/>
  <c r="K40" i="28"/>
  <c r="K35" i="28"/>
  <c r="K34" i="28"/>
  <c r="K32" i="28"/>
  <c r="K30" i="28"/>
  <c r="K27" i="28"/>
  <c r="L107" i="28"/>
  <c r="L81" i="28"/>
  <c r="O107" i="28"/>
  <c r="L112" i="28"/>
  <c r="L95" i="28"/>
  <c r="K41" i="28"/>
  <c r="K29" i="28"/>
  <c r="O111" i="28"/>
  <c r="L108" i="28"/>
  <c r="O115" i="28"/>
  <c r="N95" i="28"/>
  <c r="K38" i="28"/>
  <c r="L109" i="28"/>
  <c r="O109" i="28"/>
  <c r="K39" i="28"/>
  <c r="S24" i="28"/>
  <c r="T24" i="28" s="1"/>
  <c r="M24" i="28" s="1"/>
  <c r="O24" i="28" s="1"/>
  <c r="K55" i="28"/>
  <c r="AI16" i="27"/>
  <c r="G17" i="28" s="1"/>
  <c r="K49" i="28"/>
  <c r="K73" i="28"/>
  <c r="K63" i="28"/>
  <c r="S66" i="28"/>
  <c r="T66" i="28" s="1"/>
  <c r="S58" i="28"/>
  <c r="T58" i="28" s="1"/>
  <c r="S50" i="28"/>
  <c r="T50" i="28" s="1"/>
  <c r="S42" i="28"/>
  <c r="S31" i="28"/>
  <c r="S37" i="28"/>
  <c r="S44" i="28"/>
  <c r="S36" i="28"/>
  <c r="T36" i="28" s="1"/>
  <c r="S28" i="28"/>
  <c r="S75" i="28"/>
  <c r="S35" i="28"/>
  <c r="S27" i="28"/>
  <c r="S43" i="28"/>
  <c r="K50" i="28"/>
  <c r="T74" i="28"/>
  <c r="S41" i="28"/>
  <c r="S62" i="28"/>
  <c r="S54" i="28"/>
  <c r="S64" i="28"/>
  <c r="S60" i="28"/>
  <c r="S56" i="28"/>
  <c r="S52" i="28"/>
  <c r="S38" i="28"/>
  <c r="S57" i="28"/>
  <c r="T57" i="28" s="1"/>
  <c r="S34" i="28"/>
  <c r="S30" i="28"/>
  <c r="S33" i="28"/>
  <c r="T33" i="28" s="1"/>
  <c r="S32" i="28"/>
  <c r="T32" i="28" s="1"/>
  <c r="S46" i="28"/>
  <c r="T46" i="28" s="1"/>
  <c r="S47" i="28"/>
  <c r="S39" i="28"/>
  <c r="S55" i="28"/>
  <c r="S45" i="28"/>
  <c r="S51" i="28"/>
  <c r="S40" i="28"/>
  <c r="S29" i="28"/>
  <c r="T29" i="28" s="1"/>
  <c r="K31" i="28"/>
  <c r="K37" i="28"/>
  <c r="K44" i="28"/>
  <c r="K36" i="28"/>
  <c r="K26" i="28"/>
  <c r="K22" i="28"/>
  <c r="K21" i="28"/>
  <c r="K25" i="28"/>
  <c r="S23" i="28"/>
  <c r="T23" i="28" s="1"/>
  <c r="S26" i="28"/>
  <c r="T26" i="28" s="1"/>
  <c r="S22" i="28"/>
  <c r="T22" i="28" s="1"/>
  <c r="AI15" i="27"/>
  <c r="V200" i="28"/>
  <c r="S20" i="28"/>
  <c r="T20" i="28" s="1"/>
  <c r="S21" i="28"/>
  <c r="S18" i="28"/>
  <c r="T18" i="28" s="1"/>
  <c r="S25" i="28"/>
  <c r="K43" i="28" l="1"/>
  <c r="N146" i="28"/>
  <c r="O146" i="28"/>
  <c r="P146" i="28" s="1"/>
  <c r="K84" i="28"/>
  <c r="P84" i="28" s="1"/>
  <c r="K20" i="28"/>
  <c r="K90" i="28"/>
  <c r="P90" i="28" s="1"/>
  <c r="K110" i="28"/>
  <c r="K96" i="28"/>
  <c r="P96" i="28" s="1"/>
  <c r="K51" i="28"/>
  <c r="K33" i="28"/>
  <c r="K112" i="28"/>
  <c r="P112" i="28" s="1"/>
  <c r="K80" i="28"/>
  <c r="P80" i="28" s="1"/>
  <c r="K106" i="28"/>
  <c r="K75" i="28"/>
  <c r="K66" i="28"/>
  <c r="K74" i="28"/>
  <c r="K60" i="28"/>
  <c r="K100" i="28"/>
  <c r="P100" i="28" s="1"/>
  <c r="K81" i="28"/>
  <c r="P81" i="28" s="1"/>
  <c r="K99" i="28"/>
  <c r="P99" i="28" s="1"/>
  <c r="K72" i="28"/>
  <c r="K23" i="28"/>
  <c r="K18" i="28"/>
  <c r="K28" i="28"/>
  <c r="K58" i="28"/>
  <c r="K47" i="28"/>
  <c r="K45" i="28"/>
  <c r="K57" i="28"/>
  <c r="K56" i="28"/>
  <c r="K97" i="28"/>
  <c r="P97" i="28" s="1"/>
  <c r="K102" i="28"/>
  <c r="K109" i="28"/>
  <c r="P109" i="28" s="1"/>
  <c r="K93" i="28"/>
  <c r="P93" i="28" s="1"/>
  <c r="K114" i="28"/>
  <c r="K103" i="28"/>
  <c r="P103" i="28" s="1"/>
  <c r="P115" i="28"/>
  <c r="N89" i="28"/>
  <c r="P82" i="28"/>
  <c r="N82" i="28"/>
  <c r="L82" i="28"/>
  <c r="P87" i="28"/>
  <c r="P107" i="28"/>
  <c r="P111" i="28"/>
  <c r="P94" i="28"/>
  <c r="P89" i="28"/>
  <c r="P108" i="28"/>
  <c r="P113" i="28"/>
  <c r="P77" i="28"/>
  <c r="P105" i="28"/>
  <c r="N92" i="28"/>
  <c r="N96" i="28"/>
  <c r="P78" i="28"/>
  <c r="N78" i="28"/>
  <c r="L78" i="28"/>
  <c r="P91" i="28"/>
  <c r="L92" i="28"/>
  <c r="L133" i="28"/>
  <c r="L89" i="28"/>
  <c r="P92" i="28"/>
  <c r="N133" i="28"/>
  <c r="P79" i="28"/>
  <c r="L96" i="28"/>
  <c r="O101" i="28"/>
  <c r="P101" i="28" s="1"/>
  <c r="N101" i="28"/>
  <c r="N91" i="28"/>
  <c r="N77" i="28"/>
  <c r="L97" i="28"/>
  <c r="L77" i="28"/>
  <c r="N24" i="28"/>
  <c r="O122" i="28"/>
  <c r="P122" i="28" s="1"/>
  <c r="N122" i="28"/>
  <c r="P68" i="28"/>
  <c r="L24" i="28"/>
  <c r="N68" i="28"/>
  <c r="L134" i="28"/>
  <c r="N123" i="28"/>
  <c r="L122" i="28"/>
  <c r="N93" i="28"/>
  <c r="L91" i="28"/>
  <c r="N79" i="28"/>
  <c r="N97" i="28"/>
  <c r="N134" i="28"/>
  <c r="N85" i="28"/>
  <c r="O85" i="28"/>
  <c r="P85" i="28" s="1"/>
  <c r="N114" i="28"/>
  <c r="O114" i="28"/>
  <c r="O72" i="28"/>
  <c r="L72" i="28"/>
  <c r="O132" i="28"/>
  <c r="P132" i="28" s="1"/>
  <c r="N132" i="28"/>
  <c r="O70" i="28"/>
  <c r="P70" i="28" s="1"/>
  <c r="L70" i="28"/>
  <c r="O128" i="28"/>
  <c r="P128" i="28" s="1"/>
  <c r="L128" i="28"/>
  <c r="N128" i="28"/>
  <c r="O98" i="28"/>
  <c r="P98" i="28" s="1"/>
  <c r="N98" i="28"/>
  <c r="T39" i="28"/>
  <c r="M39" i="28" s="1"/>
  <c r="T34" i="28"/>
  <c r="M34" i="28" s="1"/>
  <c r="T56" i="28"/>
  <c r="M56" i="28" s="1"/>
  <c r="O56" i="28" s="1"/>
  <c r="T64" i="28"/>
  <c r="M64" i="28" s="1"/>
  <c r="T44" i="28"/>
  <c r="M44" i="28" s="1"/>
  <c r="O44" i="28" s="1"/>
  <c r="P44" i="28" s="1"/>
  <c r="M141" i="28"/>
  <c r="O141" i="28" s="1"/>
  <c r="P141" i="28" s="1"/>
  <c r="T40" i="28"/>
  <c r="M40" i="28" s="1"/>
  <c r="T35" i="28"/>
  <c r="M35" i="28" s="1"/>
  <c r="O35" i="28" s="1"/>
  <c r="P35" i="28" s="1"/>
  <c r="T43" i="28"/>
  <c r="M43" i="28" s="1"/>
  <c r="T28" i="28"/>
  <c r="M28" i="28" s="1"/>
  <c r="T45" i="28"/>
  <c r="L110" i="28"/>
  <c r="O110" i="28"/>
  <c r="N104" i="28"/>
  <c r="O104" i="28"/>
  <c r="P104" i="28" s="1"/>
  <c r="N106" i="28"/>
  <c r="O106" i="28"/>
  <c r="L100" i="28"/>
  <c r="M29" i="28"/>
  <c r="O29" i="28" s="1"/>
  <c r="P29" i="28" s="1"/>
  <c r="T51" i="28"/>
  <c r="M51" i="28" s="1"/>
  <c r="T55" i="28"/>
  <c r="M55" i="28" s="1"/>
  <c r="T47" i="28"/>
  <c r="M47" i="28" s="1"/>
  <c r="T30" i="28"/>
  <c r="M30" i="28" s="1"/>
  <c r="T52" i="28"/>
  <c r="M52" i="28" s="1"/>
  <c r="O52" i="28" s="1"/>
  <c r="P52" i="28" s="1"/>
  <c r="T60" i="28"/>
  <c r="M60" i="28" s="1"/>
  <c r="O60" i="28" s="1"/>
  <c r="T75" i="28"/>
  <c r="M75" i="28" s="1"/>
  <c r="O75" i="28" s="1"/>
  <c r="T42" i="28"/>
  <c r="M42" i="28" s="1"/>
  <c r="O42" i="28" s="1"/>
  <c r="P42" i="28" s="1"/>
  <c r="N70" i="28"/>
  <c r="L68" i="28"/>
  <c r="N72" i="28"/>
  <c r="L98" i="28"/>
  <c r="L132" i="28"/>
  <c r="T54" i="28"/>
  <c r="N103" i="28"/>
  <c r="L103" i="28"/>
  <c r="L93" i="28"/>
  <c r="T27" i="28"/>
  <c r="M27" i="28" s="1"/>
  <c r="T38" i="28"/>
  <c r="M38" i="28" s="1"/>
  <c r="T31" i="28"/>
  <c r="T37" i="28"/>
  <c r="M37" i="28" s="1"/>
  <c r="T21" i="28"/>
  <c r="M21" i="28" s="1"/>
  <c r="T62" i="28"/>
  <c r="M62" i="28" s="1"/>
  <c r="L123" i="28"/>
  <c r="T41" i="28"/>
  <c r="M41" i="28" s="1"/>
  <c r="M102" i="28"/>
  <c r="N110" i="28"/>
  <c r="L99" i="28"/>
  <c r="N99" i="28"/>
  <c r="L79" i="28"/>
  <c r="L104" i="28"/>
  <c r="L94" i="28"/>
  <c r="N94" i="28"/>
  <c r="L106" i="28"/>
  <c r="N100" i="28"/>
  <c r="N124" i="28"/>
  <c r="O124" i="28"/>
  <c r="P124" i="28" s="1"/>
  <c r="N120" i="28"/>
  <c r="O120" i="28"/>
  <c r="P120" i="28" s="1"/>
  <c r="L118" i="28"/>
  <c r="O118" i="28"/>
  <c r="P118" i="28" s="1"/>
  <c r="L124" i="28"/>
  <c r="K19" i="28"/>
  <c r="P19" i="28" s="1"/>
  <c r="K24" i="28"/>
  <c r="P24" i="28" s="1"/>
  <c r="M66" i="28"/>
  <c r="O66" i="28" s="1"/>
  <c r="P66" i="28" s="1"/>
  <c r="S48" i="28"/>
  <c r="S71" i="28"/>
  <c r="S73" i="28"/>
  <c r="T73" i="28" s="1"/>
  <c r="M58" i="28"/>
  <c r="M46" i="28"/>
  <c r="O46" i="28" s="1"/>
  <c r="M32" i="28"/>
  <c r="O32" i="28" s="1"/>
  <c r="P32" i="28" s="1"/>
  <c r="M33" i="28"/>
  <c r="O33" i="28" s="1"/>
  <c r="M57" i="28"/>
  <c r="M74" i="28"/>
  <c r="O74" i="28" s="1"/>
  <c r="P74" i="28" s="1"/>
  <c r="M36" i="28"/>
  <c r="O36" i="28" s="1"/>
  <c r="P36" i="28" s="1"/>
  <c r="M50" i="28"/>
  <c r="O50" i="28" s="1"/>
  <c r="P50" i="28" s="1"/>
  <c r="K48" i="28"/>
  <c r="K71" i="28"/>
  <c r="S63" i="28"/>
  <c r="S53" i="28"/>
  <c r="S61" i="28"/>
  <c r="S67" i="28"/>
  <c r="S65" i="28"/>
  <c r="S69" i="28"/>
  <c r="S49" i="28"/>
  <c r="S59" i="28"/>
  <c r="N19" i="28"/>
  <c r="T25" i="28"/>
  <c r="L19" i="28"/>
  <c r="M18" i="28"/>
  <c r="O18" i="28" s="1"/>
  <c r="M22" i="28"/>
  <c r="O22" i="28" s="1"/>
  <c r="P22" i="28" s="1"/>
  <c r="M26" i="28"/>
  <c r="O26" i="28" s="1"/>
  <c r="P26" i="28" s="1"/>
  <c r="S17" i="28"/>
  <c r="T17" i="28" s="1"/>
  <c r="M20" i="28"/>
  <c r="O20" i="28" s="1"/>
  <c r="G16" i="28"/>
  <c r="K17" i="28"/>
  <c r="M23" i="28"/>
  <c r="O23" i="28" s="1"/>
  <c r="P75" i="28" l="1"/>
  <c r="P110" i="28"/>
  <c r="P20" i="28"/>
  <c r="P18" i="28"/>
  <c r="P33" i="28"/>
  <c r="P60" i="28"/>
  <c r="P106" i="28"/>
  <c r="P56" i="28"/>
  <c r="P72" i="28"/>
  <c r="P114" i="28"/>
  <c r="P23" i="28"/>
  <c r="L141" i="28"/>
  <c r="L66" i="28"/>
  <c r="L29" i="28"/>
  <c r="N29" i="28"/>
  <c r="L42" i="28"/>
  <c r="O62" i="28"/>
  <c r="P62" i="28" s="1"/>
  <c r="N62" i="28"/>
  <c r="L47" i="28"/>
  <c r="O47" i="28"/>
  <c r="P47" i="28" s="1"/>
  <c r="L51" i="28"/>
  <c r="O51" i="28"/>
  <c r="P51" i="28" s="1"/>
  <c r="O30" i="28"/>
  <c r="P30" i="28" s="1"/>
  <c r="L30" i="28"/>
  <c r="N55" i="28"/>
  <c r="O55" i="28"/>
  <c r="P55" i="28" s="1"/>
  <c r="O64" i="28"/>
  <c r="P64" i="28" s="1"/>
  <c r="N64" i="28"/>
  <c r="M45" i="28"/>
  <c r="O45" i="28" s="1"/>
  <c r="P45" i="28" s="1"/>
  <c r="L44" i="28"/>
  <c r="L56" i="28"/>
  <c r="L64" i="28"/>
  <c r="O21" i="28"/>
  <c r="P21" i="28" s="1"/>
  <c r="N21" i="28"/>
  <c r="O27" i="28"/>
  <c r="P27" i="28" s="1"/>
  <c r="L27" i="28"/>
  <c r="N27" i="28"/>
  <c r="O43" i="28"/>
  <c r="P43" i="28" s="1"/>
  <c r="L43" i="28"/>
  <c r="O40" i="28"/>
  <c r="P40" i="28" s="1"/>
  <c r="N40" i="28"/>
  <c r="L40" i="28"/>
  <c r="O34" i="28"/>
  <c r="P34" i="28" s="1"/>
  <c r="L34" i="28"/>
  <c r="N34" i="28"/>
  <c r="O41" i="28"/>
  <c r="P41" i="28" s="1"/>
  <c r="N41" i="28"/>
  <c r="L41" i="28"/>
  <c r="O37" i="28"/>
  <c r="P37" i="28" s="1"/>
  <c r="L37" i="28"/>
  <c r="N37" i="28"/>
  <c r="O38" i="28"/>
  <c r="P38" i="28" s="1"/>
  <c r="N38" i="28"/>
  <c r="L38" i="28"/>
  <c r="O28" i="28"/>
  <c r="P28" i="28" s="1"/>
  <c r="L28" i="28"/>
  <c r="O39" i="28"/>
  <c r="P39" i="28" s="1"/>
  <c r="L39" i="28"/>
  <c r="T59" i="28"/>
  <c r="M59" i="28" s="1"/>
  <c r="T69" i="28"/>
  <c r="M69" i="28" s="1"/>
  <c r="T67" i="28"/>
  <c r="M67" i="28" s="1"/>
  <c r="O67" i="28" s="1"/>
  <c r="P67" i="28" s="1"/>
  <c r="T53" i="28"/>
  <c r="M53" i="28" s="1"/>
  <c r="T71" i="28"/>
  <c r="M71" i="28" s="1"/>
  <c r="O71" i="28" s="1"/>
  <c r="P71" i="28" s="1"/>
  <c r="N102" i="28"/>
  <c r="O102" i="28"/>
  <c r="P102" i="28" s="1"/>
  <c r="M54" i="28"/>
  <c r="M31" i="28"/>
  <c r="L21" i="28"/>
  <c r="L75" i="28"/>
  <c r="T49" i="28"/>
  <c r="M49" i="28" s="1"/>
  <c r="T65" i="28"/>
  <c r="M65" i="28" s="1"/>
  <c r="T61" i="28"/>
  <c r="M61" i="28" s="1"/>
  <c r="T63" i="28"/>
  <c r="M63" i="28" s="1"/>
  <c r="O63" i="28" s="1"/>
  <c r="P63" i="28" s="1"/>
  <c r="N44" i="28"/>
  <c r="N28" i="28"/>
  <c r="L55" i="28"/>
  <c r="N51" i="28"/>
  <c r="N75" i="28"/>
  <c r="L62" i="28"/>
  <c r="L60" i="28"/>
  <c r="L52" i="28"/>
  <c r="N30" i="28"/>
  <c r="N47" i="28"/>
  <c r="N52" i="28"/>
  <c r="N42" i="28"/>
  <c r="T48" i="28"/>
  <c r="M48" i="28" s="1"/>
  <c r="O48" i="28" s="1"/>
  <c r="P48" i="28" s="1"/>
  <c r="N39" i="28"/>
  <c r="N56" i="28"/>
  <c r="L35" i="28"/>
  <c r="N60" i="28"/>
  <c r="N43" i="28"/>
  <c r="N35" i="28"/>
  <c r="L102" i="28"/>
  <c r="N141" i="28"/>
  <c r="M73" i="28"/>
  <c r="O73" i="28" s="1"/>
  <c r="P73" i="28" s="1"/>
  <c r="L33" i="28"/>
  <c r="N32" i="28"/>
  <c r="N66" i="28"/>
  <c r="N57" i="28"/>
  <c r="O57" i="28"/>
  <c r="P57" i="28" s="1"/>
  <c r="N58" i="28"/>
  <c r="O58" i="28"/>
  <c r="P58" i="28" s="1"/>
  <c r="L36" i="28"/>
  <c r="L74" i="28"/>
  <c r="L58" i="28"/>
  <c r="L32" i="28"/>
  <c r="N33" i="28"/>
  <c r="L50" i="28"/>
  <c r="N36" i="28"/>
  <c r="N74" i="28"/>
  <c r="L57" i="28"/>
  <c r="N50" i="28"/>
  <c r="M25" i="28"/>
  <c r="N25" i="28" s="1"/>
  <c r="N22" i="28"/>
  <c r="N23" i="28"/>
  <c r="N18" i="28"/>
  <c r="N20" i="28"/>
  <c r="N26" i="28"/>
  <c r="L18" i="28"/>
  <c r="L26" i="28"/>
  <c r="L22" i="28"/>
  <c r="J16" i="28"/>
  <c r="L20" i="28"/>
  <c r="L23" i="28"/>
  <c r="M17" i="28"/>
  <c r="O17" i="28" s="1"/>
  <c r="P17" i="28" s="1"/>
  <c r="O25" i="28" l="1"/>
  <c r="P25" i="28" s="1"/>
  <c r="L48" i="28"/>
  <c r="L45" i="28"/>
  <c r="N45" i="28"/>
  <c r="O61" i="28"/>
  <c r="P61" i="28" s="1"/>
  <c r="L61" i="28"/>
  <c r="O49" i="28"/>
  <c r="P49" i="28" s="1"/>
  <c r="N49" i="28"/>
  <c r="O53" i="28"/>
  <c r="O69" i="28"/>
  <c r="O65" i="28"/>
  <c r="P65" i="28" s="1"/>
  <c r="L65" i="28"/>
  <c r="N65" i="28"/>
  <c r="O59" i="28"/>
  <c r="P59" i="28" s="1"/>
  <c r="N59" i="28"/>
  <c r="L59" i="28"/>
  <c r="O31" i="28"/>
  <c r="P31" i="28" s="1"/>
  <c r="N31" i="28"/>
  <c r="N48" i="28"/>
  <c r="N63" i="28"/>
  <c r="L63" i="28"/>
  <c r="N61" i="28"/>
  <c r="N71" i="28"/>
  <c r="L71" i="28"/>
  <c r="N67" i="28"/>
  <c r="L67" i="28"/>
  <c r="N73" i="28"/>
  <c r="L49" i="28"/>
  <c r="O54" i="28"/>
  <c r="P54" i="28" s="1"/>
  <c r="L54" i="28"/>
  <c r="N54" i="28"/>
  <c r="L31" i="28"/>
  <c r="L73" i="28"/>
  <c r="L25" i="28"/>
  <c r="N17" i="28"/>
  <c r="L17" i="28"/>
  <c r="J200" i="28" l="1"/>
  <c r="S16" i="28"/>
  <c r="K16" i="28"/>
  <c r="S200" i="28" l="1"/>
  <c r="T16" i="28"/>
  <c r="T200" i="28" s="1"/>
  <c r="M16" i="28" l="1"/>
  <c r="N16" i="28" s="1"/>
  <c r="O16" i="28" l="1"/>
  <c r="O200" i="28" s="1"/>
  <c r="L16" i="28"/>
  <c r="M200" i="28"/>
  <c r="G204" i="27"/>
  <c r="G202" i="27"/>
  <c r="H45" i="27"/>
  <c r="K202" i="27"/>
  <c r="K204" i="27"/>
  <c r="L82" i="27"/>
  <c r="Y83" i="28" s="1"/>
  <c r="L52" i="27"/>
  <c r="Y53" i="28" s="1"/>
  <c r="L45" i="27"/>
  <c r="L68" i="27"/>
  <c r="Y69" i="28" s="1"/>
  <c r="L85" i="27"/>
  <c r="Y86" i="28" s="1"/>
  <c r="L124" i="27"/>
  <c r="Y125" i="28" s="1"/>
  <c r="Y46" i="28" l="1"/>
  <c r="N125" i="28"/>
  <c r="AG124" i="27"/>
  <c r="L69" i="28"/>
  <c r="AG68" i="27"/>
  <c r="L53" i="28"/>
  <c r="AG52" i="27"/>
  <c r="H202" i="27"/>
  <c r="AG45" i="27"/>
  <c r="AH45" i="27" s="1"/>
  <c r="L86" i="28"/>
  <c r="AG85" i="27"/>
  <c r="AH85" i="27" s="1"/>
  <c r="AI85" i="27" s="1"/>
  <c r="G86" i="28" s="1"/>
  <c r="K86" i="28" s="1"/>
  <c r="P86" i="28" s="1"/>
  <c r="L83" i="28"/>
  <c r="AG82" i="27"/>
  <c r="AH82" i="27" s="1"/>
  <c r="AI82" i="27" s="1"/>
  <c r="G83" i="28" s="1"/>
  <c r="P16" i="28"/>
  <c r="L202" i="27"/>
  <c r="N86" i="28" l="1"/>
  <c r="N53" i="28"/>
  <c r="N69" i="28"/>
  <c r="AH52" i="27"/>
  <c r="AI52" i="27" s="1"/>
  <c r="G53" i="28" s="1"/>
  <c r="AH68" i="27"/>
  <c r="AI68" i="27" s="1"/>
  <c r="G69" i="28" s="1"/>
  <c r="AH124" i="27"/>
  <c r="AI124" i="27" s="1"/>
  <c r="G125" i="28" s="1"/>
  <c r="L125" i="28"/>
  <c r="N83" i="28"/>
  <c r="K83" i="28"/>
  <c r="P83" i="28" s="1"/>
  <c r="Y200" i="28"/>
  <c r="N46" i="28"/>
  <c r="L46" i="28"/>
  <c r="AG202" i="27"/>
  <c r="K53" i="28" l="1"/>
  <c r="P53" i="28" s="1"/>
  <c r="K125" i="28"/>
  <c r="P125" i="28" s="1"/>
  <c r="K69" i="28"/>
  <c r="P69" i="28" s="1"/>
  <c r="N200" i="28"/>
  <c r="L200" i="28"/>
  <c r="AH202" i="27"/>
  <c r="AI45" i="27"/>
  <c r="AI202" i="27" l="1"/>
  <c r="G46" i="28"/>
  <c r="G200" i="28" l="1"/>
  <c r="H200" i="28"/>
  <c r="K46" i="28"/>
  <c r="P46" i="28" l="1"/>
  <c r="P200" i="28" s="1"/>
  <c r="K200" i="28"/>
</calcChain>
</file>

<file path=xl/comments1.xml><?xml version="1.0" encoding="utf-8"?>
<comments xmlns="http://schemas.openxmlformats.org/spreadsheetml/2006/main">
  <authors>
    <author>Fanny</author>
  </authors>
  <commentList>
    <comment ref="A8" authorId="0" shapeId="0">
      <text>
        <r>
          <rPr>
            <b/>
            <sz val="8"/>
            <color indexed="81"/>
            <rFont val="Tahoma"/>
            <family val="2"/>
          </rPr>
          <t>ATTENTION</t>
        </r>
        <r>
          <rPr>
            <sz val="8"/>
            <color indexed="81"/>
            <rFont val="Tahoma"/>
            <family val="2"/>
          </rPr>
          <t>:
Il faut OBLIGATOIREMENT 
que les noms de classes soient en ordre alpha-numérique. Conserver les 0.</t>
        </r>
      </text>
    </comment>
    <comment ref="S8" authorId="0" shapeId="0">
      <text>
        <r>
          <rPr>
            <b/>
            <sz val="8"/>
            <color indexed="81"/>
            <rFont val="Tahoma"/>
            <family val="2"/>
          </rPr>
          <t>Codifier comme suit</t>
        </r>
        <r>
          <rPr>
            <sz val="8"/>
            <color indexed="81"/>
            <rFont val="Tahoma"/>
            <family val="2"/>
          </rPr>
          <t xml:space="preserve">
</t>
        </r>
        <r>
          <rPr>
            <u/>
            <sz val="8"/>
            <color indexed="81"/>
            <rFont val="Tahoma"/>
            <family val="2"/>
          </rPr>
          <t>Rente à 3 paliers:</t>
        </r>
        <r>
          <rPr>
            <sz val="8"/>
            <color indexed="81"/>
            <rFont val="Tahoma"/>
            <family val="2"/>
          </rPr>
          <t xml:space="preserve">
x% des premiers x$ de salaire mensuel, x% de la prochaine tranche de x$ de salaire mensuel et x% de l'excédent.
</t>
        </r>
        <r>
          <rPr>
            <u/>
            <sz val="8"/>
            <color indexed="81"/>
            <rFont val="Tahoma"/>
            <family val="2"/>
          </rPr>
          <t>Rente a 2 paliers:</t>
        </r>
        <r>
          <rPr>
            <sz val="8"/>
            <color indexed="81"/>
            <rFont val="Tahoma"/>
            <family val="2"/>
          </rPr>
          <t xml:space="preserve">
x% des premiers x$ de salaire mensuel et x% de l'excédent
(ne rien inscrire dans la section palier 2(%)
</t>
        </r>
        <r>
          <rPr>
            <u/>
            <sz val="8"/>
            <color indexed="81"/>
            <rFont val="Tahoma"/>
            <family val="2"/>
          </rPr>
          <t>Rente fixe:</t>
        </r>
        <r>
          <rPr>
            <sz val="8"/>
            <color indexed="81"/>
            <rFont val="Tahoma"/>
            <family val="2"/>
          </rPr>
          <t xml:space="preserve">
x% du salaire mensuel à inscrire dans la section Excédent
(ne rien inscrire dans la section palier 1 (%) ni dans palier 2(%)</t>
        </r>
      </text>
    </comment>
    <comment ref="AD8" authorId="0" shapeId="0">
      <text>
        <r>
          <rPr>
            <b/>
            <sz val="8"/>
            <color indexed="81"/>
            <rFont val="Tahoma"/>
            <family val="2"/>
          </rPr>
          <t>Codifier comme suit:</t>
        </r>
        <r>
          <rPr>
            <sz val="8"/>
            <color indexed="81"/>
            <rFont val="Tahoma"/>
            <family val="2"/>
          </rPr>
          <t xml:space="preserve">
Si taux fixe, inscrire le taux mensuel et ne rien inscrire dans multiple, max global ni MSP
Si taux par 1000$ volume, inscrire le taux mensuel /1000$ (comme vie), le multiple du salaire, le max global et le MSP</t>
        </r>
      </text>
    </comment>
  </commentList>
</comments>
</file>

<file path=xl/comments2.xml><?xml version="1.0" encoding="utf-8"?>
<comments xmlns="http://schemas.openxmlformats.org/spreadsheetml/2006/main">
  <authors>
    <author>Valérie</author>
  </authors>
  <commentList>
    <comment ref="M10" authorId="0" shapeId="0">
      <text>
        <r>
          <rPr>
            <b/>
            <sz val="9"/>
            <color indexed="81"/>
            <rFont val="Tahoma"/>
            <family val="2"/>
          </rPr>
          <t>Valérie:</t>
        </r>
        <r>
          <rPr>
            <sz val="9"/>
            <color indexed="81"/>
            <rFont val="Tahoma"/>
            <family val="2"/>
          </rPr>
          <t xml:space="preserve">
masquer toutes les colonnes en bleues</t>
        </r>
      </text>
    </comment>
  </commentList>
</comments>
</file>

<file path=xl/comments3.xml><?xml version="1.0" encoding="utf-8"?>
<comments xmlns="http://schemas.openxmlformats.org/spreadsheetml/2006/main">
  <authors>
    <author>Fanny</author>
  </authors>
  <commentList>
    <comment ref="S11" authorId="0" shapeId="0">
      <text>
        <r>
          <rPr>
            <b/>
            <sz val="8"/>
            <color indexed="81"/>
            <rFont val="Tahoma"/>
            <family val="2"/>
          </rPr>
          <t>Fanny:</t>
        </r>
        <r>
          <rPr>
            <sz val="8"/>
            <color indexed="81"/>
            <rFont val="Tahoma"/>
            <family val="2"/>
          </rPr>
          <t xml:space="preserve">
Ce n'est pas un avantage imposable</t>
        </r>
      </text>
    </comment>
    <comment ref="T11" authorId="0" shapeId="0">
      <text>
        <r>
          <rPr>
            <b/>
            <sz val="8"/>
            <color indexed="81"/>
            <rFont val="Tahoma"/>
            <family val="2"/>
          </rPr>
          <t>Fanny:</t>
        </r>
        <r>
          <rPr>
            <sz val="8"/>
            <color indexed="81"/>
            <rFont val="Tahoma"/>
            <family val="2"/>
          </rPr>
          <t xml:space="preserve">
Ce n'est pas un avantage imposable</t>
        </r>
      </text>
    </comment>
  </commentList>
</comments>
</file>

<file path=xl/sharedStrings.xml><?xml version="1.0" encoding="utf-8"?>
<sst xmlns="http://schemas.openxmlformats.org/spreadsheetml/2006/main" count="3181" uniqueCount="174">
  <si>
    <t>CLIENT:</t>
  </si>
  <si>
    <t>ASSUREUR:</t>
  </si>
  <si>
    <t>NOM DE</t>
  </si>
  <si>
    <t xml:space="preserve"> </t>
  </si>
  <si>
    <t>VIE</t>
  </si>
  <si>
    <t>DENTAIRE</t>
  </si>
  <si>
    <t>A</t>
  </si>
  <si>
    <t>L'EMPLOYÉ</t>
  </si>
  <si>
    <t>SANTÉ</t>
  </si>
  <si>
    <t>MENSUEL</t>
  </si>
  <si>
    <t>PROV.</t>
  </si>
  <si>
    <t>No.</t>
  </si>
  <si>
    <t>COURTE DURÉE</t>
  </si>
  <si>
    <t>À L'ATTENTION DE:</t>
  </si>
  <si>
    <t>MSP</t>
  </si>
  <si>
    <t>Volumes / Primes:</t>
  </si>
  <si>
    <t>SALAIRE</t>
  </si>
  <si>
    <t>ANNUEL</t>
  </si>
  <si>
    <t>TOTAL</t>
  </si>
  <si>
    <t>CLASSE</t>
  </si>
  <si>
    <t>CODE</t>
  </si>
  <si>
    <t>NO POLICE:</t>
  </si>
  <si>
    <t>Classes ou catégories</t>
  </si>
  <si>
    <t>NOM</t>
  </si>
  <si>
    <t>PRÉNOM</t>
  </si>
  <si>
    <t>Vie</t>
  </si>
  <si>
    <t>Multiple</t>
  </si>
  <si>
    <t>Max global</t>
  </si>
  <si>
    <t>DMA</t>
  </si>
  <si>
    <t>Taux</t>
  </si>
  <si>
    <t>Vie PAC</t>
  </si>
  <si>
    <t>Fam</t>
  </si>
  <si>
    <t>Mono</t>
  </si>
  <si>
    <t>Couple</t>
  </si>
  <si>
    <t>ICD</t>
  </si>
  <si>
    <t>%</t>
  </si>
  <si>
    <t>ILD</t>
  </si>
  <si>
    <t>Tranche$</t>
  </si>
  <si>
    <t>Excédent%</t>
  </si>
  <si>
    <t>PAE</t>
  </si>
  <si>
    <t>Taxe</t>
  </si>
  <si>
    <t>Maladies Graves</t>
  </si>
  <si>
    <t>Santé</t>
  </si>
  <si>
    <t>Dentaire</t>
  </si>
  <si>
    <t>Oculaire</t>
  </si>
  <si>
    <t>Type taux</t>
  </si>
  <si>
    <t>Qc</t>
  </si>
  <si>
    <t>Autres</t>
  </si>
  <si>
    <t>Statut</t>
  </si>
  <si>
    <t>Protection</t>
  </si>
  <si>
    <t>Aucune</t>
  </si>
  <si>
    <t>VIE PAC</t>
  </si>
  <si>
    <t>LONGUE DURÉE</t>
  </si>
  <si>
    <t>Ind</t>
  </si>
  <si>
    <t>OCULAIRE</t>
  </si>
  <si>
    <t>nb paie/année</t>
  </si>
  <si>
    <t>Contribution yeur%</t>
  </si>
  <si>
    <t>lignes à masquer</t>
  </si>
  <si>
    <t>DATE EFFECTIVE TAUX:</t>
  </si>
  <si>
    <t>TAXE</t>
  </si>
  <si>
    <t>Totaux:</t>
  </si>
  <si>
    <t>TOTALE</t>
  </si>
  <si>
    <t>EMPLOYEUR</t>
  </si>
  <si>
    <t>AVANTAGES IMPOSABLES</t>
  </si>
  <si>
    <t>Taxes</t>
  </si>
  <si>
    <t>On</t>
  </si>
  <si>
    <t>Palier 1(%)</t>
  </si>
  <si>
    <t>Palier 2(%)</t>
  </si>
  <si>
    <t>09</t>
  </si>
  <si>
    <t xml:space="preserve">10 </t>
  </si>
  <si>
    <t xml:space="preserve">11 </t>
  </si>
  <si>
    <t>12</t>
  </si>
  <si>
    <t>13</t>
  </si>
  <si>
    <t>14</t>
  </si>
  <si>
    <t>15</t>
  </si>
  <si>
    <t>16</t>
  </si>
  <si>
    <t>17</t>
  </si>
  <si>
    <t>18</t>
  </si>
  <si>
    <t>19</t>
  </si>
  <si>
    <t>20</t>
  </si>
  <si>
    <t>SOUS-TOTAL</t>
  </si>
  <si>
    <t>(avant taxe)</t>
  </si>
  <si>
    <t>(incluant taxe)</t>
  </si>
  <si>
    <t>COURTE</t>
  </si>
  <si>
    <t>DURÉE</t>
  </si>
  <si>
    <t>LONGUE</t>
  </si>
  <si>
    <t>Imposable?</t>
  </si>
  <si>
    <t>VIE/VIEPAC</t>
  </si>
  <si>
    <t>DMA / Mal.graves</t>
  </si>
  <si>
    <t>08</t>
  </si>
  <si>
    <t>NON</t>
  </si>
  <si>
    <t>Légende :</t>
  </si>
  <si>
    <t>A :</t>
  </si>
  <si>
    <t>Exo :</t>
  </si>
  <si>
    <t>Adhérent activement au travail</t>
  </si>
  <si>
    <t>Adhérent exonéré du paiement des primes</t>
  </si>
  <si>
    <t>Nom du groupe :</t>
  </si>
  <si>
    <t>À l'attention de :</t>
  </si>
  <si>
    <t>Date effective de la tarification :</t>
  </si>
  <si>
    <t>Date de la dernière mise à jour :</t>
  </si>
  <si>
    <t>Division :</t>
  </si>
  <si>
    <t>Assureur :</t>
  </si>
  <si>
    <r>
      <t>N</t>
    </r>
    <r>
      <rPr>
        <b/>
        <i/>
        <vertAlign val="superscript"/>
        <sz val="8"/>
        <rFont val="CG Omega"/>
        <family val="2"/>
      </rPr>
      <t>o</t>
    </r>
    <r>
      <rPr>
        <b/>
        <i/>
        <sz val="8"/>
        <rFont val="CG Omega"/>
        <family val="2"/>
      </rPr>
      <t xml:space="preserve"> de contrat :</t>
    </r>
  </si>
  <si>
    <t>MALADIE GRAVE</t>
  </si>
  <si>
    <t>Bloqué au msp</t>
  </si>
  <si>
    <t>Volume</t>
  </si>
  <si>
    <t>Prime</t>
  </si>
  <si>
    <t>PRIME PAR PAIE À PRÉLEVER</t>
  </si>
  <si>
    <t>certificat</t>
  </si>
  <si>
    <t>No. cert.</t>
  </si>
  <si>
    <t>(sur contribution employeur)</t>
  </si>
  <si>
    <t>(contribution de l'employé)</t>
  </si>
  <si>
    <t>Contr.</t>
  </si>
  <si>
    <t>Employeur</t>
  </si>
  <si>
    <t>PORTION
EMPLOYÉ</t>
  </si>
  <si>
    <t>NO COMPTE:</t>
  </si>
  <si>
    <t xml:space="preserve">03 </t>
  </si>
  <si>
    <t>04</t>
  </si>
  <si>
    <t xml:space="preserve">05 </t>
  </si>
  <si>
    <t xml:space="preserve">06 </t>
  </si>
  <si>
    <t xml:space="preserve">07 </t>
  </si>
  <si>
    <t>02</t>
  </si>
  <si>
    <t>PORTION EMPLOYEUR</t>
  </si>
  <si>
    <t>NOM DE
L'EMPLOYÉ</t>
  </si>
  <si>
    <t>NO.
CERTIFICAT</t>
  </si>
  <si>
    <t>NB PAIE
PAR AN</t>
  </si>
  <si>
    <t>DDN</t>
  </si>
  <si>
    <t>50 %
65 ans</t>
  </si>
  <si>
    <t>DDN + 65 ans</t>
  </si>
  <si>
    <t>Volumes réels
formule originale</t>
  </si>
  <si>
    <t>VIE fac.
( / 5 000 $)</t>
  </si>
  <si>
    <t>VIE FAC</t>
  </si>
  <si>
    <t>Assurance vie facultative</t>
  </si>
  <si>
    <t>Taux mensuels par 1 000 $ de volume assuré</t>
  </si>
  <si>
    <t>Groupe d'âge</t>
  </si>
  <si>
    <t>Homme</t>
  </si>
  <si>
    <t>Femme</t>
  </si>
  <si>
    <t>Non fumeur</t>
  </si>
  <si>
    <t>Fumeur</t>
  </si>
  <si>
    <t>Moins de 20 ans</t>
  </si>
  <si>
    <t>De 20 à 24 ans</t>
  </si>
  <si>
    <t>De 25 à 29 ans</t>
  </si>
  <si>
    <t>De 30 à 34 ans</t>
  </si>
  <si>
    <t>De 35 à 39 ans</t>
  </si>
  <si>
    <t>De 40 à 44 ans</t>
  </si>
  <si>
    <t>De 45 à 49 ans</t>
  </si>
  <si>
    <t>De 50 à 54 ans</t>
  </si>
  <si>
    <t>De 55 à 59 ans</t>
  </si>
  <si>
    <t>De 60 à 64 ans</t>
  </si>
  <si>
    <t>De 65 à 69 ans</t>
  </si>
  <si>
    <t>SEXE</t>
  </si>
  <si>
    <t>H</t>
  </si>
  <si>
    <t>F</t>
  </si>
  <si>
    <t>0</t>
  </si>
  <si>
    <t>Statut fum</t>
  </si>
  <si>
    <t>NF</t>
  </si>
  <si>
    <t>CATÉGORIE</t>
  </si>
  <si>
    <t>65 ans - 105 jours</t>
  </si>
  <si>
    <t>Âge</t>
  </si>
  <si>
    <t>Case L</t>
  </si>
  <si>
    <t>Vie-DMA</t>
  </si>
  <si>
    <t>Case J</t>
  </si>
  <si>
    <t>Santé
Dentaire</t>
  </si>
  <si>
    <t>Case 40</t>
  </si>
  <si>
    <t>Québec RL1</t>
  </si>
  <si>
    <t>Fédéral T4</t>
  </si>
  <si>
    <r>
      <t xml:space="preserve">SANTÉ &amp;
DENTAIRE
</t>
    </r>
    <r>
      <rPr>
        <b/>
        <i/>
        <sz val="6"/>
        <color rgb="FFFF0000"/>
        <rFont val="CG Omega"/>
      </rPr>
      <t>Case 85 (T4)
Case 235 (RL1)</t>
    </r>
  </si>
  <si>
    <r>
      <t xml:space="preserve">AUTRES GARANTIES
</t>
    </r>
    <r>
      <rPr>
        <b/>
        <sz val="6"/>
        <color rgb="FFFF0000"/>
        <rFont val="CG Omega"/>
      </rPr>
      <t>Vie-DMA-Ass. Salaire</t>
    </r>
  </si>
  <si>
    <t>ASSURANCE</t>
  </si>
  <si>
    <t>(à titre informatif)</t>
  </si>
  <si>
    <t>01</t>
  </si>
  <si>
    <t>Tarification - SSQ Groupe financier</t>
  </si>
  <si>
    <t>Année / Mois / Jour</t>
  </si>
  <si>
    <t>Total
vie facult.</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</si>
</sst>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 * #,##0.00_)\ &quot;$&quot;_ ;_ * \(#,##0.00\)\ &quot;$&quot;_ ;_ * &quot;-&quot;??_)\ &quot;$&quot;_ ;_ @_ "/>
    <numFmt numFmtId="165" formatCode="_-* #,##0.00\ &quot;$&quot;_-;\-* #,##0.00\ &quot;$&quot;_-;_-* &quot;-&quot;??\ &quot;$&quot;_-;_-@_-"/>
    <numFmt numFmtId="166" formatCode="#,##0.00_);\(#,##0.00\)"/>
    <numFmt numFmtId="167" formatCode="#,##0_);\(#,##0\)"/>
    <numFmt numFmtId="168" formatCode="#,##0.000_);\(#,##0.000\)"/>
    <numFmt numFmtId="169" formatCode="[$-F800]dddd\,\ mmmm\ dd\,\ yyyy"/>
    <numFmt numFmtId="170" formatCode="0.000"/>
    <numFmt numFmtId="171" formatCode="_ * #,##0.00_)\ [$€-1]_ ;_ * \(#,##0.00\)\ [$€-1]_ ;_ * &quot;-&quot;??_)\ [$€-1]_ "/>
    <numFmt numFmtId="172" formatCode="0.000%"/>
    <numFmt numFmtId="173" formatCode="[$-C0C]d\ mmm\ yyyy;@"/>
    <numFmt numFmtId="174" formatCode="yyyy\-mm\-dd;@"/>
  </numFmts>
  <fonts count="75">
    <font>
      <sz val="7"/>
      <name val="Helv"/>
    </font>
    <font>
      <sz val="10"/>
      <name val="CG Omega (W1)"/>
    </font>
    <font>
      <sz val="8.5"/>
      <name val="CG Omega"/>
      <family val="2"/>
    </font>
    <font>
      <b/>
      <sz val="8.5"/>
      <name val="CG Omega"/>
      <family val="2"/>
    </font>
    <font>
      <sz val="8.5"/>
      <color indexed="12"/>
      <name val="CG Omega"/>
      <family val="2"/>
    </font>
    <font>
      <b/>
      <i/>
      <sz val="8.5"/>
      <name val="CG Omega"/>
      <family val="2"/>
    </font>
    <font>
      <b/>
      <sz val="8.5"/>
      <name val="CG Omega"/>
      <family val="2"/>
    </font>
    <font>
      <sz val="8.5"/>
      <name val="Helv"/>
    </font>
    <font>
      <sz val="8"/>
      <name val="Helv"/>
    </font>
    <font>
      <sz val="8"/>
      <name val="CG Omega"/>
      <family val="2"/>
    </font>
    <font>
      <sz val="8"/>
      <color indexed="12"/>
      <name val="CG Omega"/>
      <family val="2"/>
    </font>
    <font>
      <b/>
      <sz val="7.5"/>
      <name val="CG Omega"/>
      <family val="2"/>
    </font>
    <font>
      <sz val="7"/>
      <name val="Helv"/>
    </font>
    <font>
      <sz val="6"/>
      <name val="CG Omega"/>
      <family val="2"/>
    </font>
    <font>
      <b/>
      <i/>
      <sz val="8"/>
      <name val="CG Omega"/>
      <family val="2"/>
    </font>
    <font>
      <b/>
      <i/>
      <sz val="8"/>
      <name val="CG Omega"/>
      <family val="2"/>
    </font>
    <font>
      <b/>
      <sz val="8"/>
      <name val="CG Omega"/>
      <family val="2"/>
    </font>
    <font>
      <sz val="8.5"/>
      <name val="Arial"/>
      <family val="2"/>
    </font>
    <font>
      <sz val="10"/>
      <name val="Helv"/>
    </font>
    <font>
      <b/>
      <sz val="10"/>
      <name val="Helv"/>
    </font>
    <font>
      <b/>
      <sz val="10"/>
      <color indexed="23"/>
      <name val="Helv"/>
    </font>
    <font>
      <sz val="10"/>
      <color indexed="23"/>
      <name val="Helv"/>
    </font>
    <font>
      <sz val="8.5"/>
      <color indexed="10"/>
      <name val="CG Omega"/>
      <family val="2"/>
    </font>
    <font>
      <i/>
      <sz val="6"/>
      <name val="CG Omega"/>
      <family val="2"/>
    </font>
    <font>
      <sz val="6"/>
      <name val="CG Omega"/>
      <family val="2"/>
    </font>
    <font>
      <b/>
      <i/>
      <sz val="6"/>
      <name val="CG Omega"/>
      <family val="2"/>
    </font>
    <font>
      <sz val="6"/>
      <name val="Helv"/>
    </font>
    <font>
      <sz val="9"/>
      <name val="Helv"/>
    </font>
    <font>
      <sz val="8"/>
      <color indexed="81"/>
      <name val="Tahoma"/>
      <family val="2"/>
    </font>
    <font>
      <b/>
      <sz val="8"/>
      <color indexed="81"/>
      <name val="Tahoma"/>
      <family val="2"/>
    </font>
    <font>
      <u/>
      <sz val="8"/>
      <color indexed="81"/>
      <name val="Tahoma"/>
      <family val="2"/>
    </font>
    <font>
      <b/>
      <i/>
      <sz val="8"/>
      <color indexed="54"/>
      <name val="CG Omega"/>
      <family val="2"/>
    </font>
    <font>
      <b/>
      <i/>
      <sz val="7"/>
      <name val="CG Omega"/>
      <family val="2"/>
    </font>
    <font>
      <b/>
      <sz val="8.5"/>
      <color indexed="54"/>
      <name val="CG Omega"/>
      <family val="2"/>
    </font>
    <font>
      <b/>
      <sz val="8"/>
      <color indexed="54"/>
      <name val="CG Omega"/>
      <family val="2"/>
    </font>
    <font>
      <b/>
      <i/>
      <sz val="6"/>
      <color indexed="54"/>
      <name val="CG Omega"/>
      <family val="2"/>
    </font>
    <font>
      <sz val="8.5"/>
      <color indexed="54"/>
      <name val="CG Omega"/>
      <family val="2"/>
    </font>
    <font>
      <sz val="8"/>
      <color indexed="54"/>
      <name val="CG Omega"/>
      <family val="2"/>
    </font>
    <font>
      <sz val="7"/>
      <color indexed="54"/>
      <name val="Helv"/>
    </font>
    <font>
      <b/>
      <i/>
      <sz val="8.5"/>
      <color indexed="54"/>
      <name val="CG Omega"/>
      <family val="2"/>
    </font>
    <font>
      <sz val="10"/>
      <color indexed="12"/>
      <name val="Helv"/>
    </font>
    <font>
      <sz val="8"/>
      <color indexed="12"/>
      <name val="Helv"/>
    </font>
    <font>
      <sz val="10"/>
      <name val="Arial"/>
      <family val="2"/>
    </font>
    <font>
      <b/>
      <sz val="11"/>
      <name val="Arial"/>
      <family val="2"/>
    </font>
    <font>
      <sz val="7"/>
      <name val="CG Omega"/>
      <family val="2"/>
    </font>
    <font>
      <b/>
      <sz val="8"/>
      <color indexed="12"/>
      <name val="CG Omega"/>
      <family val="2"/>
    </font>
    <font>
      <b/>
      <sz val="6"/>
      <name val="CG Omega"/>
      <family val="2"/>
    </font>
    <font>
      <b/>
      <i/>
      <sz val="6.5"/>
      <name val="CG Omega"/>
      <family val="2"/>
    </font>
    <font>
      <b/>
      <i/>
      <sz val="5.5"/>
      <name val="CG Omega"/>
      <family val="2"/>
    </font>
    <font>
      <b/>
      <i/>
      <vertAlign val="superscript"/>
      <sz val="8"/>
      <name val="CG Omega"/>
      <family val="2"/>
    </font>
    <font>
      <b/>
      <i/>
      <sz val="5.5"/>
      <name val="CG Omega"/>
      <family val="2"/>
    </font>
    <font>
      <sz val="7"/>
      <color indexed="54"/>
      <name val="CG Omega"/>
      <family val="2"/>
    </font>
    <font>
      <b/>
      <i/>
      <sz val="7"/>
      <name val="CG Omega"/>
      <family val="2"/>
    </font>
    <font>
      <b/>
      <i/>
      <sz val="7"/>
      <color indexed="54"/>
      <name val="CG Omega"/>
      <family val="2"/>
    </font>
    <font>
      <b/>
      <sz val="6"/>
      <name val="CG Omega"/>
      <family val="2"/>
    </font>
    <font>
      <b/>
      <sz val="8"/>
      <name val="CG Omega"/>
      <family val="2"/>
    </font>
    <font>
      <b/>
      <sz val="7"/>
      <name val="CG Omega"/>
      <family val="2"/>
    </font>
    <font>
      <b/>
      <sz val="8"/>
      <color theme="3" tint="0.59999389629810485"/>
      <name val="CG Omega"/>
      <family val="2"/>
    </font>
    <font>
      <sz val="8"/>
      <color theme="3" tint="0.59999389629810485"/>
      <name val="CG Omega"/>
      <family val="2"/>
    </font>
    <font>
      <b/>
      <i/>
      <sz val="7"/>
      <color theme="3" tint="0.59999389629810485"/>
      <name val="CG Omega"/>
      <family val="2"/>
    </font>
    <font>
      <sz val="8.5"/>
      <color theme="3" tint="0.59999389629810485"/>
      <name val="CG Omega"/>
      <family val="2"/>
    </font>
    <font>
      <sz val="7"/>
      <color theme="3" tint="0.39997558519241921"/>
      <name val="CG Omega"/>
      <family val="2"/>
    </font>
    <font>
      <sz val="9"/>
      <color indexed="81"/>
      <name val="Tahoma"/>
      <family val="2"/>
    </font>
    <font>
      <b/>
      <sz val="9"/>
      <color indexed="81"/>
      <name val="Tahoma"/>
      <family val="2"/>
    </font>
    <font>
      <b/>
      <sz val="10"/>
      <name val="Arial"/>
      <family val="2"/>
    </font>
    <font>
      <b/>
      <u/>
      <sz val="10"/>
      <name val="Arial"/>
      <family val="2"/>
    </font>
    <font>
      <b/>
      <i/>
      <u/>
      <sz val="12"/>
      <color indexed="8"/>
      <name val="Arial"/>
      <family val="2"/>
    </font>
    <font>
      <sz val="8"/>
      <name val="Arial"/>
      <family val="2"/>
    </font>
    <font>
      <sz val="8"/>
      <color rgb="FF0000FF"/>
      <name val="CG Omega"/>
      <family val="2"/>
    </font>
    <font>
      <sz val="8.5"/>
      <color theme="0"/>
      <name val="CG Omega"/>
      <family val="2"/>
    </font>
    <font>
      <b/>
      <sz val="6"/>
      <name val="Calibri"/>
      <family val="2"/>
      <scheme val="minor"/>
    </font>
    <font>
      <b/>
      <i/>
      <sz val="6"/>
      <color rgb="FFFF0000"/>
      <name val="CG Omega"/>
    </font>
    <font>
      <b/>
      <sz val="6"/>
      <color rgb="FFFF0000"/>
      <name val="CG Omega"/>
    </font>
    <font>
      <b/>
      <i/>
      <sz val="6"/>
      <name val="Calibri"/>
      <family val="2"/>
      <scheme val="minor"/>
    </font>
    <font>
      <b/>
      <sz val="7"/>
      <color rgb="FFFF0000"/>
      <name val="CG Omega"/>
    </font>
  </fonts>
  <fills count="6">
    <fill>
      <patternFill patternType="none"/>
    </fill>
    <fill>
      <patternFill patternType="gray125"/>
    </fill>
    <fill>
      <patternFill patternType="solid">
        <fgColor indexed="65"/>
        <bgColor indexed="8"/>
      </patternFill>
    </fill>
    <fill>
      <patternFill patternType="solid">
        <fgColor indexed="43"/>
        <bgColor indexed="64"/>
      </patternFill>
    </fill>
    <fill>
      <patternFill patternType="solid">
        <fgColor indexed="9"/>
        <bgColor indexed="64"/>
      </patternFill>
    </fill>
    <fill>
      <patternFill patternType="solid">
        <fgColor theme="0" tint="-0.249977111117893"/>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8"/>
      </top>
      <bottom/>
      <diagonal/>
    </border>
    <border>
      <left/>
      <right/>
      <top style="thin">
        <color indexed="8"/>
      </top>
      <bottom/>
      <diagonal/>
    </border>
    <border>
      <left style="thin">
        <color indexed="64"/>
      </left>
      <right style="thin">
        <color indexed="64"/>
      </right>
      <top style="thin">
        <color indexed="8"/>
      </top>
      <bottom/>
      <diagonal/>
    </border>
    <border>
      <left/>
      <right style="thin">
        <color indexed="64"/>
      </right>
      <top/>
      <bottom style="hair">
        <color indexed="64"/>
      </bottom>
      <diagonal/>
    </border>
    <border>
      <left style="thin">
        <color indexed="64"/>
      </left>
      <right style="thin">
        <color indexed="64"/>
      </right>
      <top/>
      <bottom/>
      <diagonal/>
    </border>
    <border>
      <left/>
      <right style="thin">
        <color indexed="64"/>
      </right>
      <top style="thin">
        <color indexed="8"/>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bottom style="hair">
        <color indexed="64"/>
      </bottom>
      <diagonal/>
    </border>
    <border>
      <left style="thin">
        <color indexed="8"/>
      </left>
      <right/>
      <top/>
      <bottom/>
      <diagonal/>
    </border>
    <border>
      <left style="thin">
        <color indexed="64"/>
      </left>
      <right/>
      <top/>
      <bottom/>
      <diagonal/>
    </border>
    <border>
      <left/>
      <right style="thin">
        <color indexed="8"/>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style="thin">
        <color indexed="64"/>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64"/>
      </left>
      <right/>
      <top/>
      <bottom style="hair">
        <color indexed="64"/>
      </bottom>
      <diagonal/>
    </border>
    <border>
      <left style="thin">
        <color indexed="64"/>
      </left>
      <right/>
      <top style="thin">
        <color indexed="8"/>
      </top>
      <bottom/>
      <diagonal/>
    </border>
    <border>
      <left style="thin">
        <color indexed="64"/>
      </left>
      <right/>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8"/>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8"/>
      </left>
      <right/>
      <top/>
      <bottom style="thin">
        <color indexed="64"/>
      </bottom>
      <diagonal/>
    </border>
    <border>
      <left style="thin">
        <color indexed="64"/>
      </left>
      <right style="thin">
        <color indexed="64"/>
      </right>
      <top style="thin">
        <color indexed="8"/>
      </top>
      <bottom style="thin">
        <color indexed="8"/>
      </bottom>
      <diagonal/>
    </border>
    <border>
      <left style="thin">
        <color indexed="8"/>
      </left>
      <right/>
      <top/>
      <bottom style="hair">
        <color indexed="8"/>
      </bottom>
      <diagonal/>
    </border>
    <border>
      <left style="thin">
        <color indexed="8"/>
      </left>
      <right/>
      <top style="hair">
        <color indexed="8"/>
      </top>
      <bottom style="hair">
        <color indexed="8"/>
      </bottom>
      <diagonal/>
    </border>
    <border>
      <left style="thin">
        <color indexed="8"/>
      </left>
      <right/>
      <top style="hair">
        <color indexed="8"/>
      </top>
      <bottom style="hair">
        <color indexed="64"/>
      </bottom>
      <diagonal/>
    </border>
    <border>
      <left style="thin">
        <color indexed="8"/>
      </left>
      <right/>
      <top/>
      <bottom style="hair">
        <color indexed="64"/>
      </bottom>
      <diagonal/>
    </border>
    <border>
      <left/>
      <right/>
      <top/>
      <bottom style="thin">
        <color indexed="64"/>
      </bottom>
      <diagonal/>
    </border>
    <border>
      <left/>
      <right/>
      <top/>
      <bottom style="hair">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style="hair">
        <color indexed="64"/>
      </top>
      <bottom style="thin">
        <color indexed="64"/>
      </bottom>
      <diagonal/>
    </border>
    <border>
      <left style="thin">
        <color indexed="64"/>
      </left>
      <right style="double">
        <color indexed="64"/>
      </right>
      <top style="hair">
        <color indexed="64"/>
      </top>
      <bottom style="thin">
        <color indexed="64"/>
      </bottom>
      <diagonal/>
    </border>
    <border>
      <left/>
      <right/>
      <top style="double">
        <color indexed="64"/>
      </top>
      <bottom/>
      <diagonal/>
    </border>
    <border>
      <left style="thin">
        <color indexed="64"/>
      </left>
      <right style="thin">
        <color indexed="8"/>
      </right>
      <top/>
      <bottom/>
      <diagonal/>
    </border>
    <border>
      <left/>
      <right style="double">
        <color indexed="64"/>
      </right>
      <top/>
      <bottom/>
      <diagonal/>
    </border>
    <border>
      <left style="double">
        <color indexed="64"/>
      </left>
      <right style="thin">
        <color indexed="64"/>
      </right>
      <top/>
      <bottom style="thin">
        <color indexed="8"/>
      </bottom>
      <diagonal/>
    </border>
    <border>
      <left style="thin">
        <color indexed="64"/>
      </left>
      <right style="thin">
        <color indexed="64"/>
      </right>
      <top style="thin">
        <color indexed="64"/>
      </top>
      <bottom style="thin">
        <color indexed="8"/>
      </bottom>
      <diagonal/>
    </border>
  </borders>
  <cellStyleXfs count="12">
    <xf numFmtId="166" fontId="0" fillId="0" borderId="0"/>
    <xf numFmtId="171" fontId="12" fillId="0" borderId="0" applyFont="0" applyFill="0" applyBorder="0" applyAlignment="0" applyProtection="0"/>
    <xf numFmtId="49" fontId="43" fillId="0" borderId="1">
      <alignment horizontal="center"/>
    </xf>
    <xf numFmtId="165" fontId="1"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0" fontId="42" fillId="0" borderId="0"/>
    <xf numFmtId="0" fontId="42" fillId="0" borderId="0"/>
    <xf numFmtId="9" fontId="1"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39" fontId="12" fillId="0" borderId="0"/>
  </cellStyleXfs>
  <cellXfs count="511">
    <xf numFmtId="166" fontId="0" fillId="0" borderId="0" xfId="0"/>
    <xf numFmtId="166" fontId="2" fillId="0" borderId="0" xfId="0" applyFont="1"/>
    <xf numFmtId="166" fontId="2" fillId="0" borderId="0" xfId="0" applyFont="1" applyAlignment="1">
      <alignment horizontal="center"/>
    </xf>
    <xf numFmtId="166" fontId="2" fillId="0" borderId="0" xfId="0" quotePrefix="1" applyFont="1" applyAlignment="1" applyProtection="1">
      <alignment horizontal="left"/>
    </xf>
    <xf numFmtId="49" fontId="2" fillId="0" borderId="0" xfId="0" applyNumberFormat="1" applyFont="1" applyAlignment="1">
      <alignment horizontal="center"/>
    </xf>
    <xf numFmtId="167" fontId="2" fillId="0" borderId="0" xfId="0" applyNumberFormat="1" applyFont="1"/>
    <xf numFmtId="167" fontId="2" fillId="0" borderId="0" xfId="0" applyNumberFormat="1" applyFont="1" applyProtection="1"/>
    <xf numFmtId="166" fontId="10" fillId="2" borderId="6" xfId="0" applyFont="1" applyFill="1" applyBorder="1" applyAlignment="1" applyProtection="1">
      <alignment horizontal="center"/>
      <protection locked="0"/>
    </xf>
    <xf numFmtId="167" fontId="10" fillId="0" borderId="6" xfId="0" applyNumberFormat="1" applyFont="1" applyFill="1" applyBorder="1" applyAlignment="1" applyProtection="1">
      <alignment horizontal="center"/>
      <protection locked="0"/>
    </xf>
    <xf numFmtId="166" fontId="14" fillId="2" borderId="3" xfId="0" applyFont="1" applyFill="1" applyBorder="1" applyAlignment="1" applyProtection="1">
      <alignment horizontal="center"/>
    </xf>
    <xf numFmtId="166" fontId="14" fillId="2" borderId="2" xfId="0" applyFont="1" applyFill="1" applyBorder="1" applyAlignment="1" applyProtection="1">
      <alignment horizontal="center"/>
    </xf>
    <xf numFmtId="166" fontId="18" fillId="0" borderId="0" xfId="0" applyFont="1"/>
    <xf numFmtId="166" fontId="10" fillId="0" borderId="6" xfId="0" applyFont="1" applyFill="1" applyBorder="1" applyAlignment="1" applyProtection="1">
      <alignment horizontal="left"/>
      <protection locked="0"/>
    </xf>
    <xf numFmtId="167" fontId="18" fillId="0" borderId="0" xfId="0" applyNumberFormat="1" applyFont="1"/>
    <xf numFmtId="166" fontId="20" fillId="0" borderId="0" xfId="0" applyFont="1"/>
    <xf numFmtId="166" fontId="21" fillId="0" borderId="0" xfId="0" applyFont="1"/>
    <xf numFmtId="166" fontId="22" fillId="0" borderId="0" xfId="0" applyFont="1"/>
    <xf numFmtId="166" fontId="13" fillId="2" borderId="6" xfId="0" applyFont="1" applyFill="1" applyBorder="1" applyAlignment="1" applyProtection="1">
      <alignment horizontal="center"/>
      <protection locked="0"/>
    </xf>
    <xf numFmtId="166" fontId="25" fillId="2" borderId="9" xfId="0" applyFont="1" applyFill="1" applyBorder="1" applyAlignment="1" applyProtection="1">
      <alignment horizontal="center"/>
    </xf>
    <xf numFmtId="166" fontId="10" fillId="0" borderId="28" xfId="0" applyFont="1" applyFill="1" applyBorder="1" applyAlignment="1" applyProtection="1">
      <alignment horizontal="left"/>
      <protection locked="0"/>
    </xf>
    <xf numFmtId="167" fontId="31" fillId="2" borderId="0" xfId="0" applyNumberFormat="1" applyFont="1" applyFill="1" applyBorder="1" applyAlignment="1" applyProtection="1">
      <alignment horizontal="center"/>
    </xf>
    <xf numFmtId="167" fontId="36" fillId="0" borderId="0" xfId="0" applyNumberFormat="1" applyFont="1" applyProtection="1"/>
    <xf numFmtId="49" fontId="10" fillId="0" borderId="10" xfId="0" applyNumberFormat="1" applyFont="1" applyFill="1" applyBorder="1" applyAlignment="1" applyProtection="1">
      <alignment horizontal="center"/>
      <protection locked="0"/>
    </xf>
    <xf numFmtId="166" fontId="13" fillId="2" borderId="10" xfId="0" applyFont="1" applyFill="1" applyBorder="1" applyAlignment="1" applyProtection="1">
      <alignment horizontal="center"/>
      <protection locked="0"/>
    </xf>
    <xf numFmtId="9" fontId="13" fillId="2" borderId="6" xfId="8" applyFont="1" applyFill="1" applyBorder="1" applyAlignment="1" applyProtection="1">
      <alignment horizontal="center"/>
      <protection locked="0"/>
    </xf>
    <xf numFmtId="166" fontId="36" fillId="0" borderId="0" xfId="0" applyFont="1" applyProtection="1"/>
    <xf numFmtId="166" fontId="2" fillId="0" borderId="0" xfId="0" applyFont="1" applyProtection="1"/>
    <xf numFmtId="49" fontId="2" fillId="0" borderId="0" xfId="0" applyNumberFormat="1" applyFont="1" applyAlignment="1" applyProtection="1">
      <alignment horizontal="center"/>
    </xf>
    <xf numFmtId="166" fontId="0" fillId="0" borderId="0" xfId="0" applyProtection="1"/>
    <xf numFmtId="166" fontId="16" fillId="2" borderId="5" xfId="0" applyFont="1" applyFill="1" applyBorder="1" applyProtection="1"/>
    <xf numFmtId="49" fontId="16" fillId="2" borderId="5" xfId="0" applyNumberFormat="1" applyFont="1" applyFill="1" applyBorder="1" applyAlignment="1" applyProtection="1">
      <alignment horizontal="center"/>
    </xf>
    <xf numFmtId="167" fontId="16" fillId="2" borderId="3" xfId="0" applyNumberFormat="1" applyFont="1" applyFill="1" applyBorder="1" applyProtection="1"/>
    <xf numFmtId="166" fontId="16" fillId="2" borderId="3" xfId="0" applyFont="1" applyFill="1" applyBorder="1" applyProtection="1"/>
    <xf numFmtId="49" fontId="14" fillId="2" borderId="7" xfId="0" applyNumberFormat="1" applyFont="1" applyFill="1" applyBorder="1" applyAlignment="1" applyProtection="1">
      <alignment horizontal="center"/>
    </xf>
    <xf numFmtId="10" fontId="8" fillId="0" borderId="0" xfId="8" applyNumberFormat="1" applyFont="1" applyBorder="1" applyProtection="1"/>
    <xf numFmtId="167" fontId="8" fillId="0" borderId="0" xfId="0" applyNumberFormat="1" applyFont="1" applyBorder="1" applyProtection="1"/>
    <xf numFmtId="166" fontId="17" fillId="0" borderId="0" xfId="0" applyFont="1" applyProtection="1"/>
    <xf numFmtId="166" fontId="11" fillId="0" borderId="0" xfId="0" applyFont="1" applyAlignment="1" applyProtection="1"/>
    <xf numFmtId="167" fontId="34" fillId="2" borderId="4" xfId="0" applyNumberFormat="1" applyFont="1" applyFill="1" applyBorder="1" applyProtection="1"/>
    <xf numFmtId="166" fontId="16" fillId="2" borderId="4" xfId="0" applyFont="1" applyFill="1" applyBorder="1" applyProtection="1"/>
    <xf numFmtId="166" fontId="16" fillId="2" borderId="4" xfId="0" applyFont="1" applyFill="1" applyBorder="1" applyAlignment="1" applyProtection="1">
      <alignment horizontal="center"/>
    </xf>
    <xf numFmtId="166" fontId="16" fillId="2" borderId="3" xfId="0" applyFont="1" applyFill="1" applyBorder="1" applyAlignment="1" applyProtection="1">
      <alignment horizontal="center"/>
    </xf>
    <xf numFmtId="166" fontId="16" fillId="2" borderId="29" xfId="0" applyFont="1" applyFill="1" applyBorder="1" applyProtection="1"/>
    <xf numFmtId="166" fontId="25" fillId="2" borderId="26" xfId="0" applyFont="1" applyFill="1" applyBorder="1" applyAlignment="1" applyProtection="1">
      <alignment horizontal="center"/>
    </xf>
    <xf numFmtId="49" fontId="25" fillId="2" borderId="9" xfId="0" applyNumberFormat="1" applyFont="1" applyFill="1" applyBorder="1" applyAlignment="1" applyProtection="1">
      <alignment horizontal="center"/>
    </xf>
    <xf numFmtId="167" fontId="25" fillId="2" borderId="25" xfId="0" applyNumberFormat="1" applyFont="1" applyFill="1" applyBorder="1" applyAlignment="1" applyProtection="1">
      <alignment horizontal="center"/>
    </xf>
    <xf numFmtId="167" fontId="35" fillId="2" borderId="41" xfId="0" applyNumberFormat="1" applyFont="1" applyFill="1" applyBorder="1" applyAlignment="1" applyProtection="1">
      <alignment horizontal="center"/>
    </xf>
    <xf numFmtId="166" fontId="25" fillId="2" borderId="25" xfId="0" applyFont="1" applyFill="1" applyBorder="1" applyAlignment="1" applyProtection="1">
      <alignment horizontal="center"/>
    </xf>
    <xf numFmtId="166" fontId="26" fillId="0" borderId="0" xfId="0" applyFont="1" applyAlignment="1" applyProtection="1">
      <alignment horizontal="center"/>
    </xf>
    <xf numFmtId="166" fontId="2" fillId="2" borderId="42" xfId="0" applyFont="1" applyFill="1" applyBorder="1" applyProtection="1"/>
    <xf numFmtId="49" fontId="2" fillId="2" borderId="42" xfId="0" applyNumberFormat="1" applyFont="1" applyFill="1" applyBorder="1" applyAlignment="1" applyProtection="1">
      <alignment horizontal="center"/>
    </xf>
    <xf numFmtId="166" fontId="2" fillId="2" borderId="42" xfId="0" applyFont="1" applyFill="1" applyBorder="1" applyAlignment="1" applyProtection="1">
      <alignment horizontal="center"/>
    </xf>
    <xf numFmtId="166" fontId="2" fillId="2" borderId="43" xfId="0" applyFont="1" applyFill="1" applyBorder="1" applyAlignment="1" applyProtection="1">
      <alignment horizontal="center"/>
    </xf>
    <xf numFmtId="166" fontId="2" fillId="2" borderId="43" xfId="0" applyFont="1" applyFill="1" applyBorder="1" applyProtection="1"/>
    <xf numFmtId="166" fontId="2" fillId="2" borderId="0" xfId="0" applyFont="1" applyFill="1" applyProtection="1"/>
    <xf numFmtId="49" fontId="2" fillId="2" borderId="0" xfId="0" applyNumberFormat="1" applyFont="1" applyFill="1" applyAlignment="1" applyProtection="1">
      <alignment horizontal="center"/>
    </xf>
    <xf numFmtId="167" fontId="2" fillId="2" borderId="0" xfId="0" applyNumberFormat="1" applyFont="1" applyFill="1" applyProtection="1"/>
    <xf numFmtId="167" fontId="36" fillId="2" borderId="0" xfId="0" applyNumberFormat="1" applyFont="1" applyFill="1" applyProtection="1"/>
    <xf numFmtId="166" fontId="7" fillId="2" borderId="0" xfId="0" applyFont="1" applyFill="1" applyProtection="1"/>
    <xf numFmtId="166" fontId="4" fillId="0" borderId="0" xfId="0" applyFont="1" applyProtection="1"/>
    <xf numFmtId="166" fontId="6" fillId="0" borderId="0" xfId="0" applyFont="1" applyProtection="1"/>
    <xf numFmtId="167" fontId="0" fillId="0" borderId="0" xfId="0" applyNumberFormat="1" applyProtection="1"/>
    <xf numFmtId="167" fontId="38" fillId="0" borderId="0" xfId="0" applyNumberFormat="1" applyFont="1" applyProtection="1"/>
    <xf numFmtId="166" fontId="7" fillId="0" borderId="0" xfId="0" applyFont="1" applyProtection="1"/>
    <xf numFmtId="166" fontId="0" fillId="0" borderId="0" xfId="0" applyBorder="1" applyProtection="1"/>
    <xf numFmtId="166" fontId="15" fillId="0" borderId="0" xfId="0" applyFont="1" applyAlignment="1">
      <alignment horizontal="left"/>
    </xf>
    <xf numFmtId="166" fontId="2" fillId="0" borderId="0" xfId="0" applyFont="1" applyAlignment="1">
      <alignment vertical="center"/>
    </xf>
    <xf numFmtId="166" fontId="9" fillId="0" borderId="0" xfId="0" applyFont="1" applyAlignment="1">
      <alignment vertical="center"/>
    </xf>
    <xf numFmtId="169" fontId="9" fillId="0" borderId="0" xfId="0" applyNumberFormat="1" applyFont="1" applyAlignment="1">
      <alignment horizontal="left" vertical="center"/>
    </xf>
    <xf numFmtId="166" fontId="15" fillId="0" borderId="0" xfId="0" applyFont="1" applyAlignment="1">
      <alignment horizontal="right" vertical="center"/>
    </xf>
    <xf numFmtId="166" fontId="48" fillId="0" borderId="0" xfId="0" applyFont="1" applyAlignment="1">
      <alignment horizontal="right" vertical="center"/>
    </xf>
    <xf numFmtId="166" fontId="50" fillId="2" borderId="1" xfId="0" applyFont="1" applyFill="1" applyBorder="1" applyAlignment="1" applyProtection="1">
      <alignment horizontal="center" vertical="center"/>
    </xf>
    <xf numFmtId="167" fontId="44" fillId="2" borderId="43" xfId="0" applyNumberFormat="1" applyFont="1" applyFill="1" applyBorder="1" applyProtection="1"/>
    <xf numFmtId="167" fontId="51" fillId="2" borderId="43" xfId="0" applyNumberFormat="1" applyFont="1" applyFill="1" applyBorder="1" applyProtection="1"/>
    <xf numFmtId="166" fontId="44" fillId="2" borderId="43" xfId="0" applyNumberFormat="1" applyFont="1" applyFill="1" applyBorder="1" applyAlignment="1" applyProtection="1">
      <alignment horizontal="right"/>
    </xf>
    <xf numFmtId="166" fontId="44" fillId="2" borderId="42" xfId="0" applyFont="1" applyFill="1" applyBorder="1" applyAlignment="1" applyProtection="1">
      <alignment horizontal="right"/>
    </xf>
    <xf numFmtId="167" fontId="44" fillId="2" borderId="42" xfId="0" applyNumberFormat="1" applyFont="1" applyFill="1" applyBorder="1" applyAlignment="1" applyProtection="1">
      <alignment horizontal="right"/>
    </xf>
    <xf numFmtId="166" fontId="52" fillId="2" borderId="2" xfId="0" applyFont="1" applyFill="1" applyBorder="1" applyAlignment="1" applyProtection="1">
      <alignment horizontal="center"/>
    </xf>
    <xf numFmtId="167" fontId="52" fillId="2" borderId="2" xfId="0" applyNumberFormat="1" applyFont="1" applyFill="1" applyBorder="1" applyAlignment="1" applyProtection="1">
      <alignment horizontal="center"/>
    </xf>
    <xf numFmtId="167" fontId="53" fillId="2" borderId="0" xfId="0" applyNumberFormat="1" applyFont="1" applyFill="1" applyBorder="1" applyAlignment="1" applyProtection="1">
      <alignment horizontal="center"/>
    </xf>
    <xf numFmtId="166" fontId="52" fillId="0" borderId="2" xfId="0" applyFont="1" applyFill="1" applyBorder="1" applyAlignment="1" applyProtection="1">
      <alignment horizontal="center"/>
    </xf>
    <xf numFmtId="166" fontId="52" fillId="2" borderId="7" xfId="0" applyFont="1" applyFill="1" applyBorder="1" applyAlignment="1" applyProtection="1">
      <alignment horizontal="center"/>
    </xf>
    <xf numFmtId="166" fontId="2" fillId="2" borderId="43" xfId="0" applyFont="1" applyFill="1" applyBorder="1" applyAlignment="1" applyProtection="1">
      <alignment horizontal="right"/>
    </xf>
    <xf numFmtId="166" fontId="2" fillId="2" borderId="43" xfId="0" applyNumberFormat="1" applyFont="1" applyFill="1" applyBorder="1" applyAlignment="1" applyProtection="1">
      <alignment horizontal="right"/>
    </xf>
    <xf numFmtId="166" fontId="2" fillId="2" borderId="43" xfId="0" applyNumberFormat="1" applyFont="1" applyFill="1" applyBorder="1" applyAlignment="1" applyProtection="1"/>
    <xf numFmtId="166" fontId="13" fillId="0" borderId="0" xfId="0" applyFont="1" applyProtection="1"/>
    <xf numFmtId="166" fontId="54" fillId="2" borderId="31" xfId="0" applyFont="1" applyFill="1" applyBorder="1" applyProtection="1"/>
    <xf numFmtId="166" fontId="25" fillId="2" borderId="11" xfId="0" applyFont="1" applyFill="1" applyBorder="1" applyProtection="1"/>
    <xf numFmtId="166" fontId="13" fillId="2" borderId="46" xfId="0" applyFont="1" applyFill="1" applyBorder="1" applyProtection="1"/>
    <xf numFmtId="167" fontId="13" fillId="2" borderId="47" xfId="0" applyNumberFormat="1" applyFont="1" applyFill="1" applyBorder="1" applyProtection="1"/>
    <xf numFmtId="167" fontId="13" fillId="2" borderId="48" xfId="0" applyNumberFormat="1" applyFont="1" applyFill="1" applyBorder="1" applyProtection="1"/>
    <xf numFmtId="166" fontId="13" fillId="2" borderId="31" xfId="0" applyFont="1" applyFill="1" applyBorder="1" applyProtection="1"/>
    <xf numFmtId="166" fontId="54" fillId="2" borderId="11" xfId="0" applyFont="1" applyFill="1" applyBorder="1" applyProtection="1"/>
    <xf numFmtId="166" fontId="13" fillId="2" borderId="26" xfId="0" applyFont="1" applyFill="1" applyBorder="1" applyProtection="1"/>
    <xf numFmtId="166" fontId="13" fillId="2" borderId="0" xfId="0" applyFont="1" applyFill="1" applyProtection="1"/>
    <xf numFmtId="166" fontId="13" fillId="0" borderId="0" xfId="0" applyFont="1" applyAlignment="1" applyProtection="1">
      <alignment horizontal="left"/>
    </xf>
    <xf numFmtId="166" fontId="13" fillId="0" borderId="0" xfId="0" quotePrefix="1" applyFont="1" applyAlignment="1" applyProtection="1">
      <alignment horizontal="left"/>
    </xf>
    <xf numFmtId="166" fontId="13" fillId="0" borderId="0" xfId="0" applyFont="1"/>
    <xf numFmtId="166" fontId="13" fillId="0" borderId="0" xfId="0" applyFont="1" applyAlignment="1">
      <alignment vertical="center"/>
    </xf>
    <xf numFmtId="166" fontId="9" fillId="2" borderId="36" xfId="0" applyFont="1" applyFill="1" applyBorder="1" applyAlignment="1" applyProtection="1">
      <alignment horizontal="left"/>
      <protection hidden="1"/>
    </xf>
    <xf numFmtId="49" fontId="9" fillId="2" borderId="36" xfId="0" applyNumberFormat="1" applyFont="1" applyFill="1" applyBorder="1" applyAlignment="1" applyProtection="1">
      <alignment horizontal="center"/>
      <protection hidden="1"/>
    </xf>
    <xf numFmtId="167" fontId="44" fillId="2" borderId="37" xfId="0" applyNumberFormat="1" applyFont="1" applyFill="1" applyBorder="1" applyAlignment="1" applyProtection="1">
      <alignment horizontal="center"/>
      <protection hidden="1"/>
    </xf>
    <xf numFmtId="167" fontId="51" fillId="2" borderId="37" xfId="0" applyNumberFormat="1" applyFont="1" applyFill="1" applyBorder="1" applyAlignment="1" applyProtection="1">
      <alignment horizontal="center"/>
      <protection hidden="1"/>
    </xf>
    <xf numFmtId="167" fontId="44" fillId="0" borderId="37" xfId="0" applyNumberFormat="1" applyFont="1" applyBorder="1" applyAlignment="1" applyProtection="1">
      <alignment horizontal="right"/>
      <protection hidden="1"/>
    </xf>
    <xf numFmtId="166" fontId="9" fillId="0" borderId="37" xfId="0" applyNumberFormat="1" applyFont="1" applyBorder="1" applyAlignment="1" applyProtection="1">
      <protection hidden="1"/>
    </xf>
    <xf numFmtId="166" fontId="24" fillId="2" borderId="36" xfId="0" applyNumberFormat="1" applyFont="1" applyFill="1" applyBorder="1" applyAlignment="1" applyProtection="1">
      <alignment horizontal="center"/>
      <protection hidden="1"/>
    </xf>
    <xf numFmtId="166" fontId="9" fillId="2" borderId="37" xfId="0" applyNumberFormat="1" applyFont="1" applyFill="1" applyBorder="1" applyAlignment="1" applyProtection="1">
      <alignment horizontal="right"/>
      <protection hidden="1"/>
    </xf>
    <xf numFmtId="167" fontId="44" fillId="2" borderId="36" xfId="0" applyNumberFormat="1" applyFont="1" applyFill="1" applyBorder="1" applyAlignment="1" applyProtection="1">
      <alignment horizontal="right"/>
      <protection hidden="1"/>
    </xf>
    <xf numFmtId="166" fontId="9" fillId="2" borderId="37" xfId="0" applyFont="1" applyFill="1" applyBorder="1" applyAlignment="1" applyProtection="1">
      <alignment horizontal="right"/>
      <protection hidden="1"/>
    </xf>
    <xf numFmtId="167" fontId="44" fillId="0" borderId="36" xfId="0" applyNumberFormat="1" applyFont="1" applyFill="1" applyBorder="1" applyAlignment="1" applyProtection="1">
      <alignment horizontal="right"/>
      <protection hidden="1"/>
    </xf>
    <xf numFmtId="166" fontId="9" fillId="0" borderId="37" xfId="0" applyNumberFormat="1" applyFont="1" applyBorder="1" applyAlignment="1" applyProtection="1">
      <alignment horizontal="right"/>
      <protection hidden="1"/>
    </xf>
    <xf numFmtId="166" fontId="24" fillId="2" borderId="37" xfId="0" applyNumberFormat="1" applyFont="1" applyFill="1" applyBorder="1" applyAlignment="1" applyProtection="1">
      <alignment horizontal="center"/>
      <protection hidden="1"/>
    </xf>
    <xf numFmtId="166" fontId="24" fillId="0" borderId="37" xfId="0" applyNumberFormat="1" applyFont="1" applyFill="1" applyBorder="1" applyAlignment="1" applyProtection="1">
      <alignment horizontal="center"/>
      <protection hidden="1"/>
    </xf>
    <xf numFmtId="166" fontId="9" fillId="0" borderId="37" xfId="0" applyNumberFormat="1" applyFont="1" applyFill="1" applyBorder="1" applyAlignment="1" applyProtection="1">
      <alignment horizontal="right"/>
      <protection hidden="1"/>
    </xf>
    <xf numFmtId="166" fontId="9" fillId="2" borderId="37" xfId="0" applyNumberFormat="1" applyFont="1" applyFill="1" applyBorder="1" applyAlignment="1" applyProtection="1">
      <protection hidden="1"/>
    </xf>
    <xf numFmtId="166" fontId="2" fillId="2" borderId="4" xfId="0" applyFont="1" applyFill="1" applyBorder="1" applyProtection="1">
      <protection hidden="1"/>
    </xf>
    <xf numFmtId="49" fontId="2" fillId="2" borderId="4" xfId="0" applyNumberFormat="1" applyFont="1" applyFill="1" applyBorder="1" applyAlignment="1" applyProtection="1">
      <alignment horizontal="center"/>
      <protection hidden="1"/>
    </xf>
    <xf numFmtId="167" fontId="2" fillId="2" borderId="32" xfId="0" applyNumberFormat="1" applyFont="1" applyFill="1" applyBorder="1" applyAlignment="1" applyProtection="1">
      <alignment horizontal="center"/>
      <protection hidden="1"/>
    </xf>
    <xf numFmtId="167" fontId="36" fillId="2" borderId="4" xfId="0" applyNumberFormat="1" applyFont="1" applyFill="1" applyBorder="1" applyAlignment="1" applyProtection="1">
      <alignment horizontal="center"/>
      <protection hidden="1"/>
    </xf>
    <xf numFmtId="166" fontId="2" fillId="2" borderId="31" xfId="0" applyFont="1" applyFill="1" applyBorder="1" applyProtection="1">
      <protection hidden="1"/>
    </xf>
    <xf numFmtId="166" fontId="2" fillId="2" borderId="3" xfId="0" applyFont="1" applyFill="1" applyBorder="1" applyAlignment="1" applyProtection="1">
      <alignment horizontal="center"/>
      <protection hidden="1"/>
    </xf>
    <xf numFmtId="166" fontId="2" fillId="2" borderId="29" xfId="0" applyFont="1" applyFill="1" applyBorder="1" applyProtection="1">
      <protection hidden="1"/>
    </xf>
    <xf numFmtId="166" fontId="2" fillId="2" borderId="4" xfId="0" applyNumberFormat="1" applyFont="1" applyFill="1" applyBorder="1" applyAlignment="1" applyProtection="1">
      <alignment horizontal="center"/>
      <protection hidden="1"/>
    </xf>
    <xf numFmtId="166" fontId="2" fillId="2" borderId="3" xfId="0" applyNumberFormat="1" applyFont="1" applyFill="1" applyBorder="1" applyAlignment="1" applyProtection="1">
      <alignment horizontal="center"/>
      <protection hidden="1"/>
    </xf>
    <xf numFmtId="167" fontId="2" fillId="2" borderId="4" xfId="0" applyNumberFormat="1" applyFont="1" applyFill="1" applyBorder="1" applyAlignment="1" applyProtection="1">
      <alignment horizontal="center"/>
      <protection hidden="1"/>
    </xf>
    <xf numFmtId="3" fontId="2" fillId="2" borderId="4" xfId="0" applyNumberFormat="1" applyFont="1" applyFill="1" applyBorder="1" applyAlignment="1" applyProtection="1">
      <alignment horizontal="center"/>
      <protection hidden="1"/>
    </xf>
    <xf numFmtId="166" fontId="2" fillId="2" borderId="3" xfId="0" applyFont="1" applyFill="1" applyBorder="1" applyProtection="1">
      <protection hidden="1"/>
    </xf>
    <xf numFmtId="166" fontId="3" fillId="2" borderId="0" xfId="0" applyFont="1" applyFill="1" applyBorder="1" applyProtection="1">
      <protection hidden="1"/>
    </xf>
    <xf numFmtId="49" fontId="5" fillId="2" borderId="0" xfId="0" applyNumberFormat="1" applyFont="1" applyFill="1" applyBorder="1" applyAlignment="1" applyProtection="1">
      <alignment horizontal="center"/>
      <protection hidden="1"/>
    </xf>
    <xf numFmtId="167" fontId="3" fillId="2" borderId="13" xfId="0" applyNumberFormat="1" applyFont="1" applyFill="1" applyBorder="1" applyAlignment="1" applyProtection="1">
      <alignment horizontal="right"/>
      <protection hidden="1"/>
    </xf>
    <xf numFmtId="167" fontId="33" fillId="2" borderId="0" xfId="0" applyNumberFormat="1" applyFont="1" applyFill="1" applyBorder="1" applyAlignment="1" applyProtection="1">
      <alignment horizontal="right"/>
      <protection hidden="1"/>
    </xf>
    <xf numFmtId="167" fontId="46" fillId="2" borderId="11" xfId="0" applyNumberFormat="1" applyFont="1" applyFill="1" applyBorder="1" applyAlignment="1" applyProtection="1">
      <alignment horizontal="right"/>
      <protection hidden="1"/>
    </xf>
    <xf numFmtId="166" fontId="55" fillId="2" borderId="2" xfId="0" applyNumberFormat="1" applyFont="1" applyFill="1" applyBorder="1" applyAlignment="1" applyProtection="1">
      <alignment horizontal="center"/>
      <protection hidden="1"/>
    </xf>
    <xf numFmtId="167" fontId="46" fillId="2" borderId="12" xfId="0" applyNumberFormat="1" applyFont="1" applyFill="1" applyBorder="1" applyAlignment="1" applyProtection="1">
      <alignment horizontal="right"/>
      <protection hidden="1"/>
    </xf>
    <xf numFmtId="166" fontId="46" fillId="2" borderId="12" xfId="0" applyNumberFormat="1" applyFont="1" applyFill="1" applyBorder="1" applyAlignment="1" applyProtection="1">
      <protection hidden="1"/>
    </xf>
    <xf numFmtId="166" fontId="55" fillId="2" borderId="12" xfId="0" applyNumberFormat="1" applyFont="1" applyFill="1" applyBorder="1" applyAlignment="1" applyProtection="1">
      <protection hidden="1"/>
    </xf>
    <xf numFmtId="167" fontId="3" fillId="2" borderId="11" xfId="0" applyNumberFormat="1" applyFont="1" applyFill="1" applyBorder="1" applyAlignment="1" applyProtection="1">
      <alignment horizontal="right"/>
      <protection hidden="1"/>
    </xf>
    <xf numFmtId="166" fontId="3" fillId="2" borderId="2" xfId="0" applyNumberFormat="1" applyFont="1" applyFill="1" applyBorder="1" applyAlignment="1" applyProtection="1">
      <alignment horizontal="center"/>
      <protection hidden="1"/>
    </xf>
    <xf numFmtId="167" fontId="3" fillId="2" borderId="12" xfId="0" applyNumberFormat="1" applyFont="1" applyFill="1" applyBorder="1" applyAlignment="1" applyProtection="1">
      <alignment horizontal="right"/>
      <protection hidden="1"/>
    </xf>
    <xf numFmtId="166" fontId="23" fillId="2" borderId="0" xfId="0" applyNumberFormat="1" applyFont="1" applyFill="1" applyBorder="1" applyAlignment="1" applyProtection="1">
      <alignment horizontal="center"/>
      <protection hidden="1"/>
    </xf>
    <xf numFmtId="167" fontId="23" fillId="2" borderId="2" xfId="0" applyNumberFormat="1" applyFont="1" applyFill="1" applyBorder="1" applyAlignment="1" applyProtection="1">
      <alignment horizontal="center"/>
      <protection hidden="1"/>
    </xf>
    <xf numFmtId="167" fontId="3" fillId="2" borderId="0" xfId="0" applyNumberFormat="1" applyFont="1" applyFill="1" applyAlignment="1" applyProtection="1">
      <alignment horizontal="center"/>
      <protection hidden="1"/>
    </xf>
    <xf numFmtId="166" fontId="3" fillId="2" borderId="2" xfId="0" applyFont="1" applyFill="1" applyBorder="1" applyAlignment="1" applyProtection="1">
      <alignment horizontal="center"/>
      <protection hidden="1"/>
    </xf>
    <xf numFmtId="3" fontId="3" fillId="2" borderId="0" xfId="0" applyNumberFormat="1" applyFont="1" applyFill="1" applyAlignment="1" applyProtection="1">
      <alignment horizontal="center"/>
      <protection hidden="1"/>
    </xf>
    <xf numFmtId="166" fontId="3" fillId="2" borderId="2" xfId="0" applyNumberFormat="1" applyFont="1" applyFill="1" applyBorder="1" applyAlignment="1" applyProtection="1">
      <alignment horizontal="right"/>
      <protection hidden="1"/>
    </xf>
    <xf numFmtId="166" fontId="3" fillId="2" borderId="7" xfId="0" applyNumberFormat="1" applyFont="1" applyFill="1" applyBorder="1" applyAlignment="1" applyProtection="1">
      <alignment horizontal="right"/>
      <protection hidden="1"/>
    </xf>
    <xf numFmtId="166" fontId="3" fillId="2" borderId="2" xfId="0" applyNumberFormat="1" applyFont="1" applyFill="1" applyBorder="1" applyProtection="1">
      <protection hidden="1"/>
    </xf>
    <xf numFmtId="167" fontId="23" fillId="2" borderId="11" xfId="0" applyNumberFormat="1" applyFont="1" applyFill="1" applyBorder="1" applyAlignment="1" applyProtection="1">
      <alignment horizontal="center"/>
      <protection hidden="1"/>
    </xf>
    <xf numFmtId="166" fontId="23" fillId="2" borderId="12" xfId="0" applyNumberFormat="1" applyFont="1" applyFill="1" applyBorder="1" applyAlignment="1" applyProtection="1">
      <alignment horizontal="center"/>
      <protection hidden="1"/>
    </xf>
    <xf numFmtId="167" fontId="23" fillId="2" borderId="7" xfId="0" applyNumberFormat="1" applyFont="1" applyFill="1" applyBorder="1" applyAlignment="1" applyProtection="1">
      <alignment horizontal="center"/>
      <protection hidden="1"/>
    </xf>
    <xf numFmtId="166" fontId="23" fillId="2" borderId="12" xfId="0" applyFont="1" applyFill="1" applyBorder="1" applyAlignment="1" applyProtection="1">
      <alignment horizontal="center"/>
      <protection hidden="1"/>
    </xf>
    <xf numFmtId="166" fontId="2" fillId="2" borderId="41" xfId="0" applyFont="1" applyFill="1" applyBorder="1" applyProtection="1">
      <protection hidden="1"/>
    </xf>
    <xf numFmtId="49" fontId="2" fillId="2" borderId="41" xfId="0" applyNumberFormat="1" applyFont="1" applyFill="1" applyBorder="1" applyAlignment="1" applyProtection="1">
      <alignment horizontal="center"/>
      <protection hidden="1"/>
    </xf>
    <xf numFmtId="167" fontId="2" fillId="2" borderId="27" xfId="0" applyNumberFormat="1" applyFont="1" applyFill="1" applyBorder="1" applyProtection="1">
      <protection hidden="1"/>
    </xf>
    <xf numFmtId="167" fontId="36" fillId="2" borderId="0" xfId="0" applyNumberFormat="1" applyFont="1" applyFill="1" applyBorder="1" applyProtection="1">
      <protection hidden="1"/>
    </xf>
    <xf numFmtId="166" fontId="2" fillId="2" borderId="44" xfId="0" applyFont="1" applyFill="1" applyBorder="1" applyProtection="1">
      <protection hidden="1"/>
    </xf>
    <xf numFmtId="166" fontId="2" fillId="2" borderId="25" xfId="0" applyFont="1" applyFill="1" applyBorder="1" applyAlignment="1" applyProtection="1">
      <alignment horizontal="center"/>
      <protection hidden="1"/>
    </xf>
    <xf numFmtId="166" fontId="2" fillId="2" borderId="20" xfId="0" applyFont="1" applyFill="1" applyBorder="1" applyProtection="1">
      <protection hidden="1"/>
    </xf>
    <xf numFmtId="166" fontId="23" fillId="2" borderId="20" xfId="0" applyNumberFormat="1" applyFont="1" applyFill="1" applyBorder="1" applyAlignment="1" applyProtection="1">
      <alignment horizontal="center"/>
      <protection hidden="1"/>
    </xf>
    <xf numFmtId="167" fontId="23" fillId="2" borderId="19" xfId="0" applyNumberFormat="1" applyFont="1" applyFill="1" applyBorder="1" applyAlignment="1" applyProtection="1">
      <alignment horizontal="center"/>
      <protection hidden="1"/>
    </xf>
    <xf numFmtId="166" fontId="2" fillId="2" borderId="41" xfId="0" applyFont="1" applyFill="1" applyBorder="1" applyAlignment="1" applyProtection="1">
      <alignment horizontal="center"/>
      <protection hidden="1"/>
    </xf>
    <xf numFmtId="3" fontId="2" fillId="2" borderId="41" xfId="0" applyNumberFormat="1" applyFont="1" applyFill="1" applyBorder="1" applyAlignment="1" applyProtection="1">
      <alignment horizontal="center"/>
      <protection hidden="1"/>
    </xf>
    <xf numFmtId="166" fontId="23" fillId="2" borderId="41" xfId="0" applyFont="1" applyFill="1" applyBorder="1" applyAlignment="1" applyProtection="1">
      <alignment horizontal="center"/>
      <protection hidden="1"/>
    </xf>
    <xf numFmtId="166" fontId="2" fillId="2" borderId="21" xfId="0" applyFont="1" applyFill="1" applyBorder="1" applyAlignment="1" applyProtection="1">
      <alignment horizontal="center"/>
      <protection hidden="1"/>
    </xf>
    <xf numFmtId="166" fontId="3" fillId="2" borderId="19" xfId="0" applyFont="1" applyFill="1" applyBorder="1" applyProtection="1">
      <protection hidden="1"/>
    </xf>
    <xf numFmtId="166" fontId="13" fillId="0" borderId="0" xfId="0" applyFont="1" applyProtection="1">
      <protection hidden="1"/>
    </xf>
    <xf numFmtId="166" fontId="2" fillId="0" borderId="0" xfId="0" applyFont="1" applyProtection="1">
      <protection hidden="1"/>
    </xf>
    <xf numFmtId="166" fontId="15" fillId="0" borderId="0" xfId="0" applyFont="1" applyAlignment="1" applyProtection="1">
      <alignment horizontal="right" vertical="center"/>
      <protection hidden="1"/>
    </xf>
    <xf numFmtId="167" fontId="2" fillId="0" borderId="0" xfId="0" applyNumberFormat="1" applyFont="1" applyProtection="1">
      <protection hidden="1"/>
    </xf>
    <xf numFmtId="166" fontId="33" fillId="0" borderId="0" xfId="0" applyFont="1" applyAlignment="1" applyProtection="1">
      <alignment horizontal="right"/>
      <protection hidden="1"/>
    </xf>
    <xf numFmtId="166" fontId="9" fillId="0" borderId="0" xfId="0" applyFont="1" applyProtection="1">
      <protection hidden="1"/>
    </xf>
    <xf numFmtId="49" fontId="2" fillId="0" borderId="0" xfId="0" applyNumberFormat="1" applyFont="1" applyAlignment="1" applyProtection="1">
      <alignment horizontal="center"/>
      <protection hidden="1"/>
    </xf>
    <xf numFmtId="167" fontId="36" fillId="0" borderId="0" xfId="0" applyNumberFormat="1" applyFont="1" applyProtection="1">
      <protection hidden="1"/>
    </xf>
    <xf numFmtId="49" fontId="36" fillId="0" borderId="0" xfId="0" applyNumberFormat="1" applyFont="1" applyAlignment="1" applyProtection="1">
      <alignment horizontal="center"/>
      <protection hidden="1"/>
    </xf>
    <xf numFmtId="166" fontId="37" fillId="0" borderId="0" xfId="0" applyFont="1" applyProtection="1">
      <protection hidden="1"/>
    </xf>
    <xf numFmtId="166" fontId="2" fillId="0" borderId="0" xfId="0" applyFont="1" applyBorder="1" applyProtection="1">
      <protection hidden="1"/>
    </xf>
    <xf numFmtId="166" fontId="36" fillId="0" borderId="0" xfId="0" applyFont="1" applyProtection="1">
      <protection hidden="1"/>
    </xf>
    <xf numFmtId="166" fontId="0" fillId="0" borderId="0" xfId="0" applyProtection="1">
      <protection hidden="1"/>
    </xf>
    <xf numFmtId="169" fontId="2" fillId="0" borderId="0" xfId="0" applyNumberFormat="1" applyFont="1" applyAlignment="1" applyProtection="1">
      <alignment horizontal="left"/>
      <protection hidden="1"/>
    </xf>
    <xf numFmtId="169" fontId="9" fillId="0" borderId="0" xfId="0" applyNumberFormat="1" applyFont="1" applyAlignment="1" applyProtection="1">
      <alignment horizontal="left"/>
      <protection hidden="1"/>
    </xf>
    <xf numFmtId="169" fontId="37" fillId="0" borderId="0" xfId="0" quotePrefix="1" applyNumberFormat="1" applyFont="1" applyAlignment="1" applyProtection="1">
      <alignment horizontal="left"/>
      <protection hidden="1"/>
    </xf>
    <xf numFmtId="169" fontId="9" fillId="0" borderId="0" xfId="0" quotePrefix="1" applyNumberFormat="1" applyFont="1" applyAlignment="1" applyProtection="1">
      <alignment horizontal="left"/>
      <protection hidden="1"/>
    </xf>
    <xf numFmtId="166" fontId="54" fillId="2" borderId="31" xfId="0" applyFont="1" applyFill="1" applyBorder="1" applyProtection="1">
      <protection hidden="1"/>
    </xf>
    <xf numFmtId="49" fontId="34" fillId="2" borderId="3" xfId="0" applyNumberFormat="1" applyFont="1" applyFill="1" applyBorder="1" applyAlignment="1" applyProtection="1">
      <alignment horizontal="center"/>
      <protection hidden="1"/>
    </xf>
    <xf numFmtId="167" fontId="34" fillId="2" borderId="39" xfId="0" applyNumberFormat="1" applyFont="1" applyFill="1" applyBorder="1" applyProtection="1">
      <protection hidden="1"/>
    </xf>
    <xf numFmtId="166" fontId="16" fillId="2" borderId="7" xfId="0" applyFont="1" applyFill="1" applyBorder="1" applyAlignment="1" applyProtection="1">
      <alignment horizontal="center"/>
      <protection hidden="1"/>
    </xf>
    <xf numFmtId="166" fontId="34" fillId="2" borderId="5" xfId="0" applyFont="1" applyFill="1" applyBorder="1" applyAlignment="1" applyProtection="1">
      <alignment horizontal="center"/>
      <protection hidden="1"/>
    </xf>
    <xf numFmtId="166" fontId="52" fillId="2" borderId="11" xfId="0" applyFont="1" applyFill="1" applyBorder="1" applyProtection="1">
      <protection hidden="1"/>
    </xf>
    <xf numFmtId="49" fontId="53" fillId="2" borderId="2" xfId="0" applyNumberFormat="1" applyFont="1" applyFill="1" applyBorder="1" applyAlignment="1" applyProtection="1">
      <alignment horizontal="center"/>
      <protection hidden="1"/>
    </xf>
    <xf numFmtId="167" fontId="51" fillId="0" borderId="0" xfId="0" applyNumberFormat="1" applyFont="1" applyBorder="1" applyAlignment="1" applyProtection="1">
      <alignment horizontal="centerContinuous"/>
      <protection hidden="1"/>
    </xf>
    <xf numFmtId="166" fontId="14" fillId="2" borderId="7" xfId="0" applyFont="1" applyFill="1" applyBorder="1" applyAlignment="1" applyProtection="1">
      <alignment horizontal="center"/>
      <protection hidden="1"/>
    </xf>
    <xf numFmtId="166" fontId="31" fillId="2" borderId="7" xfId="0" applyFont="1" applyFill="1" applyBorder="1" applyAlignment="1" applyProtection="1">
      <alignment horizontal="center"/>
      <protection hidden="1"/>
    </xf>
    <xf numFmtId="166" fontId="31" fillId="2" borderId="2" xfId="0" applyFont="1" applyFill="1" applyBorder="1" applyAlignment="1" applyProtection="1">
      <alignment horizontal="center"/>
      <protection hidden="1"/>
    </xf>
    <xf numFmtId="166" fontId="2" fillId="2" borderId="7" xfId="0" applyFont="1" applyFill="1" applyBorder="1" applyProtection="1">
      <protection hidden="1"/>
    </xf>
    <xf numFmtId="166" fontId="2" fillId="2" borderId="2" xfId="0" applyFont="1" applyFill="1" applyBorder="1" applyAlignment="1" applyProtection="1">
      <alignment horizontal="center"/>
      <protection hidden="1"/>
    </xf>
    <xf numFmtId="166" fontId="2" fillId="2" borderId="7" xfId="0" applyFont="1" applyFill="1" applyBorder="1" applyAlignment="1" applyProtection="1">
      <alignment horizontal="center"/>
      <protection hidden="1"/>
    </xf>
    <xf numFmtId="166" fontId="36" fillId="2" borderId="7" xfId="0" applyFont="1" applyFill="1" applyBorder="1" applyAlignment="1" applyProtection="1">
      <alignment horizontal="center"/>
      <protection hidden="1"/>
    </xf>
    <xf numFmtId="167" fontId="13" fillId="2" borderId="49" xfId="0" applyNumberFormat="1" applyFont="1" applyFill="1" applyBorder="1" applyProtection="1">
      <protection hidden="1"/>
    </xf>
    <xf numFmtId="166" fontId="9" fillId="2" borderId="10" xfId="0" applyFont="1" applyFill="1" applyBorder="1" applyAlignment="1" applyProtection="1">
      <alignment horizontal="left"/>
      <protection hidden="1"/>
    </xf>
    <xf numFmtId="49" fontId="9" fillId="2" borderId="10" xfId="0" applyNumberFormat="1" applyFont="1" applyFill="1" applyBorder="1" applyAlignment="1" applyProtection="1">
      <alignment horizontal="center"/>
      <protection hidden="1"/>
    </xf>
    <xf numFmtId="0" fontId="37" fillId="2" borderId="6" xfId="0" applyNumberFormat="1" applyFont="1" applyFill="1" applyBorder="1" applyAlignment="1" applyProtection="1">
      <alignment horizontal="center"/>
      <protection hidden="1"/>
    </xf>
    <xf numFmtId="167" fontId="9" fillId="0" borderId="6" xfId="0" applyNumberFormat="1" applyFont="1" applyFill="1" applyBorder="1" applyAlignment="1" applyProtection="1">
      <alignment horizontal="center"/>
      <protection hidden="1"/>
    </xf>
    <xf numFmtId="166" fontId="9" fillId="2" borderId="10" xfId="0" applyNumberFormat="1" applyFont="1" applyFill="1" applyBorder="1" applyAlignment="1" applyProtection="1">
      <alignment horizontal="center"/>
      <protection hidden="1"/>
    </xf>
    <xf numFmtId="166" fontId="37" fillId="0" borderId="10" xfId="0" applyNumberFormat="1" applyFont="1" applyFill="1" applyBorder="1" applyAlignment="1" applyProtection="1">
      <alignment horizontal="center"/>
      <protection hidden="1"/>
    </xf>
    <xf numFmtId="166" fontId="9" fillId="0" borderId="10" xfId="0" applyNumberFormat="1" applyFont="1" applyFill="1" applyBorder="1" applyAlignment="1" applyProtection="1">
      <alignment horizontal="center"/>
      <protection hidden="1"/>
    </xf>
    <xf numFmtId="166" fontId="9" fillId="2" borderId="6" xfId="0" applyNumberFormat="1" applyFont="1" applyFill="1" applyBorder="1" applyAlignment="1" applyProtection="1">
      <alignment horizontal="center"/>
      <protection hidden="1"/>
    </xf>
    <xf numFmtId="166" fontId="9" fillId="0" borderId="7" xfId="0" applyFont="1" applyFill="1" applyBorder="1" applyAlignment="1" applyProtection="1">
      <alignment horizontal="center"/>
      <protection hidden="1"/>
    </xf>
    <xf numFmtId="166" fontId="37" fillId="0" borderId="10" xfId="0" applyFont="1" applyFill="1" applyBorder="1" applyAlignment="1" applyProtection="1">
      <alignment horizontal="center"/>
      <protection hidden="1"/>
    </xf>
    <xf numFmtId="167" fontId="13" fillId="0" borderId="49" xfId="0" applyNumberFormat="1" applyFont="1" applyFill="1" applyBorder="1" applyProtection="1">
      <protection hidden="1"/>
    </xf>
    <xf numFmtId="166" fontId="13" fillId="2" borderId="31" xfId="0" applyFont="1" applyFill="1" applyBorder="1" applyProtection="1">
      <protection hidden="1"/>
    </xf>
    <xf numFmtId="49" fontId="36" fillId="2" borderId="4" xfId="0" applyNumberFormat="1" applyFont="1" applyFill="1" applyBorder="1" applyAlignment="1" applyProtection="1">
      <alignment horizontal="center"/>
      <protection hidden="1"/>
    </xf>
    <xf numFmtId="166" fontId="2" fillId="2" borderId="40" xfId="0" applyFont="1" applyFill="1" applyBorder="1" applyProtection="1">
      <protection hidden="1"/>
    </xf>
    <xf numFmtId="166" fontId="36" fillId="2" borderId="40" xfId="0" applyFont="1" applyFill="1" applyBorder="1" applyProtection="1">
      <protection hidden="1"/>
    </xf>
    <xf numFmtId="166" fontId="54" fillId="2" borderId="11" xfId="0" applyFont="1" applyFill="1" applyBorder="1" applyProtection="1">
      <protection hidden="1"/>
    </xf>
    <xf numFmtId="49" fontId="39" fillId="2" borderId="0" xfId="0" applyNumberFormat="1" applyFont="1" applyFill="1" applyBorder="1" applyAlignment="1" applyProtection="1">
      <alignment horizontal="center"/>
      <protection hidden="1"/>
    </xf>
    <xf numFmtId="166" fontId="3" fillId="2" borderId="7" xfId="0" applyNumberFormat="1" applyFont="1" applyFill="1" applyBorder="1" applyProtection="1">
      <protection hidden="1"/>
    </xf>
    <xf numFmtId="166" fontId="33" fillId="2" borderId="7" xfId="0" applyNumberFormat="1" applyFont="1" applyFill="1" applyBorder="1" applyProtection="1">
      <protection hidden="1"/>
    </xf>
    <xf numFmtId="166" fontId="13" fillId="2" borderId="26" xfId="0" applyFont="1" applyFill="1" applyBorder="1" applyProtection="1">
      <protection hidden="1"/>
    </xf>
    <xf numFmtId="49" fontId="36" fillId="2" borderId="41" xfId="0" applyNumberFormat="1" applyFont="1" applyFill="1" applyBorder="1" applyAlignment="1" applyProtection="1">
      <alignment horizontal="center"/>
      <protection hidden="1"/>
    </xf>
    <xf numFmtId="166" fontId="2" fillId="2" borderId="21" xfId="0" applyFont="1" applyFill="1" applyBorder="1" applyProtection="1">
      <protection hidden="1"/>
    </xf>
    <xf numFmtId="166" fontId="36" fillId="2" borderId="21" xfId="0" applyFont="1" applyFill="1" applyBorder="1" applyProtection="1">
      <protection hidden="1"/>
    </xf>
    <xf numFmtId="166" fontId="3" fillId="0" borderId="0" xfId="0" applyFont="1" applyAlignment="1" applyProtection="1">
      <alignment horizontal="right"/>
      <protection hidden="1"/>
    </xf>
    <xf numFmtId="166" fontId="18" fillId="0" borderId="0" xfId="0" applyFont="1" applyProtection="1">
      <protection hidden="1"/>
    </xf>
    <xf numFmtId="166" fontId="40" fillId="0" borderId="0" xfId="0" applyFont="1" applyProtection="1">
      <protection hidden="1"/>
    </xf>
    <xf numFmtId="49" fontId="40" fillId="0" borderId="0" xfId="0" applyNumberFormat="1" applyFont="1" applyProtection="1">
      <protection hidden="1"/>
    </xf>
    <xf numFmtId="166" fontId="19" fillId="0" borderId="14" xfId="0" applyFont="1" applyBorder="1" applyAlignment="1" applyProtection="1">
      <alignment horizontal="center"/>
      <protection hidden="1"/>
    </xf>
    <xf numFmtId="166" fontId="19" fillId="0" borderId="16" xfId="0" applyFont="1" applyBorder="1" applyProtection="1">
      <protection hidden="1"/>
    </xf>
    <xf numFmtId="166" fontId="19" fillId="0" borderId="14" xfId="0" applyFont="1" applyBorder="1" applyProtection="1">
      <protection hidden="1"/>
    </xf>
    <xf numFmtId="166" fontId="19" fillId="0" borderId="15" xfId="0" applyFont="1" applyBorder="1" applyProtection="1">
      <protection hidden="1"/>
    </xf>
    <xf numFmtId="166" fontId="19" fillId="0" borderId="0" xfId="0" applyFont="1" applyProtection="1">
      <protection hidden="1"/>
    </xf>
    <xf numFmtId="166" fontId="8" fillId="0" borderId="17" xfId="0" applyFont="1" applyBorder="1" applyAlignment="1" applyProtection="1">
      <alignment horizontal="center"/>
      <protection hidden="1"/>
    </xf>
    <xf numFmtId="166" fontId="8" fillId="0" borderId="18" xfId="0" applyFont="1" applyBorder="1" applyAlignment="1" applyProtection="1">
      <alignment horizontal="center"/>
      <protection hidden="1"/>
    </xf>
    <xf numFmtId="167" fontId="8" fillId="0" borderId="17" xfId="0" applyNumberFormat="1" applyFont="1" applyBorder="1" applyAlignment="1" applyProtection="1">
      <alignment horizontal="center"/>
      <protection hidden="1"/>
    </xf>
    <xf numFmtId="167" fontId="8" fillId="0" borderId="0" xfId="0" applyNumberFormat="1" applyFont="1" applyBorder="1" applyAlignment="1" applyProtection="1">
      <alignment horizontal="center"/>
      <protection hidden="1"/>
    </xf>
    <xf numFmtId="167" fontId="8" fillId="0" borderId="18" xfId="0" applyNumberFormat="1" applyFont="1" applyBorder="1" applyAlignment="1" applyProtection="1">
      <alignment horizontal="center"/>
      <protection hidden="1"/>
    </xf>
    <xf numFmtId="166" fontId="8" fillId="0" borderId="0" xfId="0" applyFont="1" applyAlignment="1" applyProtection="1">
      <alignment horizontal="center"/>
      <protection hidden="1"/>
    </xf>
    <xf numFmtId="166" fontId="19" fillId="0" borderId="17" xfId="0" applyFont="1" applyBorder="1" applyAlignment="1" applyProtection="1">
      <alignment horizontal="center"/>
      <protection hidden="1"/>
    </xf>
    <xf numFmtId="166" fontId="18" fillId="0" borderId="18" xfId="0" applyFont="1" applyBorder="1" applyAlignment="1" applyProtection="1">
      <alignment horizontal="center"/>
      <protection hidden="1"/>
    </xf>
    <xf numFmtId="166" fontId="18" fillId="0" borderId="17" xfId="0" applyFont="1" applyBorder="1" applyAlignment="1" applyProtection="1">
      <alignment horizontal="center"/>
      <protection hidden="1"/>
    </xf>
    <xf numFmtId="166" fontId="18" fillId="0" borderId="0" xfId="0" applyFont="1" applyBorder="1" applyAlignment="1" applyProtection="1">
      <alignment horizontal="center"/>
      <protection hidden="1"/>
    </xf>
    <xf numFmtId="166" fontId="8" fillId="0" borderId="0" xfId="0" applyFont="1" applyBorder="1" applyAlignment="1" applyProtection="1">
      <alignment horizontal="center"/>
      <protection hidden="1"/>
    </xf>
    <xf numFmtId="166" fontId="18" fillId="0" borderId="0" xfId="0" applyFont="1" applyAlignment="1" applyProtection="1">
      <alignment horizontal="center"/>
      <protection hidden="1"/>
    </xf>
    <xf numFmtId="49" fontId="40" fillId="0" borderId="17" xfId="0" applyNumberFormat="1" applyFont="1" applyBorder="1" applyProtection="1">
      <protection hidden="1"/>
    </xf>
    <xf numFmtId="167" fontId="18" fillId="0" borderId="18" xfId="0" applyNumberFormat="1" applyFont="1" applyBorder="1" applyProtection="1">
      <protection hidden="1"/>
    </xf>
    <xf numFmtId="170" fontId="41" fillId="0" borderId="17" xfId="3" applyNumberFormat="1" applyFont="1" applyBorder="1" applyProtection="1">
      <protection hidden="1"/>
    </xf>
    <xf numFmtId="166" fontId="41" fillId="0" borderId="0" xfId="0" applyFont="1" applyBorder="1" applyProtection="1">
      <protection hidden="1"/>
    </xf>
    <xf numFmtId="3" fontId="41" fillId="0" borderId="0" xfId="3" applyNumberFormat="1" applyFont="1" applyBorder="1" applyProtection="1">
      <protection hidden="1"/>
    </xf>
    <xf numFmtId="3" fontId="41" fillId="0" borderId="18" xfId="3" applyNumberFormat="1" applyFont="1" applyBorder="1" applyProtection="1">
      <protection hidden="1"/>
    </xf>
    <xf numFmtId="170" fontId="41" fillId="0" borderId="0" xfId="3" applyNumberFormat="1" applyFont="1" applyBorder="1" applyProtection="1">
      <protection hidden="1"/>
    </xf>
    <xf numFmtId="170" fontId="41" fillId="0" borderId="18" xfId="3" applyNumberFormat="1" applyFont="1" applyBorder="1" applyProtection="1">
      <protection hidden="1"/>
    </xf>
    <xf numFmtId="168" fontId="41" fillId="0" borderId="17" xfId="1" applyNumberFormat="1" applyFont="1" applyBorder="1" applyProtection="1">
      <protection hidden="1"/>
    </xf>
    <xf numFmtId="10" fontId="41" fillId="0" borderId="0" xfId="8" applyNumberFormat="1" applyFont="1" applyBorder="1" applyProtection="1">
      <protection hidden="1"/>
    </xf>
    <xf numFmtId="167" fontId="41" fillId="0" borderId="18" xfId="0" applyNumberFormat="1" applyFont="1" applyBorder="1" applyProtection="1">
      <protection hidden="1"/>
    </xf>
    <xf numFmtId="168" fontId="41" fillId="0" borderId="17" xfId="0" applyNumberFormat="1" applyFont="1" applyBorder="1" applyProtection="1">
      <protection hidden="1"/>
    </xf>
    <xf numFmtId="167" fontId="41" fillId="0" borderId="0" xfId="0" applyNumberFormat="1" applyFont="1" applyBorder="1" applyProtection="1">
      <protection hidden="1"/>
    </xf>
    <xf numFmtId="166" fontId="41" fillId="0" borderId="17" xfId="0" applyFont="1" applyBorder="1" applyProtection="1">
      <protection hidden="1"/>
    </xf>
    <xf numFmtId="172" fontId="41" fillId="0" borderId="18" xfId="8" applyNumberFormat="1" applyFont="1" applyBorder="1" applyProtection="1">
      <protection hidden="1"/>
    </xf>
    <xf numFmtId="168" fontId="41" fillId="0" borderId="0" xfId="0" applyNumberFormat="1" applyFont="1" applyBorder="1" applyProtection="1">
      <protection hidden="1"/>
    </xf>
    <xf numFmtId="166" fontId="41" fillId="0" borderId="18" xfId="0" applyFont="1" applyBorder="1" applyProtection="1">
      <protection hidden="1"/>
    </xf>
    <xf numFmtId="167" fontId="41" fillId="0" borderId="17" xfId="0" applyNumberFormat="1" applyFont="1" applyBorder="1" applyAlignment="1" applyProtection="1">
      <alignment horizontal="center"/>
      <protection hidden="1"/>
    </xf>
    <xf numFmtId="10" fontId="41" fillId="0" borderId="18" xfId="8" applyNumberFormat="1" applyFont="1" applyBorder="1" applyAlignment="1" applyProtection="1">
      <alignment horizontal="center"/>
      <protection hidden="1"/>
    </xf>
    <xf numFmtId="166" fontId="27" fillId="0" borderId="0" xfId="0" applyFont="1" applyBorder="1" applyAlignment="1" applyProtection="1">
      <alignment horizontal="center"/>
      <protection hidden="1"/>
    </xf>
    <xf numFmtId="9" fontId="27" fillId="0" borderId="18" xfId="8" applyFont="1" applyBorder="1" applyAlignment="1" applyProtection="1">
      <alignment horizontal="center"/>
      <protection hidden="1"/>
    </xf>
    <xf numFmtId="167" fontId="8" fillId="0" borderId="22" xfId="0" applyNumberFormat="1" applyFont="1" applyBorder="1" applyAlignment="1" applyProtection="1">
      <alignment horizontal="center"/>
      <protection hidden="1"/>
    </xf>
    <xf numFmtId="166" fontId="8" fillId="0" borderId="35" xfId="0" applyFont="1" applyBorder="1" applyAlignment="1" applyProtection="1">
      <alignment horizontal="center"/>
      <protection hidden="1"/>
    </xf>
    <xf numFmtId="9" fontId="27" fillId="0" borderId="34" xfId="8" applyFont="1" applyBorder="1" applyAlignment="1" applyProtection="1">
      <alignment horizontal="center"/>
      <protection hidden="1"/>
    </xf>
    <xf numFmtId="10" fontId="8" fillId="0" borderId="0" xfId="8" applyNumberFormat="1" applyFont="1" applyBorder="1" applyAlignment="1" applyProtection="1">
      <alignment horizontal="center"/>
      <protection hidden="1"/>
    </xf>
    <xf numFmtId="166" fontId="8" fillId="0" borderId="0" xfId="0" applyFont="1" applyProtection="1">
      <protection hidden="1"/>
    </xf>
    <xf numFmtId="49" fontId="40" fillId="0" borderId="22" xfId="0" applyNumberFormat="1" applyFont="1" applyBorder="1" applyProtection="1">
      <protection hidden="1"/>
    </xf>
    <xf numFmtId="167" fontId="18" fillId="0" borderId="34" xfId="0" applyNumberFormat="1" applyFont="1" applyBorder="1" applyProtection="1">
      <protection hidden="1"/>
    </xf>
    <xf numFmtId="170" fontId="41" fillId="0" borderId="22" xfId="3" applyNumberFormat="1" applyFont="1" applyBorder="1" applyProtection="1">
      <protection hidden="1"/>
    </xf>
    <xf numFmtId="166" fontId="41" fillId="0" borderId="35" xfId="0" applyFont="1" applyBorder="1" applyProtection="1">
      <protection hidden="1"/>
    </xf>
    <xf numFmtId="3" fontId="41" fillId="0" borderId="35" xfId="3" applyNumberFormat="1" applyFont="1" applyBorder="1" applyProtection="1">
      <protection hidden="1"/>
    </xf>
    <xf numFmtId="3" fontId="41" fillId="0" borderId="34" xfId="3" applyNumberFormat="1" applyFont="1" applyBorder="1" applyProtection="1">
      <protection hidden="1"/>
    </xf>
    <xf numFmtId="170" fontId="41" fillId="0" borderId="35" xfId="3" applyNumberFormat="1" applyFont="1" applyBorder="1" applyProtection="1">
      <protection hidden="1"/>
    </xf>
    <xf numFmtId="170" fontId="41" fillId="0" borderId="34" xfId="3" applyNumberFormat="1" applyFont="1" applyBorder="1" applyProtection="1">
      <protection hidden="1"/>
    </xf>
    <xf numFmtId="168" fontId="41" fillId="0" borderId="22" xfId="1" applyNumberFormat="1" applyFont="1" applyBorder="1" applyProtection="1">
      <protection hidden="1"/>
    </xf>
    <xf numFmtId="10" fontId="41" fillId="0" borderId="35" xfId="8" applyNumberFormat="1" applyFont="1" applyBorder="1" applyProtection="1">
      <protection hidden="1"/>
    </xf>
    <xf numFmtId="167" fontId="41" fillId="0" borderId="34" xfId="0" applyNumberFormat="1" applyFont="1" applyBorder="1" applyProtection="1">
      <protection hidden="1"/>
    </xf>
    <xf numFmtId="168" fontId="41" fillId="0" borderId="22" xfId="0" applyNumberFormat="1" applyFont="1" applyBorder="1" applyProtection="1">
      <protection hidden="1"/>
    </xf>
    <xf numFmtId="167" fontId="41" fillId="0" borderId="35" xfId="0" applyNumberFormat="1" applyFont="1" applyBorder="1" applyProtection="1">
      <protection hidden="1"/>
    </xf>
    <xf numFmtId="166" fontId="41" fillId="0" borderId="22" xfId="0" applyFont="1" applyBorder="1" applyProtection="1">
      <protection hidden="1"/>
    </xf>
    <xf numFmtId="172" fontId="41" fillId="0" borderId="34" xfId="8" applyNumberFormat="1" applyFont="1" applyBorder="1" applyProtection="1">
      <protection hidden="1"/>
    </xf>
    <xf numFmtId="168" fontId="41" fillId="0" borderId="35" xfId="0" applyNumberFormat="1" applyFont="1" applyBorder="1" applyProtection="1">
      <protection hidden="1"/>
    </xf>
    <xf numFmtId="166" fontId="41" fillId="0" borderId="34" xfId="0" applyFont="1" applyBorder="1" applyProtection="1">
      <protection hidden="1"/>
    </xf>
    <xf numFmtId="167" fontId="41" fillId="0" borderId="22" xfId="0" applyNumberFormat="1" applyFont="1" applyBorder="1" applyAlignment="1" applyProtection="1">
      <alignment horizontal="center"/>
      <protection hidden="1"/>
    </xf>
    <xf numFmtId="10" fontId="41" fillId="0" borderId="34" xfId="8" applyNumberFormat="1" applyFont="1" applyBorder="1" applyAlignment="1" applyProtection="1">
      <alignment horizontal="center"/>
      <protection hidden="1"/>
    </xf>
    <xf numFmtId="166" fontId="54" fillId="2" borderId="31" xfId="0" applyFont="1" applyFill="1" applyBorder="1" applyProtection="1">
      <protection locked="0"/>
    </xf>
    <xf numFmtId="166" fontId="15" fillId="2" borderId="31" xfId="0" applyFont="1" applyFill="1" applyBorder="1" applyAlignment="1" applyProtection="1">
      <alignment horizontal="center"/>
      <protection locked="0"/>
    </xf>
    <xf numFmtId="166" fontId="15" fillId="2" borderId="32" xfId="0" applyFont="1" applyFill="1" applyBorder="1" applyAlignment="1" applyProtection="1">
      <alignment horizontal="center"/>
      <protection locked="0"/>
    </xf>
    <xf numFmtId="166" fontId="15" fillId="0" borderId="3" xfId="0" applyFont="1" applyFill="1" applyBorder="1" applyAlignment="1" applyProtection="1">
      <alignment horizontal="center"/>
      <protection locked="0"/>
    </xf>
    <xf numFmtId="167" fontId="15" fillId="2" borderId="3" xfId="0" applyNumberFormat="1" applyFont="1" applyFill="1" applyBorder="1" applyAlignment="1" applyProtection="1">
      <alignment horizontal="center"/>
      <protection locked="0"/>
    </xf>
    <xf numFmtId="166" fontId="15" fillId="2" borderId="3" xfId="0" applyFont="1" applyFill="1" applyBorder="1" applyAlignment="1" applyProtection="1">
      <alignment horizontal="center"/>
      <protection locked="0"/>
    </xf>
    <xf numFmtId="166" fontId="15" fillId="2" borderId="29" xfId="0" applyFont="1" applyFill="1" applyBorder="1" applyProtection="1">
      <protection locked="0"/>
    </xf>
    <xf numFmtId="166" fontId="15" fillId="2" borderId="3" xfId="0" applyFont="1" applyFill="1" applyBorder="1" applyProtection="1">
      <protection locked="0"/>
    </xf>
    <xf numFmtId="166" fontId="15" fillId="2" borderId="29" xfId="0" applyFont="1" applyFill="1" applyBorder="1" applyAlignment="1" applyProtection="1">
      <alignment horizontal="center"/>
      <protection locked="0"/>
    </xf>
    <xf numFmtId="166" fontId="15" fillId="2" borderId="3" xfId="0" applyFont="1" applyFill="1" applyBorder="1" applyAlignment="1" applyProtection="1">
      <protection locked="0"/>
    </xf>
    <xf numFmtId="166" fontId="15" fillId="2" borderId="29" xfId="0" applyFont="1" applyFill="1" applyBorder="1" applyAlignment="1" applyProtection="1">
      <protection locked="0"/>
    </xf>
    <xf numFmtId="166" fontId="34" fillId="2" borderId="3" xfId="0" applyFont="1" applyFill="1" applyBorder="1" applyProtection="1">
      <protection locked="0"/>
    </xf>
    <xf numFmtId="166" fontId="0" fillId="0" borderId="0" xfId="0" applyProtection="1">
      <protection locked="0"/>
    </xf>
    <xf numFmtId="166" fontId="25" fillId="2" borderId="11" xfId="0" applyFont="1" applyFill="1" applyBorder="1" applyProtection="1">
      <protection locked="0"/>
    </xf>
    <xf numFmtId="166" fontId="14" fillId="2" borderId="11" xfId="0" applyFont="1" applyFill="1" applyBorder="1" applyAlignment="1" applyProtection="1">
      <alignment horizontal="center"/>
      <protection locked="0"/>
    </xf>
    <xf numFmtId="166" fontId="14" fillId="2" borderId="13" xfId="0" applyFont="1" applyFill="1" applyBorder="1" applyAlignment="1" applyProtection="1">
      <alignment horizontal="center"/>
      <protection locked="0"/>
    </xf>
    <xf numFmtId="166" fontId="14" fillId="2" borderId="23" xfId="0" applyFont="1" applyFill="1" applyBorder="1" applyAlignment="1" applyProtection="1">
      <alignment horizontal="center"/>
      <protection locked="0"/>
    </xf>
    <xf numFmtId="166" fontId="14" fillId="0" borderId="2" xfId="0" applyFont="1" applyFill="1" applyBorder="1" applyAlignment="1" applyProtection="1">
      <alignment horizontal="center"/>
      <protection locked="0"/>
    </xf>
    <xf numFmtId="167" fontId="15" fillId="2" borderId="2" xfId="0" applyNumberFormat="1" applyFont="1" applyFill="1" applyBorder="1" applyAlignment="1" applyProtection="1">
      <alignment horizontal="center"/>
      <protection locked="0"/>
    </xf>
    <xf numFmtId="166" fontId="32" fillId="2" borderId="2" xfId="0" applyFont="1" applyFill="1" applyBorder="1" applyAlignment="1" applyProtection="1">
      <alignment horizontal="center"/>
      <protection locked="0"/>
    </xf>
    <xf numFmtId="166" fontId="15" fillId="2" borderId="12" xfId="0" applyFont="1" applyFill="1" applyBorder="1" applyAlignment="1" applyProtection="1">
      <alignment horizontal="centerContinuous"/>
      <protection locked="0"/>
    </xf>
    <xf numFmtId="166" fontId="15" fillId="2" borderId="2" xfId="0" applyFont="1" applyFill="1" applyBorder="1" applyAlignment="1" applyProtection="1">
      <alignment horizontal="centerContinuous"/>
      <protection locked="0"/>
    </xf>
    <xf numFmtId="166" fontId="31" fillId="2" borderId="2" xfId="0" applyFont="1" applyFill="1" applyBorder="1" applyAlignment="1" applyProtection="1">
      <alignment horizontal="center"/>
      <protection locked="0"/>
    </xf>
    <xf numFmtId="166" fontId="15" fillId="2" borderId="2" xfId="0" applyFont="1" applyFill="1" applyBorder="1" applyAlignment="1" applyProtection="1">
      <alignment horizontal="center"/>
      <protection locked="0"/>
    </xf>
    <xf numFmtId="166" fontId="15" fillId="2" borderId="30" xfId="0" applyFont="1" applyFill="1" applyBorder="1" applyAlignment="1" applyProtection="1">
      <protection locked="0"/>
    </xf>
    <xf numFmtId="166" fontId="15" fillId="2" borderId="25" xfId="0" applyFont="1" applyFill="1" applyBorder="1" applyAlignment="1" applyProtection="1">
      <protection locked="0"/>
    </xf>
    <xf numFmtId="166" fontId="15" fillId="2" borderId="30" xfId="0" applyFont="1" applyFill="1" applyBorder="1" applyAlignment="1" applyProtection="1">
      <alignment horizontal="center"/>
      <protection locked="0"/>
    </xf>
    <xf numFmtId="166" fontId="15" fillId="2" borderId="25" xfId="0" applyFont="1" applyFill="1" applyBorder="1" applyAlignment="1" applyProtection="1">
      <alignment horizontal="center"/>
      <protection locked="0"/>
    </xf>
    <xf numFmtId="166" fontId="25" fillId="2" borderId="26" xfId="0" applyFont="1" applyFill="1" applyBorder="1" applyProtection="1">
      <protection locked="0"/>
    </xf>
    <xf numFmtId="166" fontId="31" fillId="0" borderId="26" xfId="0" applyFont="1" applyFill="1" applyBorder="1" applyAlignment="1" applyProtection="1">
      <alignment horizontal="center"/>
      <protection locked="0"/>
    </xf>
    <xf numFmtId="166" fontId="31" fillId="0" borderId="27" xfId="0" applyFont="1" applyFill="1" applyBorder="1" applyAlignment="1" applyProtection="1">
      <alignment horizontal="center"/>
      <protection locked="0"/>
    </xf>
    <xf numFmtId="166" fontId="31" fillId="0" borderId="24" xfId="0" applyFont="1" applyFill="1" applyBorder="1" applyAlignment="1" applyProtection="1">
      <alignment horizontal="center"/>
      <protection locked="0"/>
    </xf>
    <xf numFmtId="166" fontId="31" fillId="0" borderId="25" xfId="0" applyFont="1" applyFill="1" applyBorder="1" applyAlignment="1" applyProtection="1">
      <alignment horizontal="center"/>
      <protection locked="0"/>
    </xf>
    <xf numFmtId="167" fontId="15" fillId="2" borderId="25" xfId="0" applyNumberFormat="1" applyFont="1" applyFill="1" applyBorder="1" applyProtection="1">
      <protection locked="0"/>
    </xf>
    <xf numFmtId="166" fontId="47" fillId="2" borderId="8" xfId="0" applyFont="1" applyFill="1" applyBorder="1" applyAlignment="1" applyProtection="1">
      <alignment horizontal="center" vertical="center"/>
      <protection locked="0"/>
    </xf>
    <xf numFmtId="166" fontId="47" fillId="2" borderId="45" xfId="0" applyFont="1" applyFill="1" applyBorder="1" applyAlignment="1" applyProtection="1">
      <alignment horizontal="center" vertical="center" wrapText="1"/>
      <protection locked="0"/>
    </xf>
    <xf numFmtId="166" fontId="47" fillId="2" borderId="25" xfId="0" applyFont="1" applyFill="1" applyBorder="1" applyAlignment="1" applyProtection="1">
      <alignment horizontal="center" vertical="center"/>
      <protection locked="0"/>
    </xf>
    <xf numFmtId="166" fontId="31" fillId="2" borderId="25" xfId="0" applyFont="1" applyFill="1" applyBorder="1" applyProtection="1">
      <protection locked="0"/>
    </xf>
    <xf numFmtId="166" fontId="13" fillId="2" borderId="11" xfId="0" applyFont="1" applyFill="1" applyBorder="1" applyProtection="1">
      <protection locked="0"/>
    </xf>
    <xf numFmtId="166" fontId="2" fillId="2" borderId="12" xfId="0" applyFont="1" applyFill="1" applyBorder="1" applyProtection="1">
      <protection locked="0"/>
    </xf>
    <xf numFmtId="166" fontId="2" fillId="2" borderId="2" xfId="0" applyFont="1" applyFill="1" applyBorder="1" applyProtection="1">
      <protection locked="0"/>
    </xf>
    <xf numFmtId="49" fontId="2" fillId="2" borderId="5" xfId="0" applyNumberFormat="1" applyFont="1" applyFill="1" applyBorder="1" applyAlignment="1" applyProtection="1">
      <alignment horizontal="center"/>
      <protection locked="0"/>
    </xf>
    <xf numFmtId="167" fontId="2" fillId="2" borderId="2" xfId="0" applyNumberFormat="1" applyFont="1" applyFill="1" applyBorder="1" applyProtection="1">
      <protection locked="0"/>
    </xf>
    <xf numFmtId="166" fontId="2" fillId="2" borderId="2" xfId="0" applyFont="1" applyFill="1" applyBorder="1" applyAlignment="1" applyProtection="1">
      <alignment horizontal="center"/>
      <protection locked="0"/>
    </xf>
    <xf numFmtId="166" fontId="2" fillId="2" borderId="5" xfId="0" applyNumberFormat="1" applyFont="1" applyFill="1" applyBorder="1" applyProtection="1">
      <protection locked="0"/>
    </xf>
    <xf numFmtId="166" fontId="2" fillId="2" borderId="2" xfId="0" applyNumberFormat="1" applyFont="1" applyFill="1" applyBorder="1" applyProtection="1">
      <protection locked="0"/>
    </xf>
    <xf numFmtId="166" fontId="2" fillId="2" borderId="5" xfId="0" applyFont="1" applyFill="1" applyBorder="1" applyAlignment="1" applyProtection="1">
      <alignment horizontal="center"/>
      <protection locked="0"/>
    </xf>
    <xf numFmtId="166" fontId="2" fillId="2" borderId="0" xfId="0" applyFont="1" applyFill="1" applyBorder="1" applyProtection="1">
      <protection locked="0"/>
    </xf>
    <xf numFmtId="166" fontId="36" fillId="2" borderId="2" xfId="0" applyFont="1" applyFill="1" applyBorder="1" applyProtection="1">
      <protection locked="0"/>
    </xf>
    <xf numFmtId="167" fontId="13" fillId="2" borderId="49" xfId="0" applyNumberFormat="1" applyFont="1" applyFill="1" applyBorder="1" applyProtection="1">
      <protection locked="0"/>
    </xf>
    <xf numFmtId="167" fontId="37" fillId="0" borderId="6" xfId="0" applyNumberFormat="1" applyFont="1" applyFill="1" applyBorder="1" applyAlignment="1" applyProtection="1">
      <alignment horizontal="center"/>
      <protection locked="0"/>
    </xf>
    <xf numFmtId="167" fontId="13" fillId="0" borderId="49" xfId="0" applyNumberFormat="1" applyFont="1" applyFill="1" applyBorder="1" applyProtection="1">
      <protection locked="0"/>
    </xf>
    <xf numFmtId="0" fontId="9" fillId="0" borderId="0" xfId="0" applyNumberFormat="1" applyFont="1" applyAlignment="1" applyProtection="1">
      <alignment horizontal="left"/>
      <protection hidden="1"/>
    </xf>
    <xf numFmtId="166" fontId="2" fillId="0" borderId="0" xfId="0" applyFont="1" applyProtection="1">
      <protection hidden="1"/>
    </xf>
    <xf numFmtId="166" fontId="2" fillId="2" borderId="21" xfId="0" applyFont="1" applyFill="1" applyBorder="1" applyProtection="1">
      <protection hidden="1"/>
    </xf>
    <xf numFmtId="166" fontId="14" fillId="2" borderId="29" xfId="0" applyFont="1" applyFill="1" applyBorder="1" applyProtection="1">
      <protection hidden="1"/>
    </xf>
    <xf numFmtId="166" fontId="14" fillId="2" borderId="4" xfId="0" applyFont="1" applyFill="1" applyBorder="1" applyAlignment="1" applyProtection="1">
      <alignment horizontal="center"/>
      <protection hidden="1"/>
    </xf>
    <xf numFmtId="166" fontId="3" fillId="2" borderId="7" xfId="0" applyNumberFormat="1" applyFont="1" applyFill="1" applyBorder="1" applyProtection="1">
      <protection hidden="1"/>
    </xf>
    <xf numFmtId="166" fontId="55" fillId="2" borderId="10" xfId="0" applyNumberFormat="1" applyFont="1" applyFill="1" applyBorder="1" applyAlignment="1" applyProtection="1">
      <alignment horizontal="center"/>
      <protection hidden="1"/>
    </xf>
    <xf numFmtId="166" fontId="14" fillId="2" borderId="33" xfId="0" applyFont="1" applyFill="1" applyBorder="1" applyAlignment="1" applyProtection="1">
      <alignment horizontal="center"/>
      <protection locked="0"/>
    </xf>
    <xf numFmtId="166" fontId="47" fillId="0" borderId="0" xfId="0" applyFont="1" applyAlignment="1" applyProtection="1">
      <alignment horizontal="right" vertical="center"/>
      <protection hidden="1"/>
    </xf>
    <xf numFmtId="169" fontId="9" fillId="0" borderId="0" xfId="0" applyNumberFormat="1" applyFont="1" applyAlignment="1" applyProtection="1">
      <protection hidden="1"/>
    </xf>
    <xf numFmtId="9" fontId="9" fillId="0" borderId="6" xfId="8" applyFont="1" applyFill="1" applyBorder="1" applyAlignment="1" applyProtection="1">
      <alignment horizontal="center"/>
      <protection hidden="1"/>
    </xf>
    <xf numFmtId="49" fontId="32" fillId="2" borderId="2" xfId="0" applyNumberFormat="1" applyFont="1" applyFill="1" applyBorder="1" applyAlignment="1" applyProtection="1">
      <alignment horizontal="center"/>
      <protection hidden="1"/>
    </xf>
    <xf numFmtId="166" fontId="16" fillId="2" borderId="4" xfId="0" applyFont="1" applyFill="1" applyBorder="1" applyProtection="1">
      <protection hidden="1"/>
    </xf>
    <xf numFmtId="166" fontId="2" fillId="2" borderId="0" xfId="0" applyFont="1" applyFill="1" applyBorder="1" applyAlignment="1" applyProtection="1">
      <alignment horizontal="center"/>
      <protection hidden="1"/>
    </xf>
    <xf numFmtId="166" fontId="9" fillId="2" borderId="51" xfId="0" applyNumberFormat="1" applyFont="1" applyFill="1" applyBorder="1" applyAlignment="1" applyProtection="1">
      <alignment horizontal="center"/>
      <protection hidden="1"/>
    </xf>
    <xf numFmtId="166" fontId="9" fillId="0" borderId="6" xfId="0" applyFont="1" applyFill="1" applyBorder="1" applyAlignment="1" applyProtection="1">
      <alignment horizontal="center"/>
      <protection hidden="1"/>
    </xf>
    <xf numFmtId="167" fontId="52" fillId="0" borderId="52" xfId="0" applyNumberFormat="1" applyFont="1" applyBorder="1" applyAlignment="1" applyProtection="1">
      <alignment vertical="center"/>
      <protection hidden="1"/>
    </xf>
    <xf numFmtId="166" fontId="16" fillId="0" borderId="57" xfId="0" applyFont="1" applyFill="1" applyBorder="1" applyAlignment="1" applyProtection="1">
      <alignment horizontal="center"/>
      <protection hidden="1"/>
    </xf>
    <xf numFmtId="166" fontId="16" fillId="0" borderId="58" xfId="0" applyFont="1" applyFill="1" applyBorder="1" applyAlignment="1" applyProtection="1">
      <alignment horizontal="center"/>
      <protection hidden="1"/>
    </xf>
    <xf numFmtId="166" fontId="16" fillId="0" borderId="59" xfId="0" applyFont="1" applyFill="1" applyBorder="1" applyAlignment="1" applyProtection="1">
      <alignment horizontal="center"/>
      <protection hidden="1"/>
    </xf>
    <xf numFmtId="166" fontId="16" fillId="0" borderId="60" xfId="0" applyFont="1" applyFill="1" applyBorder="1" applyAlignment="1" applyProtection="1">
      <alignment horizontal="center"/>
      <protection hidden="1"/>
    </xf>
    <xf numFmtId="168" fontId="41" fillId="0" borderId="17" xfId="1" applyNumberFormat="1" applyFont="1" applyFill="1" applyBorder="1" applyProtection="1">
      <protection hidden="1"/>
    </xf>
    <xf numFmtId="166" fontId="41" fillId="0" borderId="0" xfId="0" applyFont="1" applyFill="1" applyBorder="1" applyProtection="1">
      <protection hidden="1"/>
    </xf>
    <xf numFmtId="10" fontId="41" fillId="0" borderId="0" xfId="8" applyNumberFormat="1" applyFont="1" applyFill="1" applyBorder="1" applyProtection="1">
      <protection hidden="1"/>
    </xf>
    <xf numFmtId="3" fontId="41" fillId="0" borderId="0" xfId="3" applyNumberFormat="1" applyFont="1" applyFill="1" applyBorder="1" applyProtection="1">
      <protection hidden="1"/>
    </xf>
    <xf numFmtId="167" fontId="41" fillId="0" borderId="18" xfId="0" applyNumberFormat="1" applyFont="1" applyFill="1" applyBorder="1" applyProtection="1">
      <protection hidden="1"/>
    </xf>
    <xf numFmtId="170" fontId="41" fillId="0" borderId="17" xfId="3" applyNumberFormat="1" applyFont="1" applyFill="1" applyBorder="1" applyProtection="1">
      <protection hidden="1"/>
    </xf>
    <xf numFmtId="173" fontId="45" fillId="3" borderId="0" xfId="0" applyNumberFormat="1" applyFont="1" applyFill="1" applyAlignment="1" applyProtection="1">
      <alignment horizontal="left" vertical="center"/>
      <protection locked="0"/>
    </xf>
    <xf numFmtId="9" fontId="13" fillId="2" borderId="6" xfId="8" applyFont="1" applyFill="1" applyBorder="1" applyAlignment="1" applyProtection="1">
      <alignment horizontal="center"/>
      <protection locked="0"/>
    </xf>
    <xf numFmtId="9" fontId="27" fillId="0" borderId="18" xfId="8" applyFont="1" applyBorder="1" applyAlignment="1" applyProtection="1">
      <alignment horizontal="center"/>
      <protection hidden="1"/>
    </xf>
    <xf numFmtId="10" fontId="41" fillId="0" borderId="0" xfId="8" applyNumberFormat="1" applyFont="1" applyFill="1" applyBorder="1" applyProtection="1">
      <protection hidden="1"/>
    </xf>
    <xf numFmtId="166" fontId="16" fillId="2" borderId="3" xfId="0" applyFont="1" applyFill="1" applyBorder="1" applyProtection="1">
      <protection hidden="1"/>
    </xf>
    <xf numFmtId="166" fontId="14" fillId="2" borderId="2" xfId="0" applyFont="1" applyFill="1" applyBorder="1" applyAlignment="1" applyProtection="1">
      <alignment horizontal="center"/>
      <protection hidden="1"/>
    </xf>
    <xf numFmtId="167" fontId="52" fillId="0" borderId="61" xfId="0" applyNumberFormat="1" applyFont="1" applyBorder="1" applyAlignment="1" applyProtection="1">
      <alignment vertical="center"/>
      <protection hidden="1"/>
    </xf>
    <xf numFmtId="169" fontId="9" fillId="0" borderId="0" xfId="0" applyNumberFormat="1" applyFont="1" applyAlignment="1" applyProtection="1">
      <alignment horizontal="left"/>
      <protection hidden="1"/>
    </xf>
    <xf numFmtId="49" fontId="2" fillId="2" borderId="2" xfId="0" applyNumberFormat="1" applyFont="1" applyFill="1" applyBorder="1" applyAlignment="1" applyProtection="1">
      <alignment horizontal="center"/>
      <protection locked="0"/>
    </xf>
    <xf numFmtId="1" fontId="10" fillId="0" borderId="6" xfId="0" applyNumberFormat="1" applyFont="1" applyFill="1" applyBorder="1" applyAlignment="1" applyProtection="1">
      <alignment horizontal="center"/>
      <protection locked="0"/>
    </xf>
    <xf numFmtId="166" fontId="2" fillId="2" borderId="4" xfId="0" applyFont="1" applyFill="1" applyBorder="1" applyAlignment="1" applyProtection="1">
      <alignment horizontal="center"/>
      <protection hidden="1"/>
    </xf>
    <xf numFmtId="166" fontId="55" fillId="2" borderId="0" xfId="0" applyNumberFormat="1" applyFont="1" applyFill="1" applyBorder="1" applyAlignment="1" applyProtection="1">
      <alignment horizontal="center"/>
      <protection hidden="1"/>
    </xf>
    <xf numFmtId="166" fontId="3" fillId="2" borderId="0" xfId="0" applyNumberFormat="1" applyFont="1" applyFill="1" applyBorder="1" applyAlignment="1" applyProtection="1">
      <alignment horizontal="center"/>
      <protection hidden="1"/>
    </xf>
    <xf numFmtId="166" fontId="58" fillId="0" borderId="37" xfId="0" applyNumberFormat="1" applyFont="1" applyFill="1" applyBorder="1" applyAlignment="1" applyProtection="1">
      <protection hidden="1"/>
    </xf>
    <xf numFmtId="166" fontId="3" fillId="2" borderId="0" xfId="0" applyNumberFormat="1" applyFont="1" applyFill="1" applyBorder="1" applyAlignment="1" applyProtection="1">
      <alignment horizontal="right"/>
      <protection hidden="1"/>
    </xf>
    <xf numFmtId="167" fontId="23" fillId="2" borderId="0" xfId="0" applyNumberFormat="1" applyFont="1" applyFill="1" applyBorder="1" applyAlignment="1" applyProtection="1">
      <alignment horizontal="center"/>
      <protection hidden="1"/>
    </xf>
    <xf numFmtId="14" fontId="2" fillId="2" borderId="43" xfId="0" applyNumberFormat="1" applyFont="1" applyFill="1" applyBorder="1" applyAlignment="1" applyProtection="1">
      <alignment horizontal="right"/>
    </xf>
    <xf numFmtId="14" fontId="60" fillId="2" borderId="43" xfId="0" applyNumberFormat="1" applyFont="1" applyFill="1" applyBorder="1" applyAlignment="1" applyProtection="1">
      <alignment horizontal="right"/>
    </xf>
    <xf numFmtId="167" fontId="61" fillId="0" borderId="36" xfId="0" applyNumberFormat="1" applyFont="1" applyFill="1" applyBorder="1" applyAlignment="1" applyProtection="1">
      <alignment horizontal="right"/>
      <protection hidden="1"/>
    </xf>
    <xf numFmtId="166" fontId="47" fillId="2" borderId="8" xfId="0" applyFont="1" applyFill="1" applyBorder="1" applyAlignment="1" applyProtection="1">
      <alignment horizontal="center" vertical="center" wrapText="1"/>
      <protection locked="0"/>
    </xf>
    <xf numFmtId="166" fontId="0" fillId="4" borderId="0" xfId="0" applyFill="1"/>
    <xf numFmtId="166" fontId="65" fillId="4" borderId="0" xfId="0" applyFont="1" applyFill="1"/>
    <xf numFmtId="166" fontId="0" fillId="4" borderId="40" xfId="0" applyFill="1" applyBorder="1" applyAlignment="1">
      <alignment horizontal="center" vertical="center"/>
    </xf>
    <xf numFmtId="166" fontId="0" fillId="4" borderId="40" xfId="0" applyFill="1" applyBorder="1" applyAlignment="1">
      <alignment horizontal="center"/>
    </xf>
    <xf numFmtId="166" fontId="0" fillId="4" borderId="7" xfId="0" applyFill="1" applyBorder="1"/>
    <xf numFmtId="0" fontId="0" fillId="4" borderId="0" xfId="0" applyNumberFormat="1" applyFill="1" applyBorder="1" applyAlignment="1">
      <alignment horizontal="center"/>
    </xf>
    <xf numFmtId="166" fontId="0" fillId="4" borderId="21" xfId="0" applyFill="1" applyBorder="1"/>
    <xf numFmtId="166" fontId="67" fillId="4" borderId="1" xfId="0" applyFont="1" applyFill="1" applyBorder="1" applyAlignment="1">
      <alignment horizontal="center"/>
    </xf>
    <xf numFmtId="0" fontId="7" fillId="0" borderId="0" xfId="0" applyNumberFormat="1" applyFont="1"/>
    <xf numFmtId="0" fontId="2" fillId="0" borderId="0" xfId="0" applyNumberFormat="1" applyFont="1"/>
    <xf numFmtId="49" fontId="2" fillId="0" borderId="0" xfId="0" applyNumberFormat="1" applyFont="1" applyAlignment="1">
      <alignment horizontal="right"/>
    </xf>
    <xf numFmtId="49" fontId="68" fillId="0" borderId="6" xfId="0" applyNumberFormat="1" applyFont="1" applyFill="1" applyBorder="1" applyAlignment="1" applyProtection="1">
      <alignment horizontal="center"/>
      <protection locked="0"/>
    </xf>
    <xf numFmtId="167" fontId="9" fillId="0" borderId="37" xfId="0" applyNumberFormat="1" applyFont="1" applyBorder="1" applyAlignment="1" applyProtection="1">
      <protection hidden="1"/>
    </xf>
    <xf numFmtId="2" fontId="0" fillId="4" borderId="7" xfId="0" applyNumberFormat="1" applyFill="1" applyBorder="1" applyAlignment="1">
      <alignment horizontal="center"/>
    </xf>
    <xf numFmtId="0" fontId="42" fillId="4" borderId="0" xfId="0" applyNumberFormat="1" applyFont="1" applyFill="1" applyBorder="1" applyAlignment="1">
      <alignment horizontal="center"/>
    </xf>
    <xf numFmtId="166" fontId="14" fillId="2" borderId="31" xfId="0" applyFont="1" applyFill="1" applyBorder="1" applyAlignment="1" applyProtection="1">
      <alignment horizontal="center"/>
      <protection locked="0"/>
    </xf>
    <xf numFmtId="166" fontId="47" fillId="2" borderId="45" xfId="0" applyFont="1" applyFill="1" applyBorder="1" applyAlignment="1" applyProtection="1">
      <alignment horizontal="center" vertical="center"/>
      <protection locked="0"/>
    </xf>
    <xf numFmtId="166" fontId="57" fillId="2" borderId="5" xfId="0" applyFont="1" applyFill="1" applyBorder="1" applyAlignment="1" applyProtection="1">
      <alignment horizontal="center" wrapText="1"/>
    </xf>
    <xf numFmtId="166" fontId="59" fillId="2" borderId="7" xfId="0" applyFont="1" applyFill="1" applyBorder="1" applyAlignment="1" applyProtection="1">
      <alignment horizontal="center"/>
    </xf>
    <xf numFmtId="166" fontId="14" fillId="2" borderId="21" xfId="0" applyFont="1" applyFill="1" applyBorder="1" applyAlignment="1" applyProtection="1">
      <alignment horizontal="center"/>
    </xf>
    <xf numFmtId="166" fontId="16" fillId="2" borderId="29" xfId="0" applyFont="1" applyFill="1" applyBorder="1" applyAlignment="1" applyProtection="1">
      <alignment horizontal="center"/>
    </xf>
    <xf numFmtId="2" fontId="2" fillId="0" borderId="0" xfId="0" applyNumberFormat="1" applyFont="1" applyProtection="1"/>
    <xf numFmtId="166" fontId="69" fillId="0" borderId="0" xfId="0" applyFont="1" applyProtection="1"/>
    <xf numFmtId="166" fontId="32" fillId="2" borderId="7" xfId="0" applyFont="1" applyFill="1" applyBorder="1" applyAlignment="1" applyProtection="1">
      <alignment horizontal="center"/>
    </xf>
    <xf numFmtId="1" fontId="9" fillId="2" borderId="36" xfId="0" applyNumberFormat="1" applyFont="1" applyFill="1" applyBorder="1" applyAlignment="1" applyProtection="1">
      <alignment horizontal="center"/>
      <protection hidden="1"/>
    </xf>
    <xf numFmtId="14" fontId="2" fillId="2" borderId="2" xfId="0" applyNumberFormat="1" applyFont="1" applyFill="1" applyBorder="1" applyAlignment="1" applyProtection="1">
      <alignment horizontal="center"/>
      <protection locked="0"/>
    </xf>
    <xf numFmtId="166" fontId="32" fillId="2" borderId="5" xfId="0" applyFont="1" applyFill="1" applyBorder="1" applyAlignment="1" applyProtection="1">
      <alignment horizontal="center" vertical="center" wrapText="1"/>
      <protection hidden="1"/>
    </xf>
    <xf numFmtId="166" fontId="32" fillId="2" borderId="5" xfId="0" applyFont="1" applyFill="1" applyBorder="1" applyAlignment="1" applyProtection="1">
      <alignment horizontal="center" vertical="center"/>
      <protection hidden="1"/>
    </xf>
    <xf numFmtId="166" fontId="53" fillId="2" borderId="0" xfId="0" quotePrefix="1" applyFont="1" applyFill="1" applyBorder="1" applyAlignment="1" applyProtection="1">
      <alignment horizontal="center"/>
      <protection hidden="1"/>
    </xf>
    <xf numFmtId="49" fontId="36" fillId="2" borderId="25" xfId="0" applyNumberFormat="1" applyFont="1" applyFill="1" applyBorder="1" applyAlignment="1" applyProtection="1">
      <alignment horizontal="center"/>
      <protection hidden="1"/>
    </xf>
    <xf numFmtId="166" fontId="70" fillId="2" borderId="65" xfId="0" applyFont="1" applyFill="1" applyBorder="1" applyAlignment="1" applyProtection="1">
      <alignment horizontal="center"/>
      <protection hidden="1"/>
    </xf>
    <xf numFmtId="166" fontId="16" fillId="2" borderId="40" xfId="0" applyFont="1" applyFill="1" applyBorder="1" applyAlignment="1" applyProtection="1">
      <alignment horizontal="center"/>
      <protection hidden="1"/>
    </xf>
    <xf numFmtId="166" fontId="32" fillId="2" borderId="7" xfId="0" applyFont="1" applyFill="1" applyBorder="1" applyAlignment="1" applyProtection="1">
      <alignment horizontal="center"/>
      <protection hidden="1"/>
    </xf>
    <xf numFmtId="166" fontId="13" fillId="2" borderId="21" xfId="0" applyFont="1" applyFill="1" applyBorder="1" applyAlignment="1" applyProtection="1">
      <alignment horizontal="center"/>
      <protection hidden="1"/>
    </xf>
    <xf numFmtId="166" fontId="71" fillId="2" borderId="62" xfId="0" applyFont="1" applyFill="1" applyBorder="1" applyAlignment="1" applyProtection="1">
      <alignment horizontal="center" vertical="center" wrapText="1"/>
      <protection hidden="1"/>
    </xf>
    <xf numFmtId="166" fontId="72" fillId="2" borderId="13" xfId="0" applyFont="1" applyFill="1" applyBorder="1" applyAlignment="1" applyProtection="1">
      <alignment horizontal="center" vertical="center" wrapText="1"/>
      <protection hidden="1"/>
    </xf>
    <xf numFmtId="166" fontId="71" fillId="2" borderId="63" xfId="0" applyFont="1" applyFill="1" applyBorder="1" applyAlignment="1" applyProtection="1">
      <alignment horizontal="center" vertical="center" wrapText="1"/>
      <protection hidden="1"/>
    </xf>
    <xf numFmtId="166" fontId="73" fillId="2" borderId="23" xfId="0" applyFont="1" applyFill="1" applyBorder="1" applyAlignment="1" applyProtection="1">
      <alignment horizontal="center"/>
      <protection locked="0"/>
    </xf>
    <xf numFmtId="170" fontId="41" fillId="5" borderId="17" xfId="3" applyNumberFormat="1" applyFont="1" applyFill="1" applyBorder="1" applyProtection="1">
      <protection hidden="1"/>
    </xf>
    <xf numFmtId="168" fontId="41" fillId="5" borderId="17" xfId="1" applyNumberFormat="1" applyFont="1" applyFill="1" applyBorder="1" applyProtection="1">
      <protection hidden="1"/>
    </xf>
    <xf numFmtId="166" fontId="41" fillId="5" borderId="0" xfId="0" applyFont="1" applyFill="1" applyBorder="1" applyProtection="1">
      <protection hidden="1"/>
    </xf>
    <xf numFmtId="10" fontId="41" fillId="5" borderId="0" xfId="8" applyNumberFormat="1" applyFont="1" applyFill="1" applyBorder="1" applyProtection="1">
      <protection hidden="1"/>
    </xf>
    <xf numFmtId="3" fontId="41" fillId="5" borderId="0" xfId="3" applyNumberFormat="1" applyFont="1" applyFill="1" applyBorder="1" applyProtection="1">
      <protection hidden="1"/>
    </xf>
    <xf numFmtId="167" fontId="41" fillId="5" borderId="18" xfId="0" applyNumberFormat="1" applyFont="1" applyFill="1" applyBorder="1" applyProtection="1">
      <protection hidden="1"/>
    </xf>
    <xf numFmtId="167" fontId="41" fillId="5" borderId="0" xfId="0" applyNumberFormat="1" applyFont="1" applyFill="1" applyBorder="1" applyProtection="1">
      <protection hidden="1"/>
    </xf>
    <xf numFmtId="174" fontId="10" fillId="0" borderId="6" xfId="0" applyNumberFormat="1" applyFont="1" applyFill="1" applyBorder="1" applyAlignment="1" applyProtection="1">
      <alignment horizontal="center"/>
      <protection locked="0"/>
    </xf>
    <xf numFmtId="166" fontId="74" fillId="2" borderId="23" xfId="0" applyFont="1" applyFill="1" applyBorder="1" applyAlignment="1" applyProtection="1">
      <alignment horizontal="center"/>
      <protection locked="0"/>
    </xf>
    <xf numFmtId="166" fontId="32" fillId="0" borderId="0" xfId="0" applyFont="1" applyAlignment="1">
      <alignment horizontal="right" vertical="center"/>
    </xf>
    <xf numFmtId="166" fontId="44" fillId="0" borderId="0" xfId="0" applyFont="1" applyAlignment="1">
      <alignment vertical="center"/>
    </xf>
    <xf numFmtId="166" fontId="53" fillId="2" borderId="0" xfId="0" quotePrefix="1" applyFont="1" applyFill="1" applyBorder="1" applyAlignment="1" applyProtection="1">
      <alignment horizontal="center" wrapText="1"/>
      <protection hidden="1"/>
    </xf>
    <xf numFmtId="167" fontId="36" fillId="2" borderId="25" xfId="0" applyNumberFormat="1" applyFont="1" applyFill="1" applyBorder="1" applyProtection="1">
      <protection hidden="1"/>
    </xf>
    <xf numFmtId="166" fontId="53" fillId="2" borderId="40" xfId="0" quotePrefix="1" applyFont="1" applyFill="1" applyBorder="1" applyAlignment="1" applyProtection="1">
      <alignment horizontal="center" vertical="center" wrapText="1"/>
      <protection hidden="1"/>
    </xf>
    <xf numFmtId="166" fontId="53" fillId="2" borderId="7" xfId="0" quotePrefix="1" applyFont="1" applyFill="1" applyBorder="1" applyAlignment="1" applyProtection="1">
      <alignment horizontal="center" vertical="center" wrapText="1"/>
      <protection hidden="1"/>
    </xf>
    <xf numFmtId="166" fontId="53" fillId="2" borderId="21" xfId="0" quotePrefix="1" applyFont="1" applyFill="1" applyBorder="1" applyAlignment="1" applyProtection="1">
      <alignment horizontal="center" vertical="center" wrapText="1"/>
      <protection hidden="1"/>
    </xf>
    <xf numFmtId="173" fontId="40" fillId="0" borderId="0" xfId="0" applyNumberFormat="1" applyFont="1" applyAlignment="1" applyProtection="1">
      <alignment horizontal="left"/>
      <protection hidden="1"/>
    </xf>
    <xf numFmtId="169" fontId="18" fillId="0" borderId="0" xfId="0" applyNumberFormat="1" applyFont="1" applyAlignment="1" applyProtection="1">
      <alignment horizontal="left"/>
      <protection hidden="1"/>
    </xf>
    <xf numFmtId="166" fontId="15" fillId="2" borderId="29" xfId="0" applyFont="1" applyFill="1" applyBorder="1" applyAlignment="1" applyProtection="1">
      <alignment horizontal="center" vertical="center"/>
      <protection locked="0"/>
    </xf>
    <xf numFmtId="166" fontId="15" fillId="2" borderId="3" xfId="0" applyFont="1" applyFill="1" applyBorder="1" applyAlignment="1" applyProtection="1">
      <alignment horizontal="center" vertical="center"/>
      <protection locked="0"/>
    </xf>
    <xf numFmtId="166" fontId="15" fillId="2" borderId="12" xfId="0" applyFont="1" applyFill="1" applyBorder="1" applyAlignment="1" applyProtection="1">
      <alignment horizontal="center" vertical="center"/>
      <protection locked="0"/>
    </xf>
    <xf numFmtId="166" fontId="15" fillId="2" borderId="2" xfId="0" applyFont="1" applyFill="1" applyBorder="1" applyAlignment="1" applyProtection="1">
      <alignment horizontal="center" vertical="center"/>
      <protection locked="0"/>
    </xf>
    <xf numFmtId="166" fontId="15" fillId="2" borderId="30" xfId="0" applyFont="1" applyFill="1" applyBorder="1" applyAlignment="1" applyProtection="1">
      <alignment horizontal="center" vertical="center"/>
      <protection locked="0"/>
    </xf>
    <xf numFmtId="166" fontId="15" fillId="2" borderId="25" xfId="0" applyFont="1" applyFill="1" applyBorder="1" applyAlignment="1" applyProtection="1">
      <alignment horizontal="center" vertical="center"/>
      <protection locked="0"/>
    </xf>
    <xf numFmtId="166" fontId="32" fillId="2" borderId="29" xfId="0" applyFont="1" applyFill="1" applyBorder="1" applyAlignment="1" applyProtection="1">
      <alignment horizontal="center" vertical="center" wrapText="1"/>
      <protection locked="0"/>
    </xf>
    <xf numFmtId="166" fontId="32" fillId="2" borderId="12" xfId="0" applyFont="1" applyFill="1" applyBorder="1" applyAlignment="1" applyProtection="1">
      <alignment horizontal="center" vertical="center"/>
      <protection locked="0"/>
    </xf>
    <xf numFmtId="166" fontId="32" fillId="2" borderId="30" xfId="0" applyFont="1" applyFill="1" applyBorder="1" applyAlignment="1" applyProtection="1">
      <alignment horizontal="center" vertical="center"/>
      <protection locked="0"/>
    </xf>
    <xf numFmtId="166" fontId="32" fillId="2" borderId="12" xfId="0" applyFont="1" applyFill="1" applyBorder="1" applyAlignment="1" applyProtection="1">
      <alignment horizontal="center"/>
      <protection locked="0"/>
    </xf>
    <xf numFmtId="166" fontId="32" fillId="2" borderId="2" xfId="0" applyFont="1" applyFill="1" applyBorder="1" applyAlignment="1" applyProtection="1">
      <alignment horizontal="center"/>
      <protection locked="0"/>
    </xf>
    <xf numFmtId="166" fontId="15" fillId="2" borderId="20" xfId="0" applyFont="1" applyFill="1" applyBorder="1" applyAlignment="1" applyProtection="1">
      <alignment horizontal="center"/>
      <protection locked="0"/>
    </xf>
    <xf numFmtId="166" fontId="15" fillId="2" borderId="19" xfId="0" applyFont="1" applyFill="1" applyBorder="1" applyAlignment="1" applyProtection="1">
      <alignment horizontal="center"/>
      <protection locked="0"/>
    </xf>
    <xf numFmtId="166" fontId="15" fillId="2" borderId="12" xfId="0" applyFont="1" applyFill="1" applyBorder="1" applyAlignment="1" applyProtection="1">
      <alignment horizontal="center"/>
      <protection locked="0"/>
    </xf>
    <xf numFmtId="166" fontId="15" fillId="2" borderId="2" xfId="0" applyFont="1" applyFill="1" applyBorder="1" applyAlignment="1" applyProtection="1">
      <alignment horizontal="center"/>
      <protection locked="0"/>
    </xf>
    <xf numFmtId="166" fontId="14" fillId="2" borderId="0" xfId="0" applyFont="1" applyFill="1" applyBorder="1" applyAlignment="1" applyProtection="1">
      <alignment horizontal="center"/>
    </xf>
    <xf numFmtId="166" fontId="14" fillId="2" borderId="2" xfId="0" applyFont="1" applyFill="1" applyBorder="1" applyAlignment="1" applyProtection="1">
      <alignment horizontal="center"/>
    </xf>
    <xf numFmtId="166" fontId="52" fillId="2" borderId="0" xfId="0" applyFont="1" applyFill="1" applyAlignment="1" applyProtection="1">
      <alignment horizontal="center"/>
    </xf>
    <xf numFmtId="166" fontId="52" fillId="2" borderId="2" xfId="0" applyFont="1" applyFill="1" applyBorder="1" applyAlignment="1" applyProtection="1">
      <alignment horizontal="center"/>
    </xf>
    <xf numFmtId="166" fontId="14" fillId="0" borderId="4" xfId="0" applyFont="1" applyFill="1" applyBorder="1" applyAlignment="1" applyProtection="1">
      <alignment horizontal="center"/>
    </xf>
    <xf numFmtId="166" fontId="14" fillId="0" borderId="3" xfId="0" applyFont="1" applyFill="1" applyBorder="1" applyAlignment="1" applyProtection="1">
      <alignment horizontal="center"/>
    </xf>
    <xf numFmtId="166" fontId="52" fillId="2" borderId="0" xfId="0" applyFont="1" applyFill="1" applyBorder="1" applyAlignment="1" applyProtection="1">
      <alignment horizontal="center"/>
    </xf>
    <xf numFmtId="166" fontId="32" fillId="2" borderId="0" xfId="0" applyFont="1" applyFill="1" applyAlignment="1" applyProtection="1">
      <alignment horizontal="center"/>
    </xf>
    <xf numFmtId="173" fontId="9" fillId="0" borderId="0" xfId="0" applyNumberFormat="1" applyFont="1" applyAlignment="1" applyProtection="1">
      <alignment horizontal="left"/>
      <protection hidden="1"/>
    </xf>
    <xf numFmtId="166" fontId="52" fillId="0" borderId="0" xfId="0" applyFont="1" applyFill="1" applyBorder="1" applyAlignment="1" applyProtection="1">
      <alignment horizontal="center"/>
    </xf>
    <xf numFmtId="166" fontId="52" fillId="0" borderId="2" xfId="0" applyFont="1" applyFill="1" applyBorder="1" applyAlignment="1" applyProtection="1">
      <alignment horizontal="center"/>
    </xf>
    <xf numFmtId="166" fontId="52" fillId="0" borderId="7" xfId="0" applyFont="1" applyFill="1" applyBorder="1" applyAlignment="1" applyProtection="1">
      <alignment horizontal="center"/>
    </xf>
    <xf numFmtId="166" fontId="14" fillId="2" borderId="21" xfId="0" applyFont="1" applyFill="1" applyBorder="1" applyAlignment="1" applyProtection="1">
      <alignment horizontal="center"/>
    </xf>
    <xf numFmtId="166" fontId="14" fillId="2" borderId="12" xfId="0" applyFont="1" applyFill="1" applyBorder="1" applyAlignment="1" applyProtection="1">
      <alignment horizontal="center"/>
    </xf>
    <xf numFmtId="166" fontId="14" fillId="0" borderId="0" xfId="0" applyFont="1" applyFill="1" applyBorder="1" applyAlignment="1" applyProtection="1">
      <alignment horizontal="center"/>
    </xf>
    <xf numFmtId="166" fontId="14" fillId="0" borderId="2" xfId="0" applyFont="1" applyFill="1" applyBorder="1" applyAlignment="1" applyProtection="1">
      <alignment horizontal="center"/>
    </xf>
    <xf numFmtId="166" fontId="52" fillId="0" borderId="12" xfId="0" applyFont="1" applyFill="1" applyBorder="1" applyAlignment="1" applyProtection="1">
      <alignment horizontal="center"/>
    </xf>
    <xf numFmtId="166" fontId="52" fillId="0" borderId="0" xfId="0" applyFont="1" applyFill="1" applyAlignment="1" applyProtection="1">
      <alignment horizontal="center"/>
    </xf>
    <xf numFmtId="167" fontId="32" fillId="0" borderId="53" xfId="0" applyNumberFormat="1" applyFont="1" applyBorder="1" applyAlignment="1" applyProtection="1">
      <alignment horizontal="center" vertical="center"/>
      <protection hidden="1"/>
    </xf>
    <xf numFmtId="167" fontId="32" fillId="0" borderId="0" xfId="0" applyNumberFormat="1" applyFont="1" applyBorder="1" applyAlignment="1" applyProtection="1">
      <alignment horizontal="center" vertical="center"/>
      <protection hidden="1"/>
    </xf>
    <xf numFmtId="167" fontId="23" fillId="0" borderId="54" xfId="0" applyNumberFormat="1" applyFont="1" applyBorder="1" applyAlignment="1" applyProtection="1">
      <alignment horizontal="center" vertical="center"/>
      <protection hidden="1"/>
    </xf>
    <xf numFmtId="167" fontId="23" fillId="0" borderId="50" xfId="0" applyNumberFormat="1" applyFont="1" applyBorder="1" applyAlignment="1" applyProtection="1">
      <alignment horizontal="center" vertical="center"/>
      <protection hidden="1"/>
    </xf>
    <xf numFmtId="166" fontId="25" fillId="2" borderId="55" xfId="0" applyFont="1" applyFill="1" applyBorder="1" applyAlignment="1" applyProtection="1">
      <alignment horizontal="center" vertical="center" wrapText="1"/>
      <protection hidden="1"/>
    </xf>
    <xf numFmtId="166" fontId="25" fillId="2" borderId="56" xfId="0" applyFont="1" applyFill="1" applyBorder="1" applyAlignment="1" applyProtection="1">
      <alignment horizontal="center" vertical="center" wrapText="1"/>
      <protection hidden="1"/>
    </xf>
    <xf numFmtId="166" fontId="25" fillId="2" borderId="64" xfId="0" applyFont="1" applyFill="1" applyBorder="1" applyAlignment="1" applyProtection="1">
      <alignment horizontal="center" vertical="center" wrapText="1"/>
      <protection hidden="1"/>
    </xf>
    <xf numFmtId="166" fontId="46" fillId="2" borderId="38" xfId="0" applyFont="1" applyFill="1" applyBorder="1" applyAlignment="1" applyProtection="1">
      <alignment horizontal="center" vertical="center" wrapText="1"/>
      <protection hidden="1"/>
    </xf>
    <xf numFmtId="166" fontId="46" fillId="2" borderId="12" xfId="0" applyFont="1" applyFill="1" applyBorder="1" applyAlignment="1" applyProtection="1">
      <alignment horizontal="center" vertical="center" wrapText="1"/>
      <protection hidden="1"/>
    </xf>
    <xf numFmtId="166" fontId="46" fillId="2" borderId="20" xfId="0" applyFont="1" applyFill="1" applyBorder="1" applyAlignment="1" applyProtection="1">
      <alignment horizontal="center" vertical="center" wrapText="1"/>
      <protection hidden="1"/>
    </xf>
    <xf numFmtId="167" fontId="32" fillId="2" borderId="40" xfId="0" applyNumberFormat="1" applyFont="1" applyFill="1" applyBorder="1" applyAlignment="1" applyProtection="1">
      <alignment horizontal="center" vertical="center" wrapText="1"/>
      <protection hidden="1"/>
    </xf>
    <xf numFmtId="167" fontId="32" fillId="2" borderId="7" xfId="0" applyNumberFormat="1" applyFont="1" applyFill="1" applyBorder="1" applyAlignment="1" applyProtection="1">
      <alignment horizontal="center" vertical="center" wrapText="1"/>
      <protection hidden="1"/>
    </xf>
    <xf numFmtId="167" fontId="32" fillId="2" borderId="9" xfId="0" applyNumberFormat="1" applyFont="1" applyFill="1" applyBorder="1" applyAlignment="1" applyProtection="1">
      <alignment horizontal="center" vertical="center" wrapText="1"/>
      <protection hidden="1"/>
    </xf>
    <xf numFmtId="169" fontId="9" fillId="0" borderId="0" xfId="0" applyNumberFormat="1" applyFont="1" applyAlignment="1" applyProtection="1">
      <alignment horizontal="left"/>
      <protection hidden="1"/>
    </xf>
    <xf numFmtId="166" fontId="52" fillId="2" borderId="12" xfId="0" applyFont="1" applyFill="1" applyBorder="1" applyAlignment="1" applyProtection="1">
      <alignment horizontal="center"/>
      <protection hidden="1"/>
    </xf>
    <xf numFmtId="166" fontId="52" fillId="2" borderId="0" xfId="0" applyFont="1" applyFill="1" applyAlignment="1" applyProtection="1">
      <alignment horizontal="center"/>
      <protection hidden="1"/>
    </xf>
    <xf numFmtId="166" fontId="52" fillId="2" borderId="0" xfId="0" applyFont="1" applyFill="1" applyBorder="1" applyAlignment="1" applyProtection="1">
      <alignment horizontal="center"/>
      <protection hidden="1"/>
    </xf>
    <xf numFmtId="166" fontId="23" fillId="2" borderId="30" xfId="0" applyFont="1" applyFill="1" applyBorder="1" applyAlignment="1" applyProtection="1">
      <alignment horizontal="center"/>
      <protection hidden="1"/>
    </xf>
    <xf numFmtId="166" fontId="23" fillId="2" borderId="41" xfId="0" applyFont="1" applyFill="1" applyBorder="1" applyAlignment="1" applyProtection="1">
      <alignment horizontal="center"/>
      <protection hidden="1"/>
    </xf>
    <xf numFmtId="166" fontId="32" fillId="2" borderId="5" xfId="0" applyFont="1" applyFill="1" applyBorder="1" applyAlignment="1" applyProtection="1">
      <alignment horizontal="center" vertical="center" wrapText="1"/>
      <protection hidden="1"/>
    </xf>
    <xf numFmtId="166" fontId="32" fillId="2" borderId="7" xfId="0" applyFont="1" applyFill="1" applyBorder="1" applyAlignment="1" applyProtection="1">
      <alignment horizontal="center" vertical="center" wrapText="1"/>
      <protection hidden="1"/>
    </xf>
    <xf numFmtId="166" fontId="32" fillId="2" borderId="9" xfId="0" applyFont="1" applyFill="1" applyBorder="1" applyAlignment="1" applyProtection="1">
      <alignment horizontal="center" vertical="center" wrapText="1"/>
      <protection hidden="1"/>
    </xf>
    <xf numFmtId="167" fontId="56" fillId="2" borderId="40" xfId="0" applyNumberFormat="1" applyFont="1" applyFill="1" applyBorder="1" applyAlignment="1" applyProtection="1">
      <alignment horizontal="center" vertical="center" wrapText="1"/>
      <protection hidden="1"/>
    </xf>
    <xf numFmtId="167" fontId="56" fillId="2" borderId="7" xfId="0" applyNumberFormat="1" applyFont="1" applyFill="1" applyBorder="1" applyAlignment="1" applyProtection="1">
      <alignment horizontal="center" vertical="center" wrapText="1"/>
      <protection hidden="1"/>
    </xf>
    <xf numFmtId="167" fontId="56" fillId="2" borderId="9" xfId="0" applyNumberFormat="1" applyFont="1" applyFill="1" applyBorder="1" applyAlignment="1" applyProtection="1">
      <alignment horizontal="center" vertical="center" wrapText="1"/>
      <protection hidden="1"/>
    </xf>
    <xf numFmtId="167" fontId="32" fillId="2" borderId="38" xfId="0" applyNumberFormat="1" applyFont="1" applyFill="1" applyBorder="1" applyAlignment="1" applyProtection="1">
      <alignment horizontal="center" vertical="center"/>
      <protection hidden="1"/>
    </xf>
    <xf numFmtId="167" fontId="32" fillId="2" borderId="12" xfId="0" applyNumberFormat="1" applyFont="1" applyFill="1" applyBorder="1" applyAlignment="1" applyProtection="1">
      <alignment horizontal="center" vertical="center"/>
      <protection hidden="1"/>
    </xf>
    <xf numFmtId="167" fontId="32" fillId="2" borderId="30" xfId="0" applyNumberFormat="1" applyFont="1" applyFill="1" applyBorder="1" applyAlignment="1" applyProtection="1">
      <alignment horizontal="center" vertical="center"/>
      <protection hidden="1"/>
    </xf>
    <xf numFmtId="167" fontId="32" fillId="2" borderId="5" xfId="0" applyNumberFormat="1" applyFont="1" applyFill="1" applyBorder="1" applyAlignment="1" applyProtection="1">
      <alignment horizontal="center" vertical="center" wrapText="1"/>
      <protection hidden="1"/>
    </xf>
    <xf numFmtId="49" fontId="32" fillId="2" borderId="5" xfId="0" applyNumberFormat="1" applyFont="1" applyFill="1" applyBorder="1" applyAlignment="1" applyProtection="1">
      <alignment horizontal="center" vertical="center" wrapText="1"/>
      <protection hidden="1"/>
    </xf>
    <xf numFmtId="49" fontId="32" fillId="2" borderId="7" xfId="0" applyNumberFormat="1" applyFont="1" applyFill="1" applyBorder="1" applyAlignment="1" applyProtection="1">
      <alignment horizontal="center" vertical="center" wrapText="1"/>
      <protection hidden="1"/>
    </xf>
    <xf numFmtId="49" fontId="32" fillId="2" borderId="9" xfId="0" applyNumberFormat="1" applyFont="1" applyFill="1" applyBorder="1" applyAlignment="1" applyProtection="1">
      <alignment horizontal="center" vertical="center" wrapText="1"/>
      <protection hidden="1"/>
    </xf>
    <xf numFmtId="166" fontId="66" fillId="4" borderId="0" xfId="0" applyFont="1" applyFill="1" applyBorder="1" applyAlignment="1" applyProtection="1">
      <alignment horizontal="center"/>
      <protection locked="0"/>
    </xf>
    <xf numFmtId="166" fontId="64" fillId="4" borderId="0" xfId="0" applyFont="1" applyFill="1" applyAlignment="1">
      <alignment horizontal="center"/>
    </xf>
    <xf numFmtId="166" fontId="67" fillId="4" borderId="1" xfId="0" applyFont="1" applyFill="1" applyBorder="1" applyAlignment="1">
      <alignment horizontal="center" vertical="center"/>
    </xf>
    <xf numFmtId="166" fontId="67" fillId="4" borderId="1" xfId="0" applyFont="1" applyFill="1" applyBorder="1" applyAlignment="1">
      <alignment horizontal="center"/>
    </xf>
  </cellXfs>
  <cellStyles count="12">
    <cellStyle name="Euro" xfId="1"/>
    <cellStyle name="ICC_GrasCentre" xfId="2"/>
    <cellStyle name="Monétaire" xfId="3" builtinId="4"/>
    <cellStyle name="Monétaire 2" xfId="4"/>
    <cellStyle name="Monétaire 3" xfId="5"/>
    <cellStyle name="Normal" xfId="0" builtinId="0"/>
    <cellStyle name="Normal 2" xfId="6"/>
    <cellStyle name="Normal 3" xfId="7"/>
    <cellStyle name="Normal 4" xfId="11"/>
    <cellStyle name="Pourcentage" xfId="8" builtinId="5"/>
    <cellStyle name="Pourcentage 2" xfId="9"/>
    <cellStyle name="Pourcentage 3" xfId="10"/>
  </cellStyles>
  <dxfs count="366">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
      <font>
        <condense val="0"/>
        <extend val="0"/>
        <color indexed="12"/>
      </font>
      <fill>
        <patternFill>
          <bgColor indexed="26"/>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352425</xdr:colOff>
      <xdr:row>50</xdr:row>
      <xdr:rowOff>57150</xdr:rowOff>
    </xdr:from>
    <xdr:to>
      <xdr:col>1</xdr:col>
      <xdr:colOff>736356</xdr:colOff>
      <xdr:row>52</xdr:row>
      <xdr:rowOff>125412</xdr:rowOff>
    </xdr:to>
    <xdr:pic macro="[0]!Trierparnom">
      <xdr:nvPicPr>
        <xdr:cNvPr id="1242" name="ipfFpuSBEvEHPLSqM:" descr="AZ-List"/>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l="3203" t="3000" r="3203" b="17998"/>
        <a:stretch>
          <a:fillRect/>
        </a:stretch>
      </xdr:blipFill>
      <xdr:spPr bwMode="auto">
        <a:xfrm>
          <a:off x="561975" y="1285875"/>
          <a:ext cx="381000" cy="342900"/>
        </a:xfrm>
        <a:prstGeom prst="rect">
          <a:avLst/>
        </a:prstGeom>
        <a:noFill/>
        <a:ln w="9525">
          <a:noFill/>
          <a:miter lim="800000"/>
          <a:headEnd/>
          <a:tailEnd/>
        </a:ln>
      </xdr:spPr>
    </xdr:pic>
    <xdr:clientData/>
  </xdr:twoCellAnchor>
  <xdr:twoCellAnchor editAs="oneCell">
    <xdr:from>
      <xdr:col>3</xdr:col>
      <xdr:colOff>28575</xdr:colOff>
      <xdr:row>50</xdr:row>
      <xdr:rowOff>47625</xdr:rowOff>
    </xdr:from>
    <xdr:to>
      <xdr:col>3</xdr:col>
      <xdr:colOff>409575</xdr:colOff>
      <xdr:row>52</xdr:row>
      <xdr:rowOff>115887</xdr:rowOff>
    </xdr:to>
    <xdr:pic macro="[0]!Trierparno">
      <xdr:nvPicPr>
        <xdr:cNvPr id="1243" name="ipfFpuSBEvEHPLSqM:" descr="AZ-List"/>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l="3203" t="3000" r="3203" b="17998"/>
        <a:stretch>
          <a:fillRect/>
        </a:stretch>
      </xdr:blipFill>
      <xdr:spPr bwMode="auto">
        <a:xfrm>
          <a:off x="1419225" y="1276350"/>
          <a:ext cx="381000" cy="342900"/>
        </a:xfrm>
        <a:prstGeom prst="rect">
          <a:avLst/>
        </a:prstGeom>
        <a:noFill/>
        <a:ln w="9525">
          <a:noFill/>
          <a:miter lim="800000"/>
          <a:headEnd/>
          <a:tailEnd/>
        </a:ln>
      </xdr:spPr>
    </xdr:pic>
    <xdr:clientData/>
  </xdr:twoCellAnchor>
  <xdr:twoCellAnchor editAs="oneCell">
    <xdr:from>
      <xdr:col>7</xdr:col>
      <xdr:colOff>419100</xdr:colOff>
      <xdr:row>50</xdr:row>
      <xdr:rowOff>38100</xdr:rowOff>
    </xdr:from>
    <xdr:to>
      <xdr:col>7</xdr:col>
      <xdr:colOff>800100</xdr:colOff>
      <xdr:row>52</xdr:row>
      <xdr:rowOff>106362</xdr:rowOff>
    </xdr:to>
    <xdr:pic macro="[0]!Trierparclasse">
      <xdr:nvPicPr>
        <xdr:cNvPr id="1244" name="ipfFpuSBEvEHPLSqM:" descr="AZ-List"/>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l="3203" t="3000" r="3203" b="17998"/>
        <a:stretch>
          <a:fillRect/>
        </a:stretch>
      </xdr:blipFill>
      <xdr:spPr bwMode="auto">
        <a:xfrm>
          <a:off x="2247900" y="1266825"/>
          <a:ext cx="381000" cy="342900"/>
        </a:xfrm>
        <a:prstGeom prst="rect">
          <a:avLst/>
        </a:prstGeom>
        <a:noFill/>
        <a:ln w="9525">
          <a:noFill/>
          <a:miter lim="800000"/>
          <a:headEnd/>
          <a:tailEnd/>
        </a:ln>
      </xdr:spPr>
    </xdr:pic>
    <xdr:clientData/>
  </xdr:twoCellAnchor>
  <xdr:twoCellAnchor editAs="oneCell">
    <xdr:from>
      <xdr:col>8</xdr:col>
      <xdr:colOff>142875</xdr:colOff>
      <xdr:row>51</xdr:row>
      <xdr:rowOff>28575</xdr:rowOff>
    </xdr:from>
    <xdr:to>
      <xdr:col>8</xdr:col>
      <xdr:colOff>419100</xdr:colOff>
      <xdr:row>52</xdr:row>
      <xdr:rowOff>142874</xdr:rowOff>
    </xdr:to>
    <xdr:pic macro="[0]!Trisalaire">
      <xdr:nvPicPr>
        <xdr:cNvPr id="1245" name="ipfFpuSBEvEHPLSqM:" descr="AZ-List"/>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blip>
        <a:srcRect l="3203" t="3000" r="3203" b="17998"/>
        <a:stretch>
          <a:fillRect/>
        </a:stretch>
      </xdr:blipFill>
      <xdr:spPr bwMode="auto">
        <a:xfrm>
          <a:off x="3171825" y="1390650"/>
          <a:ext cx="276225" cy="2476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AY30"/>
  <sheetViews>
    <sheetView showGridLines="0" showZeros="0" zoomScale="130" workbookViewId="0">
      <pane xSplit="2" ySplit="10" topLeftCell="C11" activePane="bottomRight" state="frozen"/>
      <selection pane="topRight" activeCell="C1" sqref="C1"/>
      <selection pane="bottomLeft" activeCell="A11" sqref="A11"/>
      <selection pane="bottomRight" activeCell="C6" sqref="C6:E6"/>
    </sheetView>
  </sheetViews>
  <sheetFormatPr baseColWidth="10" defaultRowHeight="12.75"/>
  <cols>
    <col min="1" max="1" width="28.796875" style="222" customWidth="1"/>
    <col min="2" max="2" width="4.59765625" style="222" customWidth="1"/>
    <col min="3" max="3" width="11.19921875" style="222"/>
    <col min="4" max="4" width="11.59765625" style="222" bestFit="1" customWidth="1"/>
    <col min="5" max="5" width="13.796875" style="222" customWidth="1"/>
    <col min="6" max="6" width="15.3984375" style="222" customWidth="1"/>
    <col min="7" max="8" width="11.19921875" style="222"/>
    <col min="9" max="9" width="14.59765625" style="222" bestFit="1" customWidth="1"/>
    <col min="10" max="10" width="14" style="222" bestFit="1" customWidth="1"/>
    <col min="11" max="14" width="11.19921875" style="222"/>
    <col min="15" max="15" width="12.19921875" style="222" bestFit="1" customWidth="1"/>
    <col min="16" max="16" width="11.19921875" style="222"/>
    <col min="17" max="17" width="14.19921875" style="222" customWidth="1"/>
    <col min="18" max="18" width="11.796875" style="222" bestFit="1" customWidth="1"/>
    <col min="19" max="19" width="11.19921875" style="222"/>
    <col min="20" max="20" width="12.19921875" style="222" bestFit="1" customWidth="1"/>
    <col min="21" max="27" width="12.796875" style="222" customWidth="1"/>
    <col min="28" max="28" width="12.19921875" style="222" hidden="1" customWidth="1"/>
    <col min="29" max="29" width="13.59765625" style="222" hidden="1" customWidth="1"/>
    <col min="30" max="30" width="12.796875" style="222" hidden="1" customWidth="1"/>
    <col min="31" max="31" width="11.59765625" style="222" hidden="1" customWidth="1"/>
    <col min="32" max="32" width="10.59765625" style="222" hidden="1" customWidth="1"/>
    <col min="33" max="33" width="13.59765625" style="222" hidden="1" customWidth="1"/>
    <col min="34" max="34" width="12.19921875" style="222" hidden="1" customWidth="1"/>
    <col min="35" max="42" width="11.19921875" style="222"/>
    <col min="43" max="46" width="11.19921875" style="222" hidden="1" customWidth="1"/>
    <col min="47" max="47" width="16.3984375" style="222" customWidth="1"/>
    <col min="48" max="48" width="22.3984375" style="222" customWidth="1"/>
    <col min="49" max="49" width="3.19921875" style="222" bestFit="1" customWidth="1"/>
    <col min="50" max="16384" width="11.19921875" style="222"/>
  </cols>
  <sheetData>
    <row r="1" spans="1:51">
      <c r="A1" s="221" t="s">
        <v>0</v>
      </c>
      <c r="D1" s="223"/>
      <c r="E1" s="223"/>
      <c r="AB1" s="222">
        <f t="shared" ref="AB1:AB6" si="0">C1</f>
        <v>0</v>
      </c>
    </row>
    <row r="2" spans="1:51">
      <c r="A2" s="221" t="s">
        <v>13</v>
      </c>
      <c r="D2" s="223"/>
      <c r="E2" s="223"/>
      <c r="AB2" s="222">
        <f t="shared" si="0"/>
        <v>0</v>
      </c>
    </row>
    <row r="3" spans="1:51">
      <c r="A3" s="221" t="s">
        <v>115</v>
      </c>
      <c r="D3" s="223"/>
      <c r="E3" s="223"/>
      <c r="AB3" s="222">
        <f t="shared" si="0"/>
        <v>0</v>
      </c>
    </row>
    <row r="4" spans="1:51">
      <c r="A4" s="221" t="s">
        <v>1</v>
      </c>
      <c r="D4" s="223"/>
      <c r="E4" s="223"/>
      <c r="AB4" s="222">
        <f t="shared" si="0"/>
        <v>0</v>
      </c>
    </row>
    <row r="5" spans="1:51">
      <c r="A5" s="221" t="s">
        <v>21</v>
      </c>
      <c r="C5" s="224"/>
      <c r="D5" s="223"/>
      <c r="E5" s="223"/>
      <c r="AB5" s="222">
        <f t="shared" si="0"/>
        <v>0</v>
      </c>
    </row>
    <row r="6" spans="1:51">
      <c r="A6" s="221" t="s">
        <v>58</v>
      </c>
      <c r="C6" s="440"/>
      <c r="D6" s="440"/>
      <c r="E6" s="440"/>
      <c r="AB6" s="441">
        <f t="shared" si="0"/>
        <v>0</v>
      </c>
      <c r="AC6" s="441"/>
      <c r="AD6" s="441"/>
    </row>
    <row r="7" spans="1:51" ht="13.5" thickBot="1"/>
    <row r="8" spans="1:51" s="229" customFormat="1">
      <c r="A8" s="225" t="s">
        <v>22</v>
      </c>
      <c r="B8" s="226"/>
      <c r="C8" s="227" t="s">
        <v>25</v>
      </c>
      <c r="D8" s="228"/>
      <c r="E8" s="228"/>
      <c r="F8" s="226"/>
      <c r="G8" s="227" t="s">
        <v>28</v>
      </c>
      <c r="H8" s="228"/>
      <c r="I8" s="228"/>
      <c r="J8" s="226"/>
      <c r="K8" s="227" t="s">
        <v>30</v>
      </c>
      <c r="L8" s="228"/>
      <c r="M8" s="226"/>
      <c r="N8" s="227" t="s">
        <v>34</v>
      </c>
      <c r="O8" s="228"/>
      <c r="P8" s="228"/>
      <c r="Q8" s="228"/>
      <c r="R8" s="226"/>
      <c r="S8" s="227" t="s">
        <v>36</v>
      </c>
      <c r="T8" s="228"/>
      <c r="U8" s="228"/>
      <c r="V8" s="228"/>
      <c r="W8" s="228"/>
      <c r="X8" s="228"/>
      <c r="Y8" s="228"/>
      <c r="Z8" s="228"/>
      <c r="AA8" s="226"/>
      <c r="AB8" s="227" t="s">
        <v>39</v>
      </c>
      <c r="AC8" s="226"/>
      <c r="AD8" s="227" t="s">
        <v>41</v>
      </c>
      <c r="AE8" s="228"/>
      <c r="AF8" s="228"/>
      <c r="AG8" s="228"/>
      <c r="AH8" s="226"/>
      <c r="AI8" s="227" t="s">
        <v>42</v>
      </c>
      <c r="AJ8" s="228"/>
      <c r="AK8" s="228"/>
      <c r="AL8" s="226"/>
      <c r="AM8" s="227" t="s">
        <v>43</v>
      </c>
      <c r="AN8" s="228"/>
      <c r="AO8" s="228"/>
      <c r="AP8" s="226"/>
      <c r="AQ8" s="228" t="s">
        <v>44</v>
      </c>
      <c r="AR8" s="228"/>
      <c r="AS8" s="228"/>
      <c r="AT8" s="226"/>
      <c r="AU8" s="227" t="s">
        <v>47</v>
      </c>
      <c r="AV8" s="226"/>
      <c r="AW8" s="227"/>
      <c r="AX8" s="228" t="s">
        <v>64</v>
      </c>
      <c r="AY8" s="226"/>
    </row>
    <row r="9" spans="1:51" s="235" customFormat="1" ht="10.5">
      <c r="A9" s="230"/>
      <c r="B9" s="231"/>
      <c r="C9" s="232">
        <v>2</v>
      </c>
      <c r="D9" s="233">
        <v>3</v>
      </c>
      <c r="E9" s="233">
        <f>D9+1</f>
        <v>4</v>
      </c>
      <c r="F9" s="234">
        <f t="shared" ref="F9:AV9" si="1">E9+1</f>
        <v>5</v>
      </c>
      <c r="G9" s="232">
        <f>F9+1</f>
        <v>6</v>
      </c>
      <c r="H9" s="233">
        <f t="shared" si="1"/>
        <v>7</v>
      </c>
      <c r="I9" s="233">
        <f t="shared" si="1"/>
        <v>8</v>
      </c>
      <c r="J9" s="234">
        <f t="shared" si="1"/>
        <v>9</v>
      </c>
      <c r="K9" s="232">
        <f t="shared" si="1"/>
        <v>10</v>
      </c>
      <c r="L9" s="233">
        <f t="shared" si="1"/>
        <v>11</v>
      </c>
      <c r="M9" s="234">
        <f t="shared" si="1"/>
        <v>12</v>
      </c>
      <c r="N9" s="232">
        <f t="shared" si="1"/>
        <v>13</v>
      </c>
      <c r="O9" s="233">
        <f t="shared" si="1"/>
        <v>14</v>
      </c>
      <c r="P9" s="233">
        <f t="shared" si="1"/>
        <v>15</v>
      </c>
      <c r="Q9" s="233">
        <f t="shared" si="1"/>
        <v>16</v>
      </c>
      <c r="R9" s="234">
        <f t="shared" si="1"/>
        <v>17</v>
      </c>
      <c r="S9" s="232">
        <f t="shared" si="1"/>
        <v>18</v>
      </c>
      <c r="T9" s="233">
        <f t="shared" si="1"/>
        <v>19</v>
      </c>
      <c r="U9" s="233">
        <f t="shared" si="1"/>
        <v>20</v>
      </c>
      <c r="V9" s="233">
        <f t="shared" si="1"/>
        <v>21</v>
      </c>
      <c r="W9" s="233">
        <f t="shared" si="1"/>
        <v>22</v>
      </c>
      <c r="X9" s="233">
        <f t="shared" si="1"/>
        <v>23</v>
      </c>
      <c r="Y9" s="233">
        <f t="shared" si="1"/>
        <v>24</v>
      </c>
      <c r="Z9" s="233">
        <f t="shared" si="1"/>
        <v>25</v>
      </c>
      <c r="AA9" s="234">
        <f t="shared" si="1"/>
        <v>26</v>
      </c>
      <c r="AB9" s="232">
        <f t="shared" si="1"/>
        <v>27</v>
      </c>
      <c r="AC9" s="234">
        <f t="shared" si="1"/>
        <v>28</v>
      </c>
      <c r="AD9" s="232">
        <f t="shared" si="1"/>
        <v>29</v>
      </c>
      <c r="AE9" s="233">
        <f t="shared" si="1"/>
        <v>30</v>
      </c>
      <c r="AF9" s="233">
        <f t="shared" si="1"/>
        <v>31</v>
      </c>
      <c r="AG9" s="233">
        <f t="shared" si="1"/>
        <v>32</v>
      </c>
      <c r="AH9" s="234">
        <f t="shared" si="1"/>
        <v>33</v>
      </c>
      <c r="AI9" s="233">
        <f t="shared" si="1"/>
        <v>34</v>
      </c>
      <c r="AJ9" s="233">
        <f t="shared" si="1"/>
        <v>35</v>
      </c>
      <c r="AK9" s="233">
        <f t="shared" si="1"/>
        <v>36</v>
      </c>
      <c r="AL9" s="234">
        <f t="shared" si="1"/>
        <v>37</v>
      </c>
      <c r="AM9" s="233">
        <f t="shared" si="1"/>
        <v>38</v>
      </c>
      <c r="AN9" s="233">
        <f t="shared" si="1"/>
        <v>39</v>
      </c>
      <c r="AO9" s="233">
        <f t="shared" si="1"/>
        <v>40</v>
      </c>
      <c r="AP9" s="234">
        <f t="shared" si="1"/>
        <v>41</v>
      </c>
      <c r="AQ9" s="233">
        <f t="shared" si="1"/>
        <v>42</v>
      </c>
      <c r="AR9" s="233">
        <f t="shared" si="1"/>
        <v>43</v>
      </c>
      <c r="AS9" s="233">
        <f t="shared" si="1"/>
        <v>44</v>
      </c>
      <c r="AT9" s="234">
        <f t="shared" si="1"/>
        <v>45</v>
      </c>
      <c r="AU9" s="232">
        <f t="shared" si="1"/>
        <v>46</v>
      </c>
      <c r="AV9" s="234">
        <f t="shared" si="1"/>
        <v>47</v>
      </c>
      <c r="AW9" s="232"/>
      <c r="AX9" s="233"/>
      <c r="AY9" s="234"/>
    </row>
    <row r="10" spans="1:51" s="241" customFormat="1">
      <c r="A10" s="236"/>
      <c r="B10" s="237"/>
      <c r="C10" s="238" t="s">
        <v>29</v>
      </c>
      <c r="D10" s="239" t="s">
        <v>26</v>
      </c>
      <c r="E10" s="239" t="s">
        <v>27</v>
      </c>
      <c r="F10" s="237" t="s">
        <v>14</v>
      </c>
      <c r="G10" s="238" t="s">
        <v>29</v>
      </c>
      <c r="H10" s="239" t="s">
        <v>26</v>
      </c>
      <c r="I10" s="239" t="s">
        <v>27</v>
      </c>
      <c r="J10" s="237" t="s">
        <v>14</v>
      </c>
      <c r="K10" s="238" t="s">
        <v>31</v>
      </c>
      <c r="L10" s="239" t="s">
        <v>32</v>
      </c>
      <c r="M10" s="237" t="s">
        <v>33</v>
      </c>
      <c r="N10" s="238" t="s">
        <v>29</v>
      </c>
      <c r="O10" s="240" t="s">
        <v>86</v>
      </c>
      <c r="P10" s="239" t="s">
        <v>35</v>
      </c>
      <c r="Q10" s="239" t="s">
        <v>27</v>
      </c>
      <c r="R10" s="237" t="s">
        <v>14</v>
      </c>
      <c r="S10" s="238" t="s">
        <v>29</v>
      </c>
      <c r="T10" s="240" t="s">
        <v>86</v>
      </c>
      <c r="U10" s="239" t="s">
        <v>66</v>
      </c>
      <c r="V10" s="239" t="s">
        <v>37</v>
      </c>
      <c r="W10" s="239" t="s">
        <v>67</v>
      </c>
      <c r="X10" s="239" t="s">
        <v>37</v>
      </c>
      <c r="Y10" s="239" t="s">
        <v>38</v>
      </c>
      <c r="Z10" s="239" t="s">
        <v>27</v>
      </c>
      <c r="AA10" s="237" t="s">
        <v>14</v>
      </c>
      <c r="AB10" s="238" t="s">
        <v>29</v>
      </c>
      <c r="AC10" s="237" t="s">
        <v>40</v>
      </c>
      <c r="AD10" s="238" t="s">
        <v>45</v>
      </c>
      <c r="AE10" s="239" t="s">
        <v>29</v>
      </c>
      <c r="AF10" s="239" t="s">
        <v>26</v>
      </c>
      <c r="AG10" s="239" t="s">
        <v>27</v>
      </c>
      <c r="AH10" s="237" t="s">
        <v>14</v>
      </c>
      <c r="AI10" s="238" t="s">
        <v>53</v>
      </c>
      <c r="AJ10" s="239" t="s">
        <v>31</v>
      </c>
      <c r="AK10" s="239" t="s">
        <v>32</v>
      </c>
      <c r="AL10" s="237" t="s">
        <v>33</v>
      </c>
      <c r="AM10" s="238" t="s">
        <v>53</v>
      </c>
      <c r="AN10" s="239" t="s">
        <v>31</v>
      </c>
      <c r="AO10" s="239" t="s">
        <v>32</v>
      </c>
      <c r="AP10" s="237" t="s">
        <v>33</v>
      </c>
      <c r="AQ10" s="238" t="s">
        <v>53</v>
      </c>
      <c r="AR10" s="239" t="s">
        <v>31</v>
      </c>
      <c r="AS10" s="239" t="s">
        <v>32</v>
      </c>
      <c r="AT10" s="237" t="s">
        <v>33</v>
      </c>
      <c r="AU10" s="238" t="s">
        <v>55</v>
      </c>
      <c r="AV10" s="237" t="s">
        <v>56</v>
      </c>
      <c r="AW10" s="238"/>
      <c r="AX10" s="239"/>
      <c r="AY10" s="237"/>
    </row>
    <row r="11" spans="1:51">
      <c r="A11" s="242" t="s">
        <v>170</v>
      </c>
      <c r="B11" s="243">
        <v>1</v>
      </c>
      <c r="C11" s="244"/>
      <c r="D11" s="245"/>
      <c r="E11" s="246"/>
      <c r="F11" s="247"/>
      <c r="G11" s="424"/>
      <c r="H11" s="245"/>
      <c r="I11" s="246"/>
      <c r="J11" s="247"/>
      <c r="K11" s="244"/>
      <c r="L11" s="248"/>
      <c r="M11" s="249"/>
      <c r="N11" s="425"/>
      <c r="O11" s="426"/>
      <c r="P11" s="427"/>
      <c r="Q11" s="428"/>
      <c r="R11" s="429"/>
      <c r="S11" s="253"/>
      <c r="T11" s="245"/>
      <c r="U11" s="251"/>
      <c r="V11" s="254"/>
      <c r="W11" s="427"/>
      <c r="X11" s="430"/>
      <c r="Y11" s="251"/>
      <c r="Z11" s="254"/>
      <c r="AA11" s="252"/>
      <c r="AB11" s="255"/>
      <c r="AC11" s="256"/>
      <c r="AD11" s="255"/>
      <c r="AE11" s="257"/>
      <c r="AF11" s="245"/>
      <c r="AG11" s="254"/>
      <c r="AH11" s="252"/>
      <c r="AI11" s="255"/>
      <c r="AJ11" s="245"/>
      <c r="AK11" s="245"/>
      <c r="AL11" s="258"/>
      <c r="AM11" s="255"/>
      <c r="AN11" s="245"/>
      <c r="AO11" s="245"/>
      <c r="AP11" s="258"/>
      <c r="AQ11" s="245"/>
      <c r="AR11" s="245"/>
      <c r="AS11" s="245"/>
      <c r="AT11" s="258"/>
      <c r="AU11" s="259"/>
      <c r="AV11" s="260"/>
      <c r="AW11" s="232">
        <v>1</v>
      </c>
      <c r="AX11" s="261" t="s">
        <v>47</v>
      </c>
      <c r="AY11" s="368">
        <v>0</v>
      </c>
    </row>
    <row r="12" spans="1:51">
      <c r="A12" s="242" t="s">
        <v>121</v>
      </c>
      <c r="B12" s="243">
        <v>2</v>
      </c>
      <c r="C12" s="244"/>
      <c r="D12" s="245"/>
      <c r="E12" s="246"/>
      <c r="F12" s="247"/>
      <c r="G12" s="365"/>
      <c r="H12" s="245"/>
      <c r="I12" s="246"/>
      <c r="J12" s="247"/>
      <c r="K12" s="244"/>
      <c r="L12" s="248"/>
      <c r="M12" s="249"/>
      <c r="N12" s="360"/>
      <c r="O12" s="361"/>
      <c r="P12" s="369"/>
      <c r="Q12" s="363"/>
      <c r="R12" s="364"/>
      <c r="S12" s="253"/>
      <c r="T12" s="245"/>
      <c r="U12" s="251"/>
      <c r="V12" s="254"/>
      <c r="W12" s="251"/>
      <c r="X12" s="254"/>
      <c r="Y12" s="251"/>
      <c r="Z12" s="254"/>
      <c r="AA12" s="252"/>
      <c r="AB12" s="255"/>
      <c r="AC12" s="256"/>
      <c r="AD12" s="255"/>
      <c r="AE12" s="257"/>
      <c r="AF12" s="245"/>
      <c r="AG12" s="254"/>
      <c r="AH12" s="252"/>
      <c r="AI12" s="255"/>
      <c r="AJ12" s="245"/>
      <c r="AK12" s="245"/>
      <c r="AL12" s="258"/>
      <c r="AM12" s="255"/>
      <c r="AN12" s="245"/>
      <c r="AO12" s="245"/>
      <c r="AP12" s="258"/>
      <c r="AQ12" s="245"/>
      <c r="AR12" s="245"/>
      <c r="AS12" s="245"/>
      <c r="AT12" s="258"/>
      <c r="AU12" s="259"/>
      <c r="AV12" s="260"/>
      <c r="AW12" s="232">
        <v>2</v>
      </c>
      <c r="AX12" s="261" t="s">
        <v>65</v>
      </c>
      <c r="AY12" s="262">
        <v>0.08</v>
      </c>
    </row>
    <row r="13" spans="1:51" ht="13.5" thickBot="1">
      <c r="A13" s="242" t="s">
        <v>116</v>
      </c>
      <c r="B13" s="243">
        <v>3</v>
      </c>
      <c r="C13" s="244"/>
      <c r="D13" s="245"/>
      <c r="E13" s="246"/>
      <c r="F13" s="247"/>
      <c r="G13" s="365"/>
      <c r="H13" s="245"/>
      <c r="I13" s="246"/>
      <c r="J13" s="247"/>
      <c r="K13" s="244"/>
      <c r="L13" s="248"/>
      <c r="M13" s="249"/>
      <c r="N13" s="360"/>
      <c r="O13" s="361"/>
      <c r="P13" s="362"/>
      <c r="Q13" s="363"/>
      <c r="R13" s="364"/>
      <c r="S13" s="253"/>
      <c r="T13" s="245"/>
      <c r="U13" s="251"/>
      <c r="V13" s="254"/>
      <c r="W13" s="251"/>
      <c r="X13" s="254"/>
      <c r="Y13" s="251"/>
      <c r="Z13" s="254"/>
      <c r="AA13" s="252"/>
      <c r="AB13" s="255"/>
      <c r="AC13" s="256"/>
      <c r="AD13" s="255"/>
      <c r="AE13" s="257"/>
      <c r="AF13" s="245"/>
      <c r="AG13" s="254"/>
      <c r="AH13" s="252"/>
      <c r="AI13" s="255"/>
      <c r="AJ13" s="245"/>
      <c r="AK13" s="245"/>
      <c r="AL13" s="258"/>
      <c r="AM13" s="255"/>
      <c r="AN13" s="245"/>
      <c r="AO13" s="245"/>
      <c r="AP13" s="258"/>
      <c r="AQ13" s="245"/>
      <c r="AR13" s="245"/>
      <c r="AS13" s="245"/>
      <c r="AT13" s="258"/>
      <c r="AU13" s="259"/>
      <c r="AV13" s="260"/>
      <c r="AW13" s="263">
        <v>3</v>
      </c>
      <c r="AX13" s="264" t="s">
        <v>46</v>
      </c>
      <c r="AY13" s="265">
        <v>0.09</v>
      </c>
    </row>
    <row r="14" spans="1:51">
      <c r="A14" s="242" t="s">
        <v>117</v>
      </c>
      <c r="B14" s="243">
        <v>4</v>
      </c>
      <c r="C14" s="244"/>
      <c r="D14" s="245"/>
      <c r="E14" s="246"/>
      <c r="F14" s="247"/>
      <c r="G14" s="365"/>
      <c r="H14" s="245"/>
      <c r="I14" s="246"/>
      <c r="J14" s="247"/>
      <c r="K14" s="244"/>
      <c r="L14" s="248"/>
      <c r="M14" s="249"/>
      <c r="N14" s="360"/>
      <c r="O14" s="361"/>
      <c r="P14" s="362"/>
      <c r="Q14" s="363"/>
      <c r="R14" s="364"/>
      <c r="S14" s="253"/>
      <c r="T14" s="245"/>
      <c r="U14" s="251"/>
      <c r="V14" s="254"/>
      <c r="W14" s="251"/>
      <c r="X14" s="254"/>
      <c r="Y14" s="251"/>
      <c r="Z14" s="254"/>
      <c r="AA14" s="252"/>
      <c r="AB14" s="255"/>
      <c r="AC14" s="256"/>
      <c r="AD14" s="255"/>
      <c r="AE14" s="257"/>
      <c r="AF14" s="245"/>
      <c r="AG14" s="254"/>
      <c r="AH14" s="252"/>
      <c r="AI14" s="255"/>
      <c r="AJ14" s="245"/>
      <c r="AK14" s="245"/>
      <c r="AL14" s="258"/>
      <c r="AM14" s="255"/>
      <c r="AN14" s="245"/>
      <c r="AO14" s="245"/>
      <c r="AP14" s="258"/>
      <c r="AQ14" s="245"/>
      <c r="AR14" s="245"/>
      <c r="AS14" s="245"/>
      <c r="AT14" s="258"/>
      <c r="AU14" s="259"/>
      <c r="AV14" s="260"/>
      <c r="AW14" s="266"/>
      <c r="AX14" s="267"/>
      <c r="AY14" s="267"/>
    </row>
    <row r="15" spans="1:51">
      <c r="A15" s="242" t="s">
        <v>118</v>
      </c>
      <c r="B15" s="243">
        <v>5</v>
      </c>
      <c r="C15" s="244"/>
      <c r="D15" s="245"/>
      <c r="E15" s="246"/>
      <c r="F15" s="247"/>
      <c r="G15" s="365"/>
      <c r="H15" s="245"/>
      <c r="I15" s="246"/>
      <c r="J15" s="247"/>
      <c r="K15" s="244"/>
      <c r="L15" s="248"/>
      <c r="M15" s="249"/>
      <c r="N15" s="360"/>
      <c r="O15" s="361"/>
      <c r="P15" s="362"/>
      <c r="Q15" s="363"/>
      <c r="R15" s="364"/>
      <c r="S15" s="253"/>
      <c r="T15" s="245"/>
      <c r="U15" s="251"/>
      <c r="V15" s="254"/>
      <c r="W15" s="251"/>
      <c r="X15" s="254"/>
      <c r="Y15" s="251"/>
      <c r="Z15" s="254"/>
      <c r="AA15" s="252"/>
      <c r="AB15" s="255"/>
      <c r="AC15" s="256"/>
      <c r="AD15" s="255"/>
      <c r="AE15" s="257"/>
      <c r="AF15" s="245"/>
      <c r="AG15" s="254"/>
      <c r="AH15" s="252"/>
      <c r="AI15" s="255"/>
      <c r="AJ15" s="245"/>
      <c r="AK15" s="245"/>
      <c r="AL15" s="258"/>
      <c r="AM15" s="255"/>
      <c r="AN15" s="245"/>
      <c r="AO15" s="245"/>
      <c r="AP15" s="258"/>
      <c r="AQ15" s="245"/>
      <c r="AR15" s="245"/>
      <c r="AS15" s="245"/>
      <c r="AT15" s="258"/>
      <c r="AU15" s="259"/>
      <c r="AV15" s="260"/>
      <c r="AW15" s="266"/>
      <c r="AX15" s="267"/>
      <c r="AY15" s="267"/>
    </row>
    <row r="16" spans="1:51">
      <c r="A16" s="242" t="s">
        <v>119</v>
      </c>
      <c r="B16" s="243">
        <v>6</v>
      </c>
      <c r="C16" s="244"/>
      <c r="D16" s="245"/>
      <c r="E16" s="246"/>
      <c r="F16" s="247"/>
      <c r="G16" s="365"/>
      <c r="H16" s="245"/>
      <c r="I16" s="246"/>
      <c r="J16" s="247"/>
      <c r="K16" s="244"/>
      <c r="L16" s="248"/>
      <c r="M16" s="249"/>
      <c r="N16" s="360"/>
      <c r="O16" s="361"/>
      <c r="P16" s="362"/>
      <c r="Q16" s="363"/>
      <c r="R16" s="364"/>
      <c r="S16" s="253"/>
      <c r="T16" s="245"/>
      <c r="U16" s="251"/>
      <c r="V16" s="254"/>
      <c r="W16" s="251"/>
      <c r="X16" s="254"/>
      <c r="Y16" s="251"/>
      <c r="Z16" s="254"/>
      <c r="AA16" s="252"/>
      <c r="AB16" s="255"/>
      <c r="AC16" s="256"/>
      <c r="AD16" s="255"/>
      <c r="AE16" s="257"/>
      <c r="AF16" s="245"/>
      <c r="AG16" s="254"/>
      <c r="AH16" s="252"/>
      <c r="AI16" s="255"/>
      <c r="AJ16" s="245"/>
      <c r="AK16" s="245"/>
      <c r="AL16" s="258"/>
      <c r="AM16" s="255"/>
      <c r="AN16" s="245"/>
      <c r="AO16" s="245"/>
      <c r="AP16" s="258"/>
      <c r="AQ16" s="245"/>
      <c r="AR16" s="245"/>
      <c r="AS16" s="245"/>
      <c r="AT16" s="258"/>
      <c r="AU16" s="259"/>
      <c r="AV16" s="260"/>
      <c r="AW16" s="266"/>
      <c r="AX16" s="267"/>
      <c r="AY16" s="267"/>
    </row>
    <row r="17" spans="1:51">
      <c r="A17" s="242" t="s">
        <v>120</v>
      </c>
      <c r="B17" s="243">
        <v>7</v>
      </c>
      <c r="C17" s="244"/>
      <c r="D17" s="245"/>
      <c r="E17" s="246"/>
      <c r="F17" s="247"/>
      <c r="G17" s="365"/>
      <c r="H17" s="245"/>
      <c r="I17" s="246"/>
      <c r="J17" s="247"/>
      <c r="K17" s="244"/>
      <c r="L17" s="248"/>
      <c r="M17" s="249"/>
      <c r="N17" s="360"/>
      <c r="O17" s="361"/>
      <c r="P17" s="362"/>
      <c r="Q17" s="363"/>
      <c r="R17" s="364"/>
      <c r="S17" s="253"/>
      <c r="T17" s="245"/>
      <c r="U17" s="251"/>
      <c r="V17" s="254"/>
      <c r="W17" s="251"/>
      <c r="X17" s="254"/>
      <c r="Y17" s="251"/>
      <c r="Z17" s="254"/>
      <c r="AA17" s="252"/>
      <c r="AB17" s="255"/>
      <c r="AC17" s="256"/>
      <c r="AD17" s="255"/>
      <c r="AE17" s="257"/>
      <c r="AF17" s="245"/>
      <c r="AG17" s="254"/>
      <c r="AH17" s="252"/>
      <c r="AI17" s="255"/>
      <c r="AJ17" s="245"/>
      <c r="AK17" s="245"/>
      <c r="AL17" s="258"/>
      <c r="AM17" s="255"/>
      <c r="AN17" s="245"/>
      <c r="AO17" s="245"/>
      <c r="AP17" s="258"/>
      <c r="AQ17" s="245"/>
      <c r="AR17" s="245"/>
      <c r="AS17" s="245"/>
      <c r="AT17" s="258"/>
      <c r="AU17" s="259"/>
      <c r="AV17" s="260"/>
      <c r="AW17" s="266"/>
      <c r="AX17" s="267"/>
      <c r="AY17" s="267"/>
    </row>
    <row r="18" spans="1:51">
      <c r="A18" s="242" t="s">
        <v>89</v>
      </c>
      <c r="B18" s="243">
        <v>8</v>
      </c>
      <c r="C18" s="244"/>
      <c r="D18" s="245">
        <v>0</v>
      </c>
      <c r="E18" s="246"/>
      <c r="F18" s="247"/>
      <c r="G18" s="244"/>
      <c r="H18" s="245"/>
      <c r="I18" s="246"/>
      <c r="J18" s="247"/>
      <c r="K18" s="244"/>
      <c r="L18" s="248"/>
      <c r="M18" s="249"/>
      <c r="N18" s="250"/>
      <c r="O18" s="245"/>
      <c r="P18" s="251"/>
      <c r="Q18" s="246"/>
      <c r="R18" s="252"/>
      <c r="S18" s="253"/>
      <c r="T18" s="245"/>
      <c r="U18" s="251"/>
      <c r="V18" s="254"/>
      <c r="W18" s="251"/>
      <c r="X18" s="254"/>
      <c r="Y18" s="251"/>
      <c r="Z18" s="254"/>
      <c r="AA18" s="252"/>
      <c r="AB18" s="255"/>
      <c r="AC18" s="256"/>
      <c r="AD18" s="255"/>
      <c r="AE18" s="257"/>
      <c r="AF18" s="245"/>
      <c r="AG18" s="254"/>
      <c r="AH18" s="252"/>
      <c r="AI18" s="255"/>
      <c r="AJ18" s="245"/>
      <c r="AK18" s="245"/>
      <c r="AL18" s="258"/>
      <c r="AM18" s="255"/>
      <c r="AN18" s="245"/>
      <c r="AO18" s="245"/>
      <c r="AP18" s="258"/>
      <c r="AQ18" s="245"/>
      <c r="AR18" s="245"/>
      <c r="AS18" s="245"/>
      <c r="AT18" s="258"/>
      <c r="AU18" s="259"/>
      <c r="AV18" s="260"/>
      <c r="AW18" s="266"/>
      <c r="AX18" s="267"/>
      <c r="AY18" s="267"/>
    </row>
    <row r="19" spans="1:51">
      <c r="A19" s="242" t="s">
        <v>68</v>
      </c>
      <c r="B19" s="243">
        <v>9</v>
      </c>
      <c r="C19" s="244"/>
      <c r="D19" s="245">
        <v>0</v>
      </c>
      <c r="E19" s="246"/>
      <c r="F19" s="247"/>
      <c r="G19" s="244"/>
      <c r="H19" s="245"/>
      <c r="I19" s="246"/>
      <c r="J19" s="247"/>
      <c r="K19" s="244"/>
      <c r="L19" s="248"/>
      <c r="M19" s="249"/>
      <c r="N19" s="250"/>
      <c r="O19" s="245"/>
      <c r="P19" s="251"/>
      <c r="Q19" s="246"/>
      <c r="R19" s="252"/>
      <c r="S19" s="253"/>
      <c r="T19" s="245"/>
      <c r="U19" s="251"/>
      <c r="V19" s="254"/>
      <c r="W19" s="251"/>
      <c r="X19" s="254"/>
      <c r="Y19" s="251"/>
      <c r="Z19" s="254"/>
      <c r="AA19" s="252"/>
      <c r="AB19" s="255"/>
      <c r="AC19" s="256"/>
      <c r="AD19" s="255"/>
      <c r="AE19" s="257"/>
      <c r="AF19" s="245"/>
      <c r="AG19" s="254"/>
      <c r="AH19" s="252"/>
      <c r="AI19" s="255"/>
      <c r="AJ19" s="245"/>
      <c r="AK19" s="245"/>
      <c r="AL19" s="258"/>
      <c r="AM19" s="255"/>
      <c r="AN19" s="245"/>
      <c r="AO19" s="245"/>
      <c r="AP19" s="258"/>
      <c r="AQ19" s="245"/>
      <c r="AR19" s="245"/>
      <c r="AS19" s="245"/>
      <c r="AT19" s="258"/>
      <c r="AU19" s="259"/>
      <c r="AV19" s="260"/>
      <c r="AW19" s="266"/>
      <c r="AX19" s="267"/>
      <c r="AY19" s="267"/>
    </row>
    <row r="20" spans="1:51">
      <c r="A20" s="242" t="s">
        <v>69</v>
      </c>
      <c r="B20" s="243">
        <v>10</v>
      </c>
      <c r="C20" s="244"/>
      <c r="D20" s="245"/>
      <c r="E20" s="246"/>
      <c r="F20" s="247"/>
      <c r="G20" s="244"/>
      <c r="H20" s="245"/>
      <c r="I20" s="246"/>
      <c r="J20" s="247"/>
      <c r="K20" s="244"/>
      <c r="L20" s="248"/>
      <c r="M20" s="249"/>
      <c r="N20" s="250"/>
      <c r="O20" s="245"/>
      <c r="P20" s="251"/>
      <c r="Q20" s="246"/>
      <c r="R20" s="252"/>
      <c r="S20" s="253"/>
      <c r="T20" s="245"/>
      <c r="U20" s="251"/>
      <c r="V20" s="254"/>
      <c r="W20" s="251"/>
      <c r="X20" s="254"/>
      <c r="Y20" s="251"/>
      <c r="Z20" s="254"/>
      <c r="AA20" s="252"/>
      <c r="AB20" s="255"/>
      <c r="AC20" s="256"/>
      <c r="AD20" s="255"/>
      <c r="AE20" s="257"/>
      <c r="AF20" s="245"/>
      <c r="AG20" s="254"/>
      <c r="AH20" s="252"/>
      <c r="AI20" s="255"/>
      <c r="AJ20" s="245"/>
      <c r="AK20" s="245"/>
      <c r="AL20" s="258"/>
      <c r="AM20" s="255"/>
      <c r="AN20" s="245"/>
      <c r="AO20" s="245"/>
      <c r="AP20" s="258"/>
      <c r="AQ20" s="245"/>
      <c r="AR20" s="245"/>
      <c r="AS20" s="245"/>
      <c r="AT20" s="258"/>
      <c r="AU20" s="259"/>
      <c r="AV20" s="260"/>
      <c r="AW20" s="266"/>
      <c r="AX20" s="267"/>
      <c r="AY20" s="267"/>
    </row>
    <row r="21" spans="1:51">
      <c r="A21" s="242" t="s">
        <v>70</v>
      </c>
      <c r="B21" s="243">
        <v>11</v>
      </c>
      <c r="C21" s="244"/>
      <c r="D21" s="245"/>
      <c r="E21" s="246"/>
      <c r="F21" s="247"/>
      <c r="G21" s="244"/>
      <c r="H21" s="245"/>
      <c r="I21" s="246"/>
      <c r="J21" s="247"/>
      <c r="K21" s="244"/>
      <c r="L21" s="248"/>
      <c r="M21" s="249"/>
      <c r="N21" s="250"/>
      <c r="O21" s="245"/>
      <c r="P21" s="251"/>
      <c r="Q21" s="246"/>
      <c r="R21" s="252"/>
      <c r="S21" s="253"/>
      <c r="T21" s="245"/>
      <c r="U21" s="251"/>
      <c r="V21" s="254"/>
      <c r="W21" s="251"/>
      <c r="X21" s="254"/>
      <c r="Y21" s="251"/>
      <c r="Z21" s="254"/>
      <c r="AA21" s="252"/>
      <c r="AB21" s="255"/>
      <c r="AC21" s="256"/>
      <c r="AD21" s="255"/>
      <c r="AE21" s="257"/>
      <c r="AF21" s="245"/>
      <c r="AG21" s="254"/>
      <c r="AH21" s="252"/>
      <c r="AI21" s="255"/>
      <c r="AJ21" s="245"/>
      <c r="AK21" s="245"/>
      <c r="AL21" s="258"/>
      <c r="AM21" s="255"/>
      <c r="AN21" s="245"/>
      <c r="AO21" s="245"/>
      <c r="AP21" s="258"/>
      <c r="AQ21" s="245"/>
      <c r="AR21" s="245"/>
      <c r="AS21" s="245"/>
      <c r="AT21" s="258"/>
      <c r="AU21" s="259"/>
      <c r="AV21" s="260"/>
      <c r="AW21" s="266"/>
      <c r="AX21" s="267"/>
      <c r="AY21" s="267"/>
    </row>
    <row r="22" spans="1:51">
      <c r="A22" s="242" t="s">
        <v>71</v>
      </c>
      <c r="B22" s="243">
        <v>12</v>
      </c>
      <c r="C22" s="244"/>
      <c r="D22" s="245"/>
      <c r="E22" s="246"/>
      <c r="F22" s="247"/>
      <c r="G22" s="244"/>
      <c r="H22" s="245"/>
      <c r="I22" s="246"/>
      <c r="J22" s="247"/>
      <c r="K22" s="244"/>
      <c r="L22" s="248"/>
      <c r="M22" s="249"/>
      <c r="N22" s="250"/>
      <c r="O22" s="245"/>
      <c r="P22" s="251"/>
      <c r="Q22" s="246"/>
      <c r="R22" s="252"/>
      <c r="S22" s="253"/>
      <c r="T22" s="245"/>
      <c r="U22" s="251"/>
      <c r="V22" s="254"/>
      <c r="W22" s="251"/>
      <c r="X22" s="254"/>
      <c r="Y22" s="251"/>
      <c r="Z22" s="254"/>
      <c r="AA22" s="252"/>
      <c r="AB22" s="255"/>
      <c r="AC22" s="256"/>
      <c r="AD22" s="255"/>
      <c r="AE22" s="257"/>
      <c r="AF22" s="245"/>
      <c r="AG22" s="254"/>
      <c r="AH22" s="252"/>
      <c r="AI22" s="255"/>
      <c r="AJ22" s="245"/>
      <c r="AK22" s="245"/>
      <c r="AL22" s="258"/>
      <c r="AM22" s="255"/>
      <c r="AN22" s="245"/>
      <c r="AO22" s="245"/>
      <c r="AP22" s="258"/>
      <c r="AQ22" s="245"/>
      <c r="AR22" s="245"/>
      <c r="AS22" s="245"/>
      <c r="AT22" s="258"/>
      <c r="AU22" s="259"/>
      <c r="AV22" s="260"/>
      <c r="AW22" s="266"/>
      <c r="AX22" s="267"/>
      <c r="AY22" s="267"/>
    </row>
    <row r="23" spans="1:51">
      <c r="A23" s="242" t="s">
        <v>72</v>
      </c>
      <c r="B23" s="243">
        <v>13</v>
      </c>
      <c r="C23" s="244"/>
      <c r="D23" s="245"/>
      <c r="E23" s="246"/>
      <c r="F23" s="247"/>
      <c r="G23" s="244"/>
      <c r="H23" s="245"/>
      <c r="I23" s="246"/>
      <c r="J23" s="247"/>
      <c r="K23" s="244"/>
      <c r="L23" s="248"/>
      <c r="M23" s="249"/>
      <c r="N23" s="250"/>
      <c r="O23" s="245"/>
      <c r="P23" s="251"/>
      <c r="Q23" s="246"/>
      <c r="R23" s="252"/>
      <c r="S23" s="253"/>
      <c r="T23" s="245"/>
      <c r="U23" s="251"/>
      <c r="V23" s="254"/>
      <c r="W23" s="251"/>
      <c r="X23" s="254"/>
      <c r="Y23" s="251"/>
      <c r="Z23" s="254"/>
      <c r="AA23" s="252"/>
      <c r="AB23" s="255"/>
      <c r="AC23" s="256"/>
      <c r="AD23" s="255"/>
      <c r="AE23" s="257"/>
      <c r="AF23" s="245"/>
      <c r="AG23" s="254"/>
      <c r="AH23" s="252"/>
      <c r="AI23" s="255"/>
      <c r="AJ23" s="245"/>
      <c r="AK23" s="245"/>
      <c r="AL23" s="258"/>
      <c r="AM23" s="255"/>
      <c r="AN23" s="245"/>
      <c r="AO23" s="245"/>
      <c r="AP23" s="258"/>
      <c r="AQ23" s="245"/>
      <c r="AR23" s="245"/>
      <c r="AS23" s="245"/>
      <c r="AT23" s="258"/>
      <c r="AU23" s="259"/>
      <c r="AV23" s="260"/>
      <c r="AW23" s="266"/>
      <c r="AX23" s="267"/>
      <c r="AY23" s="267"/>
    </row>
    <row r="24" spans="1:51">
      <c r="A24" s="242" t="s">
        <v>73</v>
      </c>
      <c r="B24" s="243">
        <v>14</v>
      </c>
      <c r="C24" s="244"/>
      <c r="D24" s="245"/>
      <c r="E24" s="246"/>
      <c r="F24" s="247"/>
      <c r="G24" s="244"/>
      <c r="H24" s="245"/>
      <c r="I24" s="246"/>
      <c r="J24" s="247"/>
      <c r="K24" s="244"/>
      <c r="L24" s="248"/>
      <c r="M24" s="249"/>
      <c r="N24" s="250"/>
      <c r="O24" s="245"/>
      <c r="P24" s="251"/>
      <c r="Q24" s="246"/>
      <c r="R24" s="252"/>
      <c r="S24" s="253"/>
      <c r="T24" s="245"/>
      <c r="U24" s="251"/>
      <c r="V24" s="254"/>
      <c r="W24" s="251"/>
      <c r="X24" s="254"/>
      <c r="Y24" s="251"/>
      <c r="Z24" s="254"/>
      <c r="AA24" s="252"/>
      <c r="AB24" s="255"/>
      <c r="AC24" s="256"/>
      <c r="AD24" s="255"/>
      <c r="AE24" s="257"/>
      <c r="AF24" s="245"/>
      <c r="AG24" s="254"/>
      <c r="AH24" s="252"/>
      <c r="AI24" s="255"/>
      <c r="AJ24" s="245"/>
      <c r="AK24" s="245"/>
      <c r="AL24" s="258"/>
      <c r="AM24" s="255"/>
      <c r="AN24" s="245"/>
      <c r="AO24" s="245"/>
      <c r="AP24" s="258"/>
      <c r="AQ24" s="245"/>
      <c r="AR24" s="245"/>
      <c r="AS24" s="245"/>
      <c r="AT24" s="258"/>
      <c r="AU24" s="259"/>
      <c r="AV24" s="260"/>
      <c r="AW24" s="266"/>
      <c r="AX24" s="267"/>
      <c r="AY24" s="267"/>
    </row>
    <row r="25" spans="1:51">
      <c r="A25" s="242" t="s">
        <v>74</v>
      </c>
      <c r="B25" s="243">
        <v>15</v>
      </c>
      <c r="C25" s="244"/>
      <c r="D25" s="245"/>
      <c r="E25" s="246"/>
      <c r="F25" s="247"/>
      <c r="G25" s="244"/>
      <c r="H25" s="245"/>
      <c r="I25" s="246"/>
      <c r="J25" s="247"/>
      <c r="K25" s="244"/>
      <c r="L25" s="248"/>
      <c r="M25" s="249"/>
      <c r="N25" s="250"/>
      <c r="O25" s="245"/>
      <c r="P25" s="251"/>
      <c r="Q25" s="246"/>
      <c r="R25" s="252"/>
      <c r="S25" s="253"/>
      <c r="T25" s="245"/>
      <c r="U25" s="251"/>
      <c r="V25" s="254"/>
      <c r="W25" s="251"/>
      <c r="X25" s="254"/>
      <c r="Y25" s="251"/>
      <c r="Z25" s="254"/>
      <c r="AA25" s="252"/>
      <c r="AB25" s="255"/>
      <c r="AC25" s="256"/>
      <c r="AD25" s="255"/>
      <c r="AE25" s="257"/>
      <c r="AF25" s="245"/>
      <c r="AG25" s="254"/>
      <c r="AH25" s="252"/>
      <c r="AI25" s="255"/>
      <c r="AJ25" s="245"/>
      <c r="AK25" s="245"/>
      <c r="AL25" s="258"/>
      <c r="AM25" s="255"/>
      <c r="AN25" s="245"/>
      <c r="AO25" s="245"/>
      <c r="AP25" s="258"/>
      <c r="AQ25" s="245"/>
      <c r="AR25" s="245"/>
      <c r="AS25" s="245"/>
      <c r="AT25" s="258"/>
      <c r="AU25" s="259"/>
      <c r="AV25" s="260"/>
      <c r="AW25" s="266"/>
      <c r="AX25" s="267"/>
      <c r="AY25" s="267"/>
    </row>
    <row r="26" spans="1:51">
      <c r="A26" s="242" t="s">
        <v>75</v>
      </c>
      <c r="B26" s="243">
        <v>16</v>
      </c>
      <c r="C26" s="244"/>
      <c r="D26" s="245"/>
      <c r="E26" s="246"/>
      <c r="F26" s="247"/>
      <c r="G26" s="244"/>
      <c r="H26" s="245"/>
      <c r="I26" s="246"/>
      <c r="J26" s="247"/>
      <c r="K26" s="244"/>
      <c r="L26" s="248"/>
      <c r="M26" s="249"/>
      <c r="N26" s="250"/>
      <c r="O26" s="245"/>
      <c r="P26" s="251"/>
      <c r="Q26" s="246"/>
      <c r="R26" s="252"/>
      <c r="S26" s="253"/>
      <c r="T26" s="245"/>
      <c r="U26" s="251"/>
      <c r="V26" s="254"/>
      <c r="W26" s="251"/>
      <c r="X26" s="254"/>
      <c r="Y26" s="251"/>
      <c r="Z26" s="254"/>
      <c r="AA26" s="252"/>
      <c r="AB26" s="255"/>
      <c r="AC26" s="256"/>
      <c r="AD26" s="255"/>
      <c r="AE26" s="257"/>
      <c r="AF26" s="245"/>
      <c r="AG26" s="254"/>
      <c r="AH26" s="252"/>
      <c r="AI26" s="255"/>
      <c r="AJ26" s="245"/>
      <c r="AK26" s="245"/>
      <c r="AL26" s="258"/>
      <c r="AM26" s="255"/>
      <c r="AN26" s="245"/>
      <c r="AO26" s="245"/>
      <c r="AP26" s="258"/>
      <c r="AQ26" s="245"/>
      <c r="AR26" s="245"/>
      <c r="AS26" s="245"/>
      <c r="AT26" s="258"/>
      <c r="AU26" s="259"/>
      <c r="AV26" s="260"/>
      <c r="AW26" s="266"/>
      <c r="AX26" s="267"/>
      <c r="AY26" s="267"/>
    </row>
    <row r="27" spans="1:51">
      <c r="A27" s="242" t="s">
        <v>76</v>
      </c>
      <c r="B27" s="243">
        <v>17</v>
      </c>
      <c r="C27" s="244"/>
      <c r="D27" s="245"/>
      <c r="E27" s="246"/>
      <c r="F27" s="247"/>
      <c r="G27" s="244"/>
      <c r="H27" s="245"/>
      <c r="I27" s="246"/>
      <c r="J27" s="247"/>
      <c r="K27" s="244"/>
      <c r="L27" s="248"/>
      <c r="M27" s="249"/>
      <c r="N27" s="250"/>
      <c r="O27" s="245"/>
      <c r="P27" s="251"/>
      <c r="Q27" s="246"/>
      <c r="R27" s="252"/>
      <c r="S27" s="253"/>
      <c r="T27" s="245"/>
      <c r="U27" s="251"/>
      <c r="V27" s="254"/>
      <c r="W27" s="251"/>
      <c r="X27" s="254"/>
      <c r="Y27" s="251"/>
      <c r="Z27" s="254"/>
      <c r="AA27" s="252"/>
      <c r="AB27" s="255"/>
      <c r="AC27" s="256"/>
      <c r="AD27" s="255"/>
      <c r="AE27" s="257"/>
      <c r="AF27" s="245"/>
      <c r="AG27" s="254"/>
      <c r="AH27" s="252"/>
      <c r="AI27" s="255"/>
      <c r="AJ27" s="245"/>
      <c r="AK27" s="245"/>
      <c r="AL27" s="258"/>
      <c r="AM27" s="255"/>
      <c r="AN27" s="245"/>
      <c r="AO27" s="245"/>
      <c r="AP27" s="258"/>
      <c r="AQ27" s="245"/>
      <c r="AR27" s="245"/>
      <c r="AS27" s="245"/>
      <c r="AT27" s="258"/>
      <c r="AU27" s="259"/>
      <c r="AV27" s="260"/>
      <c r="AW27" s="266"/>
      <c r="AX27" s="267"/>
      <c r="AY27" s="267"/>
    </row>
    <row r="28" spans="1:51">
      <c r="A28" s="242" t="s">
        <v>77</v>
      </c>
      <c r="B28" s="243">
        <v>18</v>
      </c>
      <c r="C28" s="244"/>
      <c r="D28" s="245"/>
      <c r="E28" s="246"/>
      <c r="F28" s="247"/>
      <c r="G28" s="244"/>
      <c r="H28" s="245"/>
      <c r="I28" s="246"/>
      <c r="J28" s="247"/>
      <c r="K28" s="244"/>
      <c r="L28" s="248"/>
      <c r="M28" s="249"/>
      <c r="N28" s="250"/>
      <c r="O28" s="245"/>
      <c r="P28" s="251"/>
      <c r="Q28" s="246"/>
      <c r="R28" s="252"/>
      <c r="S28" s="253"/>
      <c r="T28" s="245"/>
      <c r="U28" s="251"/>
      <c r="V28" s="254"/>
      <c r="W28" s="251"/>
      <c r="X28" s="254"/>
      <c r="Y28" s="251"/>
      <c r="Z28" s="254"/>
      <c r="AA28" s="252"/>
      <c r="AB28" s="255"/>
      <c r="AC28" s="256"/>
      <c r="AD28" s="255"/>
      <c r="AE28" s="257"/>
      <c r="AF28" s="245"/>
      <c r="AG28" s="254"/>
      <c r="AH28" s="252"/>
      <c r="AI28" s="255"/>
      <c r="AJ28" s="245"/>
      <c r="AK28" s="245"/>
      <c r="AL28" s="258"/>
      <c r="AM28" s="255"/>
      <c r="AN28" s="245"/>
      <c r="AO28" s="245"/>
      <c r="AP28" s="258"/>
      <c r="AQ28" s="245"/>
      <c r="AR28" s="245"/>
      <c r="AS28" s="245"/>
      <c r="AT28" s="258"/>
      <c r="AU28" s="259"/>
      <c r="AV28" s="260"/>
      <c r="AW28" s="266"/>
      <c r="AX28" s="267"/>
      <c r="AY28" s="267"/>
    </row>
    <row r="29" spans="1:51">
      <c r="A29" s="242" t="s">
        <v>78</v>
      </c>
      <c r="B29" s="243">
        <v>19</v>
      </c>
      <c r="C29" s="244"/>
      <c r="D29" s="245"/>
      <c r="E29" s="246"/>
      <c r="F29" s="247"/>
      <c r="G29" s="244"/>
      <c r="H29" s="245"/>
      <c r="I29" s="246"/>
      <c r="J29" s="247"/>
      <c r="K29" s="244"/>
      <c r="L29" s="248"/>
      <c r="M29" s="249"/>
      <c r="N29" s="250"/>
      <c r="O29" s="245"/>
      <c r="P29" s="251"/>
      <c r="Q29" s="246"/>
      <c r="R29" s="252"/>
      <c r="S29" s="253"/>
      <c r="T29" s="245"/>
      <c r="U29" s="251"/>
      <c r="V29" s="254"/>
      <c r="W29" s="251"/>
      <c r="X29" s="254"/>
      <c r="Y29" s="251"/>
      <c r="Z29" s="254"/>
      <c r="AA29" s="252"/>
      <c r="AB29" s="255"/>
      <c r="AC29" s="256"/>
      <c r="AD29" s="255"/>
      <c r="AE29" s="257"/>
      <c r="AF29" s="245"/>
      <c r="AG29" s="254"/>
      <c r="AH29" s="252"/>
      <c r="AI29" s="255"/>
      <c r="AJ29" s="245"/>
      <c r="AK29" s="245"/>
      <c r="AL29" s="258"/>
      <c r="AM29" s="255"/>
      <c r="AN29" s="245"/>
      <c r="AO29" s="245"/>
      <c r="AP29" s="258"/>
      <c r="AQ29" s="245"/>
      <c r="AR29" s="245"/>
      <c r="AS29" s="245"/>
      <c r="AT29" s="258"/>
      <c r="AU29" s="259"/>
      <c r="AV29" s="260"/>
      <c r="AW29" s="266"/>
      <c r="AX29" s="267"/>
      <c r="AY29" s="267"/>
    </row>
    <row r="30" spans="1:51" ht="13.5" thickBot="1">
      <c r="A30" s="268" t="s">
        <v>79</v>
      </c>
      <c r="B30" s="269">
        <v>20</v>
      </c>
      <c r="C30" s="270"/>
      <c r="D30" s="271"/>
      <c r="E30" s="272"/>
      <c r="F30" s="273"/>
      <c r="G30" s="270"/>
      <c r="H30" s="271"/>
      <c r="I30" s="272"/>
      <c r="J30" s="273"/>
      <c r="K30" s="270"/>
      <c r="L30" s="274"/>
      <c r="M30" s="275"/>
      <c r="N30" s="276"/>
      <c r="O30" s="271"/>
      <c r="P30" s="277"/>
      <c r="Q30" s="272"/>
      <c r="R30" s="278"/>
      <c r="S30" s="279"/>
      <c r="T30" s="271"/>
      <c r="U30" s="277"/>
      <c r="V30" s="280"/>
      <c r="W30" s="277"/>
      <c r="X30" s="280"/>
      <c r="Y30" s="277"/>
      <c r="Z30" s="280"/>
      <c r="AA30" s="278"/>
      <c r="AB30" s="281"/>
      <c r="AC30" s="282"/>
      <c r="AD30" s="281"/>
      <c r="AE30" s="283"/>
      <c r="AF30" s="271"/>
      <c r="AG30" s="280"/>
      <c r="AH30" s="278"/>
      <c r="AI30" s="281"/>
      <c r="AJ30" s="271"/>
      <c r="AK30" s="271"/>
      <c r="AL30" s="284"/>
      <c r="AM30" s="281"/>
      <c r="AN30" s="271"/>
      <c r="AO30" s="271"/>
      <c r="AP30" s="284"/>
      <c r="AQ30" s="271"/>
      <c r="AR30" s="271"/>
      <c r="AS30" s="271"/>
      <c r="AT30" s="284"/>
      <c r="AU30" s="285"/>
      <c r="AV30" s="286"/>
      <c r="AW30" s="266"/>
      <c r="AX30" s="267"/>
      <c r="AY30" s="267"/>
    </row>
  </sheetData>
  <sheetProtection password="F4B7" sheet="1" objects="1" scenarios="1" formatCells="0" formatColumns="0" formatRows="0"/>
  <mergeCells count="2">
    <mergeCell ref="C6:E6"/>
    <mergeCell ref="AB6:AD6"/>
  </mergeCells>
  <phoneticPr fontId="8" type="noConversion"/>
  <dataValidations count="2">
    <dataValidation type="list" allowBlank="1" showInputMessage="1" showErrorMessage="1" sqref="T11:T30 O11:O30">
      <formula1>"Oui,Non"</formula1>
    </dataValidation>
    <dataValidation type="list" allowBlank="1" showInputMessage="1" showErrorMessage="1" sqref="AD11:AD30">
      <formula1>"Fixe,par 1 000$"</formula1>
    </dataValidation>
  </dataValidations>
  <pageMargins left="0.19685039370078741" right="0.19685039370078741" top="0.98425196850393704" bottom="0.98425196850393704" header="0.51181102362204722" footer="0.51181102362204722"/>
  <pageSetup paperSize="5" scale="72" fitToWidth="2" orientation="landscape"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AE245"/>
  <sheetViews>
    <sheetView showGridLines="0" showZeros="0" tabSelected="1" topLeftCell="A43" zoomScale="120" zoomScaleNormal="120" workbookViewId="0">
      <selection activeCell="E59" sqref="E59"/>
    </sheetView>
  </sheetViews>
  <sheetFormatPr baseColWidth="10" defaultRowHeight="11.25"/>
  <cols>
    <col min="1" max="1" width="4.3984375" style="97" customWidth="1"/>
    <col min="2" max="2" width="22.3984375" style="1" customWidth="1"/>
    <col min="3" max="3" width="19.3984375" style="1" customWidth="1"/>
    <col min="4" max="4" width="13.796875" style="4" customWidth="1"/>
    <col min="5" max="5" width="18.59765625" style="4" customWidth="1"/>
    <col min="6" max="7" width="12.3984375" style="4" customWidth="1"/>
    <col min="8" max="8" width="25.19921875" style="1" customWidth="1"/>
    <col min="9" max="9" width="15.796875" style="5" customWidth="1"/>
    <col min="10" max="10" width="9.19921875" style="2" customWidth="1"/>
    <col min="11" max="11" width="8.19921875" style="1" customWidth="1"/>
    <col min="12" max="12" width="9.59765625" style="5" customWidth="1"/>
    <col min="13" max="13" width="11" style="5" customWidth="1"/>
    <col min="14" max="14" width="7.59765625" style="1" customWidth="1"/>
    <col min="15" max="15" width="11" style="1" bestFit="1" customWidth="1"/>
    <col min="16" max="16" width="7.3984375" style="1" customWidth="1"/>
    <col min="17" max="17" width="11" style="1" customWidth="1"/>
    <col min="18" max="21" width="9.3984375" style="1" customWidth="1"/>
    <col min="22" max="23" width="9.3984375" style="1" hidden="1" customWidth="1"/>
    <col min="24" max="24" width="9.3984375" style="1" customWidth="1"/>
    <col min="25" max="25" width="11.3984375" style="1" customWidth="1"/>
    <col min="26" max="26" width="9.3984375" style="1" customWidth="1"/>
    <col min="27" max="27" width="11.3984375" style="1" customWidth="1"/>
    <col min="28" max="28" width="9.3984375" style="1" hidden="1" customWidth="1"/>
    <col min="29" max="29" width="11.3984375" style="1" hidden="1" customWidth="1"/>
    <col min="30" max="30" width="14.59765625" style="25" hidden="1" customWidth="1"/>
  </cols>
  <sheetData>
    <row r="1" spans="6:11" hidden="1"/>
    <row r="2" spans="6:11" hidden="1">
      <c r="K2" s="396" t="s">
        <v>153</v>
      </c>
    </row>
    <row r="3" spans="6:11" hidden="1">
      <c r="F3" s="4" t="s">
        <v>151</v>
      </c>
      <c r="H3" s="1" t="s">
        <v>152</v>
      </c>
      <c r="K3" s="394">
        <v>1</v>
      </c>
    </row>
    <row r="4" spans="6:11" hidden="1">
      <c r="F4" s="4" t="s">
        <v>152</v>
      </c>
      <c r="H4" s="1" t="s">
        <v>155</v>
      </c>
      <c r="K4" s="395">
        <v>2</v>
      </c>
    </row>
    <row r="5" spans="6:11" hidden="1">
      <c r="K5" s="395">
        <v>3</v>
      </c>
    </row>
    <row r="6" spans="6:11" hidden="1">
      <c r="K6" s="394">
        <v>4</v>
      </c>
    </row>
    <row r="7" spans="6:11" hidden="1">
      <c r="K7" s="395">
        <v>5</v>
      </c>
    </row>
    <row r="8" spans="6:11" hidden="1">
      <c r="K8" s="395">
        <v>6</v>
      </c>
    </row>
    <row r="9" spans="6:11" hidden="1">
      <c r="K9" s="394">
        <v>7</v>
      </c>
    </row>
    <row r="10" spans="6:11" hidden="1">
      <c r="K10" s="395">
        <v>8</v>
      </c>
    </row>
    <row r="11" spans="6:11" hidden="1">
      <c r="K11" s="395">
        <v>9</v>
      </c>
    </row>
    <row r="12" spans="6:11" hidden="1">
      <c r="K12" s="394">
        <v>10</v>
      </c>
    </row>
    <row r="13" spans="6:11" hidden="1">
      <c r="K13" s="395">
        <v>11</v>
      </c>
    </row>
    <row r="14" spans="6:11" hidden="1">
      <c r="K14" s="395">
        <v>12</v>
      </c>
    </row>
    <row r="15" spans="6:11" hidden="1">
      <c r="K15" s="394">
        <v>13</v>
      </c>
    </row>
    <row r="16" spans="6:11" hidden="1">
      <c r="K16" s="395">
        <v>14</v>
      </c>
    </row>
    <row r="17" spans="2:11" hidden="1">
      <c r="K17" s="395">
        <v>15</v>
      </c>
    </row>
    <row r="18" spans="2:11" hidden="1">
      <c r="K18" s="394">
        <v>16</v>
      </c>
    </row>
    <row r="19" spans="2:11" hidden="1">
      <c r="K19" s="395">
        <v>17</v>
      </c>
    </row>
    <row r="20" spans="2:11" hidden="1">
      <c r="K20" s="395">
        <v>18</v>
      </c>
    </row>
    <row r="21" spans="2:11" hidden="1">
      <c r="K21" s="394">
        <v>19</v>
      </c>
    </row>
    <row r="22" spans="2:11" ht="12.75" hidden="1" customHeight="1">
      <c r="B22" s="16" t="s">
        <v>57</v>
      </c>
      <c r="D22" s="11"/>
      <c r="E22" s="11"/>
      <c r="F22" s="11"/>
      <c r="G22" s="11"/>
      <c r="H22" s="14" t="s">
        <v>22</v>
      </c>
      <c r="K22" s="394">
        <v>20</v>
      </c>
    </row>
    <row r="23" spans="2:11" ht="12.75" hidden="1" customHeight="1">
      <c r="B23" s="16" t="s">
        <v>57</v>
      </c>
      <c r="D23" s="13"/>
      <c r="E23" s="13"/>
      <c r="F23" s="13"/>
      <c r="G23" s="13"/>
      <c r="H23" s="15" t="str">
        <f>Programmation!A11</f>
        <v>01</v>
      </c>
      <c r="K23" s="395">
        <v>21</v>
      </c>
    </row>
    <row r="24" spans="2:11" ht="12.75" hidden="1" customHeight="1">
      <c r="B24" s="16" t="s">
        <v>57</v>
      </c>
      <c r="D24" s="13"/>
      <c r="E24" s="13"/>
      <c r="F24" s="13"/>
      <c r="G24" s="13"/>
      <c r="H24" s="15" t="str">
        <f>Programmation!A12</f>
        <v>02</v>
      </c>
      <c r="K24" s="395">
        <v>22</v>
      </c>
    </row>
    <row r="25" spans="2:11" ht="12.75" hidden="1" customHeight="1">
      <c r="B25" s="16" t="s">
        <v>57</v>
      </c>
      <c r="D25" s="13"/>
      <c r="E25" s="13"/>
      <c r="F25" s="13"/>
      <c r="G25" s="13"/>
      <c r="H25" s="15" t="str">
        <f>Programmation!A13</f>
        <v xml:space="preserve">03 </v>
      </c>
      <c r="K25" s="394">
        <v>23</v>
      </c>
    </row>
    <row r="26" spans="2:11" ht="12.75" hidden="1" customHeight="1">
      <c r="B26" s="16" t="s">
        <v>57</v>
      </c>
      <c r="D26" s="13"/>
      <c r="E26" s="13"/>
      <c r="F26" s="13"/>
      <c r="G26" s="13"/>
      <c r="H26" s="15" t="str">
        <f>Programmation!A14</f>
        <v>04</v>
      </c>
      <c r="K26" s="395">
        <v>24</v>
      </c>
    </row>
    <row r="27" spans="2:11" ht="12.75" hidden="1" customHeight="1">
      <c r="B27" s="16" t="s">
        <v>57</v>
      </c>
      <c r="D27" s="13"/>
      <c r="E27" s="13"/>
      <c r="F27" s="13"/>
      <c r="G27" s="13"/>
      <c r="H27" s="15" t="str">
        <f>Programmation!A15</f>
        <v xml:space="preserve">05 </v>
      </c>
      <c r="K27" s="395">
        <v>25</v>
      </c>
    </row>
    <row r="28" spans="2:11" ht="12.75" hidden="1" customHeight="1">
      <c r="B28" s="16" t="s">
        <v>57</v>
      </c>
      <c r="D28" s="13"/>
      <c r="E28" s="13"/>
      <c r="F28" s="13"/>
      <c r="G28" s="13"/>
      <c r="H28" s="15" t="str">
        <f>Programmation!A16</f>
        <v xml:space="preserve">06 </v>
      </c>
      <c r="K28" s="394">
        <v>26</v>
      </c>
    </row>
    <row r="29" spans="2:11" ht="12.75" hidden="1" customHeight="1">
      <c r="B29" s="16" t="s">
        <v>57</v>
      </c>
      <c r="D29" s="13"/>
      <c r="E29" s="13"/>
      <c r="F29" s="13"/>
      <c r="G29" s="13"/>
      <c r="H29" s="15" t="str">
        <f>Programmation!A17</f>
        <v xml:space="preserve">07 </v>
      </c>
      <c r="K29" s="395">
        <v>27</v>
      </c>
    </row>
    <row r="30" spans="2:11" ht="12.75" hidden="1" customHeight="1">
      <c r="B30" s="16" t="s">
        <v>57</v>
      </c>
      <c r="D30" s="13"/>
      <c r="E30" s="13"/>
      <c r="F30" s="13"/>
      <c r="G30" s="13"/>
      <c r="H30" s="15" t="str">
        <f>Programmation!A18</f>
        <v>08</v>
      </c>
      <c r="K30" s="395">
        <v>28</v>
      </c>
    </row>
    <row r="31" spans="2:11" ht="12.75" hidden="1" customHeight="1">
      <c r="B31" s="16" t="s">
        <v>57</v>
      </c>
      <c r="D31" s="13"/>
      <c r="E31" s="13"/>
      <c r="F31" s="13"/>
      <c r="G31" s="13"/>
      <c r="H31" s="15" t="str">
        <f>Programmation!A19</f>
        <v>09</v>
      </c>
      <c r="K31" s="394">
        <v>29</v>
      </c>
    </row>
    <row r="32" spans="2:11" ht="12.75" hidden="1" customHeight="1">
      <c r="B32" s="16" t="s">
        <v>57</v>
      </c>
      <c r="D32" s="13"/>
      <c r="E32" s="13"/>
      <c r="F32" s="13"/>
      <c r="G32" s="13"/>
      <c r="H32" s="15" t="str">
        <f>Programmation!A20</f>
        <v xml:space="preserve">10 </v>
      </c>
      <c r="K32" s="395">
        <v>30</v>
      </c>
    </row>
    <row r="33" spans="1:17" ht="12.75" hidden="1" customHeight="1">
      <c r="B33" s="16" t="s">
        <v>57</v>
      </c>
      <c r="D33" s="13"/>
      <c r="E33" s="13"/>
      <c r="F33" s="13"/>
      <c r="G33" s="13"/>
      <c r="H33" s="15" t="str">
        <f>Programmation!A21</f>
        <v xml:space="preserve">11 </v>
      </c>
      <c r="K33" s="395">
        <v>31</v>
      </c>
    </row>
    <row r="34" spans="1:17" ht="12.75" hidden="1" customHeight="1">
      <c r="B34" s="16" t="s">
        <v>57</v>
      </c>
      <c r="D34" s="13"/>
      <c r="E34" s="13"/>
      <c r="F34" s="13"/>
      <c r="G34" s="13"/>
      <c r="H34" s="15" t="str">
        <f>Programmation!A22</f>
        <v>12</v>
      </c>
      <c r="K34" s="394">
        <v>32</v>
      </c>
    </row>
    <row r="35" spans="1:17" ht="12.75" hidden="1" customHeight="1">
      <c r="B35" s="16" t="s">
        <v>57</v>
      </c>
      <c r="D35" s="13"/>
      <c r="E35" s="13"/>
      <c r="F35" s="13"/>
      <c r="G35" s="13"/>
      <c r="H35" s="15" t="str">
        <f>Programmation!A23</f>
        <v>13</v>
      </c>
      <c r="K35" s="395">
        <v>33</v>
      </c>
    </row>
    <row r="36" spans="1:17" ht="12.75" hidden="1" customHeight="1">
      <c r="B36" s="16" t="s">
        <v>57</v>
      </c>
      <c r="D36" s="13"/>
      <c r="E36" s="13"/>
      <c r="F36" s="13"/>
      <c r="G36" s="13"/>
      <c r="H36" s="15" t="str">
        <f>Programmation!A24</f>
        <v>14</v>
      </c>
      <c r="K36" s="395">
        <v>34</v>
      </c>
    </row>
    <row r="37" spans="1:17" ht="12.75" hidden="1" customHeight="1">
      <c r="B37" s="16" t="s">
        <v>57</v>
      </c>
      <c r="D37" s="13"/>
      <c r="E37" s="13"/>
      <c r="F37" s="13"/>
      <c r="G37" s="13"/>
      <c r="H37" s="15" t="str">
        <f>Programmation!A25</f>
        <v>15</v>
      </c>
      <c r="K37" s="394">
        <v>35</v>
      </c>
    </row>
    <row r="38" spans="1:17" ht="12.75" hidden="1" customHeight="1">
      <c r="B38" s="16" t="s">
        <v>57</v>
      </c>
      <c r="D38" s="13"/>
      <c r="E38" s="13"/>
      <c r="F38" s="13"/>
      <c r="G38" s="13"/>
      <c r="H38" s="15" t="str">
        <f>Programmation!A26</f>
        <v>16</v>
      </c>
      <c r="K38" s="395">
        <v>36</v>
      </c>
    </row>
    <row r="39" spans="1:17" ht="12.75" hidden="1" customHeight="1">
      <c r="B39" s="16" t="s">
        <v>57</v>
      </c>
      <c r="D39" s="13"/>
      <c r="E39" s="13"/>
      <c r="F39" s="13"/>
      <c r="G39" s="13"/>
      <c r="H39" s="15" t="str">
        <f>Programmation!A27</f>
        <v>17</v>
      </c>
      <c r="K39" s="395">
        <v>37</v>
      </c>
    </row>
    <row r="40" spans="1:17" ht="12.75" hidden="1" customHeight="1">
      <c r="B40" s="16" t="s">
        <v>57</v>
      </c>
      <c r="D40" s="13"/>
      <c r="E40" s="13"/>
      <c r="F40" s="13"/>
      <c r="G40" s="13"/>
      <c r="H40" s="15" t="str">
        <f>Programmation!A28</f>
        <v>18</v>
      </c>
      <c r="K40" s="394">
        <v>38</v>
      </c>
    </row>
    <row r="41" spans="1:17" ht="12.75" hidden="1" customHeight="1">
      <c r="B41" s="16" t="s">
        <v>57</v>
      </c>
      <c r="D41" s="13"/>
      <c r="E41" s="13"/>
      <c r="F41" s="13"/>
      <c r="G41" s="13"/>
      <c r="H41" s="15" t="str">
        <f>Programmation!A29</f>
        <v>19</v>
      </c>
      <c r="K41" s="394">
        <v>39</v>
      </c>
    </row>
    <row r="42" spans="1:17" ht="12.75" hidden="1" customHeight="1">
      <c r="B42" s="16" t="s">
        <v>57</v>
      </c>
      <c r="D42" s="13"/>
      <c r="E42" s="13"/>
      <c r="F42" s="13"/>
      <c r="G42" s="13"/>
      <c r="H42" s="15" t="str">
        <f>Programmation!A30</f>
        <v>20</v>
      </c>
      <c r="K42" s="395">
        <v>40</v>
      </c>
    </row>
    <row r="43" spans="1:17">
      <c r="A43" s="98"/>
      <c r="B43" s="66"/>
      <c r="C43" s="66"/>
      <c r="D43" s="69" t="s">
        <v>96</v>
      </c>
      <c r="E43" s="67">
        <f>Programmation!C1</f>
        <v>0</v>
      </c>
      <c r="F43" s="69"/>
      <c r="G43" s="69"/>
      <c r="O43" s="65"/>
      <c r="Q43" s="65"/>
    </row>
    <row r="44" spans="1:17">
      <c r="A44" s="98"/>
      <c r="B44" s="66"/>
      <c r="C44" s="66"/>
      <c r="D44" s="69" t="s">
        <v>97</v>
      </c>
      <c r="E44" s="67">
        <f>Programmation!C2</f>
        <v>0</v>
      </c>
      <c r="F44" s="69"/>
      <c r="G44" s="69"/>
    </row>
    <row r="45" spans="1:17">
      <c r="A45" s="98"/>
      <c r="B45" s="66"/>
      <c r="C45" s="66"/>
      <c r="D45" s="69" t="s">
        <v>98</v>
      </c>
      <c r="E45" s="68">
        <f>Programmation!C6</f>
        <v>0</v>
      </c>
      <c r="F45" s="69"/>
      <c r="G45" s="69"/>
    </row>
    <row r="46" spans="1:17">
      <c r="A46" s="98"/>
      <c r="B46" s="66"/>
      <c r="C46" s="66"/>
      <c r="D46" s="69" t="s">
        <v>99</v>
      </c>
      <c r="E46" s="366"/>
      <c r="F46" s="69"/>
      <c r="G46" s="69"/>
    </row>
    <row r="47" spans="1:17">
      <c r="A47" s="98"/>
      <c r="B47" s="66"/>
      <c r="C47" s="66"/>
      <c r="D47" s="69" t="s">
        <v>91</v>
      </c>
      <c r="E47" s="66"/>
      <c r="F47" s="69"/>
      <c r="G47" s="69"/>
      <c r="K47" s="16"/>
      <c r="O47" s="16"/>
    </row>
    <row r="48" spans="1:17" ht="9.75" customHeight="1">
      <c r="A48" s="98"/>
      <c r="B48" s="66"/>
      <c r="C48" s="66"/>
      <c r="D48" s="433" t="s">
        <v>92</v>
      </c>
      <c r="E48" s="434" t="s">
        <v>94</v>
      </c>
      <c r="F48" s="70"/>
      <c r="G48" s="70"/>
      <c r="K48" s="16"/>
      <c r="O48" s="16"/>
    </row>
    <row r="49" spans="1:31" ht="9.75" customHeight="1">
      <c r="A49" s="98"/>
      <c r="B49" s="66"/>
      <c r="C49" s="66"/>
      <c r="D49" s="433" t="s">
        <v>93</v>
      </c>
      <c r="E49" s="434" t="s">
        <v>95</v>
      </c>
      <c r="F49" s="70"/>
      <c r="G49" s="70"/>
      <c r="K49" s="16"/>
      <c r="O49" s="16"/>
    </row>
    <row r="50" spans="1:31">
      <c r="A50" s="287"/>
      <c r="B50" s="288" t="s">
        <v>23</v>
      </c>
      <c r="C50" s="289" t="s">
        <v>24</v>
      </c>
      <c r="D50" s="401" t="s">
        <v>109</v>
      </c>
      <c r="E50" s="346" t="s">
        <v>126</v>
      </c>
      <c r="F50" s="346" t="s">
        <v>150</v>
      </c>
      <c r="G50" s="346" t="s">
        <v>154</v>
      </c>
      <c r="H50" s="290" t="s">
        <v>19</v>
      </c>
      <c r="I50" s="291" t="s">
        <v>16</v>
      </c>
      <c r="J50" s="292" t="s">
        <v>10</v>
      </c>
      <c r="K50" s="442" t="s">
        <v>4</v>
      </c>
      <c r="L50" s="443"/>
      <c r="M50" s="448" t="s">
        <v>130</v>
      </c>
      <c r="N50" s="293"/>
      <c r="O50" s="294"/>
      <c r="P50" s="295"/>
      <c r="Q50" s="292"/>
      <c r="R50" s="293"/>
      <c r="S50" s="296"/>
      <c r="T50" s="297"/>
      <c r="U50" s="296"/>
      <c r="V50" s="297"/>
      <c r="W50" s="296"/>
      <c r="X50" s="297"/>
      <c r="Y50" s="296"/>
      <c r="Z50" s="297"/>
      <c r="AA50" s="296"/>
      <c r="AB50" s="297"/>
      <c r="AC50" s="296"/>
      <c r="AD50" s="298"/>
      <c r="AE50" s="299"/>
    </row>
    <row r="51" spans="1:31" ht="11.25" customHeight="1">
      <c r="A51" s="300"/>
      <c r="B51" s="301"/>
      <c r="C51" s="302"/>
      <c r="D51" s="301"/>
      <c r="E51" s="432" t="s">
        <v>172</v>
      </c>
      <c r="F51" s="303"/>
      <c r="G51" s="303"/>
      <c r="H51" s="304"/>
      <c r="I51" s="305" t="s">
        <v>17</v>
      </c>
      <c r="J51" s="306"/>
      <c r="K51" s="444"/>
      <c r="L51" s="445"/>
      <c r="M51" s="449"/>
      <c r="N51" s="307" t="s">
        <v>28</v>
      </c>
      <c r="O51" s="308"/>
      <c r="P51" s="455" t="s">
        <v>51</v>
      </c>
      <c r="Q51" s="456"/>
      <c r="R51" s="451" t="s">
        <v>12</v>
      </c>
      <c r="S51" s="452"/>
      <c r="T51" s="451" t="s">
        <v>52</v>
      </c>
      <c r="U51" s="452"/>
      <c r="V51" s="451" t="s">
        <v>103</v>
      </c>
      <c r="W51" s="452"/>
      <c r="X51" s="451" t="s">
        <v>8</v>
      </c>
      <c r="Y51" s="452"/>
      <c r="Z51" s="451" t="s">
        <v>5</v>
      </c>
      <c r="AA51" s="452"/>
      <c r="AB51" s="451" t="s">
        <v>54</v>
      </c>
      <c r="AC51" s="452"/>
      <c r="AD51" s="309"/>
      <c r="AE51" s="299"/>
    </row>
    <row r="52" spans="1:31" ht="10.5">
      <c r="A52" s="300"/>
      <c r="B52" s="301"/>
      <c r="C52" s="302"/>
      <c r="D52" s="301"/>
      <c r="E52" s="423"/>
      <c r="F52" s="303"/>
      <c r="G52" s="303"/>
      <c r="H52" s="304"/>
      <c r="I52" s="305"/>
      <c r="J52" s="310"/>
      <c r="K52" s="446"/>
      <c r="L52" s="447"/>
      <c r="M52" s="450"/>
      <c r="N52" s="313"/>
      <c r="O52" s="314"/>
      <c r="P52" s="453"/>
      <c r="Q52" s="454"/>
      <c r="R52" s="313"/>
      <c r="S52" s="312"/>
      <c r="T52" s="311"/>
      <c r="U52" s="312"/>
      <c r="V52" s="311"/>
      <c r="W52" s="312"/>
      <c r="X52" s="311"/>
      <c r="Y52" s="312"/>
      <c r="Z52" s="311"/>
      <c r="AA52" s="312"/>
      <c r="AB52" s="311"/>
      <c r="AC52" s="312"/>
      <c r="AD52" s="309" t="s">
        <v>20</v>
      </c>
      <c r="AE52" s="299"/>
    </row>
    <row r="53" spans="1:31" ht="18" customHeight="1">
      <c r="A53" s="315"/>
      <c r="B53" s="316"/>
      <c r="C53" s="317"/>
      <c r="D53" s="316"/>
      <c r="E53" s="318"/>
      <c r="F53" s="318"/>
      <c r="G53" s="318"/>
      <c r="H53" s="319"/>
      <c r="I53" s="320"/>
      <c r="J53" s="314"/>
      <c r="K53" s="402" t="s">
        <v>48</v>
      </c>
      <c r="L53" s="322" t="s">
        <v>104</v>
      </c>
      <c r="M53" s="385"/>
      <c r="N53" s="321" t="s">
        <v>48</v>
      </c>
      <c r="O53" s="322" t="s">
        <v>104</v>
      </c>
      <c r="P53" s="321" t="s">
        <v>48</v>
      </c>
      <c r="Q53" s="323" t="s">
        <v>49</v>
      </c>
      <c r="R53" s="321" t="s">
        <v>48</v>
      </c>
      <c r="S53" s="322" t="s">
        <v>104</v>
      </c>
      <c r="T53" s="321" t="s">
        <v>48</v>
      </c>
      <c r="U53" s="322" t="s">
        <v>104</v>
      </c>
      <c r="V53" s="321" t="s">
        <v>48</v>
      </c>
      <c r="W53" s="322" t="s">
        <v>104</v>
      </c>
      <c r="X53" s="321" t="s">
        <v>48</v>
      </c>
      <c r="Y53" s="323" t="s">
        <v>49</v>
      </c>
      <c r="Z53" s="321" t="s">
        <v>48</v>
      </c>
      <c r="AA53" s="323" t="s">
        <v>49</v>
      </c>
      <c r="AB53" s="321" t="s">
        <v>48</v>
      </c>
      <c r="AC53" s="323" t="s">
        <v>49</v>
      </c>
      <c r="AD53" s="324"/>
      <c r="AE53" s="299"/>
    </row>
    <row r="54" spans="1:31">
      <c r="A54" s="325"/>
      <c r="B54" s="326"/>
      <c r="C54" s="327"/>
      <c r="D54" s="328"/>
      <c r="E54" s="411"/>
      <c r="F54" s="374"/>
      <c r="G54" s="374"/>
      <c r="H54" s="327"/>
      <c r="I54" s="329"/>
      <c r="J54" s="330"/>
      <c r="K54" s="327"/>
      <c r="L54" s="331"/>
      <c r="M54" s="332"/>
      <c r="N54" s="332"/>
      <c r="O54" s="331"/>
      <c r="P54" s="333"/>
      <c r="Q54" s="330"/>
      <c r="R54" s="334"/>
      <c r="S54" s="331"/>
      <c r="T54" s="334"/>
      <c r="U54" s="331"/>
      <c r="V54" s="334"/>
      <c r="W54" s="331"/>
      <c r="X54" s="334"/>
      <c r="Y54" s="331"/>
      <c r="Z54" s="334"/>
      <c r="AA54" s="331"/>
      <c r="AB54" s="334"/>
      <c r="AC54" s="331"/>
      <c r="AD54" s="335"/>
      <c r="AE54" s="299"/>
    </row>
    <row r="55" spans="1:31" ht="13.5" customHeight="1">
      <c r="A55" s="336">
        <v>1</v>
      </c>
      <c r="B55" s="19"/>
      <c r="C55" s="12"/>
      <c r="D55" s="22"/>
      <c r="E55" s="431"/>
      <c r="F55" s="375"/>
      <c r="G55" s="375"/>
      <c r="H55" s="12"/>
      <c r="I55" s="8"/>
      <c r="J55" s="17" t="s">
        <v>46</v>
      </c>
      <c r="K55" s="24" t="s">
        <v>6</v>
      </c>
      <c r="L55" s="23" t="s">
        <v>90</v>
      </c>
      <c r="M55" s="397"/>
      <c r="N55" s="24" t="s">
        <v>6</v>
      </c>
      <c r="O55" s="23" t="s">
        <v>90</v>
      </c>
      <c r="P55" s="24" t="s">
        <v>6</v>
      </c>
      <c r="Q55" s="7"/>
      <c r="R55" s="24" t="s">
        <v>6</v>
      </c>
      <c r="S55" s="23" t="s">
        <v>90</v>
      </c>
      <c r="T55" s="24" t="s">
        <v>6</v>
      </c>
      <c r="U55" s="23" t="s">
        <v>90</v>
      </c>
      <c r="V55" s="24" t="s">
        <v>6</v>
      </c>
      <c r="W55" s="23" t="s">
        <v>90</v>
      </c>
      <c r="X55" s="24" t="s">
        <v>6</v>
      </c>
      <c r="Y55" s="7"/>
      <c r="Z55" s="24" t="s">
        <v>6</v>
      </c>
      <c r="AA55" s="7"/>
      <c r="AB55" s="24" t="s">
        <v>6</v>
      </c>
      <c r="AC55" s="7"/>
      <c r="AD55" s="337" t="str">
        <f t="shared" ref="AD55:AD86" si="0">IF(H55="","",VLOOKUP(H55,Classes,2))</f>
        <v/>
      </c>
      <c r="AE55" s="299"/>
    </row>
    <row r="56" spans="1:31" ht="13.5" customHeight="1">
      <c r="A56" s="336">
        <f t="shared" ref="A56:A74" si="1">A55+1</f>
        <v>2</v>
      </c>
      <c r="B56" s="19"/>
      <c r="C56" s="12"/>
      <c r="D56" s="22"/>
      <c r="E56" s="431"/>
      <c r="F56" s="375"/>
      <c r="G56" s="375"/>
      <c r="H56" s="12"/>
      <c r="I56" s="8"/>
      <c r="J56" s="17" t="s">
        <v>46</v>
      </c>
      <c r="K56" s="367" t="s">
        <v>6</v>
      </c>
      <c r="L56" s="23" t="s">
        <v>90</v>
      </c>
      <c r="M56" s="397"/>
      <c r="N56" s="367" t="s">
        <v>6</v>
      </c>
      <c r="O56" s="23" t="s">
        <v>90</v>
      </c>
      <c r="P56" s="367" t="s">
        <v>6</v>
      </c>
      <c r="Q56" s="7"/>
      <c r="R56" s="367" t="s">
        <v>6</v>
      </c>
      <c r="S56" s="23" t="s">
        <v>90</v>
      </c>
      <c r="T56" s="367" t="s">
        <v>6</v>
      </c>
      <c r="U56" s="23" t="s">
        <v>90</v>
      </c>
      <c r="V56" s="367" t="s">
        <v>6</v>
      </c>
      <c r="W56" s="23" t="s">
        <v>90</v>
      </c>
      <c r="X56" s="367" t="s">
        <v>6</v>
      </c>
      <c r="Y56" s="7"/>
      <c r="Z56" s="367" t="s">
        <v>6</v>
      </c>
      <c r="AA56" s="7"/>
      <c r="AB56" s="24" t="s">
        <v>6</v>
      </c>
      <c r="AC56" s="7"/>
      <c r="AD56" s="337" t="str">
        <f t="shared" si="0"/>
        <v/>
      </c>
      <c r="AE56" s="299"/>
    </row>
    <row r="57" spans="1:31" ht="13.5" customHeight="1">
      <c r="A57" s="338">
        <f t="shared" si="1"/>
        <v>3</v>
      </c>
      <c r="B57" s="19"/>
      <c r="C57" s="12"/>
      <c r="D57" s="22"/>
      <c r="E57" s="431"/>
      <c r="F57" s="375"/>
      <c r="G57" s="375"/>
      <c r="H57" s="12"/>
      <c r="I57" s="8"/>
      <c r="J57" s="17" t="s">
        <v>46</v>
      </c>
      <c r="K57" s="367" t="s">
        <v>6</v>
      </c>
      <c r="L57" s="23" t="s">
        <v>90</v>
      </c>
      <c r="M57" s="397"/>
      <c r="N57" s="367" t="s">
        <v>6</v>
      </c>
      <c r="O57" s="23" t="s">
        <v>90</v>
      </c>
      <c r="P57" s="367" t="s">
        <v>6</v>
      </c>
      <c r="Q57" s="7"/>
      <c r="R57" s="367" t="s">
        <v>6</v>
      </c>
      <c r="S57" s="23" t="s">
        <v>90</v>
      </c>
      <c r="T57" s="367" t="s">
        <v>6</v>
      </c>
      <c r="U57" s="23" t="s">
        <v>90</v>
      </c>
      <c r="V57" s="367" t="s">
        <v>6</v>
      </c>
      <c r="W57" s="23" t="s">
        <v>90</v>
      </c>
      <c r="X57" s="367" t="s">
        <v>6</v>
      </c>
      <c r="Y57" s="7"/>
      <c r="Z57" s="367" t="s">
        <v>6</v>
      </c>
      <c r="AA57" s="7"/>
      <c r="AB57" s="24" t="s">
        <v>6</v>
      </c>
      <c r="AC57" s="7"/>
      <c r="AD57" s="337" t="str">
        <f t="shared" si="0"/>
        <v/>
      </c>
      <c r="AE57" s="299"/>
    </row>
    <row r="58" spans="1:31" ht="13.5" customHeight="1">
      <c r="A58" s="338">
        <f t="shared" si="1"/>
        <v>4</v>
      </c>
      <c r="B58" s="19"/>
      <c r="C58" s="12"/>
      <c r="D58" s="22"/>
      <c r="E58" s="431"/>
      <c r="F58" s="375"/>
      <c r="G58" s="375"/>
      <c r="H58" s="12"/>
      <c r="I58" s="8"/>
      <c r="J58" s="17" t="s">
        <v>46</v>
      </c>
      <c r="K58" s="367" t="s">
        <v>6</v>
      </c>
      <c r="L58" s="23" t="s">
        <v>90</v>
      </c>
      <c r="M58" s="397"/>
      <c r="N58" s="367" t="s">
        <v>6</v>
      </c>
      <c r="O58" s="23" t="s">
        <v>90</v>
      </c>
      <c r="P58" s="367" t="s">
        <v>6</v>
      </c>
      <c r="Q58" s="7"/>
      <c r="R58" s="367" t="s">
        <v>6</v>
      </c>
      <c r="S58" s="23" t="s">
        <v>90</v>
      </c>
      <c r="T58" s="367" t="s">
        <v>6</v>
      </c>
      <c r="U58" s="23" t="s">
        <v>90</v>
      </c>
      <c r="V58" s="24" t="s">
        <v>6</v>
      </c>
      <c r="W58" s="23" t="s">
        <v>90</v>
      </c>
      <c r="X58" s="367" t="s">
        <v>6</v>
      </c>
      <c r="Y58" s="7"/>
      <c r="Z58" s="367" t="s">
        <v>6</v>
      </c>
      <c r="AA58" s="7"/>
      <c r="AB58" s="24" t="s">
        <v>6</v>
      </c>
      <c r="AC58" s="7"/>
      <c r="AD58" s="337" t="str">
        <f t="shared" si="0"/>
        <v/>
      </c>
      <c r="AE58" s="299"/>
    </row>
    <row r="59" spans="1:31" ht="13.5" customHeight="1">
      <c r="A59" s="338">
        <f t="shared" si="1"/>
        <v>5</v>
      </c>
      <c r="B59" s="19"/>
      <c r="C59" s="12"/>
      <c r="D59" s="22"/>
      <c r="E59" s="431"/>
      <c r="F59" s="375"/>
      <c r="G59" s="375"/>
      <c r="H59" s="12"/>
      <c r="I59" s="8"/>
      <c r="J59" s="17" t="s">
        <v>46</v>
      </c>
      <c r="K59" s="367" t="s">
        <v>6</v>
      </c>
      <c r="L59" s="23" t="s">
        <v>90</v>
      </c>
      <c r="M59" s="397"/>
      <c r="N59" s="367" t="s">
        <v>6</v>
      </c>
      <c r="O59" s="23" t="s">
        <v>90</v>
      </c>
      <c r="P59" s="367" t="s">
        <v>6</v>
      </c>
      <c r="Q59" s="7"/>
      <c r="R59" s="367" t="s">
        <v>6</v>
      </c>
      <c r="S59" s="23" t="s">
        <v>90</v>
      </c>
      <c r="T59" s="367" t="s">
        <v>6</v>
      </c>
      <c r="U59" s="23" t="s">
        <v>90</v>
      </c>
      <c r="V59" s="24" t="s">
        <v>6</v>
      </c>
      <c r="W59" s="23" t="s">
        <v>90</v>
      </c>
      <c r="X59" s="367" t="s">
        <v>6</v>
      </c>
      <c r="Y59" s="7"/>
      <c r="Z59" s="367" t="s">
        <v>6</v>
      </c>
      <c r="AA59" s="7"/>
      <c r="AB59" s="24" t="s">
        <v>6</v>
      </c>
      <c r="AC59" s="7"/>
      <c r="AD59" s="337" t="str">
        <f t="shared" si="0"/>
        <v/>
      </c>
      <c r="AE59" s="299"/>
    </row>
    <row r="60" spans="1:31" ht="13.5" customHeight="1">
      <c r="A60" s="338">
        <f t="shared" si="1"/>
        <v>6</v>
      </c>
      <c r="B60" s="19"/>
      <c r="C60" s="12"/>
      <c r="D60" s="22"/>
      <c r="E60" s="431"/>
      <c r="F60" s="375"/>
      <c r="G60" s="375"/>
      <c r="H60" s="12"/>
      <c r="I60" s="8"/>
      <c r="J60" s="17" t="s">
        <v>46</v>
      </c>
      <c r="K60" s="367" t="s">
        <v>6</v>
      </c>
      <c r="L60" s="23" t="s">
        <v>90</v>
      </c>
      <c r="M60" s="397"/>
      <c r="N60" s="367" t="s">
        <v>6</v>
      </c>
      <c r="O60" s="23" t="s">
        <v>90</v>
      </c>
      <c r="P60" s="367" t="s">
        <v>6</v>
      </c>
      <c r="Q60" s="7"/>
      <c r="R60" s="367" t="s">
        <v>6</v>
      </c>
      <c r="S60" s="23" t="s">
        <v>90</v>
      </c>
      <c r="T60" s="367" t="s">
        <v>6</v>
      </c>
      <c r="U60" s="23" t="s">
        <v>90</v>
      </c>
      <c r="V60" s="24" t="s">
        <v>6</v>
      </c>
      <c r="W60" s="23" t="s">
        <v>90</v>
      </c>
      <c r="X60" s="367" t="s">
        <v>6</v>
      </c>
      <c r="Y60" s="7"/>
      <c r="Z60" s="367" t="s">
        <v>6</v>
      </c>
      <c r="AA60" s="7"/>
      <c r="AB60" s="24" t="s">
        <v>6</v>
      </c>
      <c r="AC60" s="7"/>
      <c r="AD60" s="337" t="str">
        <f t="shared" si="0"/>
        <v/>
      </c>
      <c r="AE60" s="299"/>
    </row>
    <row r="61" spans="1:31" ht="13.5" customHeight="1">
      <c r="A61" s="338">
        <f>A60+1</f>
        <v>7</v>
      </c>
      <c r="B61" s="19"/>
      <c r="C61" s="12"/>
      <c r="D61" s="22"/>
      <c r="E61" s="431"/>
      <c r="F61" s="375"/>
      <c r="G61" s="375"/>
      <c r="H61" s="12"/>
      <c r="I61" s="8"/>
      <c r="J61" s="17" t="s">
        <v>46</v>
      </c>
      <c r="K61" s="367" t="s">
        <v>6</v>
      </c>
      <c r="L61" s="23" t="s">
        <v>90</v>
      </c>
      <c r="M61" s="397"/>
      <c r="N61" s="367" t="s">
        <v>6</v>
      </c>
      <c r="O61" s="23" t="s">
        <v>90</v>
      </c>
      <c r="P61" s="367" t="s">
        <v>6</v>
      </c>
      <c r="Q61" s="7"/>
      <c r="R61" s="367" t="s">
        <v>6</v>
      </c>
      <c r="S61" s="23" t="s">
        <v>90</v>
      </c>
      <c r="T61" s="367" t="s">
        <v>6</v>
      </c>
      <c r="U61" s="23" t="s">
        <v>90</v>
      </c>
      <c r="V61" s="24" t="s">
        <v>6</v>
      </c>
      <c r="W61" s="23" t="s">
        <v>90</v>
      </c>
      <c r="X61" s="367" t="s">
        <v>6</v>
      </c>
      <c r="Y61" s="7"/>
      <c r="Z61" s="367" t="s">
        <v>6</v>
      </c>
      <c r="AA61" s="7"/>
      <c r="AB61" s="24" t="s">
        <v>6</v>
      </c>
      <c r="AC61" s="7"/>
      <c r="AD61" s="337" t="str">
        <f t="shared" si="0"/>
        <v/>
      </c>
      <c r="AE61" s="299"/>
    </row>
    <row r="62" spans="1:31" ht="13.5" customHeight="1">
      <c r="A62" s="338">
        <f t="shared" si="1"/>
        <v>8</v>
      </c>
      <c r="B62" s="19"/>
      <c r="C62" s="12"/>
      <c r="D62" s="22"/>
      <c r="E62" s="431"/>
      <c r="F62" s="375"/>
      <c r="G62" s="375"/>
      <c r="H62" s="12"/>
      <c r="I62" s="8"/>
      <c r="J62" s="17" t="s">
        <v>46</v>
      </c>
      <c r="K62" s="367" t="s">
        <v>6</v>
      </c>
      <c r="L62" s="23" t="s">
        <v>90</v>
      </c>
      <c r="M62" s="397"/>
      <c r="N62" s="367" t="s">
        <v>6</v>
      </c>
      <c r="O62" s="23" t="s">
        <v>90</v>
      </c>
      <c r="P62" s="367" t="s">
        <v>6</v>
      </c>
      <c r="Q62" s="7"/>
      <c r="R62" s="367" t="s">
        <v>6</v>
      </c>
      <c r="S62" s="23" t="s">
        <v>90</v>
      </c>
      <c r="T62" s="367" t="s">
        <v>6</v>
      </c>
      <c r="U62" s="23" t="s">
        <v>90</v>
      </c>
      <c r="V62" s="367" t="s">
        <v>6</v>
      </c>
      <c r="W62" s="23" t="s">
        <v>90</v>
      </c>
      <c r="X62" s="367" t="s">
        <v>6</v>
      </c>
      <c r="Y62" s="7"/>
      <c r="Z62" s="367" t="s">
        <v>6</v>
      </c>
      <c r="AA62" s="7"/>
      <c r="AB62" s="24" t="s">
        <v>6</v>
      </c>
      <c r="AC62" s="7"/>
      <c r="AD62" s="337" t="str">
        <f t="shared" si="0"/>
        <v/>
      </c>
      <c r="AE62" s="299"/>
    </row>
    <row r="63" spans="1:31" ht="13.5" customHeight="1">
      <c r="A63" s="338">
        <f t="shared" si="1"/>
        <v>9</v>
      </c>
      <c r="B63" s="19"/>
      <c r="C63" s="12"/>
      <c r="D63" s="22"/>
      <c r="E63" s="431"/>
      <c r="F63" s="375"/>
      <c r="G63" s="375"/>
      <c r="H63" s="12"/>
      <c r="I63" s="8"/>
      <c r="J63" s="17" t="s">
        <v>46</v>
      </c>
      <c r="K63" s="367" t="s">
        <v>6</v>
      </c>
      <c r="L63" s="23" t="s">
        <v>90</v>
      </c>
      <c r="M63" s="397"/>
      <c r="N63" s="367" t="s">
        <v>6</v>
      </c>
      <c r="O63" s="23" t="s">
        <v>90</v>
      </c>
      <c r="P63" s="367" t="s">
        <v>6</v>
      </c>
      <c r="Q63" s="7"/>
      <c r="R63" s="367" t="s">
        <v>6</v>
      </c>
      <c r="S63" s="23" t="s">
        <v>90</v>
      </c>
      <c r="T63" s="367" t="s">
        <v>6</v>
      </c>
      <c r="U63" s="23" t="s">
        <v>90</v>
      </c>
      <c r="V63" s="367" t="s">
        <v>6</v>
      </c>
      <c r="W63" s="23" t="s">
        <v>90</v>
      </c>
      <c r="X63" s="367" t="s">
        <v>6</v>
      </c>
      <c r="Y63" s="7"/>
      <c r="Z63" s="367" t="s">
        <v>6</v>
      </c>
      <c r="AA63" s="7"/>
      <c r="AB63" s="24" t="s">
        <v>6</v>
      </c>
      <c r="AC63" s="7"/>
      <c r="AD63" s="337" t="str">
        <f t="shared" si="0"/>
        <v/>
      </c>
      <c r="AE63" s="299"/>
    </row>
    <row r="64" spans="1:31" ht="13.5" customHeight="1">
      <c r="A64" s="338">
        <f t="shared" si="1"/>
        <v>10</v>
      </c>
      <c r="B64" s="19"/>
      <c r="C64" s="12"/>
      <c r="D64" s="22"/>
      <c r="E64" s="431"/>
      <c r="F64" s="375"/>
      <c r="G64" s="375"/>
      <c r="H64" s="12"/>
      <c r="I64" s="8"/>
      <c r="J64" s="17" t="s">
        <v>46</v>
      </c>
      <c r="K64" s="367" t="s">
        <v>6</v>
      </c>
      <c r="L64" s="23" t="s">
        <v>90</v>
      </c>
      <c r="M64" s="397"/>
      <c r="N64" s="367" t="s">
        <v>6</v>
      </c>
      <c r="O64" s="23" t="s">
        <v>90</v>
      </c>
      <c r="P64" s="367" t="s">
        <v>6</v>
      </c>
      <c r="Q64" s="7"/>
      <c r="R64" s="367" t="s">
        <v>6</v>
      </c>
      <c r="S64" s="23" t="s">
        <v>90</v>
      </c>
      <c r="T64" s="367" t="s">
        <v>6</v>
      </c>
      <c r="U64" s="23" t="s">
        <v>90</v>
      </c>
      <c r="V64" s="24" t="s">
        <v>6</v>
      </c>
      <c r="W64" s="23" t="s">
        <v>90</v>
      </c>
      <c r="X64" s="367" t="s">
        <v>6</v>
      </c>
      <c r="Y64" s="7"/>
      <c r="Z64" s="367" t="s">
        <v>6</v>
      </c>
      <c r="AA64" s="7"/>
      <c r="AB64" s="24" t="s">
        <v>6</v>
      </c>
      <c r="AC64" s="7"/>
      <c r="AD64" s="337" t="str">
        <f t="shared" si="0"/>
        <v/>
      </c>
      <c r="AE64" s="299"/>
    </row>
    <row r="65" spans="1:31" ht="13.5" customHeight="1">
      <c r="A65" s="338">
        <f t="shared" si="1"/>
        <v>11</v>
      </c>
      <c r="B65" s="19"/>
      <c r="C65" s="12"/>
      <c r="D65" s="22"/>
      <c r="E65" s="431"/>
      <c r="F65" s="375"/>
      <c r="G65" s="375"/>
      <c r="H65" s="12"/>
      <c r="I65" s="8"/>
      <c r="J65" s="17" t="s">
        <v>46</v>
      </c>
      <c r="K65" s="367" t="s">
        <v>6</v>
      </c>
      <c r="L65" s="23" t="s">
        <v>90</v>
      </c>
      <c r="M65" s="397"/>
      <c r="N65" s="367" t="s">
        <v>6</v>
      </c>
      <c r="O65" s="23" t="s">
        <v>90</v>
      </c>
      <c r="P65" s="367" t="s">
        <v>6</v>
      </c>
      <c r="Q65" s="7"/>
      <c r="R65" s="367" t="s">
        <v>6</v>
      </c>
      <c r="S65" s="23" t="s">
        <v>90</v>
      </c>
      <c r="T65" s="367" t="s">
        <v>6</v>
      </c>
      <c r="U65" s="23" t="s">
        <v>90</v>
      </c>
      <c r="V65" s="24" t="s">
        <v>6</v>
      </c>
      <c r="W65" s="23" t="s">
        <v>90</v>
      </c>
      <c r="X65" s="367" t="s">
        <v>6</v>
      </c>
      <c r="Y65" s="7"/>
      <c r="Z65" s="367" t="s">
        <v>6</v>
      </c>
      <c r="AA65" s="7"/>
      <c r="AB65" s="24" t="s">
        <v>6</v>
      </c>
      <c r="AC65" s="7"/>
      <c r="AD65" s="337" t="str">
        <f t="shared" si="0"/>
        <v/>
      </c>
      <c r="AE65" s="299"/>
    </row>
    <row r="66" spans="1:31" ht="13.5" customHeight="1">
      <c r="A66" s="338">
        <f t="shared" si="1"/>
        <v>12</v>
      </c>
      <c r="B66" s="19"/>
      <c r="C66" s="12"/>
      <c r="D66" s="22"/>
      <c r="E66" s="431"/>
      <c r="F66" s="375"/>
      <c r="G66" s="375"/>
      <c r="H66" s="12"/>
      <c r="I66" s="8"/>
      <c r="J66" s="17" t="s">
        <v>46</v>
      </c>
      <c r="K66" s="367" t="s">
        <v>6</v>
      </c>
      <c r="L66" s="23" t="s">
        <v>90</v>
      </c>
      <c r="M66" s="397"/>
      <c r="N66" s="367" t="s">
        <v>6</v>
      </c>
      <c r="O66" s="23" t="s">
        <v>90</v>
      </c>
      <c r="P66" s="367" t="s">
        <v>6</v>
      </c>
      <c r="Q66" s="7"/>
      <c r="R66" s="367" t="s">
        <v>6</v>
      </c>
      <c r="S66" s="23" t="s">
        <v>90</v>
      </c>
      <c r="T66" s="367" t="s">
        <v>6</v>
      </c>
      <c r="U66" s="23" t="s">
        <v>90</v>
      </c>
      <c r="V66" s="24" t="s">
        <v>6</v>
      </c>
      <c r="W66" s="23" t="s">
        <v>90</v>
      </c>
      <c r="X66" s="367" t="s">
        <v>6</v>
      </c>
      <c r="Y66" s="7"/>
      <c r="Z66" s="367" t="s">
        <v>6</v>
      </c>
      <c r="AA66" s="7"/>
      <c r="AB66" s="24" t="s">
        <v>6</v>
      </c>
      <c r="AC66" s="7"/>
      <c r="AD66" s="337" t="str">
        <f t="shared" si="0"/>
        <v/>
      </c>
      <c r="AE66" s="299"/>
    </row>
    <row r="67" spans="1:31" ht="13.5" customHeight="1">
      <c r="A67" s="338">
        <f t="shared" si="1"/>
        <v>13</v>
      </c>
      <c r="B67" s="19"/>
      <c r="C67" s="12"/>
      <c r="D67" s="22"/>
      <c r="E67" s="431"/>
      <c r="F67" s="375"/>
      <c r="G67" s="375"/>
      <c r="H67" s="12"/>
      <c r="I67" s="8"/>
      <c r="J67" s="17" t="s">
        <v>46</v>
      </c>
      <c r="K67" s="367" t="s">
        <v>6</v>
      </c>
      <c r="L67" s="23" t="s">
        <v>90</v>
      </c>
      <c r="M67" s="397"/>
      <c r="N67" s="367" t="s">
        <v>6</v>
      </c>
      <c r="O67" s="23" t="s">
        <v>90</v>
      </c>
      <c r="P67" s="367" t="s">
        <v>6</v>
      </c>
      <c r="Q67" s="7"/>
      <c r="R67" s="367" t="s">
        <v>6</v>
      </c>
      <c r="S67" s="23" t="s">
        <v>90</v>
      </c>
      <c r="T67" s="367" t="s">
        <v>6</v>
      </c>
      <c r="U67" s="23" t="s">
        <v>90</v>
      </c>
      <c r="V67" s="24" t="s">
        <v>6</v>
      </c>
      <c r="W67" s="23" t="s">
        <v>90</v>
      </c>
      <c r="X67" s="367" t="s">
        <v>6</v>
      </c>
      <c r="Y67" s="7"/>
      <c r="Z67" s="367" t="s">
        <v>6</v>
      </c>
      <c r="AA67" s="7"/>
      <c r="AB67" s="24" t="s">
        <v>6</v>
      </c>
      <c r="AC67" s="7"/>
      <c r="AD67" s="337" t="str">
        <f t="shared" si="0"/>
        <v/>
      </c>
      <c r="AE67" s="299"/>
    </row>
    <row r="68" spans="1:31" ht="13.5" customHeight="1">
      <c r="A68" s="338">
        <f t="shared" si="1"/>
        <v>14</v>
      </c>
      <c r="B68" s="19"/>
      <c r="C68" s="12"/>
      <c r="D68" s="22"/>
      <c r="E68" s="431"/>
      <c r="F68" s="375"/>
      <c r="G68" s="375"/>
      <c r="H68" s="12"/>
      <c r="I68" s="8"/>
      <c r="J68" s="17" t="s">
        <v>46</v>
      </c>
      <c r="K68" s="367" t="s">
        <v>6</v>
      </c>
      <c r="L68" s="23" t="s">
        <v>90</v>
      </c>
      <c r="M68" s="397"/>
      <c r="N68" s="367" t="s">
        <v>6</v>
      </c>
      <c r="O68" s="23" t="s">
        <v>90</v>
      </c>
      <c r="P68" s="367" t="s">
        <v>6</v>
      </c>
      <c r="Q68" s="7"/>
      <c r="R68" s="367" t="s">
        <v>6</v>
      </c>
      <c r="S68" s="23" t="s">
        <v>90</v>
      </c>
      <c r="T68" s="367" t="s">
        <v>6</v>
      </c>
      <c r="U68" s="23" t="s">
        <v>90</v>
      </c>
      <c r="V68" s="24" t="s">
        <v>6</v>
      </c>
      <c r="W68" s="23" t="s">
        <v>90</v>
      </c>
      <c r="X68" s="367" t="s">
        <v>6</v>
      </c>
      <c r="Y68" s="7"/>
      <c r="Z68" s="367" t="s">
        <v>6</v>
      </c>
      <c r="AA68" s="7"/>
      <c r="AB68" s="24" t="s">
        <v>6</v>
      </c>
      <c r="AC68" s="7"/>
      <c r="AD68" s="337" t="str">
        <f t="shared" si="0"/>
        <v/>
      </c>
      <c r="AE68" s="299"/>
    </row>
    <row r="69" spans="1:31" ht="13.5" customHeight="1">
      <c r="A69" s="338">
        <f t="shared" si="1"/>
        <v>15</v>
      </c>
      <c r="B69" s="19"/>
      <c r="C69" s="12"/>
      <c r="D69" s="22"/>
      <c r="E69" s="431"/>
      <c r="F69" s="375"/>
      <c r="G69" s="375"/>
      <c r="H69" s="12"/>
      <c r="I69" s="8"/>
      <c r="J69" s="17" t="s">
        <v>46</v>
      </c>
      <c r="K69" s="367" t="s">
        <v>6</v>
      </c>
      <c r="L69" s="23" t="s">
        <v>90</v>
      </c>
      <c r="M69" s="397"/>
      <c r="N69" s="367" t="s">
        <v>6</v>
      </c>
      <c r="O69" s="23" t="s">
        <v>90</v>
      </c>
      <c r="P69" s="367" t="s">
        <v>6</v>
      </c>
      <c r="Q69" s="7"/>
      <c r="R69" s="367" t="s">
        <v>6</v>
      </c>
      <c r="S69" s="23" t="s">
        <v>90</v>
      </c>
      <c r="T69" s="367" t="s">
        <v>6</v>
      </c>
      <c r="U69" s="23" t="s">
        <v>90</v>
      </c>
      <c r="V69" s="24" t="s">
        <v>6</v>
      </c>
      <c r="W69" s="23" t="s">
        <v>90</v>
      </c>
      <c r="X69" s="367" t="s">
        <v>6</v>
      </c>
      <c r="Y69" s="7"/>
      <c r="Z69" s="367" t="s">
        <v>6</v>
      </c>
      <c r="AA69" s="7"/>
      <c r="AB69" s="24" t="s">
        <v>6</v>
      </c>
      <c r="AC69" s="7"/>
      <c r="AD69" s="337" t="str">
        <f t="shared" si="0"/>
        <v/>
      </c>
      <c r="AE69" s="299"/>
    </row>
    <row r="70" spans="1:31" ht="13.5" customHeight="1">
      <c r="A70" s="338">
        <f t="shared" si="1"/>
        <v>16</v>
      </c>
      <c r="B70" s="19"/>
      <c r="C70" s="12"/>
      <c r="D70" s="22"/>
      <c r="E70" s="431"/>
      <c r="F70" s="375"/>
      <c r="G70" s="375"/>
      <c r="H70" s="12"/>
      <c r="I70" s="8"/>
      <c r="J70" s="17" t="s">
        <v>46</v>
      </c>
      <c r="K70" s="367" t="s">
        <v>6</v>
      </c>
      <c r="L70" s="23" t="s">
        <v>90</v>
      </c>
      <c r="M70" s="397"/>
      <c r="N70" s="367" t="s">
        <v>6</v>
      </c>
      <c r="O70" s="23" t="s">
        <v>90</v>
      </c>
      <c r="P70" s="367" t="s">
        <v>6</v>
      </c>
      <c r="Q70" s="7"/>
      <c r="R70" s="367" t="s">
        <v>6</v>
      </c>
      <c r="S70" s="23" t="s">
        <v>90</v>
      </c>
      <c r="T70" s="367" t="s">
        <v>6</v>
      </c>
      <c r="U70" s="23" t="s">
        <v>90</v>
      </c>
      <c r="V70" s="24" t="s">
        <v>6</v>
      </c>
      <c r="W70" s="23" t="s">
        <v>90</v>
      </c>
      <c r="X70" s="367" t="s">
        <v>6</v>
      </c>
      <c r="Y70" s="7"/>
      <c r="Z70" s="367" t="s">
        <v>6</v>
      </c>
      <c r="AA70" s="7"/>
      <c r="AB70" s="24" t="s">
        <v>6</v>
      </c>
      <c r="AC70" s="7"/>
      <c r="AD70" s="337" t="str">
        <f t="shared" si="0"/>
        <v/>
      </c>
      <c r="AE70" s="299"/>
    </row>
    <row r="71" spans="1:31" ht="13.5" customHeight="1">
      <c r="A71" s="338">
        <f t="shared" si="1"/>
        <v>17</v>
      </c>
      <c r="B71" s="19"/>
      <c r="C71" s="12"/>
      <c r="D71" s="22"/>
      <c r="E71" s="431"/>
      <c r="F71" s="375"/>
      <c r="G71" s="375"/>
      <c r="H71" s="12"/>
      <c r="I71" s="8"/>
      <c r="J71" s="17" t="s">
        <v>46</v>
      </c>
      <c r="K71" s="367" t="s">
        <v>6</v>
      </c>
      <c r="L71" s="23" t="s">
        <v>90</v>
      </c>
      <c r="M71" s="397"/>
      <c r="N71" s="367" t="s">
        <v>6</v>
      </c>
      <c r="O71" s="23" t="s">
        <v>90</v>
      </c>
      <c r="P71" s="367" t="s">
        <v>6</v>
      </c>
      <c r="Q71" s="7"/>
      <c r="R71" s="367" t="s">
        <v>6</v>
      </c>
      <c r="S71" s="23" t="s">
        <v>90</v>
      </c>
      <c r="T71" s="367" t="s">
        <v>6</v>
      </c>
      <c r="U71" s="23" t="s">
        <v>90</v>
      </c>
      <c r="V71" s="24" t="s">
        <v>6</v>
      </c>
      <c r="W71" s="23" t="s">
        <v>90</v>
      </c>
      <c r="X71" s="367" t="s">
        <v>6</v>
      </c>
      <c r="Y71" s="7"/>
      <c r="Z71" s="367" t="s">
        <v>6</v>
      </c>
      <c r="AA71" s="7"/>
      <c r="AB71" s="24" t="s">
        <v>6</v>
      </c>
      <c r="AC71" s="7"/>
      <c r="AD71" s="337" t="str">
        <f t="shared" si="0"/>
        <v/>
      </c>
      <c r="AE71" s="299"/>
    </row>
    <row r="72" spans="1:31" ht="13.5" customHeight="1">
      <c r="A72" s="338">
        <f t="shared" si="1"/>
        <v>18</v>
      </c>
      <c r="B72" s="19"/>
      <c r="C72" s="12"/>
      <c r="D72" s="22"/>
      <c r="E72" s="431"/>
      <c r="F72" s="375"/>
      <c r="G72" s="375"/>
      <c r="H72" s="12"/>
      <c r="I72" s="8"/>
      <c r="J72" s="17" t="s">
        <v>46</v>
      </c>
      <c r="K72" s="367" t="s">
        <v>6</v>
      </c>
      <c r="L72" s="23" t="s">
        <v>90</v>
      </c>
      <c r="M72" s="397"/>
      <c r="N72" s="367" t="s">
        <v>6</v>
      </c>
      <c r="O72" s="23" t="s">
        <v>90</v>
      </c>
      <c r="P72" s="367" t="s">
        <v>6</v>
      </c>
      <c r="Q72" s="7"/>
      <c r="R72" s="367" t="s">
        <v>6</v>
      </c>
      <c r="S72" s="23" t="s">
        <v>90</v>
      </c>
      <c r="T72" s="367" t="s">
        <v>6</v>
      </c>
      <c r="U72" s="23" t="s">
        <v>90</v>
      </c>
      <c r="V72" s="24" t="s">
        <v>6</v>
      </c>
      <c r="W72" s="23" t="s">
        <v>90</v>
      </c>
      <c r="X72" s="367" t="s">
        <v>6</v>
      </c>
      <c r="Y72" s="7"/>
      <c r="Z72" s="367" t="s">
        <v>6</v>
      </c>
      <c r="AA72" s="7"/>
      <c r="AB72" s="24" t="s">
        <v>6</v>
      </c>
      <c r="AC72" s="7"/>
      <c r="AD72" s="337" t="str">
        <f t="shared" si="0"/>
        <v/>
      </c>
      <c r="AE72" s="299"/>
    </row>
    <row r="73" spans="1:31" ht="13.5" customHeight="1">
      <c r="A73" s="338">
        <f t="shared" si="1"/>
        <v>19</v>
      </c>
      <c r="B73" s="19"/>
      <c r="C73" s="12"/>
      <c r="D73" s="22"/>
      <c r="E73" s="431"/>
      <c r="F73" s="375"/>
      <c r="G73" s="375"/>
      <c r="H73" s="12"/>
      <c r="I73" s="8"/>
      <c r="J73" s="17" t="s">
        <v>46</v>
      </c>
      <c r="K73" s="367" t="s">
        <v>6</v>
      </c>
      <c r="L73" s="23" t="s">
        <v>90</v>
      </c>
      <c r="M73" s="397"/>
      <c r="N73" s="367" t="s">
        <v>6</v>
      </c>
      <c r="O73" s="23" t="s">
        <v>90</v>
      </c>
      <c r="P73" s="367" t="s">
        <v>6</v>
      </c>
      <c r="Q73" s="7"/>
      <c r="R73" s="367" t="s">
        <v>6</v>
      </c>
      <c r="S73" s="23" t="s">
        <v>90</v>
      </c>
      <c r="T73" s="367" t="s">
        <v>6</v>
      </c>
      <c r="U73" s="23" t="s">
        <v>90</v>
      </c>
      <c r="V73" s="24" t="s">
        <v>6</v>
      </c>
      <c r="W73" s="23" t="s">
        <v>90</v>
      </c>
      <c r="X73" s="367" t="s">
        <v>6</v>
      </c>
      <c r="Y73" s="7"/>
      <c r="Z73" s="367" t="s">
        <v>6</v>
      </c>
      <c r="AA73" s="7"/>
      <c r="AB73" s="24" t="s">
        <v>6</v>
      </c>
      <c r="AC73" s="7"/>
      <c r="AD73" s="337" t="str">
        <f t="shared" si="0"/>
        <v/>
      </c>
      <c r="AE73" s="299"/>
    </row>
    <row r="74" spans="1:31" ht="13.5" customHeight="1">
      <c r="A74" s="338">
        <f t="shared" si="1"/>
        <v>20</v>
      </c>
      <c r="B74" s="19"/>
      <c r="C74" s="12"/>
      <c r="D74" s="22"/>
      <c r="E74" s="431"/>
      <c r="F74" s="375"/>
      <c r="G74" s="375"/>
      <c r="H74" s="12"/>
      <c r="I74" s="8"/>
      <c r="J74" s="17" t="s">
        <v>46</v>
      </c>
      <c r="K74" s="367" t="s">
        <v>6</v>
      </c>
      <c r="L74" s="23" t="s">
        <v>90</v>
      </c>
      <c r="M74" s="397"/>
      <c r="N74" s="367" t="s">
        <v>6</v>
      </c>
      <c r="O74" s="23" t="s">
        <v>90</v>
      </c>
      <c r="P74" s="367" t="s">
        <v>6</v>
      </c>
      <c r="Q74" s="7"/>
      <c r="R74" s="367" t="s">
        <v>6</v>
      </c>
      <c r="S74" s="23" t="s">
        <v>90</v>
      </c>
      <c r="T74" s="367" t="s">
        <v>6</v>
      </c>
      <c r="U74" s="23" t="s">
        <v>90</v>
      </c>
      <c r="V74" s="24" t="s">
        <v>6</v>
      </c>
      <c r="W74" s="23" t="s">
        <v>90</v>
      </c>
      <c r="X74" s="367" t="s">
        <v>6</v>
      </c>
      <c r="Y74" s="7"/>
      <c r="Z74" s="367" t="s">
        <v>6</v>
      </c>
      <c r="AA74" s="7"/>
      <c r="AB74" s="24" t="s">
        <v>6</v>
      </c>
      <c r="AC74" s="7"/>
      <c r="AD74" s="337" t="str">
        <f t="shared" si="0"/>
        <v/>
      </c>
      <c r="AE74" s="299"/>
    </row>
    <row r="75" spans="1:31" ht="13.5" customHeight="1">
      <c r="A75" s="338">
        <f t="shared" ref="A75:A98" si="2">A74+1</f>
        <v>21</v>
      </c>
      <c r="B75" s="19"/>
      <c r="C75" s="12"/>
      <c r="D75" s="22"/>
      <c r="E75" s="431"/>
      <c r="F75" s="375"/>
      <c r="G75" s="375"/>
      <c r="H75" s="12"/>
      <c r="I75" s="8"/>
      <c r="J75" s="17" t="s">
        <v>46</v>
      </c>
      <c r="K75" s="367" t="s">
        <v>6</v>
      </c>
      <c r="L75" s="23" t="s">
        <v>90</v>
      </c>
      <c r="M75" s="397"/>
      <c r="N75" s="367" t="s">
        <v>6</v>
      </c>
      <c r="O75" s="23" t="s">
        <v>90</v>
      </c>
      <c r="P75" s="367" t="s">
        <v>6</v>
      </c>
      <c r="Q75" s="7"/>
      <c r="R75" s="367" t="s">
        <v>6</v>
      </c>
      <c r="S75" s="23" t="s">
        <v>90</v>
      </c>
      <c r="T75" s="367" t="s">
        <v>6</v>
      </c>
      <c r="U75" s="23" t="s">
        <v>90</v>
      </c>
      <c r="V75" s="24" t="s">
        <v>6</v>
      </c>
      <c r="W75" s="23" t="s">
        <v>90</v>
      </c>
      <c r="X75" s="367" t="s">
        <v>6</v>
      </c>
      <c r="Y75" s="7"/>
      <c r="Z75" s="367" t="s">
        <v>6</v>
      </c>
      <c r="AA75" s="7"/>
      <c r="AB75" s="24" t="s">
        <v>6</v>
      </c>
      <c r="AC75" s="7"/>
      <c r="AD75" s="337" t="str">
        <f t="shared" si="0"/>
        <v/>
      </c>
      <c r="AE75" s="299"/>
    </row>
    <row r="76" spans="1:31" ht="13.5" customHeight="1">
      <c r="A76" s="338">
        <f t="shared" si="2"/>
        <v>22</v>
      </c>
      <c r="B76" s="19"/>
      <c r="C76" s="12"/>
      <c r="D76" s="22"/>
      <c r="E76" s="431"/>
      <c r="F76" s="375"/>
      <c r="G76" s="375"/>
      <c r="H76" s="12"/>
      <c r="I76" s="8"/>
      <c r="J76" s="17" t="s">
        <v>46</v>
      </c>
      <c r="K76" s="367" t="s">
        <v>6</v>
      </c>
      <c r="L76" s="23" t="s">
        <v>90</v>
      </c>
      <c r="M76" s="397"/>
      <c r="N76" s="367" t="s">
        <v>6</v>
      </c>
      <c r="O76" s="23" t="s">
        <v>90</v>
      </c>
      <c r="P76" s="367" t="s">
        <v>6</v>
      </c>
      <c r="Q76" s="7"/>
      <c r="R76" s="367" t="s">
        <v>6</v>
      </c>
      <c r="S76" s="23" t="s">
        <v>90</v>
      </c>
      <c r="T76" s="367" t="s">
        <v>6</v>
      </c>
      <c r="U76" s="23" t="s">
        <v>90</v>
      </c>
      <c r="V76" s="367" t="s">
        <v>6</v>
      </c>
      <c r="W76" s="23" t="s">
        <v>90</v>
      </c>
      <c r="X76" s="367" t="s">
        <v>6</v>
      </c>
      <c r="Y76" s="7"/>
      <c r="Z76" s="367" t="s">
        <v>6</v>
      </c>
      <c r="AA76" s="7"/>
      <c r="AB76" s="24" t="s">
        <v>6</v>
      </c>
      <c r="AC76" s="7"/>
      <c r="AD76" s="337" t="str">
        <f t="shared" si="0"/>
        <v/>
      </c>
      <c r="AE76" s="299"/>
    </row>
    <row r="77" spans="1:31" ht="13.5" customHeight="1">
      <c r="A77" s="338">
        <f t="shared" si="2"/>
        <v>23</v>
      </c>
      <c r="B77" s="19"/>
      <c r="C77" s="12"/>
      <c r="D77" s="22"/>
      <c r="E77" s="431"/>
      <c r="F77" s="375"/>
      <c r="G77" s="375"/>
      <c r="H77" s="12"/>
      <c r="I77" s="8"/>
      <c r="J77" s="17" t="s">
        <v>46</v>
      </c>
      <c r="K77" s="367" t="s">
        <v>6</v>
      </c>
      <c r="L77" s="23" t="s">
        <v>90</v>
      </c>
      <c r="M77" s="397"/>
      <c r="N77" s="367" t="s">
        <v>6</v>
      </c>
      <c r="O77" s="23" t="s">
        <v>90</v>
      </c>
      <c r="P77" s="367" t="s">
        <v>6</v>
      </c>
      <c r="Q77" s="7"/>
      <c r="R77" s="367" t="s">
        <v>6</v>
      </c>
      <c r="S77" s="23" t="s">
        <v>90</v>
      </c>
      <c r="T77" s="367" t="s">
        <v>6</v>
      </c>
      <c r="U77" s="23" t="s">
        <v>90</v>
      </c>
      <c r="V77" s="24" t="s">
        <v>6</v>
      </c>
      <c r="W77" s="23" t="s">
        <v>90</v>
      </c>
      <c r="X77" s="367" t="s">
        <v>6</v>
      </c>
      <c r="Y77" s="7"/>
      <c r="Z77" s="367" t="s">
        <v>6</v>
      </c>
      <c r="AA77" s="7"/>
      <c r="AB77" s="24" t="s">
        <v>6</v>
      </c>
      <c r="AC77" s="7"/>
      <c r="AD77" s="337" t="str">
        <f t="shared" si="0"/>
        <v/>
      </c>
      <c r="AE77" s="299"/>
    </row>
    <row r="78" spans="1:31" ht="13.5" customHeight="1">
      <c r="A78" s="338">
        <f t="shared" si="2"/>
        <v>24</v>
      </c>
      <c r="B78" s="19"/>
      <c r="C78" s="12"/>
      <c r="D78" s="22"/>
      <c r="E78" s="431"/>
      <c r="F78" s="375"/>
      <c r="G78" s="375"/>
      <c r="H78" s="12"/>
      <c r="I78" s="8"/>
      <c r="J78" s="17" t="s">
        <v>46</v>
      </c>
      <c r="K78" s="367" t="s">
        <v>6</v>
      </c>
      <c r="L78" s="23" t="s">
        <v>90</v>
      </c>
      <c r="M78" s="397"/>
      <c r="N78" s="367" t="s">
        <v>6</v>
      </c>
      <c r="O78" s="23" t="s">
        <v>90</v>
      </c>
      <c r="P78" s="367" t="s">
        <v>6</v>
      </c>
      <c r="Q78" s="7"/>
      <c r="R78" s="367" t="s">
        <v>6</v>
      </c>
      <c r="S78" s="23" t="s">
        <v>90</v>
      </c>
      <c r="T78" s="367" t="s">
        <v>6</v>
      </c>
      <c r="U78" s="23" t="s">
        <v>90</v>
      </c>
      <c r="V78" s="24" t="s">
        <v>6</v>
      </c>
      <c r="W78" s="23" t="s">
        <v>90</v>
      </c>
      <c r="X78" s="367" t="s">
        <v>6</v>
      </c>
      <c r="Y78" s="7"/>
      <c r="Z78" s="367" t="s">
        <v>6</v>
      </c>
      <c r="AA78" s="7"/>
      <c r="AB78" s="24" t="s">
        <v>6</v>
      </c>
      <c r="AC78" s="7"/>
      <c r="AD78" s="337" t="str">
        <f t="shared" si="0"/>
        <v/>
      </c>
      <c r="AE78" s="299"/>
    </row>
    <row r="79" spans="1:31" ht="13.5" customHeight="1">
      <c r="A79" s="338">
        <f t="shared" si="2"/>
        <v>25</v>
      </c>
      <c r="B79" s="19"/>
      <c r="C79" s="12"/>
      <c r="D79" s="22"/>
      <c r="E79" s="431"/>
      <c r="F79" s="375"/>
      <c r="G79" s="375"/>
      <c r="H79" s="12"/>
      <c r="I79" s="8"/>
      <c r="J79" s="17" t="s">
        <v>46</v>
      </c>
      <c r="K79" s="367" t="s">
        <v>6</v>
      </c>
      <c r="L79" s="23" t="s">
        <v>90</v>
      </c>
      <c r="M79" s="397"/>
      <c r="N79" s="367" t="s">
        <v>6</v>
      </c>
      <c r="O79" s="23" t="s">
        <v>90</v>
      </c>
      <c r="P79" s="367" t="s">
        <v>6</v>
      </c>
      <c r="Q79" s="7"/>
      <c r="R79" s="367" t="s">
        <v>6</v>
      </c>
      <c r="S79" s="23" t="s">
        <v>90</v>
      </c>
      <c r="T79" s="367" t="s">
        <v>6</v>
      </c>
      <c r="U79" s="23" t="s">
        <v>90</v>
      </c>
      <c r="V79" s="24" t="s">
        <v>6</v>
      </c>
      <c r="W79" s="23" t="s">
        <v>90</v>
      </c>
      <c r="X79" s="367" t="s">
        <v>6</v>
      </c>
      <c r="Y79" s="7"/>
      <c r="Z79" s="367" t="s">
        <v>6</v>
      </c>
      <c r="AA79" s="7"/>
      <c r="AB79" s="24" t="s">
        <v>6</v>
      </c>
      <c r="AC79" s="7"/>
      <c r="AD79" s="337" t="str">
        <f t="shared" si="0"/>
        <v/>
      </c>
      <c r="AE79" s="299"/>
    </row>
    <row r="80" spans="1:31" ht="13.5" customHeight="1">
      <c r="A80" s="338">
        <f t="shared" si="2"/>
        <v>26</v>
      </c>
      <c r="B80" s="19"/>
      <c r="C80" s="12"/>
      <c r="D80" s="22"/>
      <c r="E80" s="431"/>
      <c r="F80" s="375"/>
      <c r="G80" s="375"/>
      <c r="H80" s="12"/>
      <c r="I80" s="8"/>
      <c r="J80" s="17" t="s">
        <v>46</v>
      </c>
      <c r="K80" s="367" t="s">
        <v>6</v>
      </c>
      <c r="L80" s="23" t="s">
        <v>90</v>
      </c>
      <c r="M80" s="397"/>
      <c r="N80" s="367" t="s">
        <v>6</v>
      </c>
      <c r="O80" s="23" t="s">
        <v>90</v>
      </c>
      <c r="P80" s="367" t="s">
        <v>6</v>
      </c>
      <c r="Q80" s="7"/>
      <c r="R80" s="367" t="s">
        <v>6</v>
      </c>
      <c r="S80" s="23" t="s">
        <v>90</v>
      </c>
      <c r="T80" s="367" t="s">
        <v>6</v>
      </c>
      <c r="U80" s="23" t="s">
        <v>90</v>
      </c>
      <c r="V80" s="24" t="s">
        <v>6</v>
      </c>
      <c r="W80" s="23" t="s">
        <v>90</v>
      </c>
      <c r="X80" s="367" t="s">
        <v>6</v>
      </c>
      <c r="Y80" s="7"/>
      <c r="Z80" s="367" t="s">
        <v>6</v>
      </c>
      <c r="AA80" s="7"/>
      <c r="AB80" s="24" t="s">
        <v>6</v>
      </c>
      <c r="AC80" s="7"/>
      <c r="AD80" s="337" t="str">
        <f t="shared" si="0"/>
        <v/>
      </c>
      <c r="AE80" s="299"/>
    </row>
    <row r="81" spans="1:31" ht="13.5" customHeight="1">
      <c r="A81" s="338">
        <f t="shared" si="2"/>
        <v>27</v>
      </c>
      <c r="B81" s="19"/>
      <c r="C81" s="12"/>
      <c r="D81" s="22"/>
      <c r="E81" s="431"/>
      <c r="F81" s="375"/>
      <c r="G81" s="375"/>
      <c r="H81" s="12"/>
      <c r="I81" s="8"/>
      <c r="J81" s="17" t="s">
        <v>46</v>
      </c>
      <c r="K81" s="367" t="s">
        <v>6</v>
      </c>
      <c r="L81" s="23" t="s">
        <v>90</v>
      </c>
      <c r="M81" s="397"/>
      <c r="N81" s="367" t="s">
        <v>6</v>
      </c>
      <c r="O81" s="23" t="s">
        <v>90</v>
      </c>
      <c r="P81" s="367" t="s">
        <v>6</v>
      </c>
      <c r="Q81" s="7"/>
      <c r="R81" s="367" t="s">
        <v>6</v>
      </c>
      <c r="S81" s="23" t="s">
        <v>90</v>
      </c>
      <c r="T81" s="367" t="s">
        <v>6</v>
      </c>
      <c r="U81" s="23" t="s">
        <v>90</v>
      </c>
      <c r="V81" s="24" t="s">
        <v>6</v>
      </c>
      <c r="W81" s="23" t="s">
        <v>90</v>
      </c>
      <c r="X81" s="367" t="s">
        <v>6</v>
      </c>
      <c r="Y81" s="7"/>
      <c r="Z81" s="367" t="s">
        <v>6</v>
      </c>
      <c r="AA81" s="7"/>
      <c r="AB81" s="24" t="s">
        <v>6</v>
      </c>
      <c r="AC81" s="7"/>
      <c r="AD81" s="337" t="str">
        <f t="shared" si="0"/>
        <v/>
      </c>
      <c r="AE81" s="299"/>
    </row>
    <row r="82" spans="1:31" ht="13.5" customHeight="1">
      <c r="A82" s="338">
        <f t="shared" si="2"/>
        <v>28</v>
      </c>
      <c r="B82" s="19"/>
      <c r="C82" s="12"/>
      <c r="D82" s="22"/>
      <c r="E82" s="431"/>
      <c r="F82" s="375"/>
      <c r="G82" s="375"/>
      <c r="H82" s="12"/>
      <c r="I82" s="8"/>
      <c r="J82" s="17" t="s">
        <v>46</v>
      </c>
      <c r="K82" s="367" t="s">
        <v>6</v>
      </c>
      <c r="L82" s="23" t="s">
        <v>90</v>
      </c>
      <c r="M82" s="397"/>
      <c r="N82" s="367" t="s">
        <v>6</v>
      </c>
      <c r="O82" s="23" t="s">
        <v>90</v>
      </c>
      <c r="P82" s="367" t="s">
        <v>6</v>
      </c>
      <c r="Q82" s="7"/>
      <c r="R82" s="367" t="s">
        <v>6</v>
      </c>
      <c r="S82" s="23" t="s">
        <v>90</v>
      </c>
      <c r="T82" s="367" t="s">
        <v>6</v>
      </c>
      <c r="U82" s="23" t="s">
        <v>90</v>
      </c>
      <c r="V82" s="367" t="s">
        <v>6</v>
      </c>
      <c r="W82" s="23" t="s">
        <v>90</v>
      </c>
      <c r="X82" s="367" t="s">
        <v>6</v>
      </c>
      <c r="Y82" s="7"/>
      <c r="Z82" s="367" t="s">
        <v>6</v>
      </c>
      <c r="AA82" s="7"/>
      <c r="AB82" s="24" t="s">
        <v>6</v>
      </c>
      <c r="AC82" s="7"/>
      <c r="AD82" s="337" t="str">
        <f t="shared" si="0"/>
        <v/>
      </c>
      <c r="AE82" s="299"/>
    </row>
    <row r="83" spans="1:31" ht="13.5" customHeight="1">
      <c r="A83" s="338">
        <f t="shared" si="2"/>
        <v>29</v>
      </c>
      <c r="B83" s="19"/>
      <c r="C83" s="12"/>
      <c r="D83" s="22"/>
      <c r="E83" s="431"/>
      <c r="F83" s="375"/>
      <c r="G83" s="375"/>
      <c r="H83" s="12"/>
      <c r="I83" s="8"/>
      <c r="J83" s="17" t="s">
        <v>46</v>
      </c>
      <c r="K83" s="367" t="s">
        <v>6</v>
      </c>
      <c r="L83" s="23" t="s">
        <v>90</v>
      </c>
      <c r="M83" s="397"/>
      <c r="N83" s="367" t="s">
        <v>6</v>
      </c>
      <c r="O83" s="23" t="s">
        <v>90</v>
      </c>
      <c r="P83" s="367" t="s">
        <v>6</v>
      </c>
      <c r="Q83" s="7"/>
      <c r="R83" s="367" t="s">
        <v>6</v>
      </c>
      <c r="S83" s="23" t="s">
        <v>90</v>
      </c>
      <c r="T83" s="367" t="s">
        <v>6</v>
      </c>
      <c r="U83" s="23" t="s">
        <v>90</v>
      </c>
      <c r="V83" s="367" t="s">
        <v>6</v>
      </c>
      <c r="W83" s="23" t="s">
        <v>90</v>
      </c>
      <c r="X83" s="367" t="s">
        <v>6</v>
      </c>
      <c r="Y83" s="7"/>
      <c r="Z83" s="367" t="s">
        <v>6</v>
      </c>
      <c r="AA83" s="7"/>
      <c r="AB83" s="24" t="s">
        <v>6</v>
      </c>
      <c r="AC83" s="7"/>
      <c r="AD83" s="337" t="str">
        <f t="shared" si="0"/>
        <v/>
      </c>
      <c r="AE83" s="299"/>
    </row>
    <row r="84" spans="1:31" ht="13.5" customHeight="1">
      <c r="A84" s="338">
        <f t="shared" si="2"/>
        <v>30</v>
      </c>
      <c r="B84" s="19"/>
      <c r="C84" s="12"/>
      <c r="D84" s="22"/>
      <c r="E84" s="431"/>
      <c r="F84" s="375"/>
      <c r="G84" s="375"/>
      <c r="H84" s="12"/>
      <c r="I84" s="8"/>
      <c r="J84" s="17" t="s">
        <v>46</v>
      </c>
      <c r="K84" s="367" t="s">
        <v>6</v>
      </c>
      <c r="L84" s="23" t="s">
        <v>90</v>
      </c>
      <c r="M84" s="397"/>
      <c r="N84" s="367" t="s">
        <v>6</v>
      </c>
      <c r="O84" s="23" t="s">
        <v>90</v>
      </c>
      <c r="P84" s="367" t="s">
        <v>6</v>
      </c>
      <c r="Q84" s="7"/>
      <c r="R84" s="367" t="s">
        <v>6</v>
      </c>
      <c r="S84" s="23" t="s">
        <v>90</v>
      </c>
      <c r="T84" s="367" t="s">
        <v>6</v>
      </c>
      <c r="U84" s="23" t="s">
        <v>90</v>
      </c>
      <c r="V84" s="367" t="s">
        <v>6</v>
      </c>
      <c r="W84" s="23" t="s">
        <v>90</v>
      </c>
      <c r="X84" s="367" t="s">
        <v>6</v>
      </c>
      <c r="Y84" s="7"/>
      <c r="Z84" s="367" t="s">
        <v>6</v>
      </c>
      <c r="AA84" s="7"/>
      <c r="AB84" s="24" t="s">
        <v>6</v>
      </c>
      <c r="AC84" s="7"/>
      <c r="AD84" s="337" t="str">
        <f t="shared" si="0"/>
        <v/>
      </c>
      <c r="AE84" s="299"/>
    </row>
    <row r="85" spans="1:31" ht="13.5" customHeight="1">
      <c r="A85" s="338">
        <f t="shared" si="2"/>
        <v>31</v>
      </c>
      <c r="B85" s="19"/>
      <c r="C85" s="12"/>
      <c r="D85" s="22"/>
      <c r="E85" s="431"/>
      <c r="F85" s="375"/>
      <c r="G85" s="375"/>
      <c r="H85" s="12"/>
      <c r="I85" s="8"/>
      <c r="J85" s="17" t="s">
        <v>46</v>
      </c>
      <c r="K85" s="367" t="s">
        <v>6</v>
      </c>
      <c r="L85" s="23" t="s">
        <v>90</v>
      </c>
      <c r="M85" s="397"/>
      <c r="N85" s="367" t="s">
        <v>6</v>
      </c>
      <c r="O85" s="23" t="s">
        <v>90</v>
      </c>
      <c r="P85" s="367" t="s">
        <v>6</v>
      </c>
      <c r="Q85" s="7"/>
      <c r="R85" s="367" t="s">
        <v>6</v>
      </c>
      <c r="S85" s="23" t="s">
        <v>90</v>
      </c>
      <c r="T85" s="367" t="s">
        <v>6</v>
      </c>
      <c r="U85" s="23" t="s">
        <v>90</v>
      </c>
      <c r="V85" s="24" t="s">
        <v>6</v>
      </c>
      <c r="W85" s="23" t="s">
        <v>90</v>
      </c>
      <c r="X85" s="367" t="s">
        <v>6</v>
      </c>
      <c r="Y85" s="7"/>
      <c r="Z85" s="367" t="s">
        <v>6</v>
      </c>
      <c r="AA85" s="7"/>
      <c r="AB85" s="24" t="s">
        <v>6</v>
      </c>
      <c r="AC85" s="7"/>
      <c r="AD85" s="337" t="str">
        <f t="shared" si="0"/>
        <v/>
      </c>
      <c r="AE85" s="299"/>
    </row>
    <row r="86" spans="1:31" ht="13.5" customHeight="1">
      <c r="A86" s="338">
        <f t="shared" si="2"/>
        <v>32</v>
      </c>
      <c r="B86" s="19"/>
      <c r="C86" s="12"/>
      <c r="D86" s="22"/>
      <c r="E86" s="431"/>
      <c r="F86" s="375"/>
      <c r="G86" s="375"/>
      <c r="H86" s="12"/>
      <c r="I86" s="8"/>
      <c r="J86" s="17" t="s">
        <v>46</v>
      </c>
      <c r="K86" s="367" t="s">
        <v>6</v>
      </c>
      <c r="L86" s="23" t="s">
        <v>90</v>
      </c>
      <c r="M86" s="397"/>
      <c r="N86" s="367" t="s">
        <v>6</v>
      </c>
      <c r="O86" s="23" t="s">
        <v>90</v>
      </c>
      <c r="P86" s="367" t="s">
        <v>6</v>
      </c>
      <c r="Q86" s="7"/>
      <c r="R86" s="367" t="s">
        <v>6</v>
      </c>
      <c r="S86" s="23" t="s">
        <v>90</v>
      </c>
      <c r="T86" s="367" t="s">
        <v>6</v>
      </c>
      <c r="U86" s="23" t="s">
        <v>90</v>
      </c>
      <c r="V86" s="24" t="s">
        <v>6</v>
      </c>
      <c r="W86" s="23" t="s">
        <v>90</v>
      </c>
      <c r="X86" s="367" t="s">
        <v>6</v>
      </c>
      <c r="Y86" s="7"/>
      <c r="Z86" s="367" t="s">
        <v>6</v>
      </c>
      <c r="AA86" s="7"/>
      <c r="AB86" s="24" t="s">
        <v>6</v>
      </c>
      <c r="AC86" s="7"/>
      <c r="AD86" s="337" t="str">
        <f t="shared" si="0"/>
        <v/>
      </c>
      <c r="AE86" s="299"/>
    </row>
    <row r="87" spans="1:31" ht="13.5" customHeight="1">
      <c r="A87" s="338">
        <f t="shared" si="2"/>
        <v>33</v>
      </c>
      <c r="B87" s="19"/>
      <c r="C87" s="12"/>
      <c r="D87" s="22"/>
      <c r="E87" s="431"/>
      <c r="F87" s="375"/>
      <c r="G87" s="375"/>
      <c r="H87" s="12"/>
      <c r="I87" s="8"/>
      <c r="J87" s="17" t="s">
        <v>46</v>
      </c>
      <c r="K87" s="367" t="s">
        <v>6</v>
      </c>
      <c r="L87" s="23" t="s">
        <v>90</v>
      </c>
      <c r="M87" s="397"/>
      <c r="N87" s="367" t="s">
        <v>6</v>
      </c>
      <c r="O87" s="23" t="s">
        <v>90</v>
      </c>
      <c r="P87" s="367" t="s">
        <v>6</v>
      </c>
      <c r="Q87" s="7"/>
      <c r="R87" s="367" t="s">
        <v>6</v>
      </c>
      <c r="S87" s="23" t="s">
        <v>90</v>
      </c>
      <c r="T87" s="367" t="s">
        <v>6</v>
      </c>
      <c r="U87" s="23" t="s">
        <v>90</v>
      </c>
      <c r="V87" s="367" t="s">
        <v>6</v>
      </c>
      <c r="W87" s="23" t="s">
        <v>90</v>
      </c>
      <c r="X87" s="367" t="s">
        <v>6</v>
      </c>
      <c r="Y87" s="7"/>
      <c r="Z87" s="367" t="s">
        <v>6</v>
      </c>
      <c r="AA87" s="7"/>
      <c r="AB87" s="24" t="s">
        <v>6</v>
      </c>
      <c r="AC87" s="7"/>
      <c r="AD87" s="337" t="str">
        <f t="shared" ref="AD87:AD118" si="3">IF(H87="","",VLOOKUP(H87,Classes,2))</f>
        <v/>
      </c>
      <c r="AE87" s="299"/>
    </row>
    <row r="88" spans="1:31" ht="13.5" customHeight="1">
      <c r="A88" s="338">
        <f t="shared" si="2"/>
        <v>34</v>
      </c>
      <c r="B88" s="19"/>
      <c r="C88" s="12"/>
      <c r="D88" s="22"/>
      <c r="E88" s="431"/>
      <c r="F88" s="375"/>
      <c r="G88" s="375"/>
      <c r="H88" s="12"/>
      <c r="I88" s="8"/>
      <c r="J88" s="17" t="s">
        <v>46</v>
      </c>
      <c r="K88" s="367" t="s">
        <v>6</v>
      </c>
      <c r="L88" s="23" t="s">
        <v>90</v>
      </c>
      <c r="M88" s="397"/>
      <c r="N88" s="367" t="s">
        <v>6</v>
      </c>
      <c r="O88" s="23" t="s">
        <v>90</v>
      </c>
      <c r="P88" s="367" t="s">
        <v>6</v>
      </c>
      <c r="Q88" s="7"/>
      <c r="R88" s="367" t="s">
        <v>6</v>
      </c>
      <c r="S88" s="23" t="s">
        <v>90</v>
      </c>
      <c r="T88" s="367" t="s">
        <v>6</v>
      </c>
      <c r="U88" s="23" t="s">
        <v>90</v>
      </c>
      <c r="V88" s="367" t="s">
        <v>6</v>
      </c>
      <c r="W88" s="23" t="s">
        <v>90</v>
      </c>
      <c r="X88" s="367" t="s">
        <v>6</v>
      </c>
      <c r="Y88" s="7"/>
      <c r="Z88" s="367" t="s">
        <v>6</v>
      </c>
      <c r="AA88" s="7"/>
      <c r="AB88" s="24" t="s">
        <v>6</v>
      </c>
      <c r="AC88" s="7"/>
      <c r="AD88" s="337" t="str">
        <f t="shared" si="3"/>
        <v/>
      </c>
      <c r="AE88" s="299"/>
    </row>
    <row r="89" spans="1:31" ht="13.5" customHeight="1">
      <c r="A89" s="338">
        <f t="shared" si="2"/>
        <v>35</v>
      </c>
      <c r="B89" s="19"/>
      <c r="C89" s="12"/>
      <c r="D89" s="22"/>
      <c r="E89" s="431"/>
      <c r="F89" s="375"/>
      <c r="G89" s="375"/>
      <c r="H89" s="12"/>
      <c r="I89" s="8"/>
      <c r="J89" s="17" t="s">
        <v>46</v>
      </c>
      <c r="K89" s="367" t="s">
        <v>6</v>
      </c>
      <c r="L89" s="23" t="s">
        <v>90</v>
      </c>
      <c r="M89" s="397"/>
      <c r="N89" s="367" t="s">
        <v>6</v>
      </c>
      <c r="O89" s="23" t="s">
        <v>90</v>
      </c>
      <c r="P89" s="367" t="s">
        <v>6</v>
      </c>
      <c r="Q89" s="7"/>
      <c r="R89" s="367" t="s">
        <v>6</v>
      </c>
      <c r="S89" s="23" t="s">
        <v>90</v>
      </c>
      <c r="T89" s="367" t="s">
        <v>6</v>
      </c>
      <c r="U89" s="23" t="s">
        <v>90</v>
      </c>
      <c r="V89" s="367" t="s">
        <v>6</v>
      </c>
      <c r="W89" s="23" t="s">
        <v>90</v>
      </c>
      <c r="X89" s="367" t="s">
        <v>6</v>
      </c>
      <c r="Y89" s="7"/>
      <c r="Z89" s="367" t="s">
        <v>6</v>
      </c>
      <c r="AA89" s="7"/>
      <c r="AB89" s="24" t="s">
        <v>6</v>
      </c>
      <c r="AC89" s="7"/>
      <c r="AD89" s="337" t="str">
        <f t="shared" si="3"/>
        <v/>
      </c>
      <c r="AE89" s="299"/>
    </row>
    <row r="90" spans="1:31" ht="13.5" customHeight="1">
      <c r="A90" s="338">
        <f t="shared" si="2"/>
        <v>36</v>
      </c>
      <c r="B90" s="19"/>
      <c r="C90" s="12"/>
      <c r="D90" s="22"/>
      <c r="E90" s="431"/>
      <c r="F90" s="375"/>
      <c r="G90" s="375"/>
      <c r="H90" s="12"/>
      <c r="I90" s="8"/>
      <c r="J90" s="17" t="s">
        <v>46</v>
      </c>
      <c r="K90" s="367" t="s">
        <v>6</v>
      </c>
      <c r="L90" s="23" t="s">
        <v>90</v>
      </c>
      <c r="M90" s="397"/>
      <c r="N90" s="367" t="s">
        <v>6</v>
      </c>
      <c r="O90" s="23" t="s">
        <v>90</v>
      </c>
      <c r="P90" s="367" t="s">
        <v>6</v>
      </c>
      <c r="Q90" s="7"/>
      <c r="R90" s="367" t="s">
        <v>6</v>
      </c>
      <c r="S90" s="23" t="s">
        <v>90</v>
      </c>
      <c r="T90" s="367" t="s">
        <v>6</v>
      </c>
      <c r="U90" s="23" t="s">
        <v>90</v>
      </c>
      <c r="V90" s="24" t="s">
        <v>6</v>
      </c>
      <c r="W90" s="23" t="s">
        <v>90</v>
      </c>
      <c r="X90" s="367" t="s">
        <v>6</v>
      </c>
      <c r="Y90" s="7"/>
      <c r="Z90" s="367" t="s">
        <v>6</v>
      </c>
      <c r="AA90" s="7"/>
      <c r="AB90" s="24" t="s">
        <v>6</v>
      </c>
      <c r="AC90" s="7"/>
      <c r="AD90" s="337" t="str">
        <f t="shared" si="3"/>
        <v/>
      </c>
      <c r="AE90" s="299"/>
    </row>
    <row r="91" spans="1:31" ht="13.5" customHeight="1">
      <c r="A91" s="338">
        <f t="shared" si="2"/>
        <v>37</v>
      </c>
      <c r="B91" s="19"/>
      <c r="C91" s="12"/>
      <c r="D91" s="22"/>
      <c r="E91" s="431"/>
      <c r="F91" s="375"/>
      <c r="G91" s="375"/>
      <c r="H91" s="12"/>
      <c r="I91" s="8"/>
      <c r="J91" s="17" t="s">
        <v>46</v>
      </c>
      <c r="K91" s="367" t="s">
        <v>6</v>
      </c>
      <c r="L91" s="23" t="s">
        <v>90</v>
      </c>
      <c r="M91" s="397"/>
      <c r="N91" s="367" t="s">
        <v>6</v>
      </c>
      <c r="O91" s="23" t="s">
        <v>90</v>
      </c>
      <c r="P91" s="367" t="s">
        <v>6</v>
      </c>
      <c r="Q91" s="7"/>
      <c r="R91" s="367" t="s">
        <v>6</v>
      </c>
      <c r="S91" s="23" t="s">
        <v>90</v>
      </c>
      <c r="T91" s="367" t="s">
        <v>6</v>
      </c>
      <c r="U91" s="23" t="s">
        <v>90</v>
      </c>
      <c r="V91" s="367" t="s">
        <v>6</v>
      </c>
      <c r="W91" s="23" t="s">
        <v>90</v>
      </c>
      <c r="X91" s="367" t="s">
        <v>6</v>
      </c>
      <c r="Y91" s="7"/>
      <c r="Z91" s="367" t="s">
        <v>6</v>
      </c>
      <c r="AA91" s="7"/>
      <c r="AB91" s="24" t="s">
        <v>6</v>
      </c>
      <c r="AC91" s="7"/>
      <c r="AD91" s="337" t="str">
        <f t="shared" si="3"/>
        <v/>
      </c>
      <c r="AE91" s="299"/>
    </row>
    <row r="92" spans="1:31" ht="13.5" customHeight="1">
      <c r="A92" s="338">
        <f t="shared" si="2"/>
        <v>38</v>
      </c>
      <c r="B92" s="19"/>
      <c r="C92" s="12"/>
      <c r="D92" s="22"/>
      <c r="E92" s="431"/>
      <c r="F92" s="375"/>
      <c r="G92" s="375"/>
      <c r="H92" s="12"/>
      <c r="I92" s="8"/>
      <c r="J92" s="17" t="s">
        <v>46</v>
      </c>
      <c r="K92" s="367" t="s">
        <v>6</v>
      </c>
      <c r="L92" s="23" t="s">
        <v>90</v>
      </c>
      <c r="M92" s="397"/>
      <c r="N92" s="367" t="s">
        <v>6</v>
      </c>
      <c r="O92" s="23" t="s">
        <v>90</v>
      </c>
      <c r="P92" s="367" t="s">
        <v>6</v>
      </c>
      <c r="Q92" s="7"/>
      <c r="R92" s="367" t="s">
        <v>6</v>
      </c>
      <c r="S92" s="23" t="s">
        <v>90</v>
      </c>
      <c r="T92" s="367" t="s">
        <v>6</v>
      </c>
      <c r="U92" s="23" t="s">
        <v>90</v>
      </c>
      <c r="V92" s="367" t="s">
        <v>6</v>
      </c>
      <c r="W92" s="23" t="s">
        <v>90</v>
      </c>
      <c r="X92" s="367" t="s">
        <v>6</v>
      </c>
      <c r="Y92" s="7"/>
      <c r="Z92" s="367" t="s">
        <v>6</v>
      </c>
      <c r="AA92" s="7"/>
      <c r="AB92" s="24" t="s">
        <v>6</v>
      </c>
      <c r="AC92" s="7"/>
      <c r="AD92" s="337" t="str">
        <f t="shared" si="3"/>
        <v/>
      </c>
      <c r="AE92" s="299"/>
    </row>
    <row r="93" spans="1:31" ht="13.5" customHeight="1">
      <c r="A93" s="338">
        <f t="shared" si="2"/>
        <v>39</v>
      </c>
      <c r="B93" s="19"/>
      <c r="C93" s="12"/>
      <c r="D93" s="22"/>
      <c r="E93" s="431"/>
      <c r="F93" s="375"/>
      <c r="G93" s="375"/>
      <c r="H93" s="12"/>
      <c r="I93" s="8"/>
      <c r="J93" s="17" t="s">
        <v>46</v>
      </c>
      <c r="K93" s="367" t="s">
        <v>6</v>
      </c>
      <c r="L93" s="23" t="s">
        <v>90</v>
      </c>
      <c r="M93" s="397"/>
      <c r="N93" s="367" t="s">
        <v>6</v>
      </c>
      <c r="O93" s="23" t="s">
        <v>90</v>
      </c>
      <c r="P93" s="367" t="s">
        <v>6</v>
      </c>
      <c r="Q93" s="7"/>
      <c r="R93" s="367" t="s">
        <v>6</v>
      </c>
      <c r="S93" s="23" t="s">
        <v>90</v>
      </c>
      <c r="T93" s="367" t="s">
        <v>6</v>
      </c>
      <c r="U93" s="23" t="s">
        <v>90</v>
      </c>
      <c r="V93" s="367" t="s">
        <v>6</v>
      </c>
      <c r="W93" s="23" t="s">
        <v>90</v>
      </c>
      <c r="X93" s="367" t="s">
        <v>6</v>
      </c>
      <c r="Y93" s="7"/>
      <c r="Z93" s="367" t="s">
        <v>6</v>
      </c>
      <c r="AA93" s="7"/>
      <c r="AB93" s="24" t="s">
        <v>6</v>
      </c>
      <c r="AC93" s="7"/>
      <c r="AD93" s="337" t="str">
        <f t="shared" si="3"/>
        <v/>
      </c>
      <c r="AE93" s="299"/>
    </row>
    <row r="94" spans="1:31" ht="13.5" customHeight="1">
      <c r="A94" s="338">
        <f t="shared" si="2"/>
        <v>40</v>
      </c>
      <c r="B94" s="19"/>
      <c r="C94" s="12"/>
      <c r="D94" s="22"/>
      <c r="E94" s="431"/>
      <c r="F94" s="375"/>
      <c r="G94" s="375"/>
      <c r="H94" s="12"/>
      <c r="I94" s="8"/>
      <c r="J94" s="17" t="s">
        <v>46</v>
      </c>
      <c r="K94" s="367" t="s">
        <v>6</v>
      </c>
      <c r="L94" s="23" t="s">
        <v>90</v>
      </c>
      <c r="M94" s="397"/>
      <c r="N94" s="367" t="s">
        <v>6</v>
      </c>
      <c r="O94" s="23" t="s">
        <v>90</v>
      </c>
      <c r="P94" s="367" t="s">
        <v>6</v>
      </c>
      <c r="Q94" s="7"/>
      <c r="R94" s="367" t="s">
        <v>6</v>
      </c>
      <c r="S94" s="23" t="s">
        <v>90</v>
      </c>
      <c r="T94" s="367" t="s">
        <v>6</v>
      </c>
      <c r="U94" s="23" t="s">
        <v>90</v>
      </c>
      <c r="V94" s="367" t="s">
        <v>6</v>
      </c>
      <c r="W94" s="23" t="s">
        <v>90</v>
      </c>
      <c r="X94" s="367" t="s">
        <v>6</v>
      </c>
      <c r="Y94" s="7"/>
      <c r="Z94" s="367" t="s">
        <v>6</v>
      </c>
      <c r="AA94" s="7"/>
      <c r="AB94" s="24" t="s">
        <v>6</v>
      </c>
      <c r="AC94" s="7"/>
      <c r="AD94" s="337" t="str">
        <f t="shared" si="3"/>
        <v/>
      </c>
      <c r="AE94" s="299"/>
    </row>
    <row r="95" spans="1:31" ht="13.5" customHeight="1">
      <c r="A95" s="338">
        <f t="shared" si="2"/>
        <v>41</v>
      </c>
      <c r="B95" s="19"/>
      <c r="C95" s="12"/>
      <c r="D95" s="22"/>
      <c r="E95" s="431"/>
      <c r="F95" s="375"/>
      <c r="G95" s="375"/>
      <c r="H95" s="12"/>
      <c r="I95" s="8"/>
      <c r="J95" s="17" t="s">
        <v>46</v>
      </c>
      <c r="K95" s="367" t="s">
        <v>6</v>
      </c>
      <c r="L95" s="23" t="s">
        <v>90</v>
      </c>
      <c r="M95" s="397"/>
      <c r="N95" s="367" t="s">
        <v>6</v>
      </c>
      <c r="O95" s="23" t="s">
        <v>90</v>
      </c>
      <c r="P95" s="367" t="s">
        <v>6</v>
      </c>
      <c r="Q95" s="7"/>
      <c r="R95" s="367" t="s">
        <v>6</v>
      </c>
      <c r="S95" s="23" t="s">
        <v>90</v>
      </c>
      <c r="T95" s="367" t="s">
        <v>6</v>
      </c>
      <c r="U95" s="23" t="s">
        <v>90</v>
      </c>
      <c r="V95" s="367" t="s">
        <v>6</v>
      </c>
      <c r="W95" s="23" t="s">
        <v>90</v>
      </c>
      <c r="X95" s="367" t="s">
        <v>6</v>
      </c>
      <c r="Y95" s="7"/>
      <c r="Z95" s="367" t="s">
        <v>6</v>
      </c>
      <c r="AA95" s="7"/>
      <c r="AB95" s="24" t="s">
        <v>6</v>
      </c>
      <c r="AC95" s="7"/>
      <c r="AD95" s="337" t="str">
        <f t="shared" si="3"/>
        <v/>
      </c>
      <c r="AE95" s="299"/>
    </row>
    <row r="96" spans="1:31" ht="13.5" customHeight="1">
      <c r="A96" s="338">
        <f t="shared" si="2"/>
        <v>42</v>
      </c>
      <c r="B96" s="19"/>
      <c r="C96" s="12"/>
      <c r="D96" s="22"/>
      <c r="E96" s="431"/>
      <c r="F96" s="375"/>
      <c r="G96" s="375"/>
      <c r="H96" s="12"/>
      <c r="I96" s="8"/>
      <c r="J96" s="17" t="s">
        <v>46</v>
      </c>
      <c r="K96" s="367" t="s">
        <v>6</v>
      </c>
      <c r="L96" s="23" t="s">
        <v>90</v>
      </c>
      <c r="M96" s="397"/>
      <c r="N96" s="367" t="s">
        <v>6</v>
      </c>
      <c r="O96" s="23" t="s">
        <v>90</v>
      </c>
      <c r="P96" s="367" t="s">
        <v>6</v>
      </c>
      <c r="Q96" s="7"/>
      <c r="R96" s="367" t="s">
        <v>6</v>
      </c>
      <c r="S96" s="23" t="s">
        <v>90</v>
      </c>
      <c r="T96" s="367" t="s">
        <v>6</v>
      </c>
      <c r="U96" s="23" t="s">
        <v>90</v>
      </c>
      <c r="V96" s="367" t="s">
        <v>6</v>
      </c>
      <c r="W96" s="23" t="s">
        <v>90</v>
      </c>
      <c r="X96" s="367" t="s">
        <v>6</v>
      </c>
      <c r="Y96" s="7"/>
      <c r="Z96" s="367" t="s">
        <v>6</v>
      </c>
      <c r="AA96" s="7"/>
      <c r="AB96" s="24" t="s">
        <v>6</v>
      </c>
      <c r="AC96" s="7"/>
      <c r="AD96" s="337" t="str">
        <f t="shared" si="3"/>
        <v/>
      </c>
      <c r="AE96" s="299"/>
    </row>
    <row r="97" spans="1:31" ht="13.5" customHeight="1">
      <c r="A97" s="338">
        <f t="shared" si="2"/>
        <v>43</v>
      </c>
      <c r="B97" s="19"/>
      <c r="C97" s="12"/>
      <c r="D97" s="22"/>
      <c r="E97" s="431"/>
      <c r="F97" s="375"/>
      <c r="G97" s="375"/>
      <c r="H97" s="12"/>
      <c r="I97" s="8"/>
      <c r="J97" s="17" t="s">
        <v>46</v>
      </c>
      <c r="K97" s="367" t="s">
        <v>6</v>
      </c>
      <c r="L97" s="23" t="s">
        <v>90</v>
      </c>
      <c r="M97" s="397"/>
      <c r="N97" s="367" t="s">
        <v>6</v>
      </c>
      <c r="O97" s="23" t="s">
        <v>90</v>
      </c>
      <c r="P97" s="367" t="s">
        <v>6</v>
      </c>
      <c r="Q97" s="7"/>
      <c r="R97" s="367" t="s">
        <v>6</v>
      </c>
      <c r="S97" s="23" t="s">
        <v>90</v>
      </c>
      <c r="T97" s="367" t="s">
        <v>6</v>
      </c>
      <c r="U97" s="23" t="s">
        <v>90</v>
      </c>
      <c r="V97" s="367" t="s">
        <v>6</v>
      </c>
      <c r="W97" s="23" t="s">
        <v>90</v>
      </c>
      <c r="X97" s="367" t="s">
        <v>6</v>
      </c>
      <c r="Y97" s="7"/>
      <c r="Z97" s="367" t="s">
        <v>6</v>
      </c>
      <c r="AA97" s="7"/>
      <c r="AB97" s="24" t="s">
        <v>6</v>
      </c>
      <c r="AC97" s="7"/>
      <c r="AD97" s="337" t="str">
        <f t="shared" si="3"/>
        <v/>
      </c>
      <c r="AE97" s="299"/>
    </row>
    <row r="98" spans="1:31" ht="13.5" customHeight="1">
      <c r="A98" s="338">
        <f t="shared" si="2"/>
        <v>44</v>
      </c>
      <c r="B98" s="19"/>
      <c r="C98" s="12"/>
      <c r="D98" s="22"/>
      <c r="E98" s="431"/>
      <c r="F98" s="375"/>
      <c r="G98" s="375"/>
      <c r="H98" s="12"/>
      <c r="I98" s="8"/>
      <c r="J98" s="17" t="s">
        <v>46</v>
      </c>
      <c r="K98" s="367" t="s">
        <v>6</v>
      </c>
      <c r="L98" s="23" t="s">
        <v>90</v>
      </c>
      <c r="M98" s="397"/>
      <c r="N98" s="367" t="s">
        <v>6</v>
      </c>
      <c r="O98" s="23" t="s">
        <v>90</v>
      </c>
      <c r="P98" s="367" t="s">
        <v>6</v>
      </c>
      <c r="Q98" s="7"/>
      <c r="R98" s="367" t="s">
        <v>6</v>
      </c>
      <c r="S98" s="23" t="s">
        <v>90</v>
      </c>
      <c r="T98" s="367" t="s">
        <v>6</v>
      </c>
      <c r="U98" s="23" t="s">
        <v>90</v>
      </c>
      <c r="V98" s="367" t="s">
        <v>6</v>
      </c>
      <c r="W98" s="23" t="s">
        <v>90</v>
      </c>
      <c r="X98" s="367" t="s">
        <v>6</v>
      </c>
      <c r="Y98" s="7"/>
      <c r="Z98" s="367" t="s">
        <v>6</v>
      </c>
      <c r="AA98" s="7"/>
      <c r="AB98" s="24" t="s">
        <v>6</v>
      </c>
      <c r="AC98" s="7"/>
      <c r="AD98" s="337" t="str">
        <f t="shared" si="3"/>
        <v/>
      </c>
      <c r="AE98" s="299"/>
    </row>
    <row r="99" spans="1:31" ht="13.5" customHeight="1">
      <c r="A99" s="338">
        <f>A98+1</f>
        <v>45</v>
      </c>
      <c r="B99" s="19"/>
      <c r="C99" s="12"/>
      <c r="D99" s="22"/>
      <c r="E99" s="431"/>
      <c r="F99" s="375"/>
      <c r="G99" s="375"/>
      <c r="H99" s="12"/>
      <c r="I99" s="8"/>
      <c r="J99" s="17" t="s">
        <v>46</v>
      </c>
      <c r="K99" s="367" t="s">
        <v>6</v>
      </c>
      <c r="L99" s="23" t="s">
        <v>90</v>
      </c>
      <c r="M99" s="397"/>
      <c r="N99" s="367" t="s">
        <v>6</v>
      </c>
      <c r="O99" s="23" t="s">
        <v>90</v>
      </c>
      <c r="P99" s="367" t="s">
        <v>6</v>
      </c>
      <c r="Q99" s="7"/>
      <c r="R99" s="367" t="s">
        <v>6</v>
      </c>
      <c r="S99" s="23" t="s">
        <v>90</v>
      </c>
      <c r="T99" s="367" t="s">
        <v>6</v>
      </c>
      <c r="U99" s="23" t="s">
        <v>90</v>
      </c>
      <c r="V99" s="367" t="s">
        <v>6</v>
      </c>
      <c r="W99" s="23" t="s">
        <v>90</v>
      </c>
      <c r="X99" s="367" t="s">
        <v>6</v>
      </c>
      <c r="Y99" s="7"/>
      <c r="Z99" s="367" t="s">
        <v>6</v>
      </c>
      <c r="AA99" s="7"/>
      <c r="AB99" s="24" t="s">
        <v>6</v>
      </c>
      <c r="AC99" s="7"/>
      <c r="AD99" s="337" t="str">
        <f t="shared" si="3"/>
        <v/>
      </c>
      <c r="AE99" s="299"/>
    </row>
    <row r="100" spans="1:31" ht="13.5" customHeight="1">
      <c r="A100" s="338">
        <f>A99+1</f>
        <v>46</v>
      </c>
      <c r="B100" s="19"/>
      <c r="C100" s="12"/>
      <c r="D100" s="22"/>
      <c r="E100" s="431"/>
      <c r="F100" s="375"/>
      <c r="G100" s="375"/>
      <c r="H100" s="12"/>
      <c r="I100" s="8"/>
      <c r="J100" s="17" t="s">
        <v>46</v>
      </c>
      <c r="K100" s="367" t="s">
        <v>6</v>
      </c>
      <c r="L100" s="23" t="s">
        <v>90</v>
      </c>
      <c r="M100" s="397"/>
      <c r="N100" s="367" t="s">
        <v>6</v>
      </c>
      <c r="O100" s="23" t="s">
        <v>90</v>
      </c>
      <c r="P100" s="367" t="s">
        <v>6</v>
      </c>
      <c r="Q100" s="7"/>
      <c r="R100" s="367" t="s">
        <v>6</v>
      </c>
      <c r="S100" s="23" t="s">
        <v>90</v>
      </c>
      <c r="T100" s="367" t="s">
        <v>6</v>
      </c>
      <c r="U100" s="23" t="s">
        <v>90</v>
      </c>
      <c r="V100" s="24" t="s">
        <v>6</v>
      </c>
      <c r="W100" s="23" t="s">
        <v>90</v>
      </c>
      <c r="X100" s="367" t="s">
        <v>6</v>
      </c>
      <c r="Y100" s="7"/>
      <c r="Z100" s="367" t="s">
        <v>6</v>
      </c>
      <c r="AA100" s="7"/>
      <c r="AB100" s="24" t="s">
        <v>6</v>
      </c>
      <c r="AC100" s="7"/>
      <c r="AD100" s="337" t="str">
        <f t="shared" si="3"/>
        <v/>
      </c>
      <c r="AE100" s="299"/>
    </row>
    <row r="101" spans="1:31" ht="13.5" customHeight="1">
      <c r="A101" s="338">
        <f t="shared" ref="A101:A123" si="4">A100+1</f>
        <v>47</v>
      </c>
      <c r="B101" s="19"/>
      <c r="C101" s="12"/>
      <c r="D101" s="22"/>
      <c r="E101" s="431"/>
      <c r="F101" s="375"/>
      <c r="G101" s="375"/>
      <c r="H101" s="12"/>
      <c r="I101" s="8"/>
      <c r="J101" s="17" t="s">
        <v>46</v>
      </c>
      <c r="K101" s="367" t="s">
        <v>6</v>
      </c>
      <c r="L101" s="23" t="s">
        <v>90</v>
      </c>
      <c r="M101" s="397"/>
      <c r="N101" s="367" t="s">
        <v>6</v>
      </c>
      <c r="O101" s="23" t="s">
        <v>90</v>
      </c>
      <c r="P101" s="367" t="s">
        <v>6</v>
      </c>
      <c r="Q101" s="7"/>
      <c r="R101" s="367" t="s">
        <v>6</v>
      </c>
      <c r="S101" s="23" t="s">
        <v>90</v>
      </c>
      <c r="T101" s="367" t="s">
        <v>6</v>
      </c>
      <c r="U101" s="23" t="s">
        <v>90</v>
      </c>
      <c r="V101" s="24" t="s">
        <v>6</v>
      </c>
      <c r="W101" s="23" t="s">
        <v>90</v>
      </c>
      <c r="X101" s="367" t="s">
        <v>6</v>
      </c>
      <c r="Y101" s="7"/>
      <c r="Z101" s="367" t="s">
        <v>6</v>
      </c>
      <c r="AA101" s="7"/>
      <c r="AB101" s="24" t="s">
        <v>6</v>
      </c>
      <c r="AC101" s="7"/>
      <c r="AD101" s="337" t="str">
        <f t="shared" si="3"/>
        <v/>
      </c>
      <c r="AE101" s="299"/>
    </row>
    <row r="102" spans="1:31" ht="13.5" customHeight="1">
      <c r="A102" s="338">
        <f t="shared" si="4"/>
        <v>48</v>
      </c>
      <c r="B102" s="19"/>
      <c r="C102" s="12"/>
      <c r="D102" s="22"/>
      <c r="E102" s="431"/>
      <c r="F102" s="375"/>
      <c r="G102" s="375"/>
      <c r="H102" s="12"/>
      <c r="I102" s="8"/>
      <c r="J102" s="17" t="s">
        <v>46</v>
      </c>
      <c r="K102" s="367" t="s">
        <v>6</v>
      </c>
      <c r="L102" s="23" t="s">
        <v>90</v>
      </c>
      <c r="M102" s="397"/>
      <c r="N102" s="367" t="s">
        <v>6</v>
      </c>
      <c r="O102" s="23" t="s">
        <v>90</v>
      </c>
      <c r="P102" s="367" t="s">
        <v>6</v>
      </c>
      <c r="Q102" s="7"/>
      <c r="R102" s="367" t="s">
        <v>6</v>
      </c>
      <c r="S102" s="23" t="s">
        <v>90</v>
      </c>
      <c r="T102" s="367" t="s">
        <v>6</v>
      </c>
      <c r="U102" s="23" t="s">
        <v>90</v>
      </c>
      <c r="V102" s="367" t="s">
        <v>6</v>
      </c>
      <c r="W102" s="23" t="s">
        <v>90</v>
      </c>
      <c r="X102" s="367" t="s">
        <v>6</v>
      </c>
      <c r="Y102" s="7"/>
      <c r="Z102" s="367" t="s">
        <v>6</v>
      </c>
      <c r="AA102" s="7"/>
      <c r="AB102" s="24" t="s">
        <v>6</v>
      </c>
      <c r="AC102" s="7"/>
      <c r="AD102" s="337" t="str">
        <f t="shared" si="3"/>
        <v/>
      </c>
      <c r="AE102" s="299"/>
    </row>
    <row r="103" spans="1:31" ht="13.5" customHeight="1">
      <c r="A103" s="338">
        <f t="shared" si="4"/>
        <v>49</v>
      </c>
      <c r="B103" s="19"/>
      <c r="C103" s="12"/>
      <c r="D103" s="22"/>
      <c r="E103" s="431"/>
      <c r="F103" s="375"/>
      <c r="G103" s="375"/>
      <c r="H103" s="12"/>
      <c r="I103" s="8"/>
      <c r="J103" s="17" t="s">
        <v>46</v>
      </c>
      <c r="K103" s="367" t="s">
        <v>6</v>
      </c>
      <c r="L103" s="23" t="s">
        <v>90</v>
      </c>
      <c r="M103" s="397"/>
      <c r="N103" s="367" t="s">
        <v>6</v>
      </c>
      <c r="O103" s="23" t="s">
        <v>90</v>
      </c>
      <c r="P103" s="367" t="s">
        <v>6</v>
      </c>
      <c r="Q103" s="7"/>
      <c r="R103" s="367" t="s">
        <v>6</v>
      </c>
      <c r="S103" s="23" t="s">
        <v>90</v>
      </c>
      <c r="T103" s="367" t="s">
        <v>6</v>
      </c>
      <c r="U103" s="23" t="s">
        <v>90</v>
      </c>
      <c r="V103" s="24" t="s">
        <v>6</v>
      </c>
      <c r="W103" s="23" t="s">
        <v>90</v>
      </c>
      <c r="X103" s="367" t="s">
        <v>6</v>
      </c>
      <c r="Y103" s="7"/>
      <c r="Z103" s="367" t="s">
        <v>6</v>
      </c>
      <c r="AA103" s="7"/>
      <c r="AB103" s="24" t="s">
        <v>6</v>
      </c>
      <c r="AC103" s="7"/>
      <c r="AD103" s="337" t="str">
        <f t="shared" si="3"/>
        <v/>
      </c>
      <c r="AE103" s="299"/>
    </row>
    <row r="104" spans="1:31" ht="13.5" customHeight="1">
      <c r="A104" s="338">
        <f t="shared" si="4"/>
        <v>50</v>
      </c>
      <c r="B104" s="19"/>
      <c r="C104" s="12"/>
      <c r="D104" s="22"/>
      <c r="E104" s="431"/>
      <c r="F104" s="375"/>
      <c r="G104" s="375"/>
      <c r="H104" s="12"/>
      <c r="I104" s="8"/>
      <c r="J104" s="17" t="s">
        <v>46</v>
      </c>
      <c r="K104" s="367" t="s">
        <v>6</v>
      </c>
      <c r="L104" s="23" t="s">
        <v>90</v>
      </c>
      <c r="M104" s="397"/>
      <c r="N104" s="367" t="s">
        <v>6</v>
      </c>
      <c r="O104" s="23" t="s">
        <v>90</v>
      </c>
      <c r="P104" s="367" t="s">
        <v>6</v>
      </c>
      <c r="Q104" s="7"/>
      <c r="R104" s="367" t="s">
        <v>6</v>
      </c>
      <c r="S104" s="23" t="s">
        <v>90</v>
      </c>
      <c r="T104" s="367" t="s">
        <v>6</v>
      </c>
      <c r="U104" s="23" t="s">
        <v>90</v>
      </c>
      <c r="V104" s="367" t="s">
        <v>6</v>
      </c>
      <c r="W104" s="23" t="s">
        <v>90</v>
      </c>
      <c r="X104" s="367" t="s">
        <v>6</v>
      </c>
      <c r="Y104" s="7"/>
      <c r="Z104" s="367" t="s">
        <v>6</v>
      </c>
      <c r="AA104" s="7"/>
      <c r="AB104" s="24" t="s">
        <v>6</v>
      </c>
      <c r="AC104" s="7"/>
      <c r="AD104" s="337" t="str">
        <f t="shared" si="3"/>
        <v/>
      </c>
      <c r="AE104" s="299"/>
    </row>
    <row r="105" spans="1:31" ht="13.5" customHeight="1">
      <c r="A105" s="338">
        <f t="shared" si="4"/>
        <v>51</v>
      </c>
      <c r="B105" s="19"/>
      <c r="C105" s="12"/>
      <c r="D105" s="22"/>
      <c r="E105" s="431"/>
      <c r="F105" s="375"/>
      <c r="G105" s="375"/>
      <c r="H105" s="12"/>
      <c r="I105" s="8"/>
      <c r="J105" s="17" t="s">
        <v>46</v>
      </c>
      <c r="K105" s="367" t="s">
        <v>6</v>
      </c>
      <c r="L105" s="23" t="s">
        <v>90</v>
      </c>
      <c r="M105" s="397"/>
      <c r="N105" s="367" t="s">
        <v>6</v>
      </c>
      <c r="O105" s="23" t="s">
        <v>90</v>
      </c>
      <c r="P105" s="367" t="s">
        <v>6</v>
      </c>
      <c r="Q105" s="7"/>
      <c r="R105" s="367" t="s">
        <v>6</v>
      </c>
      <c r="S105" s="23" t="s">
        <v>90</v>
      </c>
      <c r="T105" s="367" t="s">
        <v>6</v>
      </c>
      <c r="U105" s="23" t="s">
        <v>90</v>
      </c>
      <c r="V105" s="367" t="s">
        <v>6</v>
      </c>
      <c r="W105" s="23" t="s">
        <v>90</v>
      </c>
      <c r="X105" s="367" t="s">
        <v>6</v>
      </c>
      <c r="Y105" s="7"/>
      <c r="Z105" s="367" t="s">
        <v>6</v>
      </c>
      <c r="AA105" s="7"/>
      <c r="AB105" s="24" t="s">
        <v>6</v>
      </c>
      <c r="AC105" s="7"/>
      <c r="AD105" s="337" t="str">
        <f t="shared" si="3"/>
        <v/>
      </c>
      <c r="AE105" s="299"/>
    </row>
    <row r="106" spans="1:31" ht="13.5" customHeight="1">
      <c r="A106" s="338">
        <f t="shared" si="4"/>
        <v>52</v>
      </c>
      <c r="B106" s="19"/>
      <c r="C106" s="12"/>
      <c r="D106" s="22"/>
      <c r="E106" s="431"/>
      <c r="F106" s="375"/>
      <c r="G106" s="375"/>
      <c r="H106" s="12"/>
      <c r="I106" s="8"/>
      <c r="J106" s="17" t="s">
        <v>46</v>
      </c>
      <c r="K106" s="367" t="s">
        <v>6</v>
      </c>
      <c r="L106" s="23" t="s">
        <v>90</v>
      </c>
      <c r="M106" s="397"/>
      <c r="N106" s="367" t="s">
        <v>6</v>
      </c>
      <c r="O106" s="23" t="s">
        <v>90</v>
      </c>
      <c r="P106" s="367" t="s">
        <v>6</v>
      </c>
      <c r="Q106" s="7"/>
      <c r="R106" s="367" t="s">
        <v>6</v>
      </c>
      <c r="S106" s="23" t="s">
        <v>90</v>
      </c>
      <c r="T106" s="367" t="s">
        <v>6</v>
      </c>
      <c r="U106" s="23" t="s">
        <v>90</v>
      </c>
      <c r="V106" s="367" t="s">
        <v>6</v>
      </c>
      <c r="W106" s="23" t="s">
        <v>90</v>
      </c>
      <c r="X106" s="367" t="s">
        <v>6</v>
      </c>
      <c r="Y106" s="7"/>
      <c r="Z106" s="367" t="s">
        <v>6</v>
      </c>
      <c r="AA106" s="7"/>
      <c r="AB106" s="24" t="s">
        <v>6</v>
      </c>
      <c r="AC106" s="7"/>
      <c r="AD106" s="337" t="str">
        <f t="shared" si="3"/>
        <v/>
      </c>
      <c r="AE106" s="299"/>
    </row>
    <row r="107" spans="1:31" ht="13.5" customHeight="1">
      <c r="A107" s="338">
        <f t="shared" si="4"/>
        <v>53</v>
      </c>
      <c r="B107" s="19"/>
      <c r="C107" s="12"/>
      <c r="D107" s="22"/>
      <c r="E107" s="431"/>
      <c r="F107" s="375"/>
      <c r="G107" s="375"/>
      <c r="H107" s="12"/>
      <c r="I107" s="8"/>
      <c r="J107" s="17" t="s">
        <v>46</v>
      </c>
      <c r="K107" s="367" t="s">
        <v>6</v>
      </c>
      <c r="L107" s="23" t="s">
        <v>90</v>
      </c>
      <c r="M107" s="397"/>
      <c r="N107" s="367" t="s">
        <v>6</v>
      </c>
      <c r="O107" s="23" t="s">
        <v>90</v>
      </c>
      <c r="P107" s="367" t="s">
        <v>6</v>
      </c>
      <c r="Q107" s="7"/>
      <c r="R107" s="367" t="s">
        <v>6</v>
      </c>
      <c r="S107" s="23" t="s">
        <v>90</v>
      </c>
      <c r="T107" s="367" t="s">
        <v>6</v>
      </c>
      <c r="U107" s="23" t="s">
        <v>90</v>
      </c>
      <c r="V107" s="24" t="s">
        <v>6</v>
      </c>
      <c r="W107" s="23" t="s">
        <v>90</v>
      </c>
      <c r="X107" s="367" t="s">
        <v>6</v>
      </c>
      <c r="Y107" s="7"/>
      <c r="Z107" s="367" t="s">
        <v>6</v>
      </c>
      <c r="AA107" s="7"/>
      <c r="AB107" s="24" t="s">
        <v>6</v>
      </c>
      <c r="AC107" s="7"/>
      <c r="AD107" s="337" t="str">
        <f t="shared" si="3"/>
        <v/>
      </c>
      <c r="AE107" s="299"/>
    </row>
    <row r="108" spans="1:31" ht="13.5" customHeight="1">
      <c r="A108" s="338">
        <f t="shared" si="4"/>
        <v>54</v>
      </c>
      <c r="B108" s="19"/>
      <c r="C108" s="12"/>
      <c r="D108" s="22"/>
      <c r="E108" s="431"/>
      <c r="F108" s="375"/>
      <c r="G108" s="375"/>
      <c r="H108" s="12"/>
      <c r="I108" s="8"/>
      <c r="J108" s="17" t="s">
        <v>46</v>
      </c>
      <c r="K108" s="367" t="s">
        <v>6</v>
      </c>
      <c r="L108" s="23" t="s">
        <v>90</v>
      </c>
      <c r="M108" s="397"/>
      <c r="N108" s="367" t="s">
        <v>6</v>
      </c>
      <c r="O108" s="23" t="s">
        <v>90</v>
      </c>
      <c r="P108" s="367" t="s">
        <v>6</v>
      </c>
      <c r="Q108" s="7"/>
      <c r="R108" s="367" t="s">
        <v>6</v>
      </c>
      <c r="S108" s="23" t="s">
        <v>90</v>
      </c>
      <c r="T108" s="367" t="s">
        <v>6</v>
      </c>
      <c r="U108" s="23" t="s">
        <v>90</v>
      </c>
      <c r="V108" s="367" t="s">
        <v>6</v>
      </c>
      <c r="W108" s="23" t="s">
        <v>90</v>
      </c>
      <c r="X108" s="367" t="s">
        <v>6</v>
      </c>
      <c r="Y108" s="7"/>
      <c r="Z108" s="367" t="s">
        <v>6</v>
      </c>
      <c r="AA108" s="7"/>
      <c r="AB108" s="24" t="s">
        <v>6</v>
      </c>
      <c r="AC108" s="7"/>
      <c r="AD108" s="337" t="str">
        <f t="shared" si="3"/>
        <v/>
      </c>
      <c r="AE108" s="299"/>
    </row>
    <row r="109" spans="1:31" ht="13.5" customHeight="1">
      <c r="A109" s="338">
        <f t="shared" si="4"/>
        <v>55</v>
      </c>
      <c r="B109" s="19"/>
      <c r="C109" s="12"/>
      <c r="D109" s="22"/>
      <c r="E109" s="431"/>
      <c r="F109" s="375"/>
      <c r="G109" s="375"/>
      <c r="H109" s="12"/>
      <c r="I109" s="8"/>
      <c r="J109" s="17" t="s">
        <v>46</v>
      </c>
      <c r="K109" s="367" t="s">
        <v>6</v>
      </c>
      <c r="L109" s="23" t="s">
        <v>90</v>
      </c>
      <c r="M109" s="397"/>
      <c r="N109" s="367" t="s">
        <v>6</v>
      </c>
      <c r="O109" s="23" t="s">
        <v>90</v>
      </c>
      <c r="P109" s="367" t="s">
        <v>6</v>
      </c>
      <c r="Q109" s="7"/>
      <c r="R109" s="367" t="s">
        <v>6</v>
      </c>
      <c r="S109" s="23" t="s">
        <v>90</v>
      </c>
      <c r="T109" s="367" t="s">
        <v>6</v>
      </c>
      <c r="U109" s="23" t="s">
        <v>90</v>
      </c>
      <c r="V109" s="367" t="s">
        <v>6</v>
      </c>
      <c r="W109" s="23" t="s">
        <v>90</v>
      </c>
      <c r="X109" s="367" t="s">
        <v>6</v>
      </c>
      <c r="Y109" s="7"/>
      <c r="Z109" s="367" t="s">
        <v>6</v>
      </c>
      <c r="AA109" s="7"/>
      <c r="AB109" s="24" t="s">
        <v>6</v>
      </c>
      <c r="AC109" s="7"/>
      <c r="AD109" s="337" t="str">
        <f t="shared" si="3"/>
        <v/>
      </c>
      <c r="AE109" s="299"/>
    </row>
    <row r="110" spans="1:31" ht="13.5" customHeight="1">
      <c r="A110" s="338">
        <f t="shared" si="4"/>
        <v>56</v>
      </c>
      <c r="B110" s="19"/>
      <c r="C110" s="12"/>
      <c r="D110" s="22"/>
      <c r="E110" s="431"/>
      <c r="F110" s="375"/>
      <c r="G110" s="375"/>
      <c r="H110" s="12"/>
      <c r="I110" s="8"/>
      <c r="J110" s="17" t="s">
        <v>46</v>
      </c>
      <c r="K110" s="367" t="s">
        <v>6</v>
      </c>
      <c r="L110" s="23" t="s">
        <v>90</v>
      </c>
      <c r="M110" s="397"/>
      <c r="N110" s="367" t="s">
        <v>6</v>
      </c>
      <c r="O110" s="23" t="s">
        <v>90</v>
      </c>
      <c r="P110" s="367" t="s">
        <v>6</v>
      </c>
      <c r="Q110" s="7"/>
      <c r="R110" s="367" t="s">
        <v>6</v>
      </c>
      <c r="S110" s="23" t="s">
        <v>90</v>
      </c>
      <c r="T110" s="367" t="s">
        <v>6</v>
      </c>
      <c r="U110" s="23" t="s">
        <v>90</v>
      </c>
      <c r="V110" s="367" t="s">
        <v>6</v>
      </c>
      <c r="W110" s="23" t="s">
        <v>90</v>
      </c>
      <c r="X110" s="367" t="s">
        <v>6</v>
      </c>
      <c r="Y110" s="7"/>
      <c r="Z110" s="367" t="s">
        <v>6</v>
      </c>
      <c r="AA110" s="7"/>
      <c r="AB110" s="24" t="s">
        <v>6</v>
      </c>
      <c r="AC110" s="7"/>
      <c r="AD110" s="337" t="str">
        <f t="shared" si="3"/>
        <v/>
      </c>
      <c r="AE110" s="299"/>
    </row>
    <row r="111" spans="1:31" ht="13.5" customHeight="1">
      <c r="A111" s="338">
        <f t="shared" si="4"/>
        <v>57</v>
      </c>
      <c r="B111" s="19"/>
      <c r="C111" s="12"/>
      <c r="D111" s="22"/>
      <c r="E111" s="431"/>
      <c r="F111" s="375"/>
      <c r="G111" s="375"/>
      <c r="H111" s="12"/>
      <c r="I111" s="8"/>
      <c r="J111" s="17" t="s">
        <v>46</v>
      </c>
      <c r="K111" s="367" t="s">
        <v>6</v>
      </c>
      <c r="L111" s="23" t="s">
        <v>90</v>
      </c>
      <c r="M111" s="397"/>
      <c r="N111" s="367" t="s">
        <v>6</v>
      </c>
      <c r="O111" s="23" t="s">
        <v>90</v>
      </c>
      <c r="P111" s="367" t="s">
        <v>6</v>
      </c>
      <c r="Q111" s="7"/>
      <c r="R111" s="367" t="s">
        <v>6</v>
      </c>
      <c r="S111" s="23" t="s">
        <v>90</v>
      </c>
      <c r="T111" s="367" t="s">
        <v>6</v>
      </c>
      <c r="U111" s="23" t="s">
        <v>90</v>
      </c>
      <c r="V111" s="367" t="s">
        <v>6</v>
      </c>
      <c r="W111" s="23" t="s">
        <v>90</v>
      </c>
      <c r="X111" s="367" t="s">
        <v>6</v>
      </c>
      <c r="Y111" s="7"/>
      <c r="Z111" s="367" t="s">
        <v>6</v>
      </c>
      <c r="AA111" s="7"/>
      <c r="AB111" s="24" t="s">
        <v>6</v>
      </c>
      <c r="AC111" s="7"/>
      <c r="AD111" s="337" t="str">
        <f t="shared" si="3"/>
        <v/>
      </c>
      <c r="AE111" s="299"/>
    </row>
    <row r="112" spans="1:31" ht="13.5" customHeight="1">
      <c r="A112" s="338">
        <f t="shared" si="4"/>
        <v>58</v>
      </c>
      <c r="B112" s="19"/>
      <c r="C112" s="12"/>
      <c r="D112" s="22"/>
      <c r="E112" s="431"/>
      <c r="F112" s="375"/>
      <c r="G112" s="375"/>
      <c r="H112" s="12"/>
      <c r="I112" s="8"/>
      <c r="J112" s="17" t="s">
        <v>46</v>
      </c>
      <c r="K112" s="367" t="s">
        <v>6</v>
      </c>
      <c r="L112" s="23" t="s">
        <v>90</v>
      </c>
      <c r="M112" s="397"/>
      <c r="N112" s="367" t="s">
        <v>6</v>
      </c>
      <c r="O112" s="23" t="s">
        <v>90</v>
      </c>
      <c r="P112" s="367" t="s">
        <v>6</v>
      </c>
      <c r="Q112" s="7"/>
      <c r="R112" s="367" t="s">
        <v>6</v>
      </c>
      <c r="S112" s="23" t="s">
        <v>90</v>
      </c>
      <c r="T112" s="367" t="s">
        <v>6</v>
      </c>
      <c r="U112" s="23" t="s">
        <v>90</v>
      </c>
      <c r="V112" s="367" t="s">
        <v>6</v>
      </c>
      <c r="W112" s="23" t="s">
        <v>90</v>
      </c>
      <c r="X112" s="367" t="s">
        <v>6</v>
      </c>
      <c r="Y112" s="7"/>
      <c r="Z112" s="367" t="s">
        <v>6</v>
      </c>
      <c r="AA112" s="7"/>
      <c r="AB112" s="24" t="s">
        <v>6</v>
      </c>
      <c r="AC112" s="7"/>
      <c r="AD112" s="337" t="str">
        <f t="shared" si="3"/>
        <v/>
      </c>
      <c r="AE112" s="299"/>
    </row>
    <row r="113" spans="1:31" ht="13.5" customHeight="1">
      <c r="A113" s="338">
        <f t="shared" si="4"/>
        <v>59</v>
      </c>
      <c r="B113" s="19"/>
      <c r="C113" s="12"/>
      <c r="D113" s="22"/>
      <c r="E113" s="431"/>
      <c r="F113" s="375"/>
      <c r="G113" s="375"/>
      <c r="H113" s="12"/>
      <c r="I113" s="8"/>
      <c r="J113" s="17" t="s">
        <v>46</v>
      </c>
      <c r="K113" s="367" t="s">
        <v>6</v>
      </c>
      <c r="L113" s="23" t="s">
        <v>90</v>
      </c>
      <c r="M113" s="397"/>
      <c r="N113" s="367" t="s">
        <v>6</v>
      </c>
      <c r="O113" s="23" t="s">
        <v>90</v>
      </c>
      <c r="P113" s="367" t="s">
        <v>6</v>
      </c>
      <c r="Q113" s="7"/>
      <c r="R113" s="367" t="s">
        <v>6</v>
      </c>
      <c r="S113" s="23" t="s">
        <v>90</v>
      </c>
      <c r="T113" s="367" t="s">
        <v>6</v>
      </c>
      <c r="U113" s="23" t="s">
        <v>90</v>
      </c>
      <c r="V113" s="367" t="s">
        <v>6</v>
      </c>
      <c r="W113" s="23" t="s">
        <v>90</v>
      </c>
      <c r="X113" s="367" t="s">
        <v>6</v>
      </c>
      <c r="Y113" s="7"/>
      <c r="Z113" s="367" t="s">
        <v>6</v>
      </c>
      <c r="AA113" s="7"/>
      <c r="AB113" s="24" t="s">
        <v>6</v>
      </c>
      <c r="AC113" s="7"/>
      <c r="AD113" s="337" t="str">
        <f t="shared" si="3"/>
        <v/>
      </c>
      <c r="AE113" s="299"/>
    </row>
    <row r="114" spans="1:31" ht="13.5" customHeight="1">
      <c r="A114" s="338">
        <f t="shared" si="4"/>
        <v>60</v>
      </c>
      <c r="B114" s="19"/>
      <c r="C114" s="12"/>
      <c r="D114" s="22"/>
      <c r="E114" s="431"/>
      <c r="F114" s="375"/>
      <c r="G114" s="375"/>
      <c r="H114" s="12"/>
      <c r="I114" s="8"/>
      <c r="J114" s="17" t="s">
        <v>46</v>
      </c>
      <c r="K114" s="367" t="s">
        <v>6</v>
      </c>
      <c r="L114" s="23" t="s">
        <v>90</v>
      </c>
      <c r="M114" s="397"/>
      <c r="N114" s="367" t="s">
        <v>6</v>
      </c>
      <c r="O114" s="23" t="s">
        <v>90</v>
      </c>
      <c r="P114" s="367" t="s">
        <v>6</v>
      </c>
      <c r="Q114" s="7"/>
      <c r="R114" s="367" t="s">
        <v>6</v>
      </c>
      <c r="S114" s="23" t="s">
        <v>90</v>
      </c>
      <c r="T114" s="367" t="s">
        <v>6</v>
      </c>
      <c r="U114" s="23" t="s">
        <v>90</v>
      </c>
      <c r="V114" s="367" t="s">
        <v>6</v>
      </c>
      <c r="W114" s="23" t="s">
        <v>90</v>
      </c>
      <c r="X114" s="367" t="s">
        <v>6</v>
      </c>
      <c r="Y114" s="7"/>
      <c r="Z114" s="367" t="s">
        <v>6</v>
      </c>
      <c r="AA114" s="7"/>
      <c r="AB114" s="24" t="s">
        <v>6</v>
      </c>
      <c r="AC114" s="7"/>
      <c r="AD114" s="337" t="str">
        <f t="shared" si="3"/>
        <v/>
      </c>
      <c r="AE114" s="299"/>
    </row>
    <row r="115" spans="1:31" ht="13.5" customHeight="1">
      <c r="A115" s="338">
        <f t="shared" si="4"/>
        <v>61</v>
      </c>
      <c r="B115" s="19"/>
      <c r="C115" s="12"/>
      <c r="D115" s="22"/>
      <c r="E115" s="431"/>
      <c r="F115" s="375"/>
      <c r="G115" s="375"/>
      <c r="H115" s="12"/>
      <c r="I115" s="8"/>
      <c r="J115" s="17" t="s">
        <v>46</v>
      </c>
      <c r="K115" s="367" t="s">
        <v>6</v>
      </c>
      <c r="L115" s="23" t="s">
        <v>90</v>
      </c>
      <c r="M115" s="397"/>
      <c r="N115" s="367" t="s">
        <v>6</v>
      </c>
      <c r="O115" s="23" t="s">
        <v>90</v>
      </c>
      <c r="P115" s="367" t="s">
        <v>6</v>
      </c>
      <c r="Q115" s="7"/>
      <c r="R115" s="367" t="s">
        <v>6</v>
      </c>
      <c r="S115" s="23" t="s">
        <v>90</v>
      </c>
      <c r="T115" s="367" t="s">
        <v>6</v>
      </c>
      <c r="U115" s="23" t="s">
        <v>90</v>
      </c>
      <c r="V115" s="24" t="s">
        <v>6</v>
      </c>
      <c r="W115" s="23" t="s">
        <v>90</v>
      </c>
      <c r="X115" s="367" t="s">
        <v>6</v>
      </c>
      <c r="Y115" s="7"/>
      <c r="Z115" s="367" t="s">
        <v>6</v>
      </c>
      <c r="AA115" s="7"/>
      <c r="AB115" s="24" t="s">
        <v>6</v>
      </c>
      <c r="AC115" s="7"/>
      <c r="AD115" s="337" t="str">
        <f t="shared" si="3"/>
        <v/>
      </c>
      <c r="AE115" s="299"/>
    </row>
    <row r="116" spans="1:31" ht="13.5" customHeight="1">
      <c r="A116" s="338">
        <f t="shared" si="4"/>
        <v>62</v>
      </c>
      <c r="B116" s="19"/>
      <c r="C116" s="12"/>
      <c r="D116" s="22"/>
      <c r="E116" s="431"/>
      <c r="F116" s="375"/>
      <c r="G116" s="375"/>
      <c r="H116" s="12"/>
      <c r="I116" s="8"/>
      <c r="J116" s="17" t="s">
        <v>46</v>
      </c>
      <c r="K116" s="367" t="s">
        <v>6</v>
      </c>
      <c r="L116" s="23" t="s">
        <v>90</v>
      </c>
      <c r="M116" s="397"/>
      <c r="N116" s="367" t="s">
        <v>6</v>
      </c>
      <c r="O116" s="23" t="s">
        <v>90</v>
      </c>
      <c r="P116" s="367" t="s">
        <v>6</v>
      </c>
      <c r="Q116" s="7"/>
      <c r="R116" s="367" t="s">
        <v>6</v>
      </c>
      <c r="S116" s="23" t="s">
        <v>90</v>
      </c>
      <c r="T116" s="367" t="s">
        <v>6</v>
      </c>
      <c r="U116" s="23" t="s">
        <v>90</v>
      </c>
      <c r="V116" s="367" t="s">
        <v>6</v>
      </c>
      <c r="W116" s="23" t="s">
        <v>90</v>
      </c>
      <c r="X116" s="367" t="s">
        <v>6</v>
      </c>
      <c r="Y116" s="7"/>
      <c r="Z116" s="367" t="s">
        <v>6</v>
      </c>
      <c r="AA116" s="7"/>
      <c r="AB116" s="24" t="s">
        <v>6</v>
      </c>
      <c r="AC116" s="7"/>
      <c r="AD116" s="337" t="str">
        <f t="shared" si="3"/>
        <v/>
      </c>
      <c r="AE116" s="299"/>
    </row>
    <row r="117" spans="1:31" ht="13.5" customHeight="1">
      <c r="A117" s="338">
        <f t="shared" si="4"/>
        <v>63</v>
      </c>
      <c r="B117" s="19"/>
      <c r="C117" s="12"/>
      <c r="D117" s="22"/>
      <c r="E117" s="431"/>
      <c r="F117" s="375"/>
      <c r="G117" s="375"/>
      <c r="H117" s="12"/>
      <c r="I117" s="8"/>
      <c r="J117" s="17" t="s">
        <v>46</v>
      </c>
      <c r="K117" s="367" t="s">
        <v>6</v>
      </c>
      <c r="L117" s="23" t="s">
        <v>90</v>
      </c>
      <c r="M117" s="397"/>
      <c r="N117" s="367" t="s">
        <v>6</v>
      </c>
      <c r="O117" s="23" t="s">
        <v>90</v>
      </c>
      <c r="P117" s="367" t="s">
        <v>6</v>
      </c>
      <c r="Q117" s="7"/>
      <c r="R117" s="367" t="s">
        <v>6</v>
      </c>
      <c r="S117" s="23" t="s">
        <v>90</v>
      </c>
      <c r="T117" s="367" t="s">
        <v>6</v>
      </c>
      <c r="U117" s="23" t="s">
        <v>90</v>
      </c>
      <c r="V117" s="367" t="s">
        <v>6</v>
      </c>
      <c r="W117" s="23" t="s">
        <v>90</v>
      </c>
      <c r="X117" s="367" t="s">
        <v>6</v>
      </c>
      <c r="Y117" s="7"/>
      <c r="Z117" s="367" t="s">
        <v>6</v>
      </c>
      <c r="AA117" s="7"/>
      <c r="AB117" s="24" t="s">
        <v>6</v>
      </c>
      <c r="AC117" s="7"/>
      <c r="AD117" s="337" t="str">
        <f t="shared" si="3"/>
        <v/>
      </c>
      <c r="AE117" s="299"/>
    </row>
    <row r="118" spans="1:31" ht="13.5" customHeight="1">
      <c r="A118" s="338">
        <f t="shared" si="4"/>
        <v>64</v>
      </c>
      <c r="B118" s="19"/>
      <c r="C118" s="12"/>
      <c r="D118" s="22"/>
      <c r="E118" s="431"/>
      <c r="F118" s="375"/>
      <c r="G118" s="375"/>
      <c r="H118" s="12"/>
      <c r="I118" s="8"/>
      <c r="J118" s="17" t="s">
        <v>46</v>
      </c>
      <c r="K118" s="367" t="s">
        <v>6</v>
      </c>
      <c r="L118" s="23" t="s">
        <v>90</v>
      </c>
      <c r="M118" s="397"/>
      <c r="N118" s="367" t="s">
        <v>6</v>
      </c>
      <c r="O118" s="23" t="s">
        <v>90</v>
      </c>
      <c r="P118" s="367" t="s">
        <v>6</v>
      </c>
      <c r="Q118" s="7"/>
      <c r="R118" s="367" t="s">
        <v>6</v>
      </c>
      <c r="S118" s="23" t="s">
        <v>90</v>
      </c>
      <c r="T118" s="367" t="s">
        <v>6</v>
      </c>
      <c r="U118" s="23" t="s">
        <v>90</v>
      </c>
      <c r="V118" s="24" t="s">
        <v>6</v>
      </c>
      <c r="W118" s="23" t="s">
        <v>90</v>
      </c>
      <c r="X118" s="367" t="s">
        <v>6</v>
      </c>
      <c r="Y118" s="7"/>
      <c r="Z118" s="367" t="s">
        <v>6</v>
      </c>
      <c r="AA118" s="7"/>
      <c r="AB118" s="24" t="s">
        <v>6</v>
      </c>
      <c r="AC118" s="7"/>
      <c r="AD118" s="337" t="str">
        <f t="shared" si="3"/>
        <v/>
      </c>
      <c r="AE118" s="299"/>
    </row>
    <row r="119" spans="1:31" ht="13.5" customHeight="1">
      <c r="A119" s="338">
        <f t="shared" si="4"/>
        <v>65</v>
      </c>
      <c r="B119" s="19"/>
      <c r="C119" s="12"/>
      <c r="D119" s="22"/>
      <c r="E119" s="431"/>
      <c r="F119" s="375"/>
      <c r="G119" s="375"/>
      <c r="H119" s="12"/>
      <c r="I119" s="8"/>
      <c r="J119" s="17" t="s">
        <v>46</v>
      </c>
      <c r="K119" s="367" t="s">
        <v>6</v>
      </c>
      <c r="L119" s="23" t="s">
        <v>90</v>
      </c>
      <c r="M119" s="397"/>
      <c r="N119" s="367" t="s">
        <v>6</v>
      </c>
      <c r="O119" s="23" t="s">
        <v>90</v>
      </c>
      <c r="P119" s="367" t="s">
        <v>6</v>
      </c>
      <c r="Q119" s="7"/>
      <c r="R119" s="367" t="s">
        <v>6</v>
      </c>
      <c r="S119" s="23" t="s">
        <v>90</v>
      </c>
      <c r="T119" s="367" t="s">
        <v>6</v>
      </c>
      <c r="U119" s="23" t="s">
        <v>90</v>
      </c>
      <c r="V119" s="367" t="s">
        <v>6</v>
      </c>
      <c r="W119" s="23" t="s">
        <v>90</v>
      </c>
      <c r="X119" s="367" t="s">
        <v>6</v>
      </c>
      <c r="Y119" s="7"/>
      <c r="Z119" s="367" t="s">
        <v>6</v>
      </c>
      <c r="AA119" s="7"/>
      <c r="AB119" s="24" t="s">
        <v>6</v>
      </c>
      <c r="AC119" s="7"/>
      <c r="AD119" s="337" t="str">
        <f t="shared" ref="AD119:AD154" si="5">IF(H119="","",VLOOKUP(H119,Classes,2))</f>
        <v/>
      </c>
      <c r="AE119" s="299"/>
    </row>
    <row r="120" spans="1:31" ht="13.5" customHeight="1">
      <c r="A120" s="338">
        <f t="shared" si="4"/>
        <v>66</v>
      </c>
      <c r="B120" s="19"/>
      <c r="C120" s="12"/>
      <c r="D120" s="22"/>
      <c r="E120" s="431"/>
      <c r="F120" s="375"/>
      <c r="G120" s="375"/>
      <c r="H120" s="12"/>
      <c r="I120" s="8"/>
      <c r="J120" s="17" t="s">
        <v>46</v>
      </c>
      <c r="K120" s="367" t="s">
        <v>6</v>
      </c>
      <c r="L120" s="23" t="s">
        <v>90</v>
      </c>
      <c r="M120" s="397"/>
      <c r="N120" s="367" t="s">
        <v>6</v>
      </c>
      <c r="O120" s="23" t="s">
        <v>90</v>
      </c>
      <c r="P120" s="367" t="s">
        <v>6</v>
      </c>
      <c r="Q120" s="7"/>
      <c r="R120" s="367" t="s">
        <v>6</v>
      </c>
      <c r="S120" s="23" t="s">
        <v>90</v>
      </c>
      <c r="T120" s="367" t="s">
        <v>6</v>
      </c>
      <c r="U120" s="23" t="s">
        <v>90</v>
      </c>
      <c r="V120" s="24" t="s">
        <v>6</v>
      </c>
      <c r="W120" s="23" t="s">
        <v>90</v>
      </c>
      <c r="X120" s="367" t="s">
        <v>6</v>
      </c>
      <c r="Y120" s="7"/>
      <c r="Z120" s="367" t="s">
        <v>6</v>
      </c>
      <c r="AA120" s="7"/>
      <c r="AB120" s="24" t="s">
        <v>6</v>
      </c>
      <c r="AC120" s="7"/>
      <c r="AD120" s="337" t="str">
        <f t="shared" si="5"/>
        <v/>
      </c>
      <c r="AE120" s="299"/>
    </row>
    <row r="121" spans="1:31" ht="13.5" customHeight="1">
      <c r="A121" s="338">
        <f t="shared" si="4"/>
        <v>67</v>
      </c>
      <c r="B121" s="19"/>
      <c r="C121" s="12"/>
      <c r="D121" s="22"/>
      <c r="E121" s="431"/>
      <c r="F121" s="375"/>
      <c r="G121" s="375"/>
      <c r="H121" s="12"/>
      <c r="I121" s="8"/>
      <c r="J121" s="17" t="s">
        <v>46</v>
      </c>
      <c r="K121" s="367" t="s">
        <v>6</v>
      </c>
      <c r="L121" s="23" t="s">
        <v>90</v>
      </c>
      <c r="M121" s="397"/>
      <c r="N121" s="367" t="s">
        <v>6</v>
      </c>
      <c r="O121" s="23" t="s">
        <v>90</v>
      </c>
      <c r="P121" s="367" t="s">
        <v>6</v>
      </c>
      <c r="Q121" s="7"/>
      <c r="R121" s="367" t="s">
        <v>6</v>
      </c>
      <c r="S121" s="23" t="s">
        <v>90</v>
      </c>
      <c r="T121" s="367" t="s">
        <v>6</v>
      </c>
      <c r="U121" s="23" t="s">
        <v>90</v>
      </c>
      <c r="V121" s="367" t="s">
        <v>6</v>
      </c>
      <c r="W121" s="23" t="s">
        <v>90</v>
      </c>
      <c r="X121" s="367" t="s">
        <v>6</v>
      </c>
      <c r="Y121" s="7"/>
      <c r="Z121" s="367" t="s">
        <v>6</v>
      </c>
      <c r="AA121" s="7"/>
      <c r="AB121" s="24" t="s">
        <v>6</v>
      </c>
      <c r="AC121" s="7"/>
      <c r="AD121" s="337" t="str">
        <f t="shared" si="5"/>
        <v/>
      </c>
      <c r="AE121" s="299"/>
    </row>
    <row r="122" spans="1:31" ht="13.5" customHeight="1">
      <c r="A122" s="338">
        <f t="shared" si="4"/>
        <v>68</v>
      </c>
      <c r="B122" s="19"/>
      <c r="C122" s="12"/>
      <c r="D122" s="22"/>
      <c r="E122" s="431"/>
      <c r="F122" s="375"/>
      <c r="G122" s="375"/>
      <c r="H122" s="12"/>
      <c r="I122" s="8"/>
      <c r="J122" s="17" t="s">
        <v>46</v>
      </c>
      <c r="K122" s="367" t="s">
        <v>6</v>
      </c>
      <c r="L122" s="23" t="s">
        <v>90</v>
      </c>
      <c r="M122" s="397"/>
      <c r="N122" s="367" t="s">
        <v>6</v>
      </c>
      <c r="O122" s="23" t="s">
        <v>90</v>
      </c>
      <c r="P122" s="367" t="s">
        <v>6</v>
      </c>
      <c r="Q122" s="7"/>
      <c r="R122" s="367" t="s">
        <v>6</v>
      </c>
      <c r="S122" s="23" t="s">
        <v>90</v>
      </c>
      <c r="T122" s="367" t="s">
        <v>6</v>
      </c>
      <c r="U122" s="23" t="s">
        <v>90</v>
      </c>
      <c r="V122" s="367" t="s">
        <v>6</v>
      </c>
      <c r="W122" s="23" t="s">
        <v>90</v>
      </c>
      <c r="X122" s="367" t="s">
        <v>6</v>
      </c>
      <c r="Y122" s="7"/>
      <c r="Z122" s="367" t="s">
        <v>6</v>
      </c>
      <c r="AA122" s="7"/>
      <c r="AB122" s="24" t="s">
        <v>6</v>
      </c>
      <c r="AC122" s="7"/>
      <c r="AD122" s="337" t="str">
        <f t="shared" si="5"/>
        <v/>
      </c>
      <c r="AE122" s="299"/>
    </row>
    <row r="123" spans="1:31" ht="13.5" customHeight="1">
      <c r="A123" s="338">
        <f t="shared" si="4"/>
        <v>69</v>
      </c>
      <c r="B123" s="19"/>
      <c r="C123" s="12"/>
      <c r="D123" s="22"/>
      <c r="E123" s="431"/>
      <c r="F123" s="375"/>
      <c r="G123" s="375"/>
      <c r="H123" s="12"/>
      <c r="I123" s="8"/>
      <c r="J123" s="17" t="s">
        <v>46</v>
      </c>
      <c r="K123" s="367" t="s">
        <v>6</v>
      </c>
      <c r="L123" s="23" t="s">
        <v>90</v>
      </c>
      <c r="M123" s="397"/>
      <c r="N123" s="367" t="s">
        <v>6</v>
      </c>
      <c r="O123" s="23" t="s">
        <v>90</v>
      </c>
      <c r="P123" s="367" t="s">
        <v>6</v>
      </c>
      <c r="Q123" s="7"/>
      <c r="R123" s="367" t="s">
        <v>6</v>
      </c>
      <c r="S123" s="23" t="s">
        <v>90</v>
      </c>
      <c r="T123" s="367" t="s">
        <v>6</v>
      </c>
      <c r="U123" s="23" t="s">
        <v>90</v>
      </c>
      <c r="V123" s="24" t="s">
        <v>6</v>
      </c>
      <c r="W123" s="23" t="s">
        <v>90</v>
      </c>
      <c r="X123" s="367" t="s">
        <v>6</v>
      </c>
      <c r="Y123" s="7"/>
      <c r="Z123" s="367" t="s">
        <v>6</v>
      </c>
      <c r="AA123" s="7"/>
      <c r="AB123" s="24" t="s">
        <v>6</v>
      </c>
      <c r="AC123" s="7"/>
      <c r="AD123" s="337" t="str">
        <f t="shared" si="5"/>
        <v/>
      </c>
      <c r="AE123" s="299"/>
    </row>
    <row r="124" spans="1:31" ht="13.5" customHeight="1">
      <c r="A124" s="338">
        <f t="shared" ref="A124:A187" si="6">A123+1</f>
        <v>70</v>
      </c>
      <c r="B124" s="19"/>
      <c r="C124" s="12"/>
      <c r="D124" s="22"/>
      <c r="E124" s="431"/>
      <c r="F124" s="375"/>
      <c r="G124" s="375"/>
      <c r="H124" s="12"/>
      <c r="I124" s="8"/>
      <c r="J124" s="17" t="s">
        <v>46</v>
      </c>
      <c r="K124" s="367" t="s">
        <v>6</v>
      </c>
      <c r="L124" s="23" t="s">
        <v>90</v>
      </c>
      <c r="M124" s="397"/>
      <c r="N124" s="367" t="s">
        <v>6</v>
      </c>
      <c r="O124" s="23" t="s">
        <v>90</v>
      </c>
      <c r="P124" s="367" t="s">
        <v>6</v>
      </c>
      <c r="Q124" s="7"/>
      <c r="R124" s="367" t="s">
        <v>6</v>
      </c>
      <c r="S124" s="23" t="s">
        <v>90</v>
      </c>
      <c r="T124" s="367" t="s">
        <v>6</v>
      </c>
      <c r="U124" s="23" t="s">
        <v>90</v>
      </c>
      <c r="V124" s="367" t="s">
        <v>6</v>
      </c>
      <c r="W124" s="23" t="s">
        <v>90</v>
      </c>
      <c r="X124" s="367" t="s">
        <v>6</v>
      </c>
      <c r="Y124" s="7"/>
      <c r="Z124" s="367" t="s">
        <v>6</v>
      </c>
      <c r="AA124" s="7"/>
      <c r="AB124" s="24" t="s">
        <v>6</v>
      </c>
      <c r="AC124" s="7"/>
      <c r="AD124" s="337" t="str">
        <f t="shared" si="5"/>
        <v/>
      </c>
      <c r="AE124" s="299"/>
    </row>
    <row r="125" spans="1:31" ht="13.5" customHeight="1">
      <c r="A125" s="338">
        <f t="shared" si="6"/>
        <v>71</v>
      </c>
      <c r="B125" s="19"/>
      <c r="C125" s="12"/>
      <c r="D125" s="22"/>
      <c r="E125" s="431"/>
      <c r="F125" s="375"/>
      <c r="G125" s="375"/>
      <c r="H125" s="12"/>
      <c r="I125" s="8"/>
      <c r="J125" s="17" t="s">
        <v>46</v>
      </c>
      <c r="K125" s="367" t="s">
        <v>6</v>
      </c>
      <c r="L125" s="23" t="s">
        <v>90</v>
      </c>
      <c r="M125" s="397"/>
      <c r="N125" s="367" t="s">
        <v>6</v>
      </c>
      <c r="O125" s="23" t="s">
        <v>90</v>
      </c>
      <c r="P125" s="367" t="s">
        <v>6</v>
      </c>
      <c r="Q125" s="7"/>
      <c r="R125" s="367" t="s">
        <v>6</v>
      </c>
      <c r="S125" s="23" t="s">
        <v>90</v>
      </c>
      <c r="T125" s="367" t="s">
        <v>6</v>
      </c>
      <c r="U125" s="23" t="s">
        <v>90</v>
      </c>
      <c r="V125" s="24" t="s">
        <v>6</v>
      </c>
      <c r="W125" s="23" t="s">
        <v>90</v>
      </c>
      <c r="X125" s="367" t="s">
        <v>6</v>
      </c>
      <c r="Y125" s="7"/>
      <c r="Z125" s="367" t="s">
        <v>6</v>
      </c>
      <c r="AA125" s="7"/>
      <c r="AB125" s="24" t="s">
        <v>6</v>
      </c>
      <c r="AC125" s="7"/>
      <c r="AD125" s="337" t="str">
        <f t="shared" si="5"/>
        <v/>
      </c>
      <c r="AE125" s="299"/>
    </row>
    <row r="126" spans="1:31" ht="13.5" customHeight="1">
      <c r="A126" s="338">
        <f t="shared" si="6"/>
        <v>72</v>
      </c>
      <c r="B126" s="19"/>
      <c r="C126" s="12"/>
      <c r="D126" s="22"/>
      <c r="E126" s="431"/>
      <c r="F126" s="375"/>
      <c r="G126" s="375"/>
      <c r="H126" s="12"/>
      <c r="I126" s="8"/>
      <c r="J126" s="17" t="s">
        <v>46</v>
      </c>
      <c r="K126" s="367" t="s">
        <v>6</v>
      </c>
      <c r="L126" s="23" t="s">
        <v>90</v>
      </c>
      <c r="M126" s="397"/>
      <c r="N126" s="367" t="s">
        <v>6</v>
      </c>
      <c r="O126" s="23" t="s">
        <v>90</v>
      </c>
      <c r="P126" s="367" t="s">
        <v>6</v>
      </c>
      <c r="Q126" s="7"/>
      <c r="R126" s="367" t="s">
        <v>6</v>
      </c>
      <c r="S126" s="23" t="s">
        <v>90</v>
      </c>
      <c r="T126" s="367" t="s">
        <v>6</v>
      </c>
      <c r="U126" s="23" t="s">
        <v>90</v>
      </c>
      <c r="V126" s="24" t="s">
        <v>6</v>
      </c>
      <c r="W126" s="23" t="s">
        <v>90</v>
      </c>
      <c r="X126" s="367" t="s">
        <v>6</v>
      </c>
      <c r="Y126" s="7"/>
      <c r="Z126" s="367" t="s">
        <v>6</v>
      </c>
      <c r="AA126" s="7"/>
      <c r="AB126" s="24" t="s">
        <v>6</v>
      </c>
      <c r="AC126" s="7"/>
      <c r="AD126" s="337" t="str">
        <f t="shared" si="5"/>
        <v/>
      </c>
      <c r="AE126" s="299"/>
    </row>
    <row r="127" spans="1:31" ht="13.5" customHeight="1">
      <c r="A127" s="338">
        <f t="shared" si="6"/>
        <v>73</v>
      </c>
      <c r="B127" s="19"/>
      <c r="C127" s="12"/>
      <c r="D127" s="22"/>
      <c r="E127" s="431"/>
      <c r="F127" s="375"/>
      <c r="G127" s="375"/>
      <c r="H127" s="12"/>
      <c r="I127" s="8"/>
      <c r="J127" s="17" t="s">
        <v>46</v>
      </c>
      <c r="K127" s="367" t="s">
        <v>6</v>
      </c>
      <c r="L127" s="23" t="s">
        <v>90</v>
      </c>
      <c r="M127" s="397"/>
      <c r="N127" s="367" t="s">
        <v>6</v>
      </c>
      <c r="O127" s="23" t="s">
        <v>90</v>
      </c>
      <c r="P127" s="367" t="s">
        <v>6</v>
      </c>
      <c r="Q127" s="7"/>
      <c r="R127" s="367" t="s">
        <v>6</v>
      </c>
      <c r="S127" s="23" t="s">
        <v>90</v>
      </c>
      <c r="T127" s="367" t="s">
        <v>6</v>
      </c>
      <c r="U127" s="23" t="s">
        <v>90</v>
      </c>
      <c r="V127" s="24" t="s">
        <v>6</v>
      </c>
      <c r="W127" s="23" t="s">
        <v>90</v>
      </c>
      <c r="X127" s="367" t="s">
        <v>6</v>
      </c>
      <c r="Y127" s="7"/>
      <c r="Z127" s="367" t="s">
        <v>6</v>
      </c>
      <c r="AA127" s="7"/>
      <c r="AB127" s="24" t="s">
        <v>6</v>
      </c>
      <c r="AC127" s="7"/>
      <c r="AD127" s="337" t="str">
        <f t="shared" si="5"/>
        <v/>
      </c>
      <c r="AE127" s="299"/>
    </row>
    <row r="128" spans="1:31" ht="13.5" customHeight="1">
      <c r="A128" s="338">
        <f t="shared" si="6"/>
        <v>74</v>
      </c>
      <c r="B128" s="19"/>
      <c r="C128" s="12"/>
      <c r="D128" s="22"/>
      <c r="E128" s="431"/>
      <c r="F128" s="375"/>
      <c r="G128" s="375"/>
      <c r="H128" s="12"/>
      <c r="I128" s="8"/>
      <c r="J128" s="17" t="s">
        <v>46</v>
      </c>
      <c r="K128" s="367" t="s">
        <v>6</v>
      </c>
      <c r="L128" s="23" t="s">
        <v>90</v>
      </c>
      <c r="M128" s="397"/>
      <c r="N128" s="367" t="s">
        <v>6</v>
      </c>
      <c r="O128" s="23" t="s">
        <v>90</v>
      </c>
      <c r="P128" s="367" t="s">
        <v>6</v>
      </c>
      <c r="Q128" s="7"/>
      <c r="R128" s="367" t="s">
        <v>6</v>
      </c>
      <c r="S128" s="23" t="s">
        <v>90</v>
      </c>
      <c r="T128" s="367" t="s">
        <v>6</v>
      </c>
      <c r="U128" s="23" t="s">
        <v>90</v>
      </c>
      <c r="V128" s="367" t="s">
        <v>6</v>
      </c>
      <c r="W128" s="23" t="s">
        <v>90</v>
      </c>
      <c r="X128" s="367" t="s">
        <v>6</v>
      </c>
      <c r="Y128" s="7"/>
      <c r="Z128" s="367" t="s">
        <v>6</v>
      </c>
      <c r="AA128" s="7"/>
      <c r="AB128" s="24" t="s">
        <v>6</v>
      </c>
      <c r="AC128" s="7"/>
      <c r="AD128" s="337" t="str">
        <f t="shared" si="5"/>
        <v/>
      </c>
      <c r="AE128" s="299"/>
    </row>
    <row r="129" spans="1:31" ht="13.5" customHeight="1">
      <c r="A129" s="338">
        <f t="shared" si="6"/>
        <v>75</v>
      </c>
      <c r="B129" s="19"/>
      <c r="C129" s="12"/>
      <c r="D129" s="22"/>
      <c r="E129" s="431"/>
      <c r="F129" s="375"/>
      <c r="G129" s="375"/>
      <c r="H129" s="12"/>
      <c r="I129" s="8"/>
      <c r="J129" s="17" t="s">
        <v>46</v>
      </c>
      <c r="K129" s="367" t="s">
        <v>6</v>
      </c>
      <c r="L129" s="23" t="s">
        <v>90</v>
      </c>
      <c r="M129" s="397"/>
      <c r="N129" s="367" t="s">
        <v>6</v>
      </c>
      <c r="O129" s="23" t="s">
        <v>90</v>
      </c>
      <c r="P129" s="367" t="s">
        <v>6</v>
      </c>
      <c r="Q129" s="7"/>
      <c r="R129" s="367" t="s">
        <v>6</v>
      </c>
      <c r="S129" s="23" t="s">
        <v>90</v>
      </c>
      <c r="T129" s="367" t="s">
        <v>6</v>
      </c>
      <c r="U129" s="23" t="s">
        <v>90</v>
      </c>
      <c r="V129" s="367" t="s">
        <v>6</v>
      </c>
      <c r="W129" s="23" t="s">
        <v>90</v>
      </c>
      <c r="X129" s="367" t="s">
        <v>6</v>
      </c>
      <c r="Y129" s="7"/>
      <c r="Z129" s="367" t="s">
        <v>6</v>
      </c>
      <c r="AA129" s="7"/>
      <c r="AB129" s="24" t="s">
        <v>6</v>
      </c>
      <c r="AC129" s="7"/>
      <c r="AD129" s="337" t="str">
        <f t="shared" si="5"/>
        <v/>
      </c>
      <c r="AE129" s="299"/>
    </row>
    <row r="130" spans="1:31" ht="12.75" customHeight="1">
      <c r="A130" s="338">
        <f t="shared" si="6"/>
        <v>76</v>
      </c>
      <c r="B130" s="19"/>
      <c r="C130" s="12"/>
      <c r="D130" s="22"/>
      <c r="E130" s="431"/>
      <c r="F130" s="375"/>
      <c r="G130" s="375"/>
      <c r="H130" s="12"/>
      <c r="I130" s="8"/>
      <c r="J130" s="17" t="s">
        <v>46</v>
      </c>
      <c r="K130" s="367" t="s">
        <v>6</v>
      </c>
      <c r="L130" s="23" t="s">
        <v>90</v>
      </c>
      <c r="M130" s="397"/>
      <c r="N130" s="367" t="s">
        <v>6</v>
      </c>
      <c r="O130" s="23" t="s">
        <v>90</v>
      </c>
      <c r="P130" s="367" t="s">
        <v>6</v>
      </c>
      <c r="Q130" s="7"/>
      <c r="R130" s="367" t="s">
        <v>6</v>
      </c>
      <c r="S130" s="23" t="s">
        <v>90</v>
      </c>
      <c r="T130" s="367" t="s">
        <v>6</v>
      </c>
      <c r="U130" s="23" t="s">
        <v>90</v>
      </c>
      <c r="V130" s="367" t="s">
        <v>6</v>
      </c>
      <c r="W130" s="23" t="s">
        <v>90</v>
      </c>
      <c r="X130" s="367" t="s">
        <v>6</v>
      </c>
      <c r="Y130" s="7"/>
      <c r="Z130" s="367" t="s">
        <v>6</v>
      </c>
      <c r="AA130" s="7"/>
      <c r="AB130" s="24" t="s">
        <v>6</v>
      </c>
      <c r="AC130" s="7"/>
      <c r="AD130" s="337" t="str">
        <f t="shared" si="5"/>
        <v/>
      </c>
      <c r="AE130" s="299"/>
    </row>
    <row r="131" spans="1:31" ht="13.5" customHeight="1">
      <c r="A131" s="338">
        <f t="shared" si="6"/>
        <v>77</v>
      </c>
      <c r="B131" s="19"/>
      <c r="C131" s="12"/>
      <c r="D131" s="22"/>
      <c r="E131" s="431"/>
      <c r="F131" s="375"/>
      <c r="G131" s="375"/>
      <c r="H131" s="12"/>
      <c r="I131" s="8"/>
      <c r="J131" s="17" t="s">
        <v>46</v>
      </c>
      <c r="K131" s="367" t="s">
        <v>6</v>
      </c>
      <c r="L131" s="23" t="s">
        <v>90</v>
      </c>
      <c r="M131" s="397"/>
      <c r="N131" s="367" t="s">
        <v>6</v>
      </c>
      <c r="O131" s="23" t="s">
        <v>90</v>
      </c>
      <c r="P131" s="367" t="s">
        <v>6</v>
      </c>
      <c r="Q131" s="7"/>
      <c r="R131" s="367" t="s">
        <v>6</v>
      </c>
      <c r="S131" s="23" t="s">
        <v>90</v>
      </c>
      <c r="T131" s="367" t="s">
        <v>6</v>
      </c>
      <c r="U131" s="23" t="s">
        <v>90</v>
      </c>
      <c r="V131" s="24" t="s">
        <v>6</v>
      </c>
      <c r="W131" s="23" t="s">
        <v>90</v>
      </c>
      <c r="X131" s="367" t="s">
        <v>6</v>
      </c>
      <c r="Y131" s="7"/>
      <c r="Z131" s="367" t="s">
        <v>6</v>
      </c>
      <c r="AA131" s="7"/>
      <c r="AB131" s="24" t="s">
        <v>6</v>
      </c>
      <c r="AC131" s="7"/>
      <c r="AD131" s="337" t="str">
        <f t="shared" si="5"/>
        <v/>
      </c>
      <c r="AE131" s="299"/>
    </row>
    <row r="132" spans="1:31" ht="13.5" customHeight="1">
      <c r="A132" s="338">
        <f t="shared" si="6"/>
        <v>78</v>
      </c>
      <c r="B132" s="19"/>
      <c r="C132" s="12"/>
      <c r="D132" s="22"/>
      <c r="E132" s="431"/>
      <c r="F132" s="375"/>
      <c r="G132" s="375"/>
      <c r="H132" s="12"/>
      <c r="I132" s="8"/>
      <c r="J132" s="17" t="s">
        <v>46</v>
      </c>
      <c r="K132" s="367" t="s">
        <v>6</v>
      </c>
      <c r="L132" s="23" t="s">
        <v>90</v>
      </c>
      <c r="M132" s="397"/>
      <c r="N132" s="367" t="s">
        <v>6</v>
      </c>
      <c r="O132" s="23" t="s">
        <v>90</v>
      </c>
      <c r="P132" s="367" t="s">
        <v>6</v>
      </c>
      <c r="Q132" s="7"/>
      <c r="R132" s="367" t="s">
        <v>6</v>
      </c>
      <c r="S132" s="23" t="s">
        <v>90</v>
      </c>
      <c r="T132" s="367" t="s">
        <v>6</v>
      </c>
      <c r="U132" s="23" t="s">
        <v>90</v>
      </c>
      <c r="V132" s="24" t="s">
        <v>6</v>
      </c>
      <c r="W132" s="23" t="s">
        <v>90</v>
      </c>
      <c r="X132" s="367" t="s">
        <v>6</v>
      </c>
      <c r="Y132" s="7"/>
      <c r="Z132" s="367" t="s">
        <v>6</v>
      </c>
      <c r="AA132" s="7"/>
      <c r="AB132" s="24" t="s">
        <v>6</v>
      </c>
      <c r="AC132" s="7"/>
      <c r="AD132" s="337" t="str">
        <f t="shared" si="5"/>
        <v/>
      </c>
      <c r="AE132" s="299"/>
    </row>
    <row r="133" spans="1:31" ht="13.5" customHeight="1">
      <c r="A133" s="338">
        <f t="shared" si="6"/>
        <v>79</v>
      </c>
      <c r="B133" s="19"/>
      <c r="C133" s="12"/>
      <c r="D133" s="22"/>
      <c r="E133" s="431"/>
      <c r="F133" s="375"/>
      <c r="G133" s="375"/>
      <c r="H133" s="12"/>
      <c r="I133" s="8"/>
      <c r="J133" s="17" t="s">
        <v>46</v>
      </c>
      <c r="K133" s="367" t="s">
        <v>6</v>
      </c>
      <c r="L133" s="23" t="s">
        <v>90</v>
      </c>
      <c r="M133" s="397"/>
      <c r="N133" s="367" t="s">
        <v>6</v>
      </c>
      <c r="O133" s="23" t="s">
        <v>90</v>
      </c>
      <c r="P133" s="367" t="s">
        <v>6</v>
      </c>
      <c r="Q133" s="7"/>
      <c r="R133" s="367" t="s">
        <v>6</v>
      </c>
      <c r="S133" s="23" t="s">
        <v>90</v>
      </c>
      <c r="T133" s="367" t="s">
        <v>6</v>
      </c>
      <c r="U133" s="23" t="s">
        <v>90</v>
      </c>
      <c r="V133" s="24" t="s">
        <v>6</v>
      </c>
      <c r="W133" s="23" t="s">
        <v>90</v>
      </c>
      <c r="X133" s="367" t="s">
        <v>6</v>
      </c>
      <c r="Y133" s="7"/>
      <c r="Z133" s="367" t="s">
        <v>6</v>
      </c>
      <c r="AA133" s="7"/>
      <c r="AB133" s="24" t="s">
        <v>6</v>
      </c>
      <c r="AC133" s="7"/>
      <c r="AD133" s="337" t="str">
        <f t="shared" si="5"/>
        <v/>
      </c>
      <c r="AE133" s="299"/>
    </row>
    <row r="134" spans="1:31" ht="13.5" customHeight="1">
      <c r="A134" s="338">
        <f t="shared" si="6"/>
        <v>80</v>
      </c>
      <c r="B134" s="19"/>
      <c r="C134" s="12"/>
      <c r="D134" s="22"/>
      <c r="E134" s="431"/>
      <c r="F134" s="375"/>
      <c r="G134" s="375"/>
      <c r="H134" s="12"/>
      <c r="I134" s="8"/>
      <c r="J134" s="17" t="s">
        <v>46</v>
      </c>
      <c r="K134" s="367" t="s">
        <v>6</v>
      </c>
      <c r="L134" s="23" t="s">
        <v>90</v>
      </c>
      <c r="M134" s="397"/>
      <c r="N134" s="367" t="s">
        <v>6</v>
      </c>
      <c r="O134" s="23" t="s">
        <v>90</v>
      </c>
      <c r="P134" s="367" t="s">
        <v>6</v>
      </c>
      <c r="Q134" s="7"/>
      <c r="R134" s="367" t="s">
        <v>6</v>
      </c>
      <c r="S134" s="23" t="s">
        <v>90</v>
      </c>
      <c r="T134" s="367" t="s">
        <v>6</v>
      </c>
      <c r="U134" s="23" t="s">
        <v>90</v>
      </c>
      <c r="V134" s="367" t="s">
        <v>6</v>
      </c>
      <c r="W134" s="23" t="s">
        <v>90</v>
      </c>
      <c r="X134" s="367" t="s">
        <v>6</v>
      </c>
      <c r="Y134" s="7"/>
      <c r="Z134" s="367" t="s">
        <v>6</v>
      </c>
      <c r="AA134" s="7"/>
      <c r="AB134" s="24" t="s">
        <v>6</v>
      </c>
      <c r="AC134" s="7"/>
      <c r="AD134" s="337" t="str">
        <f t="shared" si="5"/>
        <v/>
      </c>
      <c r="AE134" s="299"/>
    </row>
    <row r="135" spans="1:31" ht="13.5" customHeight="1">
      <c r="A135" s="338">
        <f t="shared" si="6"/>
        <v>81</v>
      </c>
      <c r="B135" s="19"/>
      <c r="C135" s="12"/>
      <c r="D135" s="22"/>
      <c r="E135" s="431"/>
      <c r="F135" s="375"/>
      <c r="G135" s="375"/>
      <c r="H135" s="12"/>
      <c r="I135" s="8"/>
      <c r="J135" s="17" t="s">
        <v>46</v>
      </c>
      <c r="K135" s="367" t="s">
        <v>6</v>
      </c>
      <c r="L135" s="23" t="s">
        <v>90</v>
      </c>
      <c r="M135" s="397"/>
      <c r="N135" s="367" t="s">
        <v>6</v>
      </c>
      <c r="O135" s="23" t="s">
        <v>90</v>
      </c>
      <c r="P135" s="367" t="s">
        <v>6</v>
      </c>
      <c r="Q135" s="7"/>
      <c r="R135" s="367" t="s">
        <v>6</v>
      </c>
      <c r="S135" s="23" t="s">
        <v>90</v>
      </c>
      <c r="T135" s="367" t="s">
        <v>6</v>
      </c>
      <c r="U135" s="23" t="s">
        <v>90</v>
      </c>
      <c r="V135" s="367" t="s">
        <v>6</v>
      </c>
      <c r="W135" s="23" t="s">
        <v>90</v>
      </c>
      <c r="X135" s="367" t="s">
        <v>6</v>
      </c>
      <c r="Y135" s="7"/>
      <c r="Z135" s="367" t="s">
        <v>6</v>
      </c>
      <c r="AA135" s="7"/>
      <c r="AB135" s="24" t="s">
        <v>6</v>
      </c>
      <c r="AC135" s="7"/>
      <c r="AD135" s="337" t="str">
        <f t="shared" si="5"/>
        <v/>
      </c>
      <c r="AE135" s="299"/>
    </row>
    <row r="136" spans="1:31" ht="13.5" customHeight="1">
      <c r="A136" s="338">
        <f t="shared" si="6"/>
        <v>82</v>
      </c>
      <c r="B136" s="19"/>
      <c r="C136" s="12"/>
      <c r="D136" s="22"/>
      <c r="E136" s="431"/>
      <c r="F136" s="375"/>
      <c r="G136" s="375"/>
      <c r="H136" s="12"/>
      <c r="I136" s="8"/>
      <c r="J136" s="17" t="s">
        <v>46</v>
      </c>
      <c r="K136" s="367" t="s">
        <v>6</v>
      </c>
      <c r="L136" s="23" t="s">
        <v>90</v>
      </c>
      <c r="M136" s="397"/>
      <c r="N136" s="367" t="s">
        <v>6</v>
      </c>
      <c r="O136" s="23" t="s">
        <v>90</v>
      </c>
      <c r="P136" s="367" t="s">
        <v>6</v>
      </c>
      <c r="Q136" s="7"/>
      <c r="R136" s="367" t="s">
        <v>6</v>
      </c>
      <c r="S136" s="23" t="s">
        <v>90</v>
      </c>
      <c r="T136" s="367" t="s">
        <v>6</v>
      </c>
      <c r="U136" s="23" t="s">
        <v>90</v>
      </c>
      <c r="V136" s="24" t="s">
        <v>6</v>
      </c>
      <c r="W136" s="23" t="s">
        <v>90</v>
      </c>
      <c r="X136" s="367" t="s">
        <v>6</v>
      </c>
      <c r="Y136" s="7"/>
      <c r="Z136" s="367" t="s">
        <v>6</v>
      </c>
      <c r="AA136" s="7"/>
      <c r="AB136" s="24" t="s">
        <v>6</v>
      </c>
      <c r="AC136" s="7"/>
      <c r="AD136" s="337" t="str">
        <f t="shared" si="5"/>
        <v/>
      </c>
      <c r="AE136" s="299"/>
    </row>
    <row r="137" spans="1:31" ht="13.5" customHeight="1">
      <c r="A137" s="338">
        <f t="shared" si="6"/>
        <v>83</v>
      </c>
      <c r="B137" s="19"/>
      <c r="C137" s="12"/>
      <c r="D137" s="22"/>
      <c r="E137" s="431"/>
      <c r="F137" s="375"/>
      <c r="G137" s="375"/>
      <c r="H137" s="12"/>
      <c r="I137" s="8"/>
      <c r="J137" s="17" t="s">
        <v>46</v>
      </c>
      <c r="K137" s="367" t="s">
        <v>6</v>
      </c>
      <c r="L137" s="23" t="s">
        <v>90</v>
      </c>
      <c r="M137" s="397"/>
      <c r="N137" s="367" t="s">
        <v>6</v>
      </c>
      <c r="O137" s="23" t="s">
        <v>90</v>
      </c>
      <c r="P137" s="367" t="s">
        <v>6</v>
      </c>
      <c r="Q137" s="7"/>
      <c r="R137" s="367" t="s">
        <v>6</v>
      </c>
      <c r="S137" s="23" t="s">
        <v>90</v>
      </c>
      <c r="T137" s="367" t="s">
        <v>6</v>
      </c>
      <c r="U137" s="23" t="s">
        <v>90</v>
      </c>
      <c r="V137" s="367" t="s">
        <v>6</v>
      </c>
      <c r="W137" s="23" t="s">
        <v>90</v>
      </c>
      <c r="X137" s="367" t="s">
        <v>6</v>
      </c>
      <c r="Y137" s="7"/>
      <c r="Z137" s="367" t="s">
        <v>6</v>
      </c>
      <c r="AA137" s="7"/>
      <c r="AB137" s="24" t="s">
        <v>6</v>
      </c>
      <c r="AC137" s="7"/>
      <c r="AD137" s="337" t="str">
        <f t="shared" si="5"/>
        <v/>
      </c>
      <c r="AE137" s="299"/>
    </row>
    <row r="138" spans="1:31" ht="13.5" customHeight="1">
      <c r="A138" s="338">
        <f t="shared" si="6"/>
        <v>84</v>
      </c>
      <c r="B138" s="19"/>
      <c r="C138" s="12"/>
      <c r="D138" s="22"/>
      <c r="E138" s="431"/>
      <c r="F138" s="375"/>
      <c r="G138" s="375"/>
      <c r="H138" s="12"/>
      <c r="I138" s="8"/>
      <c r="J138" s="17" t="s">
        <v>46</v>
      </c>
      <c r="K138" s="367" t="s">
        <v>6</v>
      </c>
      <c r="L138" s="23" t="s">
        <v>90</v>
      </c>
      <c r="M138" s="397"/>
      <c r="N138" s="367" t="s">
        <v>6</v>
      </c>
      <c r="O138" s="23" t="s">
        <v>90</v>
      </c>
      <c r="P138" s="367" t="s">
        <v>6</v>
      </c>
      <c r="Q138" s="7"/>
      <c r="R138" s="367" t="s">
        <v>6</v>
      </c>
      <c r="S138" s="23" t="s">
        <v>90</v>
      </c>
      <c r="T138" s="367" t="s">
        <v>6</v>
      </c>
      <c r="U138" s="23" t="s">
        <v>90</v>
      </c>
      <c r="V138" s="367" t="s">
        <v>6</v>
      </c>
      <c r="W138" s="23" t="s">
        <v>90</v>
      </c>
      <c r="X138" s="367" t="s">
        <v>6</v>
      </c>
      <c r="Y138" s="7"/>
      <c r="Z138" s="367" t="s">
        <v>6</v>
      </c>
      <c r="AA138" s="7"/>
      <c r="AB138" s="24" t="s">
        <v>6</v>
      </c>
      <c r="AC138" s="7"/>
      <c r="AD138" s="337" t="str">
        <f t="shared" si="5"/>
        <v/>
      </c>
      <c r="AE138" s="299"/>
    </row>
    <row r="139" spans="1:31" ht="13.5" customHeight="1">
      <c r="A139" s="338">
        <f t="shared" si="6"/>
        <v>85</v>
      </c>
      <c r="B139" s="19"/>
      <c r="C139" s="12"/>
      <c r="D139" s="22"/>
      <c r="E139" s="431"/>
      <c r="F139" s="375"/>
      <c r="G139" s="375"/>
      <c r="H139" s="12"/>
      <c r="I139" s="8"/>
      <c r="J139" s="17" t="s">
        <v>46</v>
      </c>
      <c r="K139" s="367" t="s">
        <v>6</v>
      </c>
      <c r="L139" s="23" t="s">
        <v>90</v>
      </c>
      <c r="M139" s="397"/>
      <c r="N139" s="367" t="s">
        <v>6</v>
      </c>
      <c r="O139" s="23" t="s">
        <v>90</v>
      </c>
      <c r="P139" s="367" t="s">
        <v>6</v>
      </c>
      <c r="Q139" s="7"/>
      <c r="R139" s="367" t="s">
        <v>6</v>
      </c>
      <c r="S139" s="23" t="s">
        <v>90</v>
      </c>
      <c r="T139" s="367" t="s">
        <v>6</v>
      </c>
      <c r="U139" s="23" t="s">
        <v>90</v>
      </c>
      <c r="V139" s="367" t="s">
        <v>6</v>
      </c>
      <c r="W139" s="23" t="s">
        <v>90</v>
      </c>
      <c r="X139" s="367" t="s">
        <v>6</v>
      </c>
      <c r="Y139" s="7"/>
      <c r="Z139" s="367" t="s">
        <v>6</v>
      </c>
      <c r="AA139" s="7"/>
      <c r="AB139" s="24" t="s">
        <v>6</v>
      </c>
      <c r="AC139" s="7"/>
      <c r="AD139" s="337" t="str">
        <f t="shared" si="5"/>
        <v/>
      </c>
      <c r="AE139" s="299"/>
    </row>
    <row r="140" spans="1:31" ht="13.5" customHeight="1">
      <c r="A140" s="338">
        <f t="shared" si="6"/>
        <v>86</v>
      </c>
      <c r="B140" s="19"/>
      <c r="C140" s="12"/>
      <c r="D140" s="22"/>
      <c r="E140" s="431"/>
      <c r="F140" s="375"/>
      <c r="G140" s="375"/>
      <c r="H140" s="12"/>
      <c r="I140" s="8"/>
      <c r="J140" s="17" t="s">
        <v>46</v>
      </c>
      <c r="K140" s="367" t="s">
        <v>6</v>
      </c>
      <c r="L140" s="23" t="s">
        <v>90</v>
      </c>
      <c r="M140" s="397"/>
      <c r="N140" s="367" t="s">
        <v>6</v>
      </c>
      <c r="O140" s="23" t="s">
        <v>90</v>
      </c>
      <c r="P140" s="367" t="s">
        <v>6</v>
      </c>
      <c r="Q140" s="7"/>
      <c r="R140" s="367" t="s">
        <v>6</v>
      </c>
      <c r="S140" s="23" t="s">
        <v>90</v>
      </c>
      <c r="T140" s="367" t="s">
        <v>6</v>
      </c>
      <c r="U140" s="23" t="s">
        <v>90</v>
      </c>
      <c r="V140" s="367" t="s">
        <v>6</v>
      </c>
      <c r="W140" s="23" t="s">
        <v>90</v>
      </c>
      <c r="X140" s="367" t="s">
        <v>6</v>
      </c>
      <c r="Y140" s="7"/>
      <c r="Z140" s="367" t="s">
        <v>6</v>
      </c>
      <c r="AA140" s="7"/>
      <c r="AB140" s="24" t="s">
        <v>6</v>
      </c>
      <c r="AC140" s="7"/>
      <c r="AD140" s="337" t="str">
        <f t="shared" si="5"/>
        <v/>
      </c>
      <c r="AE140" s="299"/>
    </row>
    <row r="141" spans="1:31" ht="13.5" customHeight="1">
      <c r="A141" s="338">
        <f t="shared" si="6"/>
        <v>87</v>
      </c>
      <c r="B141" s="19"/>
      <c r="C141" s="12"/>
      <c r="D141" s="22"/>
      <c r="E141" s="431"/>
      <c r="F141" s="375"/>
      <c r="G141" s="375"/>
      <c r="H141" s="12"/>
      <c r="I141" s="8"/>
      <c r="J141" s="17" t="s">
        <v>46</v>
      </c>
      <c r="K141" s="367" t="s">
        <v>6</v>
      </c>
      <c r="L141" s="23" t="s">
        <v>90</v>
      </c>
      <c r="M141" s="397"/>
      <c r="N141" s="367" t="s">
        <v>6</v>
      </c>
      <c r="O141" s="23" t="s">
        <v>90</v>
      </c>
      <c r="P141" s="367" t="s">
        <v>6</v>
      </c>
      <c r="Q141" s="7"/>
      <c r="R141" s="367" t="s">
        <v>6</v>
      </c>
      <c r="S141" s="23" t="s">
        <v>90</v>
      </c>
      <c r="T141" s="367" t="s">
        <v>6</v>
      </c>
      <c r="U141" s="23" t="s">
        <v>90</v>
      </c>
      <c r="V141" s="367" t="s">
        <v>6</v>
      </c>
      <c r="W141" s="23" t="s">
        <v>90</v>
      </c>
      <c r="X141" s="367" t="s">
        <v>6</v>
      </c>
      <c r="Y141" s="7"/>
      <c r="Z141" s="367" t="s">
        <v>6</v>
      </c>
      <c r="AA141" s="7"/>
      <c r="AB141" s="24" t="s">
        <v>6</v>
      </c>
      <c r="AC141" s="7"/>
      <c r="AD141" s="337" t="str">
        <f t="shared" si="5"/>
        <v/>
      </c>
      <c r="AE141" s="299"/>
    </row>
    <row r="142" spans="1:31" ht="13.5" customHeight="1">
      <c r="A142" s="338">
        <f t="shared" si="6"/>
        <v>88</v>
      </c>
      <c r="B142" s="19"/>
      <c r="C142" s="12"/>
      <c r="D142" s="22"/>
      <c r="E142" s="431"/>
      <c r="F142" s="375"/>
      <c r="G142" s="375"/>
      <c r="H142" s="12"/>
      <c r="I142" s="8"/>
      <c r="J142" s="17" t="s">
        <v>46</v>
      </c>
      <c r="K142" s="367" t="s">
        <v>6</v>
      </c>
      <c r="L142" s="23" t="s">
        <v>90</v>
      </c>
      <c r="M142" s="397"/>
      <c r="N142" s="367" t="s">
        <v>6</v>
      </c>
      <c r="O142" s="23" t="s">
        <v>90</v>
      </c>
      <c r="P142" s="367" t="s">
        <v>6</v>
      </c>
      <c r="Q142" s="7"/>
      <c r="R142" s="367" t="s">
        <v>6</v>
      </c>
      <c r="S142" s="23" t="s">
        <v>90</v>
      </c>
      <c r="T142" s="367" t="s">
        <v>6</v>
      </c>
      <c r="U142" s="23" t="s">
        <v>90</v>
      </c>
      <c r="V142" s="367" t="s">
        <v>6</v>
      </c>
      <c r="W142" s="23" t="s">
        <v>90</v>
      </c>
      <c r="X142" s="367" t="s">
        <v>6</v>
      </c>
      <c r="Y142" s="7"/>
      <c r="Z142" s="367" t="s">
        <v>6</v>
      </c>
      <c r="AA142" s="7"/>
      <c r="AB142" s="24" t="s">
        <v>6</v>
      </c>
      <c r="AC142" s="7"/>
      <c r="AD142" s="337" t="str">
        <f t="shared" si="5"/>
        <v/>
      </c>
      <c r="AE142" s="299"/>
    </row>
    <row r="143" spans="1:31" ht="13.5" customHeight="1">
      <c r="A143" s="338">
        <f t="shared" si="6"/>
        <v>89</v>
      </c>
      <c r="B143" s="19"/>
      <c r="C143" s="12"/>
      <c r="D143" s="22"/>
      <c r="E143" s="431"/>
      <c r="F143" s="375"/>
      <c r="G143" s="375"/>
      <c r="H143" s="12"/>
      <c r="I143" s="8"/>
      <c r="J143" s="17" t="s">
        <v>46</v>
      </c>
      <c r="K143" s="367" t="s">
        <v>6</v>
      </c>
      <c r="L143" s="23" t="s">
        <v>90</v>
      </c>
      <c r="M143" s="397"/>
      <c r="N143" s="367" t="s">
        <v>6</v>
      </c>
      <c r="O143" s="23" t="s">
        <v>90</v>
      </c>
      <c r="P143" s="367" t="s">
        <v>6</v>
      </c>
      <c r="Q143" s="7"/>
      <c r="R143" s="367" t="s">
        <v>6</v>
      </c>
      <c r="S143" s="23" t="s">
        <v>90</v>
      </c>
      <c r="T143" s="367" t="s">
        <v>6</v>
      </c>
      <c r="U143" s="23" t="s">
        <v>90</v>
      </c>
      <c r="V143" s="367" t="s">
        <v>6</v>
      </c>
      <c r="W143" s="23" t="s">
        <v>90</v>
      </c>
      <c r="X143" s="367" t="s">
        <v>6</v>
      </c>
      <c r="Y143" s="7"/>
      <c r="Z143" s="367" t="s">
        <v>6</v>
      </c>
      <c r="AA143" s="7"/>
      <c r="AB143" s="24" t="s">
        <v>6</v>
      </c>
      <c r="AC143" s="7"/>
      <c r="AD143" s="337" t="str">
        <f t="shared" si="5"/>
        <v/>
      </c>
      <c r="AE143" s="299"/>
    </row>
    <row r="144" spans="1:31" ht="13.5" customHeight="1">
      <c r="A144" s="338">
        <f t="shared" si="6"/>
        <v>90</v>
      </c>
      <c r="B144" s="19"/>
      <c r="C144" s="12"/>
      <c r="D144" s="22"/>
      <c r="E144" s="431"/>
      <c r="F144" s="375"/>
      <c r="G144" s="375"/>
      <c r="H144" s="12"/>
      <c r="I144" s="8"/>
      <c r="J144" s="17" t="s">
        <v>46</v>
      </c>
      <c r="K144" s="367" t="s">
        <v>6</v>
      </c>
      <c r="L144" s="23" t="s">
        <v>90</v>
      </c>
      <c r="M144" s="397"/>
      <c r="N144" s="367" t="s">
        <v>6</v>
      </c>
      <c r="O144" s="23" t="s">
        <v>90</v>
      </c>
      <c r="P144" s="367" t="s">
        <v>6</v>
      </c>
      <c r="Q144" s="7"/>
      <c r="R144" s="367" t="s">
        <v>6</v>
      </c>
      <c r="S144" s="23" t="s">
        <v>90</v>
      </c>
      <c r="T144" s="367" t="s">
        <v>6</v>
      </c>
      <c r="U144" s="23" t="s">
        <v>90</v>
      </c>
      <c r="V144" s="367" t="s">
        <v>6</v>
      </c>
      <c r="W144" s="23" t="s">
        <v>90</v>
      </c>
      <c r="X144" s="367" t="s">
        <v>6</v>
      </c>
      <c r="Y144" s="7"/>
      <c r="Z144" s="367" t="s">
        <v>6</v>
      </c>
      <c r="AA144" s="7"/>
      <c r="AB144" s="24" t="s">
        <v>6</v>
      </c>
      <c r="AC144" s="7"/>
      <c r="AD144" s="337" t="str">
        <f t="shared" si="5"/>
        <v/>
      </c>
      <c r="AE144" s="299"/>
    </row>
    <row r="145" spans="1:31" ht="13.5" customHeight="1">
      <c r="A145" s="338">
        <f t="shared" si="6"/>
        <v>91</v>
      </c>
      <c r="B145" s="19"/>
      <c r="C145" s="12"/>
      <c r="D145" s="22"/>
      <c r="E145" s="431"/>
      <c r="F145" s="375"/>
      <c r="G145" s="375"/>
      <c r="H145" s="12"/>
      <c r="I145" s="8"/>
      <c r="J145" s="17" t="s">
        <v>46</v>
      </c>
      <c r="K145" s="367" t="s">
        <v>6</v>
      </c>
      <c r="L145" s="23" t="s">
        <v>90</v>
      </c>
      <c r="M145" s="397"/>
      <c r="N145" s="367" t="s">
        <v>6</v>
      </c>
      <c r="O145" s="23" t="s">
        <v>90</v>
      </c>
      <c r="P145" s="367" t="s">
        <v>6</v>
      </c>
      <c r="Q145" s="7"/>
      <c r="R145" s="367" t="s">
        <v>6</v>
      </c>
      <c r="S145" s="23" t="s">
        <v>90</v>
      </c>
      <c r="T145" s="367" t="s">
        <v>6</v>
      </c>
      <c r="U145" s="23" t="s">
        <v>90</v>
      </c>
      <c r="V145" s="367" t="s">
        <v>6</v>
      </c>
      <c r="W145" s="23" t="s">
        <v>90</v>
      </c>
      <c r="X145" s="367" t="s">
        <v>6</v>
      </c>
      <c r="Y145" s="7"/>
      <c r="Z145" s="367" t="s">
        <v>6</v>
      </c>
      <c r="AA145" s="7"/>
      <c r="AB145" s="24" t="s">
        <v>6</v>
      </c>
      <c r="AC145" s="7"/>
      <c r="AD145" s="337" t="str">
        <f t="shared" si="5"/>
        <v/>
      </c>
      <c r="AE145" s="299"/>
    </row>
    <row r="146" spans="1:31" ht="13.5" customHeight="1">
      <c r="A146" s="338">
        <f t="shared" si="6"/>
        <v>92</v>
      </c>
      <c r="B146" s="19"/>
      <c r="C146" s="12"/>
      <c r="D146" s="22"/>
      <c r="E146" s="431"/>
      <c r="F146" s="375"/>
      <c r="G146" s="375"/>
      <c r="H146" s="12"/>
      <c r="I146" s="8"/>
      <c r="J146" s="17" t="s">
        <v>46</v>
      </c>
      <c r="K146" s="367" t="s">
        <v>6</v>
      </c>
      <c r="L146" s="23" t="s">
        <v>90</v>
      </c>
      <c r="M146" s="397"/>
      <c r="N146" s="367" t="s">
        <v>6</v>
      </c>
      <c r="O146" s="23" t="s">
        <v>90</v>
      </c>
      <c r="P146" s="367" t="s">
        <v>6</v>
      </c>
      <c r="Q146" s="7"/>
      <c r="R146" s="367" t="s">
        <v>6</v>
      </c>
      <c r="S146" s="23" t="s">
        <v>90</v>
      </c>
      <c r="T146" s="367" t="s">
        <v>6</v>
      </c>
      <c r="U146" s="23" t="s">
        <v>90</v>
      </c>
      <c r="V146" s="24" t="s">
        <v>6</v>
      </c>
      <c r="W146" s="23" t="s">
        <v>90</v>
      </c>
      <c r="X146" s="367" t="s">
        <v>6</v>
      </c>
      <c r="Y146" s="7"/>
      <c r="Z146" s="367" t="s">
        <v>6</v>
      </c>
      <c r="AA146" s="7"/>
      <c r="AB146" s="24" t="s">
        <v>6</v>
      </c>
      <c r="AC146" s="7"/>
      <c r="AD146" s="337" t="str">
        <f t="shared" si="5"/>
        <v/>
      </c>
      <c r="AE146" s="299"/>
    </row>
    <row r="147" spans="1:31" ht="13.5" customHeight="1">
      <c r="A147" s="338">
        <f t="shared" si="6"/>
        <v>93</v>
      </c>
      <c r="B147" s="19"/>
      <c r="C147" s="12"/>
      <c r="D147" s="22"/>
      <c r="E147" s="431"/>
      <c r="F147" s="375"/>
      <c r="G147" s="375"/>
      <c r="H147" s="12"/>
      <c r="I147" s="8"/>
      <c r="J147" s="17" t="s">
        <v>46</v>
      </c>
      <c r="K147" s="367" t="s">
        <v>6</v>
      </c>
      <c r="L147" s="23" t="s">
        <v>90</v>
      </c>
      <c r="M147" s="397"/>
      <c r="N147" s="367" t="s">
        <v>6</v>
      </c>
      <c r="O147" s="23" t="s">
        <v>90</v>
      </c>
      <c r="P147" s="367" t="s">
        <v>6</v>
      </c>
      <c r="Q147" s="7"/>
      <c r="R147" s="367" t="s">
        <v>6</v>
      </c>
      <c r="S147" s="23" t="s">
        <v>90</v>
      </c>
      <c r="T147" s="367" t="s">
        <v>6</v>
      </c>
      <c r="U147" s="23" t="s">
        <v>90</v>
      </c>
      <c r="V147" s="367" t="s">
        <v>6</v>
      </c>
      <c r="W147" s="23" t="s">
        <v>90</v>
      </c>
      <c r="X147" s="367" t="s">
        <v>6</v>
      </c>
      <c r="Y147" s="7"/>
      <c r="Z147" s="367" t="s">
        <v>6</v>
      </c>
      <c r="AA147" s="7"/>
      <c r="AB147" s="24" t="s">
        <v>6</v>
      </c>
      <c r="AC147" s="7"/>
      <c r="AD147" s="337" t="str">
        <f t="shared" si="5"/>
        <v/>
      </c>
      <c r="AE147" s="299"/>
    </row>
    <row r="148" spans="1:31" ht="13.5" customHeight="1">
      <c r="A148" s="338">
        <f t="shared" si="6"/>
        <v>94</v>
      </c>
      <c r="B148" s="19"/>
      <c r="C148" s="12"/>
      <c r="D148" s="22"/>
      <c r="E148" s="431"/>
      <c r="F148" s="375"/>
      <c r="G148" s="375"/>
      <c r="H148" s="12"/>
      <c r="I148" s="8"/>
      <c r="J148" s="17" t="s">
        <v>46</v>
      </c>
      <c r="K148" s="367" t="s">
        <v>6</v>
      </c>
      <c r="L148" s="23" t="s">
        <v>90</v>
      </c>
      <c r="M148" s="397"/>
      <c r="N148" s="367" t="s">
        <v>6</v>
      </c>
      <c r="O148" s="23" t="s">
        <v>90</v>
      </c>
      <c r="P148" s="367" t="s">
        <v>6</v>
      </c>
      <c r="Q148" s="7"/>
      <c r="R148" s="367" t="s">
        <v>6</v>
      </c>
      <c r="S148" s="23" t="s">
        <v>90</v>
      </c>
      <c r="T148" s="367" t="s">
        <v>6</v>
      </c>
      <c r="U148" s="23" t="s">
        <v>90</v>
      </c>
      <c r="V148" s="367" t="s">
        <v>6</v>
      </c>
      <c r="W148" s="23" t="s">
        <v>90</v>
      </c>
      <c r="X148" s="367" t="s">
        <v>6</v>
      </c>
      <c r="Y148" s="7"/>
      <c r="Z148" s="367" t="s">
        <v>6</v>
      </c>
      <c r="AA148" s="7"/>
      <c r="AB148" s="24" t="s">
        <v>6</v>
      </c>
      <c r="AC148" s="7"/>
      <c r="AD148" s="337" t="str">
        <f t="shared" si="5"/>
        <v/>
      </c>
      <c r="AE148" s="299"/>
    </row>
    <row r="149" spans="1:31" ht="13.5" customHeight="1">
      <c r="A149" s="338">
        <f t="shared" si="6"/>
        <v>95</v>
      </c>
      <c r="B149" s="19"/>
      <c r="C149" s="12"/>
      <c r="D149" s="22"/>
      <c r="E149" s="431"/>
      <c r="F149" s="375"/>
      <c r="G149" s="375"/>
      <c r="H149" s="12"/>
      <c r="I149" s="8"/>
      <c r="J149" s="17" t="s">
        <v>46</v>
      </c>
      <c r="K149" s="367" t="s">
        <v>6</v>
      </c>
      <c r="L149" s="23" t="s">
        <v>90</v>
      </c>
      <c r="M149" s="397"/>
      <c r="N149" s="367" t="s">
        <v>6</v>
      </c>
      <c r="O149" s="23" t="s">
        <v>90</v>
      </c>
      <c r="P149" s="367" t="s">
        <v>6</v>
      </c>
      <c r="Q149" s="7"/>
      <c r="R149" s="367" t="s">
        <v>6</v>
      </c>
      <c r="S149" s="23" t="s">
        <v>90</v>
      </c>
      <c r="T149" s="367" t="s">
        <v>6</v>
      </c>
      <c r="U149" s="23" t="s">
        <v>90</v>
      </c>
      <c r="V149" s="367" t="s">
        <v>6</v>
      </c>
      <c r="W149" s="23" t="s">
        <v>90</v>
      </c>
      <c r="X149" s="367" t="s">
        <v>6</v>
      </c>
      <c r="Y149" s="7"/>
      <c r="Z149" s="367" t="s">
        <v>6</v>
      </c>
      <c r="AA149" s="7"/>
      <c r="AB149" s="24" t="s">
        <v>6</v>
      </c>
      <c r="AC149" s="7"/>
      <c r="AD149" s="337" t="str">
        <f t="shared" si="5"/>
        <v/>
      </c>
      <c r="AE149" s="299"/>
    </row>
    <row r="150" spans="1:31" ht="13.5" customHeight="1">
      <c r="A150" s="338">
        <f t="shared" si="6"/>
        <v>96</v>
      </c>
      <c r="B150" s="19"/>
      <c r="C150" s="12"/>
      <c r="D150" s="22"/>
      <c r="E150" s="431"/>
      <c r="F150" s="375"/>
      <c r="G150" s="375"/>
      <c r="H150" s="12"/>
      <c r="I150" s="8"/>
      <c r="J150" s="17" t="s">
        <v>46</v>
      </c>
      <c r="K150" s="367" t="s">
        <v>6</v>
      </c>
      <c r="L150" s="23" t="s">
        <v>90</v>
      </c>
      <c r="M150" s="397"/>
      <c r="N150" s="367" t="s">
        <v>6</v>
      </c>
      <c r="O150" s="23" t="s">
        <v>90</v>
      </c>
      <c r="P150" s="367" t="s">
        <v>6</v>
      </c>
      <c r="Q150" s="7"/>
      <c r="R150" s="367" t="s">
        <v>6</v>
      </c>
      <c r="S150" s="23" t="s">
        <v>90</v>
      </c>
      <c r="T150" s="367" t="s">
        <v>6</v>
      </c>
      <c r="U150" s="23" t="s">
        <v>90</v>
      </c>
      <c r="V150" s="24" t="s">
        <v>6</v>
      </c>
      <c r="W150" s="23" t="s">
        <v>90</v>
      </c>
      <c r="X150" s="367" t="s">
        <v>6</v>
      </c>
      <c r="Y150" s="7"/>
      <c r="Z150" s="367" t="s">
        <v>6</v>
      </c>
      <c r="AA150" s="7"/>
      <c r="AB150" s="24" t="s">
        <v>6</v>
      </c>
      <c r="AC150" s="7"/>
      <c r="AD150" s="337" t="str">
        <f t="shared" si="5"/>
        <v/>
      </c>
      <c r="AE150" s="299"/>
    </row>
    <row r="151" spans="1:31" ht="13.5" customHeight="1">
      <c r="A151" s="338">
        <f t="shared" si="6"/>
        <v>97</v>
      </c>
      <c r="B151" s="19"/>
      <c r="C151" s="12"/>
      <c r="D151" s="22"/>
      <c r="E151" s="431"/>
      <c r="F151" s="375"/>
      <c r="G151" s="375"/>
      <c r="H151" s="12"/>
      <c r="I151" s="8"/>
      <c r="J151" s="17" t="s">
        <v>46</v>
      </c>
      <c r="K151" s="367" t="s">
        <v>6</v>
      </c>
      <c r="L151" s="23" t="s">
        <v>90</v>
      </c>
      <c r="M151" s="397"/>
      <c r="N151" s="367" t="s">
        <v>6</v>
      </c>
      <c r="O151" s="23" t="s">
        <v>90</v>
      </c>
      <c r="P151" s="367" t="s">
        <v>6</v>
      </c>
      <c r="Q151" s="7"/>
      <c r="R151" s="367" t="s">
        <v>6</v>
      </c>
      <c r="S151" s="23" t="s">
        <v>90</v>
      </c>
      <c r="T151" s="367" t="s">
        <v>6</v>
      </c>
      <c r="U151" s="23" t="s">
        <v>90</v>
      </c>
      <c r="V151" s="367" t="s">
        <v>6</v>
      </c>
      <c r="W151" s="23" t="s">
        <v>90</v>
      </c>
      <c r="X151" s="367" t="s">
        <v>6</v>
      </c>
      <c r="Y151" s="7"/>
      <c r="Z151" s="367" t="s">
        <v>6</v>
      </c>
      <c r="AA151" s="7"/>
      <c r="AB151" s="24" t="s">
        <v>6</v>
      </c>
      <c r="AC151" s="7"/>
      <c r="AD151" s="337" t="str">
        <f t="shared" si="5"/>
        <v/>
      </c>
      <c r="AE151" s="299"/>
    </row>
    <row r="152" spans="1:31" ht="13.5" customHeight="1">
      <c r="A152" s="338">
        <f t="shared" si="6"/>
        <v>98</v>
      </c>
      <c r="B152" s="19"/>
      <c r="C152" s="12"/>
      <c r="D152" s="22"/>
      <c r="E152" s="431"/>
      <c r="F152" s="375"/>
      <c r="G152" s="375"/>
      <c r="H152" s="12"/>
      <c r="I152" s="8"/>
      <c r="J152" s="17" t="s">
        <v>46</v>
      </c>
      <c r="K152" s="367" t="s">
        <v>6</v>
      </c>
      <c r="L152" s="23" t="s">
        <v>90</v>
      </c>
      <c r="M152" s="397"/>
      <c r="N152" s="367" t="s">
        <v>6</v>
      </c>
      <c r="O152" s="23" t="s">
        <v>90</v>
      </c>
      <c r="P152" s="367" t="s">
        <v>6</v>
      </c>
      <c r="Q152" s="7"/>
      <c r="R152" s="367" t="s">
        <v>6</v>
      </c>
      <c r="S152" s="23" t="s">
        <v>90</v>
      </c>
      <c r="T152" s="367" t="s">
        <v>6</v>
      </c>
      <c r="U152" s="23" t="s">
        <v>90</v>
      </c>
      <c r="V152" s="367" t="s">
        <v>6</v>
      </c>
      <c r="W152" s="23" t="s">
        <v>90</v>
      </c>
      <c r="X152" s="367" t="s">
        <v>6</v>
      </c>
      <c r="Y152" s="7"/>
      <c r="Z152" s="367" t="s">
        <v>6</v>
      </c>
      <c r="AA152" s="7"/>
      <c r="AB152" s="24" t="s">
        <v>6</v>
      </c>
      <c r="AC152" s="7"/>
      <c r="AD152" s="337" t="str">
        <f t="shared" si="5"/>
        <v/>
      </c>
      <c r="AE152" s="299"/>
    </row>
    <row r="153" spans="1:31" ht="13.5" customHeight="1">
      <c r="A153" s="338">
        <f t="shared" si="6"/>
        <v>99</v>
      </c>
      <c r="B153" s="19"/>
      <c r="C153" s="12"/>
      <c r="D153" s="22"/>
      <c r="E153" s="431"/>
      <c r="F153" s="375"/>
      <c r="G153" s="375"/>
      <c r="H153" s="12"/>
      <c r="I153" s="8"/>
      <c r="J153" s="17" t="s">
        <v>46</v>
      </c>
      <c r="K153" s="367" t="s">
        <v>6</v>
      </c>
      <c r="L153" s="23" t="s">
        <v>90</v>
      </c>
      <c r="M153" s="397"/>
      <c r="N153" s="367" t="s">
        <v>6</v>
      </c>
      <c r="O153" s="23" t="s">
        <v>90</v>
      </c>
      <c r="P153" s="367" t="s">
        <v>6</v>
      </c>
      <c r="Q153" s="7"/>
      <c r="R153" s="367" t="s">
        <v>6</v>
      </c>
      <c r="S153" s="23" t="s">
        <v>90</v>
      </c>
      <c r="T153" s="367" t="s">
        <v>6</v>
      </c>
      <c r="U153" s="23" t="s">
        <v>90</v>
      </c>
      <c r="V153" s="367" t="s">
        <v>6</v>
      </c>
      <c r="W153" s="23" t="s">
        <v>90</v>
      </c>
      <c r="X153" s="367" t="s">
        <v>6</v>
      </c>
      <c r="Y153" s="7"/>
      <c r="Z153" s="367" t="s">
        <v>6</v>
      </c>
      <c r="AA153" s="7"/>
      <c r="AB153" s="24" t="s">
        <v>6</v>
      </c>
      <c r="AC153" s="7"/>
      <c r="AD153" s="337" t="str">
        <f t="shared" si="5"/>
        <v/>
      </c>
      <c r="AE153" s="299"/>
    </row>
    <row r="154" spans="1:31" ht="13.5" customHeight="1">
      <c r="A154" s="338">
        <f t="shared" si="6"/>
        <v>100</v>
      </c>
      <c r="B154" s="19"/>
      <c r="C154" s="12"/>
      <c r="D154" s="22"/>
      <c r="E154" s="431"/>
      <c r="F154" s="375"/>
      <c r="G154" s="375"/>
      <c r="H154" s="12"/>
      <c r="I154" s="8"/>
      <c r="J154" s="17" t="s">
        <v>46</v>
      </c>
      <c r="K154" s="367" t="s">
        <v>6</v>
      </c>
      <c r="L154" s="23" t="s">
        <v>90</v>
      </c>
      <c r="M154" s="397"/>
      <c r="N154" s="367" t="s">
        <v>6</v>
      </c>
      <c r="O154" s="23" t="s">
        <v>90</v>
      </c>
      <c r="P154" s="367" t="s">
        <v>6</v>
      </c>
      <c r="Q154" s="7"/>
      <c r="R154" s="367" t="s">
        <v>6</v>
      </c>
      <c r="S154" s="23" t="s">
        <v>90</v>
      </c>
      <c r="T154" s="367" t="s">
        <v>6</v>
      </c>
      <c r="U154" s="23" t="s">
        <v>90</v>
      </c>
      <c r="V154" s="24" t="s">
        <v>6</v>
      </c>
      <c r="W154" s="23" t="s">
        <v>90</v>
      </c>
      <c r="X154" s="367" t="s">
        <v>6</v>
      </c>
      <c r="Y154" s="7"/>
      <c r="Z154" s="367" t="s">
        <v>6</v>
      </c>
      <c r="AA154" s="7"/>
      <c r="AB154" s="24" t="s">
        <v>6</v>
      </c>
      <c r="AC154" s="7"/>
      <c r="AD154" s="337" t="str">
        <f t="shared" si="5"/>
        <v/>
      </c>
      <c r="AE154" s="299"/>
    </row>
    <row r="155" spans="1:31" ht="13.5" customHeight="1">
      <c r="A155" s="338">
        <f t="shared" si="6"/>
        <v>101</v>
      </c>
      <c r="B155" s="19"/>
      <c r="C155" s="12"/>
      <c r="D155" s="22"/>
      <c r="E155" s="431"/>
      <c r="F155" s="375"/>
      <c r="G155" s="375"/>
      <c r="H155" s="12"/>
      <c r="I155" s="8"/>
      <c r="J155" s="17" t="s">
        <v>46</v>
      </c>
      <c r="K155" s="367" t="s">
        <v>6</v>
      </c>
      <c r="L155" s="23" t="s">
        <v>90</v>
      </c>
      <c r="M155" s="397"/>
      <c r="N155" s="367" t="s">
        <v>6</v>
      </c>
      <c r="O155" s="23" t="s">
        <v>90</v>
      </c>
      <c r="P155" s="367" t="s">
        <v>6</v>
      </c>
      <c r="Q155" s="7"/>
      <c r="R155" s="367" t="s">
        <v>6</v>
      </c>
      <c r="S155" s="23" t="s">
        <v>90</v>
      </c>
      <c r="T155" s="367" t="s">
        <v>6</v>
      </c>
      <c r="U155" s="23" t="s">
        <v>90</v>
      </c>
      <c r="V155" s="367" t="s">
        <v>6</v>
      </c>
      <c r="W155" s="23" t="s">
        <v>90</v>
      </c>
      <c r="X155" s="367" t="s">
        <v>6</v>
      </c>
      <c r="Y155" s="7"/>
      <c r="Z155" s="367" t="s">
        <v>6</v>
      </c>
      <c r="AA155" s="7"/>
      <c r="AB155" s="24" t="s">
        <v>6</v>
      </c>
      <c r="AC155" s="7"/>
      <c r="AD155" s="337" t="str">
        <f t="shared" ref="AD155:AD175" si="7">IF(H155="","",VLOOKUP(H155,Classes,2))</f>
        <v/>
      </c>
    </row>
    <row r="156" spans="1:31" ht="13.5" customHeight="1">
      <c r="A156" s="338">
        <f t="shared" si="6"/>
        <v>102</v>
      </c>
      <c r="B156" s="19"/>
      <c r="C156" s="12"/>
      <c r="D156" s="22"/>
      <c r="E156" s="431"/>
      <c r="F156" s="375"/>
      <c r="G156" s="375"/>
      <c r="H156" s="12"/>
      <c r="I156" s="8"/>
      <c r="J156" s="17" t="s">
        <v>46</v>
      </c>
      <c r="K156" s="367" t="s">
        <v>6</v>
      </c>
      <c r="L156" s="23" t="s">
        <v>90</v>
      </c>
      <c r="M156" s="397"/>
      <c r="N156" s="367" t="s">
        <v>6</v>
      </c>
      <c r="O156" s="23" t="s">
        <v>90</v>
      </c>
      <c r="P156" s="367" t="s">
        <v>6</v>
      </c>
      <c r="Q156" s="7"/>
      <c r="R156" s="367" t="s">
        <v>6</v>
      </c>
      <c r="S156" s="23" t="s">
        <v>90</v>
      </c>
      <c r="T156" s="367" t="s">
        <v>6</v>
      </c>
      <c r="U156" s="23" t="s">
        <v>90</v>
      </c>
      <c r="V156" s="367" t="s">
        <v>6</v>
      </c>
      <c r="W156" s="23" t="s">
        <v>90</v>
      </c>
      <c r="X156" s="367" t="s">
        <v>6</v>
      </c>
      <c r="Y156" s="7"/>
      <c r="Z156" s="367" t="s">
        <v>6</v>
      </c>
      <c r="AA156" s="7"/>
      <c r="AB156" s="24" t="s">
        <v>6</v>
      </c>
      <c r="AC156" s="7"/>
      <c r="AD156" s="337" t="str">
        <f t="shared" si="7"/>
        <v/>
      </c>
    </row>
    <row r="157" spans="1:31" ht="13.5" customHeight="1">
      <c r="A157" s="338">
        <f t="shared" si="6"/>
        <v>103</v>
      </c>
      <c r="B157" s="19"/>
      <c r="C157" s="12"/>
      <c r="D157" s="22"/>
      <c r="E157" s="431"/>
      <c r="F157" s="375"/>
      <c r="G157" s="375"/>
      <c r="H157" s="12"/>
      <c r="I157" s="8"/>
      <c r="J157" s="17" t="s">
        <v>46</v>
      </c>
      <c r="K157" s="367" t="s">
        <v>6</v>
      </c>
      <c r="L157" s="23" t="s">
        <v>90</v>
      </c>
      <c r="M157" s="397"/>
      <c r="N157" s="367" t="s">
        <v>6</v>
      </c>
      <c r="O157" s="23" t="s">
        <v>90</v>
      </c>
      <c r="P157" s="367" t="s">
        <v>6</v>
      </c>
      <c r="Q157" s="7"/>
      <c r="R157" s="367" t="s">
        <v>6</v>
      </c>
      <c r="S157" s="23" t="s">
        <v>90</v>
      </c>
      <c r="T157" s="367" t="s">
        <v>6</v>
      </c>
      <c r="U157" s="23" t="s">
        <v>90</v>
      </c>
      <c r="V157" s="367" t="s">
        <v>6</v>
      </c>
      <c r="W157" s="23" t="s">
        <v>90</v>
      </c>
      <c r="X157" s="367" t="s">
        <v>6</v>
      </c>
      <c r="Y157" s="7"/>
      <c r="Z157" s="367" t="s">
        <v>6</v>
      </c>
      <c r="AA157" s="7"/>
      <c r="AB157" s="24" t="s">
        <v>6</v>
      </c>
      <c r="AC157" s="7"/>
      <c r="AD157" s="337" t="str">
        <f t="shared" si="7"/>
        <v/>
      </c>
    </row>
    <row r="158" spans="1:31" ht="13.5" customHeight="1">
      <c r="A158" s="338">
        <f t="shared" si="6"/>
        <v>104</v>
      </c>
      <c r="B158" s="19"/>
      <c r="C158" s="12"/>
      <c r="D158" s="22"/>
      <c r="E158" s="431"/>
      <c r="F158" s="375"/>
      <c r="G158" s="375"/>
      <c r="H158" s="12"/>
      <c r="I158" s="8"/>
      <c r="J158" s="17" t="s">
        <v>46</v>
      </c>
      <c r="K158" s="367" t="s">
        <v>6</v>
      </c>
      <c r="L158" s="23" t="s">
        <v>90</v>
      </c>
      <c r="M158" s="397"/>
      <c r="N158" s="367" t="s">
        <v>6</v>
      </c>
      <c r="O158" s="23" t="s">
        <v>90</v>
      </c>
      <c r="P158" s="367" t="s">
        <v>6</v>
      </c>
      <c r="Q158" s="7"/>
      <c r="R158" s="367" t="s">
        <v>6</v>
      </c>
      <c r="S158" s="23" t="s">
        <v>90</v>
      </c>
      <c r="T158" s="367" t="s">
        <v>6</v>
      </c>
      <c r="U158" s="23" t="s">
        <v>90</v>
      </c>
      <c r="V158" s="367" t="s">
        <v>6</v>
      </c>
      <c r="W158" s="23" t="s">
        <v>90</v>
      </c>
      <c r="X158" s="367" t="s">
        <v>6</v>
      </c>
      <c r="Y158" s="7"/>
      <c r="Z158" s="367" t="s">
        <v>6</v>
      </c>
      <c r="AA158" s="7"/>
      <c r="AB158" s="24" t="s">
        <v>6</v>
      </c>
      <c r="AC158" s="7"/>
      <c r="AD158" s="337" t="str">
        <f t="shared" si="7"/>
        <v/>
      </c>
    </row>
    <row r="159" spans="1:31" ht="13.5" customHeight="1">
      <c r="A159" s="338">
        <f t="shared" si="6"/>
        <v>105</v>
      </c>
      <c r="B159" s="19"/>
      <c r="C159" s="12"/>
      <c r="D159" s="22"/>
      <c r="E159" s="431"/>
      <c r="F159" s="375"/>
      <c r="G159" s="375"/>
      <c r="H159" s="12"/>
      <c r="I159" s="8"/>
      <c r="J159" s="17" t="s">
        <v>46</v>
      </c>
      <c r="K159" s="367" t="s">
        <v>6</v>
      </c>
      <c r="L159" s="23" t="s">
        <v>90</v>
      </c>
      <c r="M159" s="397"/>
      <c r="N159" s="367" t="s">
        <v>6</v>
      </c>
      <c r="O159" s="23" t="s">
        <v>90</v>
      </c>
      <c r="P159" s="367" t="s">
        <v>6</v>
      </c>
      <c r="Q159" s="7"/>
      <c r="R159" s="367" t="s">
        <v>6</v>
      </c>
      <c r="S159" s="23" t="s">
        <v>90</v>
      </c>
      <c r="T159" s="367" t="s">
        <v>6</v>
      </c>
      <c r="U159" s="23" t="s">
        <v>90</v>
      </c>
      <c r="V159" s="24" t="s">
        <v>6</v>
      </c>
      <c r="W159" s="23" t="s">
        <v>90</v>
      </c>
      <c r="X159" s="367" t="s">
        <v>6</v>
      </c>
      <c r="Y159" s="7"/>
      <c r="Z159" s="367" t="s">
        <v>6</v>
      </c>
      <c r="AA159" s="7"/>
      <c r="AB159" s="24" t="s">
        <v>6</v>
      </c>
      <c r="AC159" s="7"/>
      <c r="AD159" s="337" t="str">
        <f t="shared" si="7"/>
        <v/>
      </c>
    </row>
    <row r="160" spans="1:31" ht="13.5" customHeight="1">
      <c r="A160" s="338">
        <f t="shared" si="6"/>
        <v>106</v>
      </c>
      <c r="B160" s="19"/>
      <c r="C160" s="12"/>
      <c r="D160" s="22"/>
      <c r="E160" s="431"/>
      <c r="F160" s="375"/>
      <c r="G160" s="375"/>
      <c r="H160" s="12"/>
      <c r="I160" s="8"/>
      <c r="J160" s="17" t="s">
        <v>46</v>
      </c>
      <c r="K160" s="367" t="s">
        <v>6</v>
      </c>
      <c r="L160" s="23" t="s">
        <v>90</v>
      </c>
      <c r="M160" s="397"/>
      <c r="N160" s="367" t="s">
        <v>6</v>
      </c>
      <c r="O160" s="23" t="s">
        <v>90</v>
      </c>
      <c r="P160" s="367" t="s">
        <v>6</v>
      </c>
      <c r="Q160" s="7"/>
      <c r="R160" s="367" t="s">
        <v>6</v>
      </c>
      <c r="S160" s="23" t="s">
        <v>90</v>
      </c>
      <c r="T160" s="367" t="s">
        <v>6</v>
      </c>
      <c r="U160" s="23" t="s">
        <v>90</v>
      </c>
      <c r="V160" s="367" t="s">
        <v>6</v>
      </c>
      <c r="W160" s="23" t="s">
        <v>90</v>
      </c>
      <c r="X160" s="367" t="s">
        <v>6</v>
      </c>
      <c r="Y160" s="7"/>
      <c r="Z160" s="367" t="s">
        <v>6</v>
      </c>
      <c r="AA160" s="7"/>
      <c r="AB160" s="24" t="s">
        <v>6</v>
      </c>
      <c r="AC160" s="7"/>
      <c r="AD160" s="337" t="str">
        <f t="shared" si="7"/>
        <v/>
      </c>
    </row>
    <row r="161" spans="1:30" ht="13.5" customHeight="1">
      <c r="A161" s="338">
        <f t="shared" si="6"/>
        <v>107</v>
      </c>
      <c r="B161" s="19"/>
      <c r="C161" s="12"/>
      <c r="D161" s="22"/>
      <c r="E161" s="431"/>
      <c r="F161" s="375"/>
      <c r="G161" s="375"/>
      <c r="H161" s="12"/>
      <c r="I161" s="8"/>
      <c r="J161" s="17" t="s">
        <v>46</v>
      </c>
      <c r="K161" s="367" t="s">
        <v>6</v>
      </c>
      <c r="L161" s="23" t="s">
        <v>90</v>
      </c>
      <c r="M161" s="397"/>
      <c r="N161" s="367" t="s">
        <v>6</v>
      </c>
      <c r="O161" s="23" t="s">
        <v>90</v>
      </c>
      <c r="P161" s="367" t="s">
        <v>6</v>
      </c>
      <c r="Q161" s="7"/>
      <c r="R161" s="367" t="s">
        <v>6</v>
      </c>
      <c r="S161" s="23" t="s">
        <v>90</v>
      </c>
      <c r="T161" s="367" t="s">
        <v>6</v>
      </c>
      <c r="U161" s="23" t="s">
        <v>90</v>
      </c>
      <c r="V161" s="24" t="s">
        <v>6</v>
      </c>
      <c r="W161" s="23" t="s">
        <v>90</v>
      </c>
      <c r="X161" s="367" t="s">
        <v>6</v>
      </c>
      <c r="Y161" s="7"/>
      <c r="Z161" s="367" t="s">
        <v>6</v>
      </c>
      <c r="AA161" s="7"/>
      <c r="AB161" s="24" t="s">
        <v>6</v>
      </c>
      <c r="AC161" s="7"/>
      <c r="AD161" s="337" t="str">
        <f t="shared" si="7"/>
        <v/>
      </c>
    </row>
    <row r="162" spans="1:30" ht="13.5" customHeight="1">
      <c r="A162" s="338">
        <f t="shared" si="6"/>
        <v>108</v>
      </c>
      <c r="B162" s="19"/>
      <c r="C162" s="12"/>
      <c r="D162" s="22"/>
      <c r="E162" s="431"/>
      <c r="F162" s="375"/>
      <c r="G162" s="375"/>
      <c r="H162" s="12"/>
      <c r="I162" s="8"/>
      <c r="J162" s="17" t="s">
        <v>46</v>
      </c>
      <c r="K162" s="367" t="s">
        <v>6</v>
      </c>
      <c r="L162" s="23" t="s">
        <v>90</v>
      </c>
      <c r="M162" s="397"/>
      <c r="N162" s="367" t="s">
        <v>6</v>
      </c>
      <c r="O162" s="23" t="s">
        <v>90</v>
      </c>
      <c r="P162" s="367" t="s">
        <v>6</v>
      </c>
      <c r="Q162" s="7"/>
      <c r="R162" s="367" t="s">
        <v>6</v>
      </c>
      <c r="S162" s="23" t="s">
        <v>90</v>
      </c>
      <c r="T162" s="367" t="s">
        <v>6</v>
      </c>
      <c r="U162" s="23" t="s">
        <v>90</v>
      </c>
      <c r="V162" s="24" t="s">
        <v>6</v>
      </c>
      <c r="W162" s="23" t="s">
        <v>90</v>
      </c>
      <c r="X162" s="367" t="s">
        <v>6</v>
      </c>
      <c r="Y162" s="7"/>
      <c r="Z162" s="367" t="s">
        <v>6</v>
      </c>
      <c r="AA162" s="7"/>
      <c r="AB162" s="24" t="s">
        <v>6</v>
      </c>
      <c r="AC162" s="7"/>
      <c r="AD162" s="337" t="str">
        <f t="shared" si="7"/>
        <v/>
      </c>
    </row>
    <row r="163" spans="1:30" ht="13.5" customHeight="1">
      <c r="A163" s="338">
        <f t="shared" si="6"/>
        <v>109</v>
      </c>
      <c r="B163" s="19"/>
      <c r="C163" s="12"/>
      <c r="D163" s="22"/>
      <c r="E163" s="431"/>
      <c r="F163" s="375"/>
      <c r="G163" s="375"/>
      <c r="H163" s="12"/>
      <c r="I163" s="8"/>
      <c r="J163" s="17" t="s">
        <v>46</v>
      </c>
      <c r="K163" s="367" t="s">
        <v>6</v>
      </c>
      <c r="L163" s="23" t="s">
        <v>90</v>
      </c>
      <c r="M163" s="397"/>
      <c r="N163" s="367" t="s">
        <v>6</v>
      </c>
      <c r="O163" s="23" t="s">
        <v>90</v>
      </c>
      <c r="P163" s="367" t="s">
        <v>6</v>
      </c>
      <c r="Q163" s="7"/>
      <c r="R163" s="367" t="s">
        <v>6</v>
      </c>
      <c r="S163" s="23" t="s">
        <v>90</v>
      </c>
      <c r="T163" s="367" t="s">
        <v>6</v>
      </c>
      <c r="U163" s="23" t="s">
        <v>90</v>
      </c>
      <c r="V163" s="24" t="s">
        <v>6</v>
      </c>
      <c r="W163" s="23" t="s">
        <v>90</v>
      </c>
      <c r="X163" s="367" t="s">
        <v>6</v>
      </c>
      <c r="Y163" s="7"/>
      <c r="Z163" s="367" t="s">
        <v>6</v>
      </c>
      <c r="AA163" s="7"/>
      <c r="AB163" s="24" t="s">
        <v>6</v>
      </c>
      <c r="AC163" s="7"/>
      <c r="AD163" s="337" t="str">
        <f t="shared" si="7"/>
        <v/>
      </c>
    </row>
    <row r="164" spans="1:30" ht="13.5" customHeight="1">
      <c r="A164" s="338">
        <f t="shared" si="6"/>
        <v>110</v>
      </c>
      <c r="B164" s="19"/>
      <c r="C164" s="12"/>
      <c r="D164" s="22"/>
      <c r="E164" s="431"/>
      <c r="F164" s="375"/>
      <c r="G164" s="375"/>
      <c r="H164" s="12"/>
      <c r="I164" s="8"/>
      <c r="J164" s="17" t="s">
        <v>46</v>
      </c>
      <c r="K164" s="367" t="s">
        <v>6</v>
      </c>
      <c r="L164" s="23" t="s">
        <v>90</v>
      </c>
      <c r="M164" s="397"/>
      <c r="N164" s="367" t="s">
        <v>6</v>
      </c>
      <c r="O164" s="23" t="s">
        <v>90</v>
      </c>
      <c r="P164" s="367" t="s">
        <v>6</v>
      </c>
      <c r="Q164" s="7"/>
      <c r="R164" s="367" t="s">
        <v>6</v>
      </c>
      <c r="S164" s="23" t="s">
        <v>90</v>
      </c>
      <c r="T164" s="367" t="s">
        <v>6</v>
      </c>
      <c r="U164" s="23" t="s">
        <v>90</v>
      </c>
      <c r="V164" s="24" t="s">
        <v>6</v>
      </c>
      <c r="W164" s="23" t="s">
        <v>90</v>
      </c>
      <c r="X164" s="367" t="s">
        <v>6</v>
      </c>
      <c r="Y164" s="7"/>
      <c r="Z164" s="367" t="s">
        <v>6</v>
      </c>
      <c r="AA164" s="7"/>
      <c r="AB164" s="24" t="s">
        <v>6</v>
      </c>
      <c r="AC164" s="7"/>
      <c r="AD164" s="337" t="str">
        <f t="shared" si="7"/>
        <v/>
      </c>
    </row>
    <row r="165" spans="1:30" ht="13.5" customHeight="1">
      <c r="A165" s="338">
        <f t="shared" si="6"/>
        <v>111</v>
      </c>
      <c r="B165" s="19"/>
      <c r="C165" s="12"/>
      <c r="D165" s="22"/>
      <c r="E165" s="431"/>
      <c r="F165" s="375"/>
      <c r="G165" s="375"/>
      <c r="H165" s="12"/>
      <c r="I165" s="8"/>
      <c r="J165" s="17" t="s">
        <v>46</v>
      </c>
      <c r="K165" s="367" t="s">
        <v>6</v>
      </c>
      <c r="L165" s="23" t="s">
        <v>90</v>
      </c>
      <c r="M165" s="397"/>
      <c r="N165" s="367" t="s">
        <v>6</v>
      </c>
      <c r="O165" s="23" t="s">
        <v>90</v>
      </c>
      <c r="P165" s="367" t="s">
        <v>6</v>
      </c>
      <c r="Q165" s="7"/>
      <c r="R165" s="367" t="s">
        <v>6</v>
      </c>
      <c r="S165" s="23" t="s">
        <v>90</v>
      </c>
      <c r="T165" s="367" t="s">
        <v>6</v>
      </c>
      <c r="U165" s="23" t="s">
        <v>90</v>
      </c>
      <c r="V165" s="24" t="s">
        <v>6</v>
      </c>
      <c r="W165" s="23" t="s">
        <v>90</v>
      </c>
      <c r="X165" s="367" t="s">
        <v>6</v>
      </c>
      <c r="Y165" s="7"/>
      <c r="Z165" s="367" t="s">
        <v>6</v>
      </c>
      <c r="AA165" s="7"/>
      <c r="AB165" s="24" t="s">
        <v>6</v>
      </c>
      <c r="AC165" s="7"/>
      <c r="AD165" s="337" t="str">
        <f t="shared" si="7"/>
        <v/>
      </c>
    </row>
    <row r="166" spans="1:30" ht="13.5" customHeight="1">
      <c r="A166" s="338">
        <f t="shared" si="6"/>
        <v>112</v>
      </c>
      <c r="B166" s="19"/>
      <c r="C166" s="12"/>
      <c r="D166" s="22"/>
      <c r="E166" s="431"/>
      <c r="F166" s="375"/>
      <c r="G166" s="375"/>
      <c r="H166" s="12"/>
      <c r="I166" s="8"/>
      <c r="J166" s="17" t="s">
        <v>46</v>
      </c>
      <c r="K166" s="367" t="s">
        <v>6</v>
      </c>
      <c r="L166" s="23" t="s">
        <v>90</v>
      </c>
      <c r="M166" s="397"/>
      <c r="N166" s="367" t="s">
        <v>6</v>
      </c>
      <c r="O166" s="23" t="s">
        <v>90</v>
      </c>
      <c r="P166" s="367" t="s">
        <v>6</v>
      </c>
      <c r="Q166" s="7"/>
      <c r="R166" s="367" t="s">
        <v>6</v>
      </c>
      <c r="S166" s="23" t="s">
        <v>90</v>
      </c>
      <c r="T166" s="367" t="s">
        <v>6</v>
      </c>
      <c r="U166" s="23" t="s">
        <v>90</v>
      </c>
      <c r="V166" s="24" t="s">
        <v>6</v>
      </c>
      <c r="W166" s="23" t="s">
        <v>90</v>
      </c>
      <c r="X166" s="367" t="s">
        <v>6</v>
      </c>
      <c r="Y166" s="7"/>
      <c r="Z166" s="367" t="s">
        <v>6</v>
      </c>
      <c r="AA166" s="7"/>
      <c r="AB166" s="24" t="s">
        <v>6</v>
      </c>
      <c r="AC166" s="7"/>
      <c r="AD166" s="337" t="str">
        <f t="shared" si="7"/>
        <v/>
      </c>
    </row>
    <row r="167" spans="1:30" ht="13.5" customHeight="1">
      <c r="A167" s="338">
        <f t="shared" si="6"/>
        <v>113</v>
      </c>
      <c r="B167" s="19"/>
      <c r="C167" s="12"/>
      <c r="D167" s="22"/>
      <c r="E167" s="431"/>
      <c r="F167" s="375"/>
      <c r="G167" s="375"/>
      <c r="H167" s="12"/>
      <c r="I167" s="8"/>
      <c r="J167" s="17" t="s">
        <v>46</v>
      </c>
      <c r="K167" s="367" t="s">
        <v>6</v>
      </c>
      <c r="L167" s="23" t="s">
        <v>90</v>
      </c>
      <c r="M167" s="397"/>
      <c r="N167" s="367" t="s">
        <v>6</v>
      </c>
      <c r="O167" s="23" t="s">
        <v>90</v>
      </c>
      <c r="P167" s="367" t="s">
        <v>6</v>
      </c>
      <c r="Q167" s="7"/>
      <c r="R167" s="367" t="s">
        <v>6</v>
      </c>
      <c r="S167" s="23" t="s">
        <v>90</v>
      </c>
      <c r="T167" s="367" t="s">
        <v>6</v>
      </c>
      <c r="U167" s="23" t="s">
        <v>90</v>
      </c>
      <c r="V167" s="367" t="s">
        <v>6</v>
      </c>
      <c r="W167" s="23" t="s">
        <v>90</v>
      </c>
      <c r="X167" s="367" t="s">
        <v>6</v>
      </c>
      <c r="Y167" s="7"/>
      <c r="Z167" s="367" t="s">
        <v>6</v>
      </c>
      <c r="AA167" s="7"/>
      <c r="AB167" s="24" t="s">
        <v>6</v>
      </c>
      <c r="AC167" s="7"/>
      <c r="AD167" s="337" t="str">
        <f t="shared" si="7"/>
        <v/>
      </c>
    </row>
    <row r="168" spans="1:30" ht="13.5" customHeight="1">
      <c r="A168" s="338">
        <f t="shared" si="6"/>
        <v>114</v>
      </c>
      <c r="B168" s="19"/>
      <c r="C168" s="12"/>
      <c r="D168" s="22"/>
      <c r="E168" s="431"/>
      <c r="F168" s="375"/>
      <c r="G168" s="375"/>
      <c r="H168" s="12"/>
      <c r="I168" s="8"/>
      <c r="J168" s="17" t="s">
        <v>46</v>
      </c>
      <c r="K168" s="367" t="s">
        <v>6</v>
      </c>
      <c r="L168" s="23" t="s">
        <v>90</v>
      </c>
      <c r="M168" s="397"/>
      <c r="N168" s="367" t="s">
        <v>6</v>
      </c>
      <c r="O168" s="23" t="s">
        <v>90</v>
      </c>
      <c r="P168" s="367" t="s">
        <v>6</v>
      </c>
      <c r="Q168" s="7"/>
      <c r="R168" s="367" t="s">
        <v>6</v>
      </c>
      <c r="S168" s="23" t="s">
        <v>90</v>
      </c>
      <c r="T168" s="367" t="s">
        <v>6</v>
      </c>
      <c r="U168" s="23" t="s">
        <v>90</v>
      </c>
      <c r="V168" s="24" t="s">
        <v>6</v>
      </c>
      <c r="W168" s="23" t="s">
        <v>90</v>
      </c>
      <c r="X168" s="367" t="s">
        <v>6</v>
      </c>
      <c r="Y168" s="7"/>
      <c r="Z168" s="367" t="s">
        <v>6</v>
      </c>
      <c r="AA168" s="7"/>
      <c r="AB168" s="24" t="s">
        <v>6</v>
      </c>
      <c r="AC168" s="7"/>
      <c r="AD168" s="337" t="str">
        <f t="shared" si="7"/>
        <v/>
      </c>
    </row>
    <row r="169" spans="1:30" ht="13.5" customHeight="1">
      <c r="A169" s="338">
        <f t="shared" si="6"/>
        <v>115</v>
      </c>
      <c r="B169" s="19"/>
      <c r="C169" s="12"/>
      <c r="D169" s="22"/>
      <c r="E169" s="431"/>
      <c r="F169" s="375"/>
      <c r="G169" s="375"/>
      <c r="H169" s="12"/>
      <c r="I169" s="8"/>
      <c r="J169" s="17" t="s">
        <v>46</v>
      </c>
      <c r="K169" s="367" t="s">
        <v>6</v>
      </c>
      <c r="L169" s="23" t="s">
        <v>90</v>
      </c>
      <c r="M169" s="397"/>
      <c r="N169" s="367" t="s">
        <v>6</v>
      </c>
      <c r="O169" s="23" t="s">
        <v>90</v>
      </c>
      <c r="P169" s="367" t="s">
        <v>6</v>
      </c>
      <c r="Q169" s="7"/>
      <c r="R169" s="367" t="s">
        <v>6</v>
      </c>
      <c r="S169" s="23" t="s">
        <v>90</v>
      </c>
      <c r="T169" s="367" t="s">
        <v>6</v>
      </c>
      <c r="U169" s="23" t="s">
        <v>90</v>
      </c>
      <c r="V169" s="367" t="s">
        <v>6</v>
      </c>
      <c r="W169" s="23" t="s">
        <v>90</v>
      </c>
      <c r="X169" s="367" t="s">
        <v>6</v>
      </c>
      <c r="Y169" s="7"/>
      <c r="Z169" s="367" t="s">
        <v>6</v>
      </c>
      <c r="AA169" s="7"/>
      <c r="AB169" s="24" t="s">
        <v>6</v>
      </c>
      <c r="AC169" s="7"/>
      <c r="AD169" s="337" t="str">
        <f t="shared" si="7"/>
        <v/>
      </c>
    </row>
    <row r="170" spans="1:30" ht="13.5" customHeight="1">
      <c r="A170" s="338">
        <f t="shared" si="6"/>
        <v>116</v>
      </c>
      <c r="B170" s="19"/>
      <c r="C170" s="12"/>
      <c r="D170" s="22"/>
      <c r="E170" s="431"/>
      <c r="F170" s="375"/>
      <c r="G170" s="375"/>
      <c r="H170" s="12"/>
      <c r="I170" s="8"/>
      <c r="J170" s="17" t="s">
        <v>46</v>
      </c>
      <c r="K170" s="367" t="s">
        <v>6</v>
      </c>
      <c r="L170" s="23" t="s">
        <v>90</v>
      </c>
      <c r="M170" s="397"/>
      <c r="N170" s="367" t="s">
        <v>6</v>
      </c>
      <c r="O170" s="23" t="s">
        <v>90</v>
      </c>
      <c r="P170" s="367" t="s">
        <v>6</v>
      </c>
      <c r="Q170" s="7"/>
      <c r="R170" s="367" t="s">
        <v>6</v>
      </c>
      <c r="S170" s="23" t="s">
        <v>90</v>
      </c>
      <c r="T170" s="367" t="s">
        <v>6</v>
      </c>
      <c r="U170" s="23" t="s">
        <v>90</v>
      </c>
      <c r="V170" s="367" t="s">
        <v>6</v>
      </c>
      <c r="W170" s="23" t="s">
        <v>90</v>
      </c>
      <c r="X170" s="367" t="s">
        <v>6</v>
      </c>
      <c r="Y170" s="7"/>
      <c r="Z170" s="367" t="s">
        <v>6</v>
      </c>
      <c r="AA170" s="7"/>
      <c r="AB170" s="24" t="s">
        <v>6</v>
      </c>
      <c r="AC170" s="7"/>
      <c r="AD170" s="337" t="str">
        <f t="shared" si="7"/>
        <v/>
      </c>
    </row>
    <row r="171" spans="1:30" ht="13.5" customHeight="1">
      <c r="A171" s="338">
        <f t="shared" si="6"/>
        <v>117</v>
      </c>
      <c r="B171" s="19"/>
      <c r="C171" s="12"/>
      <c r="D171" s="22"/>
      <c r="E171" s="431"/>
      <c r="F171" s="375"/>
      <c r="G171" s="375"/>
      <c r="H171" s="12"/>
      <c r="I171" s="8"/>
      <c r="J171" s="17" t="s">
        <v>46</v>
      </c>
      <c r="K171" s="367" t="s">
        <v>6</v>
      </c>
      <c r="L171" s="23" t="s">
        <v>90</v>
      </c>
      <c r="M171" s="397"/>
      <c r="N171" s="367" t="s">
        <v>6</v>
      </c>
      <c r="O171" s="23" t="s">
        <v>90</v>
      </c>
      <c r="P171" s="367" t="s">
        <v>6</v>
      </c>
      <c r="Q171" s="7"/>
      <c r="R171" s="367" t="s">
        <v>6</v>
      </c>
      <c r="S171" s="23" t="s">
        <v>90</v>
      </c>
      <c r="T171" s="367" t="s">
        <v>6</v>
      </c>
      <c r="U171" s="23" t="s">
        <v>90</v>
      </c>
      <c r="V171" s="367" t="s">
        <v>6</v>
      </c>
      <c r="W171" s="23" t="s">
        <v>90</v>
      </c>
      <c r="X171" s="367" t="s">
        <v>6</v>
      </c>
      <c r="Y171" s="7"/>
      <c r="Z171" s="367" t="s">
        <v>6</v>
      </c>
      <c r="AA171" s="7"/>
      <c r="AB171" s="24" t="s">
        <v>6</v>
      </c>
      <c r="AC171" s="7"/>
      <c r="AD171" s="337" t="str">
        <f t="shared" si="7"/>
        <v/>
      </c>
    </row>
    <row r="172" spans="1:30" ht="13.5" customHeight="1">
      <c r="A172" s="338">
        <f t="shared" si="6"/>
        <v>118</v>
      </c>
      <c r="B172" s="19"/>
      <c r="C172" s="12"/>
      <c r="D172" s="22"/>
      <c r="E172" s="431"/>
      <c r="F172" s="375"/>
      <c r="G172" s="375"/>
      <c r="H172" s="12"/>
      <c r="I172" s="8"/>
      <c r="J172" s="17" t="s">
        <v>46</v>
      </c>
      <c r="K172" s="367" t="s">
        <v>6</v>
      </c>
      <c r="L172" s="23" t="s">
        <v>90</v>
      </c>
      <c r="M172" s="397"/>
      <c r="N172" s="367" t="s">
        <v>6</v>
      </c>
      <c r="O172" s="23" t="s">
        <v>90</v>
      </c>
      <c r="P172" s="367" t="s">
        <v>6</v>
      </c>
      <c r="Q172" s="7"/>
      <c r="R172" s="367" t="s">
        <v>6</v>
      </c>
      <c r="S172" s="23" t="s">
        <v>90</v>
      </c>
      <c r="T172" s="367" t="s">
        <v>6</v>
      </c>
      <c r="U172" s="23" t="s">
        <v>90</v>
      </c>
      <c r="V172" s="367" t="s">
        <v>6</v>
      </c>
      <c r="W172" s="23" t="s">
        <v>90</v>
      </c>
      <c r="X172" s="367" t="s">
        <v>6</v>
      </c>
      <c r="Y172" s="7"/>
      <c r="Z172" s="367" t="s">
        <v>6</v>
      </c>
      <c r="AA172" s="7"/>
      <c r="AB172" s="24" t="s">
        <v>6</v>
      </c>
      <c r="AC172" s="7"/>
      <c r="AD172" s="337" t="str">
        <f t="shared" si="7"/>
        <v/>
      </c>
    </row>
    <row r="173" spans="1:30" ht="13.5" customHeight="1">
      <c r="A173" s="338">
        <f t="shared" si="6"/>
        <v>119</v>
      </c>
      <c r="B173" s="19"/>
      <c r="C173" s="12"/>
      <c r="D173" s="22"/>
      <c r="E173" s="431"/>
      <c r="F173" s="375"/>
      <c r="G173" s="375"/>
      <c r="H173" s="12"/>
      <c r="I173" s="8"/>
      <c r="J173" s="17" t="s">
        <v>46</v>
      </c>
      <c r="K173" s="367" t="s">
        <v>6</v>
      </c>
      <c r="L173" s="23" t="s">
        <v>90</v>
      </c>
      <c r="M173" s="397"/>
      <c r="N173" s="367" t="s">
        <v>6</v>
      </c>
      <c r="O173" s="23" t="s">
        <v>90</v>
      </c>
      <c r="P173" s="367" t="s">
        <v>6</v>
      </c>
      <c r="Q173" s="7"/>
      <c r="R173" s="367" t="s">
        <v>6</v>
      </c>
      <c r="S173" s="23" t="s">
        <v>90</v>
      </c>
      <c r="T173" s="367" t="s">
        <v>6</v>
      </c>
      <c r="U173" s="23" t="s">
        <v>90</v>
      </c>
      <c r="V173" s="367" t="s">
        <v>6</v>
      </c>
      <c r="W173" s="23" t="s">
        <v>90</v>
      </c>
      <c r="X173" s="367" t="s">
        <v>6</v>
      </c>
      <c r="Y173" s="7"/>
      <c r="Z173" s="367" t="s">
        <v>6</v>
      </c>
      <c r="AA173" s="7"/>
      <c r="AB173" s="24" t="s">
        <v>6</v>
      </c>
      <c r="AC173" s="7"/>
      <c r="AD173" s="337" t="str">
        <f t="shared" si="7"/>
        <v/>
      </c>
    </row>
    <row r="174" spans="1:30" ht="13.5" customHeight="1">
      <c r="A174" s="338">
        <f t="shared" si="6"/>
        <v>120</v>
      </c>
      <c r="B174" s="19"/>
      <c r="C174" s="12"/>
      <c r="D174" s="22"/>
      <c r="E174" s="431"/>
      <c r="F174" s="375"/>
      <c r="G174" s="375"/>
      <c r="H174" s="12"/>
      <c r="I174" s="8"/>
      <c r="J174" s="17" t="s">
        <v>46</v>
      </c>
      <c r="K174" s="367" t="s">
        <v>6</v>
      </c>
      <c r="L174" s="23" t="s">
        <v>90</v>
      </c>
      <c r="M174" s="397"/>
      <c r="N174" s="367" t="s">
        <v>6</v>
      </c>
      <c r="O174" s="23" t="s">
        <v>90</v>
      </c>
      <c r="P174" s="367" t="s">
        <v>6</v>
      </c>
      <c r="Q174" s="7"/>
      <c r="R174" s="367" t="s">
        <v>6</v>
      </c>
      <c r="S174" s="23" t="s">
        <v>90</v>
      </c>
      <c r="T174" s="367" t="s">
        <v>6</v>
      </c>
      <c r="U174" s="23" t="s">
        <v>90</v>
      </c>
      <c r="V174" s="367" t="s">
        <v>6</v>
      </c>
      <c r="W174" s="23" t="s">
        <v>90</v>
      </c>
      <c r="X174" s="367" t="s">
        <v>6</v>
      </c>
      <c r="Y174" s="7"/>
      <c r="Z174" s="367" t="s">
        <v>6</v>
      </c>
      <c r="AA174" s="7"/>
      <c r="AB174" s="24" t="s">
        <v>6</v>
      </c>
      <c r="AC174" s="7"/>
      <c r="AD174" s="337" t="str">
        <f t="shared" si="7"/>
        <v/>
      </c>
    </row>
    <row r="175" spans="1:30" ht="13.5" customHeight="1">
      <c r="A175" s="338">
        <f t="shared" si="6"/>
        <v>121</v>
      </c>
      <c r="B175" s="19"/>
      <c r="C175" s="12"/>
      <c r="D175" s="22"/>
      <c r="E175" s="431"/>
      <c r="F175" s="375"/>
      <c r="G175" s="375"/>
      <c r="H175" s="12"/>
      <c r="I175" s="8"/>
      <c r="J175" s="17" t="s">
        <v>46</v>
      </c>
      <c r="K175" s="367" t="s">
        <v>6</v>
      </c>
      <c r="L175" s="23" t="s">
        <v>90</v>
      </c>
      <c r="M175" s="397"/>
      <c r="N175" s="367" t="s">
        <v>6</v>
      </c>
      <c r="O175" s="23" t="s">
        <v>90</v>
      </c>
      <c r="P175" s="367" t="s">
        <v>6</v>
      </c>
      <c r="Q175" s="7"/>
      <c r="R175" s="367" t="s">
        <v>6</v>
      </c>
      <c r="S175" s="23" t="s">
        <v>90</v>
      </c>
      <c r="T175" s="367" t="s">
        <v>6</v>
      </c>
      <c r="U175" s="23" t="s">
        <v>90</v>
      </c>
      <c r="V175" s="24" t="s">
        <v>6</v>
      </c>
      <c r="W175" s="23" t="s">
        <v>90</v>
      </c>
      <c r="X175" s="367" t="s">
        <v>6</v>
      </c>
      <c r="Y175" s="7"/>
      <c r="Z175" s="367" t="s">
        <v>6</v>
      </c>
      <c r="AA175" s="7"/>
      <c r="AB175" s="24" t="s">
        <v>6</v>
      </c>
      <c r="AC175" s="7"/>
      <c r="AD175" s="337" t="str">
        <f t="shared" si="7"/>
        <v/>
      </c>
    </row>
    <row r="176" spans="1:30" ht="13.5" customHeight="1">
      <c r="A176" s="338">
        <f t="shared" si="6"/>
        <v>122</v>
      </c>
      <c r="B176" s="19"/>
      <c r="C176" s="12"/>
      <c r="D176" s="22"/>
      <c r="E176" s="431"/>
      <c r="F176" s="375"/>
      <c r="G176" s="375"/>
      <c r="H176" s="12"/>
      <c r="I176" s="8"/>
      <c r="J176" s="17" t="s">
        <v>46</v>
      </c>
      <c r="K176" s="367" t="s">
        <v>6</v>
      </c>
      <c r="L176" s="23" t="s">
        <v>90</v>
      </c>
      <c r="M176" s="397"/>
      <c r="N176" s="367" t="s">
        <v>6</v>
      </c>
      <c r="O176" s="23" t="s">
        <v>90</v>
      </c>
      <c r="P176" s="367" t="s">
        <v>6</v>
      </c>
      <c r="Q176" s="7"/>
      <c r="R176" s="367" t="s">
        <v>6</v>
      </c>
      <c r="S176" s="23" t="s">
        <v>90</v>
      </c>
      <c r="T176" s="367" t="s">
        <v>6</v>
      </c>
      <c r="U176" s="23" t="s">
        <v>90</v>
      </c>
      <c r="V176" s="24" t="s">
        <v>6</v>
      </c>
      <c r="W176" s="23" t="s">
        <v>90</v>
      </c>
      <c r="X176" s="367" t="s">
        <v>6</v>
      </c>
      <c r="Y176" s="7"/>
      <c r="Z176" s="367" t="s">
        <v>6</v>
      </c>
      <c r="AA176" s="7"/>
      <c r="AB176" s="24" t="s">
        <v>6</v>
      </c>
      <c r="AC176" s="7"/>
      <c r="AD176" s="337" t="str">
        <f t="shared" ref="AD176:AD193" si="8">IF(H176="","",VLOOKUP(H176,Classes,2))</f>
        <v/>
      </c>
    </row>
    <row r="177" spans="1:30" ht="13.5" customHeight="1">
      <c r="A177" s="338">
        <f t="shared" si="6"/>
        <v>123</v>
      </c>
      <c r="B177" s="19"/>
      <c r="C177" s="12"/>
      <c r="D177" s="22"/>
      <c r="E177" s="431"/>
      <c r="F177" s="375"/>
      <c r="G177" s="375"/>
      <c r="H177" s="12"/>
      <c r="I177" s="8"/>
      <c r="J177" s="17" t="s">
        <v>46</v>
      </c>
      <c r="K177" s="367" t="s">
        <v>6</v>
      </c>
      <c r="L177" s="23" t="s">
        <v>90</v>
      </c>
      <c r="M177" s="397"/>
      <c r="N177" s="367" t="s">
        <v>6</v>
      </c>
      <c r="O177" s="23" t="s">
        <v>90</v>
      </c>
      <c r="P177" s="367" t="s">
        <v>6</v>
      </c>
      <c r="Q177" s="7"/>
      <c r="R177" s="367" t="s">
        <v>6</v>
      </c>
      <c r="S177" s="23" t="s">
        <v>90</v>
      </c>
      <c r="T177" s="367" t="s">
        <v>6</v>
      </c>
      <c r="U177" s="23" t="s">
        <v>90</v>
      </c>
      <c r="V177" s="24" t="s">
        <v>6</v>
      </c>
      <c r="W177" s="23" t="s">
        <v>90</v>
      </c>
      <c r="X177" s="367" t="s">
        <v>6</v>
      </c>
      <c r="Y177" s="7"/>
      <c r="Z177" s="367" t="s">
        <v>6</v>
      </c>
      <c r="AA177" s="7"/>
      <c r="AB177" s="24" t="s">
        <v>6</v>
      </c>
      <c r="AC177" s="7"/>
      <c r="AD177" s="337" t="str">
        <f t="shared" si="8"/>
        <v/>
      </c>
    </row>
    <row r="178" spans="1:30" ht="13.5" customHeight="1">
      <c r="A178" s="338">
        <f t="shared" si="6"/>
        <v>124</v>
      </c>
      <c r="B178" s="19"/>
      <c r="C178" s="12"/>
      <c r="D178" s="22"/>
      <c r="E178" s="431"/>
      <c r="F178" s="375"/>
      <c r="G178" s="375"/>
      <c r="H178" s="12"/>
      <c r="I178" s="8"/>
      <c r="J178" s="17" t="s">
        <v>46</v>
      </c>
      <c r="K178" s="367" t="s">
        <v>6</v>
      </c>
      <c r="L178" s="23" t="s">
        <v>90</v>
      </c>
      <c r="M178" s="397"/>
      <c r="N178" s="367" t="s">
        <v>6</v>
      </c>
      <c r="O178" s="23" t="s">
        <v>90</v>
      </c>
      <c r="P178" s="367" t="s">
        <v>6</v>
      </c>
      <c r="Q178" s="7"/>
      <c r="R178" s="367" t="s">
        <v>6</v>
      </c>
      <c r="S178" s="23" t="s">
        <v>90</v>
      </c>
      <c r="T178" s="367" t="s">
        <v>6</v>
      </c>
      <c r="U178" s="23" t="s">
        <v>90</v>
      </c>
      <c r="V178" s="367" t="s">
        <v>6</v>
      </c>
      <c r="W178" s="23" t="s">
        <v>90</v>
      </c>
      <c r="X178" s="367" t="s">
        <v>6</v>
      </c>
      <c r="Y178" s="7"/>
      <c r="Z178" s="367" t="s">
        <v>6</v>
      </c>
      <c r="AA178" s="7"/>
      <c r="AB178" s="24" t="s">
        <v>6</v>
      </c>
      <c r="AC178" s="7"/>
      <c r="AD178" s="337" t="str">
        <f t="shared" si="8"/>
        <v/>
      </c>
    </row>
    <row r="179" spans="1:30" ht="13.5" customHeight="1">
      <c r="A179" s="338">
        <f t="shared" si="6"/>
        <v>125</v>
      </c>
      <c r="B179" s="19"/>
      <c r="C179" s="12"/>
      <c r="D179" s="22"/>
      <c r="E179" s="431"/>
      <c r="F179" s="375"/>
      <c r="G179" s="375"/>
      <c r="H179" s="12"/>
      <c r="I179" s="8"/>
      <c r="J179" s="17" t="s">
        <v>46</v>
      </c>
      <c r="K179" s="367" t="s">
        <v>6</v>
      </c>
      <c r="L179" s="23" t="s">
        <v>90</v>
      </c>
      <c r="M179" s="397"/>
      <c r="N179" s="367" t="s">
        <v>6</v>
      </c>
      <c r="O179" s="23" t="s">
        <v>90</v>
      </c>
      <c r="P179" s="367" t="s">
        <v>6</v>
      </c>
      <c r="Q179" s="7"/>
      <c r="R179" s="367" t="s">
        <v>6</v>
      </c>
      <c r="S179" s="23" t="s">
        <v>90</v>
      </c>
      <c r="T179" s="367" t="s">
        <v>6</v>
      </c>
      <c r="U179" s="23" t="s">
        <v>90</v>
      </c>
      <c r="V179" s="367" t="s">
        <v>6</v>
      </c>
      <c r="W179" s="23" t="s">
        <v>90</v>
      </c>
      <c r="X179" s="367" t="s">
        <v>6</v>
      </c>
      <c r="Y179" s="7"/>
      <c r="Z179" s="367" t="s">
        <v>6</v>
      </c>
      <c r="AA179" s="7"/>
      <c r="AB179" s="24" t="s">
        <v>6</v>
      </c>
      <c r="AC179" s="7"/>
      <c r="AD179" s="337" t="str">
        <f t="shared" si="8"/>
        <v/>
      </c>
    </row>
    <row r="180" spans="1:30" ht="13.5" customHeight="1">
      <c r="A180" s="338">
        <f t="shared" si="6"/>
        <v>126</v>
      </c>
      <c r="B180" s="19"/>
      <c r="C180" s="12"/>
      <c r="D180" s="22"/>
      <c r="E180" s="431"/>
      <c r="F180" s="375"/>
      <c r="G180" s="375"/>
      <c r="H180" s="12"/>
      <c r="I180" s="8"/>
      <c r="J180" s="17" t="s">
        <v>46</v>
      </c>
      <c r="K180" s="367" t="s">
        <v>6</v>
      </c>
      <c r="L180" s="23" t="s">
        <v>90</v>
      </c>
      <c r="M180" s="397"/>
      <c r="N180" s="367" t="s">
        <v>6</v>
      </c>
      <c r="O180" s="23" t="s">
        <v>90</v>
      </c>
      <c r="P180" s="367" t="s">
        <v>6</v>
      </c>
      <c r="Q180" s="7"/>
      <c r="R180" s="367" t="s">
        <v>6</v>
      </c>
      <c r="S180" s="23" t="s">
        <v>90</v>
      </c>
      <c r="T180" s="367" t="s">
        <v>6</v>
      </c>
      <c r="U180" s="23" t="s">
        <v>90</v>
      </c>
      <c r="V180" s="367" t="s">
        <v>6</v>
      </c>
      <c r="W180" s="23" t="s">
        <v>90</v>
      </c>
      <c r="X180" s="367" t="s">
        <v>6</v>
      </c>
      <c r="Y180" s="7"/>
      <c r="Z180" s="367" t="s">
        <v>6</v>
      </c>
      <c r="AA180" s="7"/>
      <c r="AB180" s="24" t="s">
        <v>6</v>
      </c>
      <c r="AC180" s="7"/>
      <c r="AD180" s="337" t="str">
        <f t="shared" si="8"/>
        <v/>
      </c>
    </row>
    <row r="181" spans="1:30" ht="13.5" customHeight="1">
      <c r="A181" s="338">
        <f t="shared" si="6"/>
        <v>127</v>
      </c>
      <c r="B181" s="19"/>
      <c r="C181" s="12"/>
      <c r="D181" s="22"/>
      <c r="E181" s="431"/>
      <c r="F181" s="375"/>
      <c r="G181" s="375"/>
      <c r="H181" s="12"/>
      <c r="I181" s="8"/>
      <c r="J181" s="17" t="s">
        <v>46</v>
      </c>
      <c r="K181" s="367" t="s">
        <v>6</v>
      </c>
      <c r="L181" s="23" t="s">
        <v>90</v>
      </c>
      <c r="M181" s="397"/>
      <c r="N181" s="367" t="s">
        <v>6</v>
      </c>
      <c r="O181" s="23" t="s">
        <v>90</v>
      </c>
      <c r="P181" s="367" t="s">
        <v>6</v>
      </c>
      <c r="Q181" s="7"/>
      <c r="R181" s="367" t="s">
        <v>6</v>
      </c>
      <c r="S181" s="23" t="s">
        <v>90</v>
      </c>
      <c r="T181" s="367" t="s">
        <v>6</v>
      </c>
      <c r="U181" s="23" t="s">
        <v>90</v>
      </c>
      <c r="V181" s="367" t="s">
        <v>6</v>
      </c>
      <c r="W181" s="23" t="s">
        <v>90</v>
      </c>
      <c r="X181" s="367" t="s">
        <v>6</v>
      </c>
      <c r="Y181" s="7"/>
      <c r="Z181" s="367" t="s">
        <v>6</v>
      </c>
      <c r="AA181" s="7"/>
      <c r="AB181" s="24" t="s">
        <v>6</v>
      </c>
      <c r="AC181" s="7"/>
      <c r="AD181" s="337" t="str">
        <f t="shared" si="8"/>
        <v/>
      </c>
    </row>
    <row r="182" spans="1:30" ht="13.5" customHeight="1">
      <c r="A182" s="338">
        <f t="shared" si="6"/>
        <v>128</v>
      </c>
      <c r="B182" s="19"/>
      <c r="C182" s="12"/>
      <c r="D182" s="22"/>
      <c r="E182" s="431"/>
      <c r="F182" s="375"/>
      <c r="G182" s="375"/>
      <c r="H182" s="12"/>
      <c r="I182" s="8"/>
      <c r="J182" s="17" t="s">
        <v>46</v>
      </c>
      <c r="K182" s="367" t="s">
        <v>6</v>
      </c>
      <c r="L182" s="23" t="s">
        <v>90</v>
      </c>
      <c r="M182" s="397"/>
      <c r="N182" s="367" t="s">
        <v>6</v>
      </c>
      <c r="O182" s="23" t="s">
        <v>90</v>
      </c>
      <c r="P182" s="367" t="s">
        <v>6</v>
      </c>
      <c r="Q182" s="7"/>
      <c r="R182" s="367" t="s">
        <v>6</v>
      </c>
      <c r="S182" s="23" t="s">
        <v>90</v>
      </c>
      <c r="T182" s="367" t="s">
        <v>6</v>
      </c>
      <c r="U182" s="23" t="s">
        <v>90</v>
      </c>
      <c r="V182" s="24" t="s">
        <v>6</v>
      </c>
      <c r="W182" s="23" t="s">
        <v>90</v>
      </c>
      <c r="X182" s="367" t="s">
        <v>6</v>
      </c>
      <c r="Y182" s="7"/>
      <c r="Z182" s="367" t="s">
        <v>6</v>
      </c>
      <c r="AA182" s="7"/>
      <c r="AB182" s="24" t="s">
        <v>6</v>
      </c>
      <c r="AC182" s="7"/>
      <c r="AD182" s="337" t="str">
        <f t="shared" si="8"/>
        <v/>
      </c>
    </row>
    <row r="183" spans="1:30" ht="13.5" customHeight="1">
      <c r="A183" s="338">
        <f t="shared" si="6"/>
        <v>129</v>
      </c>
      <c r="B183" s="19"/>
      <c r="C183" s="12"/>
      <c r="D183" s="22"/>
      <c r="E183" s="431"/>
      <c r="F183" s="375"/>
      <c r="G183" s="375"/>
      <c r="H183" s="12"/>
      <c r="I183" s="8"/>
      <c r="J183" s="17" t="s">
        <v>46</v>
      </c>
      <c r="K183" s="367" t="s">
        <v>6</v>
      </c>
      <c r="L183" s="23" t="s">
        <v>90</v>
      </c>
      <c r="M183" s="397"/>
      <c r="N183" s="367" t="s">
        <v>6</v>
      </c>
      <c r="O183" s="23" t="s">
        <v>90</v>
      </c>
      <c r="P183" s="367" t="s">
        <v>6</v>
      </c>
      <c r="Q183" s="7"/>
      <c r="R183" s="367" t="s">
        <v>6</v>
      </c>
      <c r="S183" s="23" t="s">
        <v>90</v>
      </c>
      <c r="T183" s="367" t="s">
        <v>6</v>
      </c>
      <c r="U183" s="23" t="s">
        <v>90</v>
      </c>
      <c r="V183" s="24" t="s">
        <v>6</v>
      </c>
      <c r="W183" s="23" t="s">
        <v>90</v>
      </c>
      <c r="X183" s="367" t="s">
        <v>6</v>
      </c>
      <c r="Y183" s="7"/>
      <c r="Z183" s="367" t="s">
        <v>6</v>
      </c>
      <c r="AA183" s="7"/>
      <c r="AB183" s="24" t="s">
        <v>6</v>
      </c>
      <c r="AC183" s="7"/>
      <c r="AD183" s="337" t="str">
        <f t="shared" si="8"/>
        <v/>
      </c>
    </row>
    <row r="184" spans="1:30" ht="13.5" customHeight="1">
      <c r="A184" s="338">
        <f t="shared" si="6"/>
        <v>130</v>
      </c>
      <c r="B184" s="19"/>
      <c r="C184" s="12"/>
      <c r="D184" s="22"/>
      <c r="E184" s="431"/>
      <c r="F184" s="375"/>
      <c r="G184" s="375"/>
      <c r="H184" s="12"/>
      <c r="I184" s="8"/>
      <c r="J184" s="17" t="s">
        <v>46</v>
      </c>
      <c r="K184" s="367" t="s">
        <v>6</v>
      </c>
      <c r="L184" s="23" t="s">
        <v>90</v>
      </c>
      <c r="M184" s="397"/>
      <c r="N184" s="367" t="s">
        <v>6</v>
      </c>
      <c r="O184" s="23" t="s">
        <v>90</v>
      </c>
      <c r="P184" s="367" t="s">
        <v>6</v>
      </c>
      <c r="Q184" s="7"/>
      <c r="R184" s="367" t="s">
        <v>6</v>
      </c>
      <c r="S184" s="23" t="s">
        <v>90</v>
      </c>
      <c r="T184" s="367" t="s">
        <v>6</v>
      </c>
      <c r="U184" s="23" t="s">
        <v>90</v>
      </c>
      <c r="V184" s="24" t="s">
        <v>6</v>
      </c>
      <c r="W184" s="23" t="s">
        <v>90</v>
      </c>
      <c r="X184" s="367" t="s">
        <v>6</v>
      </c>
      <c r="Y184" s="7"/>
      <c r="Z184" s="367" t="s">
        <v>6</v>
      </c>
      <c r="AA184" s="7"/>
      <c r="AB184" s="24" t="s">
        <v>6</v>
      </c>
      <c r="AC184" s="7"/>
      <c r="AD184" s="337" t="str">
        <f t="shared" si="8"/>
        <v/>
      </c>
    </row>
    <row r="185" spans="1:30" ht="13.5" customHeight="1">
      <c r="A185" s="338">
        <f t="shared" si="6"/>
        <v>131</v>
      </c>
      <c r="B185" s="19"/>
      <c r="C185" s="12"/>
      <c r="D185" s="22"/>
      <c r="E185" s="431"/>
      <c r="F185" s="375"/>
      <c r="G185" s="375"/>
      <c r="H185" s="12"/>
      <c r="I185" s="8"/>
      <c r="J185" s="17" t="s">
        <v>46</v>
      </c>
      <c r="K185" s="367" t="s">
        <v>6</v>
      </c>
      <c r="L185" s="23" t="s">
        <v>90</v>
      </c>
      <c r="M185" s="397"/>
      <c r="N185" s="367" t="s">
        <v>6</v>
      </c>
      <c r="O185" s="23" t="s">
        <v>90</v>
      </c>
      <c r="P185" s="367" t="s">
        <v>6</v>
      </c>
      <c r="Q185" s="7"/>
      <c r="R185" s="367" t="s">
        <v>6</v>
      </c>
      <c r="S185" s="23" t="s">
        <v>90</v>
      </c>
      <c r="T185" s="367" t="s">
        <v>6</v>
      </c>
      <c r="U185" s="23" t="s">
        <v>90</v>
      </c>
      <c r="V185" s="24" t="s">
        <v>6</v>
      </c>
      <c r="W185" s="23" t="s">
        <v>90</v>
      </c>
      <c r="X185" s="367" t="s">
        <v>6</v>
      </c>
      <c r="Y185" s="7"/>
      <c r="Z185" s="367" t="s">
        <v>6</v>
      </c>
      <c r="AA185" s="7"/>
      <c r="AB185" s="24" t="s">
        <v>6</v>
      </c>
      <c r="AC185" s="7"/>
      <c r="AD185" s="337" t="str">
        <f t="shared" si="8"/>
        <v/>
      </c>
    </row>
    <row r="186" spans="1:30" ht="13.5" customHeight="1">
      <c r="A186" s="338">
        <f t="shared" si="6"/>
        <v>132</v>
      </c>
      <c r="B186" s="19"/>
      <c r="C186" s="12"/>
      <c r="D186" s="22"/>
      <c r="E186" s="431"/>
      <c r="F186" s="375"/>
      <c r="G186" s="375"/>
      <c r="H186" s="12"/>
      <c r="I186" s="8"/>
      <c r="J186" s="17" t="s">
        <v>46</v>
      </c>
      <c r="K186" s="367" t="s">
        <v>6</v>
      </c>
      <c r="L186" s="23" t="s">
        <v>90</v>
      </c>
      <c r="M186" s="397"/>
      <c r="N186" s="367" t="s">
        <v>6</v>
      </c>
      <c r="O186" s="23" t="s">
        <v>90</v>
      </c>
      <c r="P186" s="367" t="s">
        <v>6</v>
      </c>
      <c r="Q186" s="7"/>
      <c r="R186" s="367" t="s">
        <v>6</v>
      </c>
      <c r="S186" s="23" t="s">
        <v>90</v>
      </c>
      <c r="T186" s="367" t="s">
        <v>6</v>
      </c>
      <c r="U186" s="23" t="s">
        <v>90</v>
      </c>
      <c r="V186" s="24" t="s">
        <v>6</v>
      </c>
      <c r="W186" s="23" t="s">
        <v>90</v>
      </c>
      <c r="X186" s="367" t="s">
        <v>6</v>
      </c>
      <c r="Y186" s="7"/>
      <c r="Z186" s="367" t="s">
        <v>6</v>
      </c>
      <c r="AA186" s="7"/>
      <c r="AB186" s="24" t="s">
        <v>6</v>
      </c>
      <c r="AC186" s="7"/>
      <c r="AD186" s="337" t="str">
        <f t="shared" si="8"/>
        <v/>
      </c>
    </row>
    <row r="187" spans="1:30" ht="13.5" customHeight="1">
      <c r="A187" s="338">
        <f t="shared" si="6"/>
        <v>133</v>
      </c>
      <c r="B187" s="19"/>
      <c r="C187" s="12"/>
      <c r="D187" s="22"/>
      <c r="E187" s="431"/>
      <c r="F187" s="375"/>
      <c r="G187" s="375"/>
      <c r="H187" s="12"/>
      <c r="I187" s="8"/>
      <c r="J187" s="17" t="s">
        <v>46</v>
      </c>
      <c r="K187" s="367" t="s">
        <v>6</v>
      </c>
      <c r="L187" s="23" t="s">
        <v>90</v>
      </c>
      <c r="M187" s="397"/>
      <c r="N187" s="367" t="s">
        <v>6</v>
      </c>
      <c r="O187" s="23" t="s">
        <v>90</v>
      </c>
      <c r="P187" s="367" t="s">
        <v>6</v>
      </c>
      <c r="Q187" s="7"/>
      <c r="R187" s="367" t="s">
        <v>6</v>
      </c>
      <c r="S187" s="23" t="s">
        <v>90</v>
      </c>
      <c r="T187" s="367" t="s">
        <v>6</v>
      </c>
      <c r="U187" s="23" t="s">
        <v>90</v>
      </c>
      <c r="V187" s="24" t="s">
        <v>6</v>
      </c>
      <c r="W187" s="23" t="s">
        <v>90</v>
      </c>
      <c r="X187" s="367" t="s">
        <v>6</v>
      </c>
      <c r="Y187" s="7"/>
      <c r="Z187" s="367" t="s">
        <v>6</v>
      </c>
      <c r="AA187" s="7"/>
      <c r="AB187" s="24" t="s">
        <v>6</v>
      </c>
      <c r="AC187" s="7"/>
      <c r="AD187" s="337" t="str">
        <f t="shared" si="8"/>
        <v/>
      </c>
    </row>
    <row r="188" spans="1:30" ht="13.5" customHeight="1">
      <c r="A188" s="338">
        <f t="shared" ref="A188:A245" si="9">A187+1</f>
        <v>134</v>
      </c>
      <c r="B188" s="19"/>
      <c r="C188" s="12"/>
      <c r="D188" s="22"/>
      <c r="E188" s="431"/>
      <c r="F188" s="375"/>
      <c r="G188" s="375"/>
      <c r="H188" s="12"/>
      <c r="I188" s="8"/>
      <c r="J188" s="17" t="s">
        <v>46</v>
      </c>
      <c r="K188" s="367" t="s">
        <v>6</v>
      </c>
      <c r="L188" s="23" t="s">
        <v>90</v>
      </c>
      <c r="M188" s="397"/>
      <c r="N188" s="367" t="s">
        <v>6</v>
      </c>
      <c r="O188" s="23" t="s">
        <v>90</v>
      </c>
      <c r="P188" s="367" t="s">
        <v>6</v>
      </c>
      <c r="Q188" s="7"/>
      <c r="R188" s="367" t="s">
        <v>6</v>
      </c>
      <c r="S188" s="23" t="s">
        <v>90</v>
      </c>
      <c r="T188" s="367" t="s">
        <v>6</v>
      </c>
      <c r="U188" s="23" t="s">
        <v>90</v>
      </c>
      <c r="V188" s="24" t="s">
        <v>6</v>
      </c>
      <c r="W188" s="23" t="s">
        <v>90</v>
      </c>
      <c r="X188" s="367" t="s">
        <v>6</v>
      </c>
      <c r="Y188" s="7"/>
      <c r="Z188" s="367" t="s">
        <v>6</v>
      </c>
      <c r="AA188" s="7"/>
      <c r="AB188" s="24" t="s">
        <v>6</v>
      </c>
      <c r="AC188" s="7"/>
      <c r="AD188" s="337" t="str">
        <f t="shared" si="8"/>
        <v/>
      </c>
    </row>
    <row r="189" spans="1:30" ht="13.5" customHeight="1">
      <c r="A189" s="338">
        <f t="shared" si="9"/>
        <v>135</v>
      </c>
      <c r="B189" s="19"/>
      <c r="C189" s="12"/>
      <c r="D189" s="22"/>
      <c r="E189" s="431"/>
      <c r="F189" s="375"/>
      <c r="G189" s="375"/>
      <c r="H189" s="12"/>
      <c r="I189" s="8"/>
      <c r="J189" s="17" t="s">
        <v>46</v>
      </c>
      <c r="K189" s="367" t="s">
        <v>6</v>
      </c>
      <c r="L189" s="23" t="s">
        <v>90</v>
      </c>
      <c r="M189" s="397"/>
      <c r="N189" s="367" t="s">
        <v>6</v>
      </c>
      <c r="O189" s="23" t="s">
        <v>90</v>
      </c>
      <c r="P189" s="367" t="s">
        <v>6</v>
      </c>
      <c r="Q189" s="7"/>
      <c r="R189" s="367" t="s">
        <v>6</v>
      </c>
      <c r="S189" s="23" t="s">
        <v>90</v>
      </c>
      <c r="T189" s="367" t="s">
        <v>6</v>
      </c>
      <c r="U189" s="23" t="s">
        <v>90</v>
      </c>
      <c r="V189" s="24" t="s">
        <v>6</v>
      </c>
      <c r="W189" s="23" t="s">
        <v>90</v>
      </c>
      <c r="X189" s="367" t="s">
        <v>6</v>
      </c>
      <c r="Y189" s="7"/>
      <c r="Z189" s="367" t="s">
        <v>6</v>
      </c>
      <c r="AA189" s="7"/>
      <c r="AB189" s="24" t="s">
        <v>6</v>
      </c>
      <c r="AC189" s="7"/>
      <c r="AD189" s="337" t="str">
        <f t="shared" si="8"/>
        <v/>
      </c>
    </row>
    <row r="190" spans="1:30" ht="13.5" customHeight="1">
      <c r="A190" s="338">
        <f t="shared" si="9"/>
        <v>136</v>
      </c>
      <c r="B190" s="19"/>
      <c r="C190" s="12"/>
      <c r="D190" s="22"/>
      <c r="E190" s="431"/>
      <c r="F190" s="375"/>
      <c r="G190" s="375"/>
      <c r="H190" s="12"/>
      <c r="I190" s="8"/>
      <c r="J190" s="17" t="s">
        <v>46</v>
      </c>
      <c r="K190" s="367" t="s">
        <v>6</v>
      </c>
      <c r="L190" s="23" t="s">
        <v>90</v>
      </c>
      <c r="M190" s="397"/>
      <c r="N190" s="367" t="s">
        <v>6</v>
      </c>
      <c r="O190" s="23" t="s">
        <v>90</v>
      </c>
      <c r="P190" s="367" t="s">
        <v>6</v>
      </c>
      <c r="Q190" s="7"/>
      <c r="R190" s="367" t="s">
        <v>6</v>
      </c>
      <c r="S190" s="23" t="s">
        <v>90</v>
      </c>
      <c r="T190" s="367" t="s">
        <v>6</v>
      </c>
      <c r="U190" s="23" t="s">
        <v>90</v>
      </c>
      <c r="V190" s="24" t="s">
        <v>6</v>
      </c>
      <c r="W190" s="23" t="s">
        <v>90</v>
      </c>
      <c r="X190" s="367" t="s">
        <v>6</v>
      </c>
      <c r="Y190" s="7"/>
      <c r="Z190" s="367" t="s">
        <v>6</v>
      </c>
      <c r="AA190" s="7"/>
      <c r="AB190" s="24" t="s">
        <v>6</v>
      </c>
      <c r="AC190" s="7"/>
      <c r="AD190" s="337" t="str">
        <f t="shared" si="8"/>
        <v/>
      </c>
    </row>
    <row r="191" spans="1:30" ht="13.5" customHeight="1">
      <c r="A191" s="338">
        <f t="shared" si="9"/>
        <v>137</v>
      </c>
      <c r="B191" s="19"/>
      <c r="C191" s="12"/>
      <c r="D191" s="22"/>
      <c r="E191" s="431"/>
      <c r="F191" s="375"/>
      <c r="G191" s="375"/>
      <c r="H191" s="12"/>
      <c r="I191" s="8"/>
      <c r="J191" s="17" t="s">
        <v>46</v>
      </c>
      <c r="K191" s="367" t="s">
        <v>6</v>
      </c>
      <c r="L191" s="23" t="s">
        <v>90</v>
      </c>
      <c r="M191" s="397"/>
      <c r="N191" s="367" t="s">
        <v>6</v>
      </c>
      <c r="O191" s="23" t="s">
        <v>90</v>
      </c>
      <c r="P191" s="367" t="s">
        <v>6</v>
      </c>
      <c r="Q191" s="7"/>
      <c r="R191" s="367" t="s">
        <v>6</v>
      </c>
      <c r="S191" s="23" t="s">
        <v>90</v>
      </c>
      <c r="T191" s="367" t="s">
        <v>6</v>
      </c>
      <c r="U191" s="23" t="s">
        <v>90</v>
      </c>
      <c r="V191" s="24" t="s">
        <v>6</v>
      </c>
      <c r="W191" s="23" t="s">
        <v>90</v>
      </c>
      <c r="X191" s="367" t="s">
        <v>6</v>
      </c>
      <c r="Y191" s="7"/>
      <c r="Z191" s="367" t="s">
        <v>6</v>
      </c>
      <c r="AA191" s="7"/>
      <c r="AB191" s="24" t="s">
        <v>6</v>
      </c>
      <c r="AC191" s="7"/>
      <c r="AD191" s="337" t="str">
        <f t="shared" si="8"/>
        <v/>
      </c>
    </row>
    <row r="192" spans="1:30" ht="13.5" customHeight="1">
      <c r="A192" s="338">
        <f t="shared" si="9"/>
        <v>138</v>
      </c>
      <c r="B192" s="19"/>
      <c r="C192" s="12"/>
      <c r="D192" s="22"/>
      <c r="E192" s="431"/>
      <c r="F192" s="375"/>
      <c r="G192" s="375"/>
      <c r="H192" s="12"/>
      <c r="I192" s="8"/>
      <c r="J192" s="17" t="s">
        <v>46</v>
      </c>
      <c r="K192" s="367" t="s">
        <v>6</v>
      </c>
      <c r="L192" s="23" t="s">
        <v>90</v>
      </c>
      <c r="M192" s="397"/>
      <c r="N192" s="367" t="s">
        <v>6</v>
      </c>
      <c r="O192" s="23" t="s">
        <v>90</v>
      </c>
      <c r="P192" s="367" t="s">
        <v>6</v>
      </c>
      <c r="Q192" s="7"/>
      <c r="R192" s="367" t="s">
        <v>6</v>
      </c>
      <c r="S192" s="23" t="s">
        <v>90</v>
      </c>
      <c r="T192" s="367" t="s">
        <v>6</v>
      </c>
      <c r="U192" s="23" t="s">
        <v>90</v>
      </c>
      <c r="V192" s="24" t="s">
        <v>6</v>
      </c>
      <c r="W192" s="23" t="s">
        <v>90</v>
      </c>
      <c r="X192" s="367" t="s">
        <v>6</v>
      </c>
      <c r="Y192" s="7"/>
      <c r="Z192" s="367" t="s">
        <v>6</v>
      </c>
      <c r="AA192" s="7"/>
      <c r="AB192" s="24" t="s">
        <v>6</v>
      </c>
      <c r="AC192" s="7"/>
      <c r="AD192" s="337" t="str">
        <f t="shared" si="8"/>
        <v/>
      </c>
    </row>
    <row r="193" spans="1:30" ht="13.5" customHeight="1">
      <c r="A193" s="338">
        <f t="shared" si="9"/>
        <v>139</v>
      </c>
      <c r="B193" s="19"/>
      <c r="C193" s="12"/>
      <c r="D193" s="22"/>
      <c r="E193" s="431"/>
      <c r="F193" s="375"/>
      <c r="G193" s="375"/>
      <c r="H193" s="12"/>
      <c r="I193" s="8"/>
      <c r="J193" s="17" t="s">
        <v>46</v>
      </c>
      <c r="K193" s="367" t="s">
        <v>6</v>
      </c>
      <c r="L193" s="23" t="s">
        <v>90</v>
      </c>
      <c r="M193" s="397"/>
      <c r="N193" s="367" t="s">
        <v>6</v>
      </c>
      <c r="O193" s="23" t="s">
        <v>90</v>
      </c>
      <c r="P193" s="367" t="s">
        <v>6</v>
      </c>
      <c r="Q193" s="7"/>
      <c r="R193" s="367" t="s">
        <v>6</v>
      </c>
      <c r="S193" s="23" t="s">
        <v>90</v>
      </c>
      <c r="T193" s="367" t="s">
        <v>6</v>
      </c>
      <c r="U193" s="23" t="s">
        <v>90</v>
      </c>
      <c r="V193" s="24" t="s">
        <v>6</v>
      </c>
      <c r="W193" s="23" t="s">
        <v>90</v>
      </c>
      <c r="X193" s="367" t="s">
        <v>6</v>
      </c>
      <c r="Y193" s="7"/>
      <c r="Z193" s="367" t="s">
        <v>6</v>
      </c>
      <c r="AA193" s="7"/>
      <c r="AB193" s="24" t="s">
        <v>6</v>
      </c>
      <c r="AC193" s="7"/>
      <c r="AD193" s="337" t="str">
        <f t="shared" si="8"/>
        <v/>
      </c>
    </row>
    <row r="194" spans="1:30" ht="13.5" customHeight="1">
      <c r="A194" s="338">
        <f t="shared" si="9"/>
        <v>140</v>
      </c>
      <c r="B194" s="19"/>
      <c r="C194" s="12"/>
      <c r="D194" s="22"/>
      <c r="E194" s="431"/>
      <c r="F194" s="375"/>
      <c r="G194" s="375"/>
      <c r="H194" s="12"/>
      <c r="I194" s="8"/>
      <c r="J194" s="17" t="s">
        <v>46</v>
      </c>
      <c r="K194" s="367" t="s">
        <v>6</v>
      </c>
      <c r="L194" s="23" t="s">
        <v>90</v>
      </c>
      <c r="M194" s="397"/>
      <c r="N194" s="367" t="s">
        <v>6</v>
      </c>
      <c r="O194" s="23" t="s">
        <v>90</v>
      </c>
      <c r="P194" s="367" t="s">
        <v>6</v>
      </c>
      <c r="Q194" s="7"/>
      <c r="R194" s="367" t="s">
        <v>6</v>
      </c>
      <c r="S194" s="23" t="s">
        <v>90</v>
      </c>
      <c r="T194" s="367" t="s">
        <v>6</v>
      </c>
      <c r="U194" s="23" t="s">
        <v>90</v>
      </c>
      <c r="V194" s="367" t="s">
        <v>6</v>
      </c>
      <c r="W194" s="23" t="s">
        <v>90</v>
      </c>
      <c r="X194" s="367" t="s">
        <v>6</v>
      </c>
      <c r="Y194" s="7"/>
      <c r="Z194" s="367" t="s">
        <v>6</v>
      </c>
      <c r="AA194" s="7"/>
      <c r="AB194" s="367" t="s">
        <v>6</v>
      </c>
      <c r="AC194" s="7"/>
      <c r="AD194" s="337" t="str">
        <f t="shared" ref="AD194:AD245" si="10">IF(H194="","",VLOOKUP(H194,Classes,2))</f>
        <v/>
      </c>
    </row>
    <row r="195" spans="1:30" ht="13.5" customHeight="1">
      <c r="A195" s="338">
        <f t="shared" si="9"/>
        <v>141</v>
      </c>
      <c r="B195" s="19"/>
      <c r="C195" s="12"/>
      <c r="D195" s="22"/>
      <c r="E195" s="431"/>
      <c r="F195" s="375"/>
      <c r="G195" s="375"/>
      <c r="H195" s="12"/>
      <c r="I195" s="8"/>
      <c r="J195" s="17" t="s">
        <v>46</v>
      </c>
      <c r="K195" s="367" t="s">
        <v>6</v>
      </c>
      <c r="L195" s="23" t="s">
        <v>90</v>
      </c>
      <c r="M195" s="397"/>
      <c r="N195" s="367" t="s">
        <v>6</v>
      </c>
      <c r="O195" s="23" t="s">
        <v>90</v>
      </c>
      <c r="P195" s="367" t="s">
        <v>6</v>
      </c>
      <c r="Q195" s="7"/>
      <c r="R195" s="367" t="s">
        <v>6</v>
      </c>
      <c r="S195" s="23" t="s">
        <v>90</v>
      </c>
      <c r="T195" s="367" t="s">
        <v>6</v>
      </c>
      <c r="U195" s="23" t="s">
        <v>90</v>
      </c>
      <c r="V195" s="367" t="s">
        <v>6</v>
      </c>
      <c r="W195" s="23" t="s">
        <v>90</v>
      </c>
      <c r="X195" s="367" t="s">
        <v>6</v>
      </c>
      <c r="Y195" s="7"/>
      <c r="Z195" s="367" t="s">
        <v>6</v>
      </c>
      <c r="AA195" s="7"/>
      <c r="AB195" s="367" t="s">
        <v>6</v>
      </c>
      <c r="AC195" s="7"/>
      <c r="AD195" s="337" t="str">
        <f t="shared" si="10"/>
        <v/>
      </c>
    </row>
    <row r="196" spans="1:30" ht="13.5" customHeight="1">
      <c r="A196" s="338">
        <f t="shared" si="9"/>
        <v>142</v>
      </c>
      <c r="B196" s="19"/>
      <c r="C196" s="12"/>
      <c r="D196" s="22"/>
      <c r="E196" s="431"/>
      <c r="F196" s="375"/>
      <c r="G196" s="375"/>
      <c r="H196" s="12"/>
      <c r="I196" s="8"/>
      <c r="J196" s="17" t="s">
        <v>46</v>
      </c>
      <c r="K196" s="367" t="s">
        <v>6</v>
      </c>
      <c r="L196" s="23" t="s">
        <v>90</v>
      </c>
      <c r="M196" s="397"/>
      <c r="N196" s="367" t="s">
        <v>6</v>
      </c>
      <c r="O196" s="23" t="s">
        <v>90</v>
      </c>
      <c r="P196" s="367" t="s">
        <v>6</v>
      </c>
      <c r="Q196" s="7"/>
      <c r="R196" s="367" t="s">
        <v>6</v>
      </c>
      <c r="S196" s="23" t="s">
        <v>90</v>
      </c>
      <c r="T196" s="367" t="s">
        <v>6</v>
      </c>
      <c r="U196" s="23" t="s">
        <v>90</v>
      </c>
      <c r="V196" s="367" t="s">
        <v>6</v>
      </c>
      <c r="W196" s="23" t="s">
        <v>90</v>
      </c>
      <c r="X196" s="367" t="s">
        <v>6</v>
      </c>
      <c r="Y196" s="7"/>
      <c r="Z196" s="367" t="s">
        <v>6</v>
      </c>
      <c r="AA196" s="7"/>
      <c r="AB196" s="367" t="s">
        <v>6</v>
      </c>
      <c r="AC196" s="7"/>
      <c r="AD196" s="337" t="str">
        <f t="shared" si="10"/>
        <v/>
      </c>
    </row>
    <row r="197" spans="1:30" ht="13.5" customHeight="1">
      <c r="A197" s="338">
        <f t="shared" si="9"/>
        <v>143</v>
      </c>
      <c r="B197" s="19"/>
      <c r="C197" s="12"/>
      <c r="D197" s="22"/>
      <c r="E197" s="431"/>
      <c r="F197" s="375"/>
      <c r="G197" s="375"/>
      <c r="H197" s="12"/>
      <c r="I197" s="8"/>
      <c r="J197" s="17" t="s">
        <v>46</v>
      </c>
      <c r="K197" s="367" t="s">
        <v>6</v>
      </c>
      <c r="L197" s="23" t="s">
        <v>90</v>
      </c>
      <c r="M197" s="397"/>
      <c r="N197" s="367" t="s">
        <v>6</v>
      </c>
      <c r="O197" s="23" t="s">
        <v>90</v>
      </c>
      <c r="P197" s="367" t="s">
        <v>6</v>
      </c>
      <c r="Q197" s="7"/>
      <c r="R197" s="367" t="s">
        <v>6</v>
      </c>
      <c r="S197" s="23" t="s">
        <v>90</v>
      </c>
      <c r="T197" s="367" t="s">
        <v>6</v>
      </c>
      <c r="U197" s="23" t="s">
        <v>90</v>
      </c>
      <c r="V197" s="367" t="s">
        <v>6</v>
      </c>
      <c r="W197" s="23" t="s">
        <v>90</v>
      </c>
      <c r="X197" s="367" t="s">
        <v>6</v>
      </c>
      <c r="Y197" s="7"/>
      <c r="Z197" s="367" t="s">
        <v>6</v>
      </c>
      <c r="AA197" s="7"/>
      <c r="AB197" s="367" t="s">
        <v>6</v>
      </c>
      <c r="AC197" s="7"/>
      <c r="AD197" s="337" t="str">
        <f t="shared" si="10"/>
        <v/>
      </c>
    </row>
    <row r="198" spans="1:30" ht="13.5" customHeight="1">
      <c r="A198" s="338">
        <f t="shared" si="9"/>
        <v>144</v>
      </c>
      <c r="B198" s="19"/>
      <c r="C198" s="12"/>
      <c r="D198" s="22"/>
      <c r="E198" s="431"/>
      <c r="F198" s="375"/>
      <c r="G198" s="375"/>
      <c r="H198" s="12"/>
      <c r="I198" s="8"/>
      <c r="J198" s="17" t="s">
        <v>46</v>
      </c>
      <c r="K198" s="367" t="s">
        <v>6</v>
      </c>
      <c r="L198" s="23" t="s">
        <v>90</v>
      </c>
      <c r="M198" s="397"/>
      <c r="N198" s="367" t="s">
        <v>6</v>
      </c>
      <c r="O198" s="23" t="s">
        <v>90</v>
      </c>
      <c r="P198" s="367" t="s">
        <v>6</v>
      </c>
      <c r="Q198" s="7"/>
      <c r="R198" s="367" t="s">
        <v>6</v>
      </c>
      <c r="S198" s="23" t="s">
        <v>90</v>
      </c>
      <c r="T198" s="367" t="s">
        <v>6</v>
      </c>
      <c r="U198" s="23" t="s">
        <v>90</v>
      </c>
      <c r="V198" s="367" t="s">
        <v>6</v>
      </c>
      <c r="W198" s="23" t="s">
        <v>90</v>
      </c>
      <c r="X198" s="367" t="s">
        <v>6</v>
      </c>
      <c r="Y198" s="7"/>
      <c r="Z198" s="367" t="s">
        <v>6</v>
      </c>
      <c r="AA198" s="7"/>
      <c r="AB198" s="367" t="s">
        <v>6</v>
      </c>
      <c r="AC198" s="7"/>
      <c r="AD198" s="337" t="str">
        <f t="shared" si="10"/>
        <v/>
      </c>
    </row>
    <row r="199" spans="1:30" ht="13.5" customHeight="1">
      <c r="A199" s="338">
        <f t="shared" si="9"/>
        <v>145</v>
      </c>
      <c r="B199" s="19"/>
      <c r="C199" s="12"/>
      <c r="D199" s="22"/>
      <c r="E199" s="431"/>
      <c r="F199" s="375"/>
      <c r="G199" s="375"/>
      <c r="H199" s="12"/>
      <c r="I199" s="8"/>
      <c r="J199" s="17" t="s">
        <v>46</v>
      </c>
      <c r="K199" s="367" t="s">
        <v>6</v>
      </c>
      <c r="L199" s="23" t="s">
        <v>90</v>
      </c>
      <c r="M199" s="397"/>
      <c r="N199" s="367" t="s">
        <v>6</v>
      </c>
      <c r="O199" s="23" t="s">
        <v>90</v>
      </c>
      <c r="P199" s="367" t="s">
        <v>6</v>
      </c>
      <c r="Q199" s="7"/>
      <c r="R199" s="367" t="s">
        <v>6</v>
      </c>
      <c r="S199" s="23" t="s">
        <v>90</v>
      </c>
      <c r="T199" s="367" t="s">
        <v>6</v>
      </c>
      <c r="U199" s="23" t="s">
        <v>90</v>
      </c>
      <c r="V199" s="367" t="s">
        <v>6</v>
      </c>
      <c r="W199" s="23" t="s">
        <v>90</v>
      </c>
      <c r="X199" s="367" t="s">
        <v>6</v>
      </c>
      <c r="Y199" s="7"/>
      <c r="Z199" s="367" t="s">
        <v>6</v>
      </c>
      <c r="AA199" s="7"/>
      <c r="AB199" s="367" t="s">
        <v>6</v>
      </c>
      <c r="AC199" s="7"/>
      <c r="AD199" s="337" t="str">
        <f t="shared" si="10"/>
        <v/>
      </c>
    </row>
    <row r="200" spans="1:30" ht="13.5" customHeight="1">
      <c r="A200" s="338">
        <f t="shared" si="9"/>
        <v>146</v>
      </c>
      <c r="B200" s="19"/>
      <c r="C200" s="12"/>
      <c r="D200" s="22"/>
      <c r="E200" s="431"/>
      <c r="F200" s="375"/>
      <c r="G200" s="375"/>
      <c r="H200" s="12"/>
      <c r="I200" s="8"/>
      <c r="J200" s="17" t="s">
        <v>46</v>
      </c>
      <c r="K200" s="367" t="s">
        <v>6</v>
      </c>
      <c r="L200" s="23" t="s">
        <v>90</v>
      </c>
      <c r="M200" s="397"/>
      <c r="N200" s="367" t="s">
        <v>6</v>
      </c>
      <c r="O200" s="23" t="s">
        <v>90</v>
      </c>
      <c r="P200" s="367" t="s">
        <v>6</v>
      </c>
      <c r="Q200" s="7"/>
      <c r="R200" s="367" t="s">
        <v>6</v>
      </c>
      <c r="S200" s="23" t="s">
        <v>90</v>
      </c>
      <c r="T200" s="367" t="s">
        <v>6</v>
      </c>
      <c r="U200" s="23" t="s">
        <v>90</v>
      </c>
      <c r="V200" s="367" t="s">
        <v>6</v>
      </c>
      <c r="W200" s="23" t="s">
        <v>90</v>
      </c>
      <c r="X200" s="367" t="s">
        <v>6</v>
      </c>
      <c r="Y200" s="7"/>
      <c r="Z200" s="367" t="s">
        <v>6</v>
      </c>
      <c r="AA200" s="7"/>
      <c r="AB200" s="367" t="s">
        <v>6</v>
      </c>
      <c r="AC200" s="7"/>
      <c r="AD200" s="337" t="str">
        <f t="shared" si="10"/>
        <v/>
      </c>
    </row>
    <row r="201" spans="1:30" ht="13.5" customHeight="1">
      <c r="A201" s="338">
        <f t="shared" si="9"/>
        <v>147</v>
      </c>
      <c r="B201" s="19"/>
      <c r="C201" s="12"/>
      <c r="D201" s="22"/>
      <c r="E201" s="431"/>
      <c r="F201" s="375"/>
      <c r="G201" s="375"/>
      <c r="H201" s="12"/>
      <c r="I201" s="8"/>
      <c r="J201" s="17" t="s">
        <v>46</v>
      </c>
      <c r="K201" s="367" t="s">
        <v>6</v>
      </c>
      <c r="L201" s="23" t="s">
        <v>90</v>
      </c>
      <c r="M201" s="397"/>
      <c r="N201" s="367" t="s">
        <v>6</v>
      </c>
      <c r="O201" s="23" t="s">
        <v>90</v>
      </c>
      <c r="P201" s="367" t="s">
        <v>6</v>
      </c>
      <c r="Q201" s="7"/>
      <c r="R201" s="367" t="s">
        <v>6</v>
      </c>
      <c r="S201" s="23" t="s">
        <v>90</v>
      </c>
      <c r="T201" s="367" t="s">
        <v>6</v>
      </c>
      <c r="U201" s="23" t="s">
        <v>90</v>
      </c>
      <c r="V201" s="367" t="s">
        <v>6</v>
      </c>
      <c r="W201" s="23" t="s">
        <v>90</v>
      </c>
      <c r="X201" s="367" t="s">
        <v>6</v>
      </c>
      <c r="Y201" s="7"/>
      <c r="Z201" s="367" t="s">
        <v>6</v>
      </c>
      <c r="AA201" s="7"/>
      <c r="AB201" s="367" t="s">
        <v>6</v>
      </c>
      <c r="AC201" s="7"/>
      <c r="AD201" s="337" t="str">
        <f t="shared" si="10"/>
        <v/>
      </c>
    </row>
    <row r="202" spans="1:30" ht="13.5" customHeight="1">
      <c r="A202" s="338">
        <f t="shared" si="9"/>
        <v>148</v>
      </c>
      <c r="B202" s="19"/>
      <c r="C202" s="12"/>
      <c r="D202" s="22"/>
      <c r="E202" s="431"/>
      <c r="F202" s="375"/>
      <c r="G202" s="375"/>
      <c r="H202" s="12"/>
      <c r="I202" s="8"/>
      <c r="J202" s="17" t="s">
        <v>46</v>
      </c>
      <c r="K202" s="367" t="s">
        <v>6</v>
      </c>
      <c r="L202" s="23" t="s">
        <v>90</v>
      </c>
      <c r="M202" s="397"/>
      <c r="N202" s="367" t="s">
        <v>6</v>
      </c>
      <c r="O202" s="23" t="s">
        <v>90</v>
      </c>
      <c r="P202" s="367" t="s">
        <v>6</v>
      </c>
      <c r="Q202" s="7"/>
      <c r="R202" s="367" t="s">
        <v>6</v>
      </c>
      <c r="S202" s="23" t="s">
        <v>90</v>
      </c>
      <c r="T202" s="367" t="s">
        <v>6</v>
      </c>
      <c r="U202" s="23" t="s">
        <v>90</v>
      </c>
      <c r="V202" s="367" t="s">
        <v>6</v>
      </c>
      <c r="W202" s="23" t="s">
        <v>90</v>
      </c>
      <c r="X202" s="367" t="s">
        <v>6</v>
      </c>
      <c r="Y202" s="7"/>
      <c r="Z202" s="367" t="s">
        <v>6</v>
      </c>
      <c r="AA202" s="7"/>
      <c r="AB202" s="367" t="s">
        <v>6</v>
      </c>
      <c r="AC202" s="7"/>
      <c r="AD202" s="337" t="str">
        <f t="shared" si="10"/>
        <v/>
      </c>
    </row>
    <row r="203" spans="1:30" ht="13.5" customHeight="1">
      <c r="A203" s="338">
        <f t="shared" si="9"/>
        <v>149</v>
      </c>
      <c r="B203" s="19"/>
      <c r="C203" s="12"/>
      <c r="D203" s="22"/>
      <c r="E203" s="431"/>
      <c r="F203" s="375"/>
      <c r="G203" s="375"/>
      <c r="H203" s="12"/>
      <c r="I203" s="8"/>
      <c r="J203" s="17" t="s">
        <v>46</v>
      </c>
      <c r="K203" s="367" t="s">
        <v>6</v>
      </c>
      <c r="L203" s="23" t="s">
        <v>90</v>
      </c>
      <c r="M203" s="397"/>
      <c r="N203" s="367" t="s">
        <v>6</v>
      </c>
      <c r="O203" s="23" t="s">
        <v>90</v>
      </c>
      <c r="P203" s="367" t="s">
        <v>6</v>
      </c>
      <c r="Q203" s="7"/>
      <c r="R203" s="367" t="s">
        <v>6</v>
      </c>
      <c r="S203" s="23" t="s">
        <v>90</v>
      </c>
      <c r="T203" s="367" t="s">
        <v>6</v>
      </c>
      <c r="U203" s="23" t="s">
        <v>90</v>
      </c>
      <c r="V203" s="367" t="s">
        <v>6</v>
      </c>
      <c r="W203" s="23" t="s">
        <v>90</v>
      </c>
      <c r="X203" s="367" t="s">
        <v>6</v>
      </c>
      <c r="Y203" s="7"/>
      <c r="Z203" s="367" t="s">
        <v>6</v>
      </c>
      <c r="AA203" s="7"/>
      <c r="AB203" s="367" t="s">
        <v>6</v>
      </c>
      <c r="AC203" s="7"/>
      <c r="AD203" s="337" t="str">
        <f t="shared" si="10"/>
        <v/>
      </c>
    </row>
    <row r="204" spans="1:30" ht="13.5" customHeight="1">
      <c r="A204" s="338">
        <f t="shared" si="9"/>
        <v>150</v>
      </c>
      <c r="B204" s="19"/>
      <c r="C204" s="12"/>
      <c r="D204" s="22"/>
      <c r="E204" s="431"/>
      <c r="F204" s="375"/>
      <c r="G204" s="375"/>
      <c r="H204" s="12"/>
      <c r="I204" s="8"/>
      <c r="J204" s="17" t="s">
        <v>46</v>
      </c>
      <c r="K204" s="367" t="s">
        <v>6</v>
      </c>
      <c r="L204" s="23" t="s">
        <v>90</v>
      </c>
      <c r="M204" s="397"/>
      <c r="N204" s="367" t="s">
        <v>6</v>
      </c>
      <c r="O204" s="23" t="s">
        <v>90</v>
      </c>
      <c r="P204" s="367" t="s">
        <v>6</v>
      </c>
      <c r="Q204" s="7"/>
      <c r="R204" s="367" t="s">
        <v>6</v>
      </c>
      <c r="S204" s="23" t="s">
        <v>90</v>
      </c>
      <c r="T204" s="367" t="s">
        <v>6</v>
      </c>
      <c r="U204" s="23" t="s">
        <v>90</v>
      </c>
      <c r="V204" s="367" t="s">
        <v>6</v>
      </c>
      <c r="W204" s="23" t="s">
        <v>90</v>
      </c>
      <c r="X204" s="367" t="s">
        <v>6</v>
      </c>
      <c r="Y204" s="7"/>
      <c r="Z204" s="367" t="s">
        <v>6</v>
      </c>
      <c r="AA204" s="7"/>
      <c r="AB204" s="367" t="s">
        <v>6</v>
      </c>
      <c r="AC204" s="7"/>
      <c r="AD204" s="337" t="str">
        <f t="shared" si="10"/>
        <v/>
      </c>
    </row>
    <row r="205" spans="1:30" ht="13.5" customHeight="1">
      <c r="A205" s="338">
        <f t="shared" si="9"/>
        <v>151</v>
      </c>
      <c r="B205" s="19"/>
      <c r="C205" s="12"/>
      <c r="D205" s="22"/>
      <c r="E205" s="431"/>
      <c r="F205" s="375"/>
      <c r="G205" s="375"/>
      <c r="H205" s="12"/>
      <c r="I205" s="8"/>
      <c r="J205" s="17" t="s">
        <v>46</v>
      </c>
      <c r="K205" s="367" t="s">
        <v>6</v>
      </c>
      <c r="L205" s="23" t="s">
        <v>90</v>
      </c>
      <c r="M205" s="397"/>
      <c r="N205" s="367" t="s">
        <v>6</v>
      </c>
      <c r="O205" s="23" t="s">
        <v>90</v>
      </c>
      <c r="P205" s="367" t="s">
        <v>6</v>
      </c>
      <c r="Q205" s="7"/>
      <c r="R205" s="367" t="s">
        <v>6</v>
      </c>
      <c r="S205" s="23" t="s">
        <v>90</v>
      </c>
      <c r="T205" s="367" t="s">
        <v>6</v>
      </c>
      <c r="U205" s="23" t="s">
        <v>90</v>
      </c>
      <c r="V205" s="367" t="s">
        <v>6</v>
      </c>
      <c r="W205" s="23" t="s">
        <v>90</v>
      </c>
      <c r="X205" s="367" t="s">
        <v>6</v>
      </c>
      <c r="Y205" s="7"/>
      <c r="Z205" s="367" t="s">
        <v>6</v>
      </c>
      <c r="AA205" s="7"/>
      <c r="AB205" s="367" t="s">
        <v>6</v>
      </c>
      <c r="AC205" s="7"/>
      <c r="AD205" s="337" t="str">
        <f t="shared" si="10"/>
        <v/>
      </c>
    </row>
    <row r="206" spans="1:30" ht="13.5" customHeight="1">
      <c r="A206" s="338">
        <f t="shared" si="9"/>
        <v>152</v>
      </c>
      <c r="B206" s="19"/>
      <c r="C206" s="12"/>
      <c r="D206" s="22"/>
      <c r="E206" s="431"/>
      <c r="F206" s="375"/>
      <c r="G206" s="375"/>
      <c r="H206" s="12"/>
      <c r="I206" s="8"/>
      <c r="J206" s="17" t="s">
        <v>46</v>
      </c>
      <c r="K206" s="367" t="s">
        <v>6</v>
      </c>
      <c r="L206" s="23" t="s">
        <v>90</v>
      </c>
      <c r="M206" s="397"/>
      <c r="N206" s="367" t="s">
        <v>6</v>
      </c>
      <c r="O206" s="23" t="s">
        <v>90</v>
      </c>
      <c r="P206" s="367" t="s">
        <v>6</v>
      </c>
      <c r="Q206" s="7"/>
      <c r="R206" s="367" t="s">
        <v>6</v>
      </c>
      <c r="S206" s="23" t="s">
        <v>90</v>
      </c>
      <c r="T206" s="367" t="s">
        <v>6</v>
      </c>
      <c r="U206" s="23" t="s">
        <v>90</v>
      </c>
      <c r="V206" s="367" t="s">
        <v>6</v>
      </c>
      <c r="W206" s="23" t="s">
        <v>90</v>
      </c>
      <c r="X206" s="367" t="s">
        <v>6</v>
      </c>
      <c r="Y206" s="7"/>
      <c r="Z206" s="367" t="s">
        <v>6</v>
      </c>
      <c r="AA206" s="7"/>
      <c r="AB206" s="367" t="s">
        <v>6</v>
      </c>
      <c r="AC206" s="7"/>
      <c r="AD206" s="337" t="str">
        <f t="shared" si="10"/>
        <v/>
      </c>
    </row>
    <row r="207" spans="1:30" ht="13.5" customHeight="1">
      <c r="A207" s="338">
        <f t="shared" si="9"/>
        <v>153</v>
      </c>
      <c r="B207" s="19"/>
      <c r="C207" s="12"/>
      <c r="D207" s="22"/>
      <c r="E207" s="431"/>
      <c r="F207" s="375"/>
      <c r="G207" s="375"/>
      <c r="H207" s="12"/>
      <c r="I207" s="8"/>
      <c r="J207" s="17" t="s">
        <v>46</v>
      </c>
      <c r="K207" s="367" t="s">
        <v>6</v>
      </c>
      <c r="L207" s="23" t="s">
        <v>90</v>
      </c>
      <c r="M207" s="397"/>
      <c r="N207" s="367" t="s">
        <v>6</v>
      </c>
      <c r="O207" s="23" t="s">
        <v>90</v>
      </c>
      <c r="P207" s="367" t="s">
        <v>6</v>
      </c>
      <c r="Q207" s="7"/>
      <c r="R207" s="367" t="s">
        <v>6</v>
      </c>
      <c r="S207" s="23" t="s">
        <v>90</v>
      </c>
      <c r="T207" s="367" t="s">
        <v>6</v>
      </c>
      <c r="U207" s="23" t="s">
        <v>90</v>
      </c>
      <c r="V207" s="367" t="s">
        <v>6</v>
      </c>
      <c r="W207" s="23" t="s">
        <v>90</v>
      </c>
      <c r="X207" s="367" t="s">
        <v>6</v>
      </c>
      <c r="Y207" s="7"/>
      <c r="Z207" s="367" t="s">
        <v>6</v>
      </c>
      <c r="AA207" s="7"/>
      <c r="AB207" s="367" t="s">
        <v>6</v>
      </c>
      <c r="AC207" s="7"/>
      <c r="AD207" s="337" t="str">
        <f t="shared" si="10"/>
        <v/>
      </c>
    </row>
    <row r="208" spans="1:30" ht="13.5" customHeight="1">
      <c r="A208" s="338">
        <f t="shared" si="9"/>
        <v>154</v>
      </c>
      <c r="B208" s="19"/>
      <c r="C208" s="12"/>
      <c r="D208" s="22"/>
      <c r="E208" s="431"/>
      <c r="F208" s="375"/>
      <c r="G208" s="375"/>
      <c r="H208" s="12"/>
      <c r="I208" s="8"/>
      <c r="J208" s="17" t="s">
        <v>46</v>
      </c>
      <c r="K208" s="367" t="s">
        <v>6</v>
      </c>
      <c r="L208" s="23" t="s">
        <v>90</v>
      </c>
      <c r="M208" s="397"/>
      <c r="N208" s="367" t="s">
        <v>6</v>
      </c>
      <c r="O208" s="23" t="s">
        <v>90</v>
      </c>
      <c r="P208" s="367" t="s">
        <v>6</v>
      </c>
      <c r="Q208" s="7"/>
      <c r="R208" s="367" t="s">
        <v>6</v>
      </c>
      <c r="S208" s="23" t="s">
        <v>90</v>
      </c>
      <c r="T208" s="367" t="s">
        <v>6</v>
      </c>
      <c r="U208" s="23" t="s">
        <v>90</v>
      </c>
      <c r="V208" s="367" t="s">
        <v>6</v>
      </c>
      <c r="W208" s="23" t="s">
        <v>90</v>
      </c>
      <c r="X208" s="367" t="s">
        <v>6</v>
      </c>
      <c r="Y208" s="7"/>
      <c r="Z208" s="367" t="s">
        <v>6</v>
      </c>
      <c r="AA208" s="7"/>
      <c r="AB208" s="367" t="s">
        <v>6</v>
      </c>
      <c r="AC208" s="7"/>
      <c r="AD208" s="337" t="str">
        <f t="shared" si="10"/>
        <v/>
      </c>
    </row>
    <row r="209" spans="1:30" ht="13.5" customHeight="1">
      <c r="A209" s="338">
        <f t="shared" si="9"/>
        <v>155</v>
      </c>
      <c r="B209" s="19"/>
      <c r="C209" s="12"/>
      <c r="D209" s="22"/>
      <c r="E209" s="431"/>
      <c r="F209" s="375"/>
      <c r="G209" s="375"/>
      <c r="H209" s="12"/>
      <c r="I209" s="8"/>
      <c r="J209" s="17" t="s">
        <v>46</v>
      </c>
      <c r="K209" s="367" t="s">
        <v>6</v>
      </c>
      <c r="L209" s="23" t="s">
        <v>90</v>
      </c>
      <c r="M209" s="397"/>
      <c r="N209" s="367" t="s">
        <v>6</v>
      </c>
      <c r="O209" s="23" t="s">
        <v>90</v>
      </c>
      <c r="P209" s="367" t="s">
        <v>6</v>
      </c>
      <c r="Q209" s="7"/>
      <c r="R209" s="367" t="s">
        <v>6</v>
      </c>
      <c r="S209" s="23" t="s">
        <v>90</v>
      </c>
      <c r="T209" s="367" t="s">
        <v>6</v>
      </c>
      <c r="U209" s="23" t="s">
        <v>90</v>
      </c>
      <c r="V209" s="367" t="s">
        <v>6</v>
      </c>
      <c r="W209" s="23" t="s">
        <v>90</v>
      </c>
      <c r="X209" s="367" t="s">
        <v>6</v>
      </c>
      <c r="Y209" s="7"/>
      <c r="Z209" s="367" t="s">
        <v>6</v>
      </c>
      <c r="AA209" s="7"/>
      <c r="AB209" s="367" t="s">
        <v>6</v>
      </c>
      <c r="AC209" s="7"/>
      <c r="AD209" s="337" t="str">
        <f t="shared" si="10"/>
        <v/>
      </c>
    </row>
    <row r="210" spans="1:30" ht="13.5" customHeight="1">
      <c r="A210" s="338">
        <f t="shared" si="9"/>
        <v>156</v>
      </c>
      <c r="B210" s="19"/>
      <c r="C210" s="12"/>
      <c r="D210" s="22"/>
      <c r="E210" s="431"/>
      <c r="F210" s="375"/>
      <c r="G210" s="375"/>
      <c r="H210" s="12"/>
      <c r="I210" s="8"/>
      <c r="J210" s="17" t="s">
        <v>46</v>
      </c>
      <c r="K210" s="367" t="s">
        <v>6</v>
      </c>
      <c r="L210" s="23" t="s">
        <v>90</v>
      </c>
      <c r="M210" s="397"/>
      <c r="N210" s="367" t="s">
        <v>6</v>
      </c>
      <c r="O210" s="23" t="s">
        <v>90</v>
      </c>
      <c r="P210" s="367" t="s">
        <v>6</v>
      </c>
      <c r="Q210" s="7"/>
      <c r="R210" s="367" t="s">
        <v>6</v>
      </c>
      <c r="S210" s="23" t="s">
        <v>90</v>
      </c>
      <c r="T210" s="367" t="s">
        <v>6</v>
      </c>
      <c r="U210" s="23" t="s">
        <v>90</v>
      </c>
      <c r="V210" s="367" t="s">
        <v>6</v>
      </c>
      <c r="W210" s="23" t="s">
        <v>90</v>
      </c>
      <c r="X210" s="367" t="s">
        <v>6</v>
      </c>
      <c r="Y210" s="7"/>
      <c r="Z210" s="367" t="s">
        <v>6</v>
      </c>
      <c r="AA210" s="7"/>
      <c r="AB210" s="367" t="s">
        <v>6</v>
      </c>
      <c r="AC210" s="7"/>
      <c r="AD210" s="337" t="str">
        <f t="shared" si="10"/>
        <v/>
      </c>
    </row>
    <row r="211" spans="1:30" ht="13.5" customHeight="1">
      <c r="A211" s="338">
        <f t="shared" si="9"/>
        <v>157</v>
      </c>
      <c r="B211" s="19"/>
      <c r="C211" s="12"/>
      <c r="D211" s="22"/>
      <c r="E211" s="431"/>
      <c r="F211" s="375"/>
      <c r="G211" s="375"/>
      <c r="H211" s="12"/>
      <c r="I211" s="8"/>
      <c r="J211" s="17" t="s">
        <v>46</v>
      </c>
      <c r="K211" s="367" t="s">
        <v>6</v>
      </c>
      <c r="L211" s="23" t="s">
        <v>90</v>
      </c>
      <c r="M211" s="397"/>
      <c r="N211" s="367" t="s">
        <v>6</v>
      </c>
      <c r="O211" s="23" t="s">
        <v>90</v>
      </c>
      <c r="P211" s="367" t="s">
        <v>6</v>
      </c>
      <c r="Q211" s="7"/>
      <c r="R211" s="367" t="s">
        <v>6</v>
      </c>
      <c r="S211" s="23" t="s">
        <v>90</v>
      </c>
      <c r="T211" s="367" t="s">
        <v>6</v>
      </c>
      <c r="U211" s="23" t="s">
        <v>90</v>
      </c>
      <c r="V211" s="367" t="s">
        <v>6</v>
      </c>
      <c r="W211" s="23" t="s">
        <v>90</v>
      </c>
      <c r="X211" s="367" t="s">
        <v>6</v>
      </c>
      <c r="Y211" s="7"/>
      <c r="Z211" s="367" t="s">
        <v>6</v>
      </c>
      <c r="AA211" s="7"/>
      <c r="AB211" s="367" t="s">
        <v>6</v>
      </c>
      <c r="AC211" s="7"/>
      <c r="AD211" s="337" t="str">
        <f t="shared" si="10"/>
        <v/>
      </c>
    </row>
    <row r="212" spans="1:30" ht="13.5" customHeight="1">
      <c r="A212" s="338">
        <f t="shared" si="9"/>
        <v>158</v>
      </c>
      <c r="B212" s="19"/>
      <c r="C212" s="12"/>
      <c r="D212" s="22"/>
      <c r="E212" s="431"/>
      <c r="F212" s="375"/>
      <c r="G212" s="375"/>
      <c r="H212" s="12"/>
      <c r="I212" s="8"/>
      <c r="J212" s="17" t="s">
        <v>46</v>
      </c>
      <c r="K212" s="367" t="s">
        <v>6</v>
      </c>
      <c r="L212" s="23" t="s">
        <v>90</v>
      </c>
      <c r="M212" s="397"/>
      <c r="N212" s="367" t="s">
        <v>6</v>
      </c>
      <c r="O212" s="23" t="s">
        <v>90</v>
      </c>
      <c r="P212" s="367" t="s">
        <v>6</v>
      </c>
      <c r="Q212" s="7"/>
      <c r="R212" s="367" t="s">
        <v>6</v>
      </c>
      <c r="S212" s="23" t="s">
        <v>90</v>
      </c>
      <c r="T212" s="367" t="s">
        <v>6</v>
      </c>
      <c r="U212" s="23" t="s">
        <v>90</v>
      </c>
      <c r="V212" s="367" t="s">
        <v>6</v>
      </c>
      <c r="W212" s="23" t="s">
        <v>90</v>
      </c>
      <c r="X212" s="367" t="s">
        <v>6</v>
      </c>
      <c r="Y212" s="7"/>
      <c r="Z212" s="367" t="s">
        <v>6</v>
      </c>
      <c r="AA212" s="7"/>
      <c r="AB212" s="367" t="s">
        <v>6</v>
      </c>
      <c r="AC212" s="7"/>
      <c r="AD212" s="337" t="str">
        <f t="shared" si="10"/>
        <v/>
      </c>
    </row>
    <row r="213" spans="1:30" ht="13.5" customHeight="1">
      <c r="A213" s="338">
        <f t="shared" si="9"/>
        <v>159</v>
      </c>
      <c r="B213" s="19"/>
      <c r="C213" s="12"/>
      <c r="D213" s="22"/>
      <c r="E213" s="431"/>
      <c r="F213" s="375"/>
      <c r="G213" s="375"/>
      <c r="H213" s="12"/>
      <c r="I213" s="8"/>
      <c r="J213" s="17" t="s">
        <v>46</v>
      </c>
      <c r="K213" s="367" t="s">
        <v>6</v>
      </c>
      <c r="L213" s="23" t="s">
        <v>90</v>
      </c>
      <c r="M213" s="397"/>
      <c r="N213" s="367" t="s">
        <v>6</v>
      </c>
      <c r="O213" s="23" t="s">
        <v>90</v>
      </c>
      <c r="P213" s="367" t="s">
        <v>6</v>
      </c>
      <c r="Q213" s="7"/>
      <c r="R213" s="367" t="s">
        <v>6</v>
      </c>
      <c r="S213" s="23" t="s">
        <v>90</v>
      </c>
      <c r="T213" s="367" t="s">
        <v>6</v>
      </c>
      <c r="U213" s="23" t="s">
        <v>90</v>
      </c>
      <c r="V213" s="367" t="s">
        <v>6</v>
      </c>
      <c r="W213" s="23" t="s">
        <v>90</v>
      </c>
      <c r="X213" s="367" t="s">
        <v>6</v>
      </c>
      <c r="Y213" s="7"/>
      <c r="Z213" s="367" t="s">
        <v>6</v>
      </c>
      <c r="AA213" s="7"/>
      <c r="AB213" s="367" t="s">
        <v>6</v>
      </c>
      <c r="AC213" s="7"/>
      <c r="AD213" s="337" t="str">
        <f t="shared" si="10"/>
        <v/>
      </c>
    </row>
    <row r="214" spans="1:30" ht="13.5" customHeight="1">
      <c r="A214" s="338">
        <f t="shared" si="9"/>
        <v>160</v>
      </c>
      <c r="B214" s="19"/>
      <c r="C214" s="12"/>
      <c r="D214" s="22"/>
      <c r="E214" s="431"/>
      <c r="F214" s="375"/>
      <c r="G214" s="375"/>
      <c r="H214" s="12"/>
      <c r="I214" s="8"/>
      <c r="J214" s="17" t="s">
        <v>46</v>
      </c>
      <c r="K214" s="367" t="s">
        <v>6</v>
      </c>
      <c r="L214" s="23" t="s">
        <v>90</v>
      </c>
      <c r="M214" s="397"/>
      <c r="N214" s="367" t="s">
        <v>6</v>
      </c>
      <c r="O214" s="23" t="s">
        <v>90</v>
      </c>
      <c r="P214" s="367" t="s">
        <v>6</v>
      </c>
      <c r="Q214" s="7"/>
      <c r="R214" s="367" t="s">
        <v>6</v>
      </c>
      <c r="S214" s="23" t="s">
        <v>90</v>
      </c>
      <c r="T214" s="367" t="s">
        <v>6</v>
      </c>
      <c r="U214" s="23" t="s">
        <v>90</v>
      </c>
      <c r="V214" s="367" t="s">
        <v>6</v>
      </c>
      <c r="W214" s="23" t="s">
        <v>90</v>
      </c>
      <c r="X214" s="367" t="s">
        <v>6</v>
      </c>
      <c r="Y214" s="7"/>
      <c r="Z214" s="367" t="s">
        <v>6</v>
      </c>
      <c r="AA214" s="7"/>
      <c r="AB214" s="367" t="s">
        <v>6</v>
      </c>
      <c r="AC214" s="7"/>
      <c r="AD214" s="337" t="str">
        <f t="shared" si="10"/>
        <v/>
      </c>
    </row>
    <row r="215" spans="1:30" ht="13.5" customHeight="1">
      <c r="A215" s="338">
        <f t="shared" si="9"/>
        <v>161</v>
      </c>
      <c r="B215" s="19"/>
      <c r="C215" s="12"/>
      <c r="D215" s="22"/>
      <c r="E215" s="431"/>
      <c r="F215" s="375"/>
      <c r="G215" s="375"/>
      <c r="H215" s="12"/>
      <c r="I215" s="8"/>
      <c r="J215" s="17" t="s">
        <v>46</v>
      </c>
      <c r="K215" s="367" t="s">
        <v>6</v>
      </c>
      <c r="L215" s="23" t="s">
        <v>90</v>
      </c>
      <c r="M215" s="397"/>
      <c r="N215" s="367" t="s">
        <v>6</v>
      </c>
      <c r="O215" s="23" t="s">
        <v>90</v>
      </c>
      <c r="P215" s="367" t="s">
        <v>6</v>
      </c>
      <c r="Q215" s="7"/>
      <c r="R215" s="367" t="s">
        <v>6</v>
      </c>
      <c r="S215" s="23" t="s">
        <v>90</v>
      </c>
      <c r="T215" s="367" t="s">
        <v>6</v>
      </c>
      <c r="U215" s="23" t="s">
        <v>90</v>
      </c>
      <c r="V215" s="367" t="s">
        <v>6</v>
      </c>
      <c r="W215" s="23" t="s">
        <v>90</v>
      </c>
      <c r="X215" s="367" t="s">
        <v>6</v>
      </c>
      <c r="Y215" s="7"/>
      <c r="Z215" s="367" t="s">
        <v>6</v>
      </c>
      <c r="AA215" s="7"/>
      <c r="AB215" s="367" t="s">
        <v>6</v>
      </c>
      <c r="AC215" s="7"/>
      <c r="AD215" s="337" t="str">
        <f t="shared" si="10"/>
        <v/>
      </c>
    </row>
    <row r="216" spans="1:30" ht="13.5" customHeight="1">
      <c r="A216" s="338">
        <f t="shared" si="9"/>
        <v>162</v>
      </c>
      <c r="B216" s="19"/>
      <c r="C216" s="12"/>
      <c r="D216" s="22"/>
      <c r="E216" s="431"/>
      <c r="F216" s="375"/>
      <c r="G216" s="375"/>
      <c r="H216" s="12"/>
      <c r="I216" s="8"/>
      <c r="J216" s="17" t="s">
        <v>46</v>
      </c>
      <c r="K216" s="367" t="s">
        <v>6</v>
      </c>
      <c r="L216" s="23" t="s">
        <v>90</v>
      </c>
      <c r="M216" s="397"/>
      <c r="N216" s="367" t="s">
        <v>6</v>
      </c>
      <c r="O216" s="23" t="s">
        <v>90</v>
      </c>
      <c r="P216" s="367" t="s">
        <v>6</v>
      </c>
      <c r="Q216" s="7"/>
      <c r="R216" s="367" t="s">
        <v>6</v>
      </c>
      <c r="S216" s="23" t="s">
        <v>90</v>
      </c>
      <c r="T216" s="367" t="s">
        <v>6</v>
      </c>
      <c r="U216" s="23" t="s">
        <v>90</v>
      </c>
      <c r="V216" s="367" t="s">
        <v>6</v>
      </c>
      <c r="W216" s="23" t="s">
        <v>90</v>
      </c>
      <c r="X216" s="367" t="s">
        <v>6</v>
      </c>
      <c r="Y216" s="7"/>
      <c r="Z216" s="367" t="s">
        <v>6</v>
      </c>
      <c r="AA216" s="7"/>
      <c r="AB216" s="367" t="s">
        <v>6</v>
      </c>
      <c r="AC216" s="7"/>
      <c r="AD216" s="337" t="str">
        <f t="shared" si="10"/>
        <v/>
      </c>
    </row>
    <row r="217" spans="1:30" ht="13.5" customHeight="1">
      <c r="A217" s="338">
        <f t="shared" si="9"/>
        <v>163</v>
      </c>
      <c r="B217" s="19"/>
      <c r="C217" s="12"/>
      <c r="D217" s="22"/>
      <c r="E217" s="431"/>
      <c r="F217" s="375"/>
      <c r="G217" s="375"/>
      <c r="H217" s="12"/>
      <c r="I217" s="8"/>
      <c r="J217" s="17" t="s">
        <v>46</v>
      </c>
      <c r="K217" s="367" t="s">
        <v>6</v>
      </c>
      <c r="L217" s="23" t="s">
        <v>90</v>
      </c>
      <c r="M217" s="397"/>
      <c r="N217" s="367" t="s">
        <v>6</v>
      </c>
      <c r="O217" s="23" t="s">
        <v>90</v>
      </c>
      <c r="P217" s="367" t="s">
        <v>6</v>
      </c>
      <c r="Q217" s="7"/>
      <c r="R217" s="367" t="s">
        <v>6</v>
      </c>
      <c r="S217" s="23" t="s">
        <v>90</v>
      </c>
      <c r="T217" s="367" t="s">
        <v>6</v>
      </c>
      <c r="U217" s="23" t="s">
        <v>90</v>
      </c>
      <c r="V217" s="367" t="s">
        <v>6</v>
      </c>
      <c r="W217" s="23" t="s">
        <v>90</v>
      </c>
      <c r="X217" s="367" t="s">
        <v>6</v>
      </c>
      <c r="Y217" s="7"/>
      <c r="Z217" s="367" t="s">
        <v>6</v>
      </c>
      <c r="AA217" s="7"/>
      <c r="AB217" s="367" t="s">
        <v>6</v>
      </c>
      <c r="AC217" s="7"/>
      <c r="AD217" s="337" t="str">
        <f t="shared" si="10"/>
        <v/>
      </c>
    </row>
    <row r="218" spans="1:30" ht="13.5" customHeight="1">
      <c r="A218" s="338">
        <f t="shared" si="9"/>
        <v>164</v>
      </c>
      <c r="B218" s="19"/>
      <c r="C218" s="12"/>
      <c r="D218" s="22"/>
      <c r="E218" s="431"/>
      <c r="F218" s="375"/>
      <c r="G218" s="375"/>
      <c r="H218" s="12"/>
      <c r="I218" s="8"/>
      <c r="J218" s="17" t="s">
        <v>46</v>
      </c>
      <c r="K218" s="367" t="s">
        <v>6</v>
      </c>
      <c r="L218" s="23" t="s">
        <v>90</v>
      </c>
      <c r="M218" s="397"/>
      <c r="N218" s="367" t="s">
        <v>6</v>
      </c>
      <c r="O218" s="23" t="s">
        <v>90</v>
      </c>
      <c r="P218" s="367" t="s">
        <v>6</v>
      </c>
      <c r="Q218" s="7"/>
      <c r="R218" s="367" t="s">
        <v>6</v>
      </c>
      <c r="S218" s="23" t="s">
        <v>90</v>
      </c>
      <c r="T218" s="367" t="s">
        <v>6</v>
      </c>
      <c r="U218" s="23" t="s">
        <v>90</v>
      </c>
      <c r="V218" s="367" t="s">
        <v>6</v>
      </c>
      <c r="W218" s="23" t="s">
        <v>90</v>
      </c>
      <c r="X218" s="367" t="s">
        <v>6</v>
      </c>
      <c r="Y218" s="7"/>
      <c r="Z218" s="367" t="s">
        <v>6</v>
      </c>
      <c r="AA218" s="7"/>
      <c r="AB218" s="367" t="s">
        <v>6</v>
      </c>
      <c r="AC218" s="7"/>
      <c r="AD218" s="337" t="str">
        <f t="shared" si="10"/>
        <v/>
      </c>
    </row>
    <row r="219" spans="1:30" ht="13.5" customHeight="1">
      <c r="A219" s="338">
        <f t="shared" si="9"/>
        <v>165</v>
      </c>
      <c r="B219" s="19"/>
      <c r="C219" s="12"/>
      <c r="D219" s="22"/>
      <c r="E219" s="431"/>
      <c r="F219" s="375"/>
      <c r="G219" s="375"/>
      <c r="H219" s="12"/>
      <c r="I219" s="8"/>
      <c r="J219" s="17" t="s">
        <v>46</v>
      </c>
      <c r="K219" s="367" t="s">
        <v>6</v>
      </c>
      <c r="L219" s="23" t="s">
        <v>90</v>
      </c>
      <c r="M219" s="397"/>
      <c r="N219" s="367" t="s">
        <v>6</v>
      </c>
      <c r="O219" s="23" t="s">
        <v>90</v>
      </c>
      <c r="P219" s="367" t="s">
        <v>6</v>
      </c>
      <c r="Q219" s="7"/>
      <c r="R219" s="367" t="s">
        <v>6</v>
      </c>
      <c r="S219" s="23" t="s">
        <v>90</v>
      </c>
      <c r="T219" s="367" t="s">
        <v>6</v>
      </c>
      <c r="U219" s="23" t="s">
        <v>90</v>
      </c>
      <c r="V219" s="367" t="s">
        <v>6</v>
      </c>
      <c r="W219" s="23" t="s">
        <v>90</v>
      </c>
      <c r="X219" s="367" t="s">
        <v>6</v>
      </c>
      <c r="Y219" s="7"/>
      <c r="Z219" s="367" t="s">
        <v>6</v>
      </c>
      <c r="AA219" s="7"/>
      <c r="AB219" s="367" t="s">
        <v>6</v>
      </c>
      <c r="AC219" s="7"/>
      <c r="AD219" s="337" t="str">
        <f t="shared" si="10"/>
        <v/>
      </c>
    </row>
    <row r="220" spans="1:30" ht="13.5" customHeight="1">
      <c r="A220" s="338">
        <f t="shared" si="9"/>
        <v>166</v>
      </c>
      <c r="B220" s="19"/>
      <c r="C220" s="12"/>
      <c r="D220" s="22"/>
      <c r="E220" s="431"/>
      <c r="F220" s="375"/>
      <c r="G220" s="375"/>
      <c r="H220" s="12"/>
      <c r="I220" s="8"/>
      <c r="J220" s="17" t="s">
        <v>46</v>
      </c>
      <c r="K220" s="367" t="s">
        <v>6</v>
      </c>
      <c r="L220" s="23" t="s">
        <v>90</v>
      </c>
      <c r="M220" s="397"/>
      <c r="N220" s="367" t="s">
        <v>6</v>
      </c>
      <c r="O220" s="23" t="s">
        <v>90</v>
      </c>
      <c r="P220" s="367" t="s">
        <v>6</v>
      </c>
      <c r="Q220" s="7"/>
      <c r="R220" s="367" t="s">
        <v>6</v>
      </c>
      <c r="S220" s="23" t="s">
        <v>90</v>
      </c>
      <c r="T220" s="367" t="s">
        <v>6</v>
      </c>
      <c r="U220" s="23" t="s">
        <v>90</v>
      </c>
      <c r="V220" s="367" t="s">
        <v>6</v>
      </c>
      <c r="W220" s="23" t="s">
        <v>90</v>
      </c>
      <c r="X220" s="367" t="s">
        <v>6</v>
      </c>
      <c r="Y220" s="7"/>
      <c r="Z220" s="367" t="s">
        <v>6</v>
      </c>
      <c r="AA220" s="7"/>
      <c r="AB220" s="367" t="s">
        <v>6</v>
      </c>
      <c r="AC220" s="7"/>
      <c r="AD220" s="337" t="str">
        <f t="shared" si="10"/>
        <v/>
      </c>
    </row>
    <row r="221" spans="1:30" ht="13.5" customHeight="1">
      <c r="A221" s="338">
        <f t="shared" si="9"/>
        <v>167</v>
      </c>
      <c r="B221" s="19"/>
      <c r="C221" s="12"/>
      <c r="D221" s="22"/>
      <c r="E221" s="431"/>
      <c r="F221" s="375"/>
      <c r="G221" s="375"/>
      <c r="H221" s="12"/>
      <c r="I221" s="8"/>
      <c r="J221" s="17" t="s">
        <v>46</v>
      </c>
      <c r="K221" s="367" t="s">
        <v>6</v>
      </c>
      <c r="L221" s="23" t="s">
        <v>90</v>
      </c>
      <c r="M221" s="397"/>
      <c r="N221" s="367" t="s">
        <v>6</v>
      </c>
      <c r="O221" s="23" t="s">
        <v>90</v>
      </c>
      <c r="P221" s="367" t="s">
        <v>6</v>
      </c>
      <c r="Q221" s="7"/>
      <c r="R221" s="367" t="s">
        <v>6</v>
      </c>
      <c r="S221" s="23" t="s">
        <v>90</v>
      </c>
      <c r="T221" s="367" t="s">
        <v>6</v>
      </c>
      <c r="U221" s="23" t="s">
        <v>90</v>
      </c>
      <c r="V221" s="367" t="s">
        <v>6</v>
      </c>
      <c r="W221" s="23" t="s">
        <v>90</v>
      </c>
      <c r="X221" s="367" t="s">
        <v>6</v>
      </c>
      <c r="Y221" s="7"/>
      <c r="Z221" s="367" t="s">
        <v>6</v>
      </c>
      <c r="AA221" s="7"/>
      <c r="AB221" s="367" t="s">
        <v>6</v>
      </c>
      <c r="AC221" s="7"/>
      <c r="AD221" s="337" t="str">
        <f t="shared" si="10"/>
        <v/>
      </c>
    </row>
    <row r="222" spans="1:30" ht="13.5" customHeight="1">
      <c r="A222" s="338">
        <f t="shared" si="9"/>
        <v>168</v>
      </c>
      <c r="B222" s="19"/>
      <c r="C222" s="12"/>
      <c r="D222" s="22"/>
      <c r="E222" s="431"/>
      <c r="F222" s="375"/>
      <c r="G222" s="375"/>
      <c r="H222" s="12"/>
      <c r="I222" s="8"/>
      <c r="J222" s="17" t="s">
        <v>46</v>
      </c>
      <c r="K222" s="367" t="s">
        <v>6</v>
      </c>
      <c r="L222" s="23" t="s">
        <v>90</v>
      </c>
      <c r="M222" s="397"/>
      <c r="N222" s="367" t="s">
        <v>6</v>
      </c>
      <c r="O222" s="23" t="s">
        <v>90</v>
      </c>
      <c r="P222" s="367" t="s">
        <v>6</v>
      </c>
      <c r="Q222" s="7"/>
      <c r="R222" s="367" t="s">
        <v>6</v>
      </c>
      <c r="S222" s="23" t="s">
        <v>90</v>
      </c>
      <c r="T222" s="367" t="s">
        <v>6</v>
      </c>
      <c r="U222" s="23" t="s">
        <v>90</v>
      </c>
      <c r="V222" s="367" t="s">
        <v>6</v>
      </c>
      <c r="W222" s="23" t="s">
        <v>90</v>
      </c>
      <c r="X222" s="367" t="s">
        <v>6</v>
      </c>
      <c r="Y222" s="7"/>
      <c r="Z222" s="367" t="s">
        <v>6</v>
      </c>
      <c r="AA222" s="7"/>
      <c r="AB222" s="367" t="s">
        <v>6</v>
      </c>
      <c r="AC222" s="7"/>
      <c r="AD222" s="337" t="str">
        <f t="shared" si="10"/>
        <v/>
      </c>
    </row>
    <row r="223" spans="1:30" ht="13.5" customHeight="1">
      <c r="A223" s="338">
        <f t="shared" si="9"/>
        <v>169</v>
      </c>
      <c r="B223" s="19"/>
      <c r="C223" s="12"/>
      <c r="D223" s="22"/>
      <c r="E223" s="431"/>
      <c r="F223" s="375"/>
      <c r="G223" s="375"/>
      <c r="H223" s="12"/>
      <c r="I223" s="8"/>
      <c r="J223" s="17" t="s">
        <v>46</v>
      </c>
      <c r="K223" s="367" t="s">
        <v>6</v>
      </c>
      <c r="L223" s="23" t="s">
        <v>90</v>
      </c>
      <c r="M223" s="397"/>
      <c r="N223" s="367" t="s">
        <v>6</v>
      </c>
      <c r="O223" s="23" t="s">
        <v>90</v>
      </c>
      <c r="P223" s="367" t="s">
        <v>6</v>
      </c>
      <c r="Q223" s="7"/>
      <c r="R223" s="367" t="s">
        <v>6</v>
      </c>
      <c r="S223" s="23" t="s">
        <v>90</v>
      </c>
      <c r="T223" s="367" t="s">
        <v>6</v>
      </c>
      <c r="U223" s="23" t="s">
        <v>90</v>
      </c>
      <c r="V223" s="367" t="s">
        <v>6</v>
      </c>
      <c r="W223" s="23" t="s">
        <v>90</v>
      </c>
      <c r="X223" s="367" t="s">
        <v>6</v>
      </c>
      <c r="Y223" s="7"/>
      <c r="Z223" s="367" t="s">
        <v>6</v>
      </c>
      <c r="AA223" s="7"/>
      <c r="AB223" s="367" t="s">
        <v>6</v>
      </c>
      <c r="AC223" s="7"/>
      <c r="AD223" s="337" t="str">
        <f t="shared" si="10"/>
        <v/>
      </c>
    </row>
    <row r="224" spans="1:30" ht="13.5" customHeight="1">
      <c r="A224" s="338">
        <f t="shared" si="9"/>
        <v>170</v>
      </c>
      <c r="B224" s="19"/>
      <c r="C224" s="12"/>
      <c r="D224" s="22"/>
      <c r="E224" s="431"/>
      <c r="F224" s="375"/>
      <c r="G224" s="375"/>
      <c r="H224" s="12"/>
      <c r="I224" s="8"/>
      <c r="J224" s="17" t="s">
        <v>46</v>
      </c>
      <c r="K224" s="367" t="s">
        <v>6</v>
      </c>
      <c r="L224" s="23" t="s">
        <v>90</v>
      </c>
      <c r="M224" s="397"/>
      <c r="N224" s="367" t="s">
        <v>6</v>
      </c>
      <c r="O224" s="23" t="s">
        <v>90</v>
      </c>
      <c r="P224" s="367" t="s">
        <v>6</v>
      </c>
      <c r="Q224" s="7"/>
      <c r="R224" s="367" t="s">
        <v>6</v>
      </c>
      <c r="S224" s="23" t="s">
        <v>90</v>
      </c>
      <c r="T224" s="367" t="s">
        <v>6</v>
      </c>
      <c r="U224" s="23" t="s">
        <v>90</v>
      </c>
      <c r="V224" s="367" t="s">
        <v>6</v>
      </c>
      <c r="W224" s="23" t="s">
        <v>90</v>
      </c>
      <c r="X224" s="367" t="s">
        <v>6</v>
      </c>
      <c r="Y224" s="7"/>
      <c r="Z224" s="367" t="s">
        <v>6</v>
      </c>
      <c r="AA224" s="7"/>
      <c r="AB224" s="367" t="s">
        <v>6</v>
      </c>
      <c r="AC224" s="7"/>
      <c r="AD224" s="337" t="str">
        <f t="shared" si="10"/>
        <v/>
      </c>
    </row>
    <row r="225" spans="1:30" ht="13.5" customHeight="1">
      <c r="A225" s="338">
        <f t="shared" si="9"/>
        <v>171</v>
      </c>
      <c r="B225" s="19"/>
      <c r="C225" s="12"/>
      <c r="D225" s="22"/>
      <c r="E225" s="431"/>
      <c r="F225" s="375"/>
      <c r="G225" s="375"/>
      <c r="H225" s="12"/>
      <c r="I225" s="8"/>
      <c r="J225" s="17" t="s">
        <v>46</v>
      </c>
      <c r="K225" s="367" t="s">
        <v>6</v>
      </c>
      <c r="L225" s="23" t="s">
        <v>90</v>
      </c>
      <c r="M225" s="397"/>
      <c r="N225" s="367" t="s">
        <v>6</v>
      </c>
      <c r="O225" s="23" t="s">
        <v>90</v>
      </c>
      <c r="P225" s="367" t="s">
        <v>6</v>
      </c>
      <c r="Q225" s="7"/>
      <c r="R225" s="367" t="s">
        <v>6</v>
      </c>
      <c r="S225" s="23" t="s">
        <v>90</v>
      </c>
      <c r="T225" s="367" t="s">
        <v>6</v>
      </c>
      <c r="U225" s="23" t="s">
        <v>90</v>
      </c>
      <c r="V225" s="367" t="s">
        <v>6</v>
      </c>
      <c r="W225" s="23" t="s">
        <v>90</v>
      </c>
      <c r="X225" s="367" t="s">
        <v>6</v>
      </c>
      <c r="Y225" s="7"/>
      <c r="Z225" s="367" t="s">
        <v>6</v>
      </c>
      <c r="AA225" s="7"/>
      <c r="AB225" s="367" t="s">
        <v>6</v>
      </c>
      <c r="AC225" s="7"/>
      <c r="AD225" s="337" t="str">
        <f t="shared" si="10"/>
        <v/>
      </c>
    </row>
    <row r="226" spans="1:30" ht="13.5" customHeight="1">
      <c r="A226" s="338">
        <f t="shared" si="9"/>
        <v>172</v>
      </c>
      <c r="B226" s="19"/>
      <c r="C226" s="12"/>
      <c r="D226" s="22"/>
      <c r="E226" s="431"/>
      <c r="F226" s="375"/>
      <c r="G226" s="375"/>
      <c r="H226" s="12"/>
      <c r="I226" s="8"/>
      <c r="J226" s="17" t="s">
        <v>46</v>
      </c>
      <c r="K226" s="367" t="s">
        <v>6</v>
      </c>
      <c r="L226" s="23" t="s">
        <v>90</v>
      </c>
      <c r="M226" s="397"/>
      <c r="N226" s="367" t="s">
        <v>6</v>
      </c>
      <c r="O226" s="23" t="s">
        <v>90</v>
      </c>
      <c r="P226" s="367" t="s">
        <v>6</v>
      </c>
      <c r="Q226" s="7"/>
      <c r="R226" s="367" t="s">
        <v>6</v>
      </c>
      <c r="S226" s="23" t="s">
        <v>90</v>
      </c>
      <c r="T226" s="367" t="s">
        <v>6</v>
      </c>
      <c r="U226" s="23" t="s">
        <v>90</v>
      </c>
      <c r="V226" s="367" t="s">
        <v>6</v>
      </c>
      <c r="W226" s="23" t="s">
        <v>90</v>
      </c>
      <c r="X226" s="367" t="s">
        <v>6</v>
      </c>
      <c r="Y226" s="7"/>
      <c r="Z226" s="367" t="s">
        <v>6</v>
      </c>
      <c r="AA226" s="7"/>
      <c r="AB226" s="367" t="s">
        <v>6</v>
      </c>
      <c r="AC226" s="7"/>
      <c r="AD226" s="337" t="str">
        <f t="shared" si="10"/>
        <v/>
      </c>
    </row>
    <row r="227" spans="1:30" ht="13.5" customHeight="1">
      <c r="A227" s="338">
        <f t="shared" si="9"/>
        <v>173</v>
      </c>
      <c r="B227" s="19"/>
      <c r="C227" s="12"/>
      <c r="D227" s="22"/>
      <c r="E227" s="431"/>
      <c r="F227" s="375"/>
      <c r="G227" s="375"/>
      <c r="H227" s="12"/>
      <c r="I227" s="8"/>
      <c r="J227" s="17" t="s">
        <v>46</v>
      </c>
      <c r="K227" s="367" t="s">
        <v>6</v>
      </c>
      <c r="L227" s="23" t="s">
        <v>90</v>
      </c>
      <c r="M227" s="397"/>
      <c r="N227" s="367" t="s">
        <v>6</v>
      </c>
      <c r="O227" s="23" t="s">
        <v>90</v>
      </c>
      <c r="P227" s="367" t="s">
        <v>6</v>
      </c>
      <c r="Q227" s="7"/>
      <c r="R227" s="367" t="s">
        <v>6</v>
      </c>
      <c r="S227" s="23" t="s">
        <v>90</v>
      </c>
      <c r="T227" s="367" t="s">
        <v>6</v>
      </c>
      <c r="U227" s="23" t="s">
        <v>90</v>
      </c>
      <c r="V227" s="367" t="s">
        <v>6</v>
      </c>
      <c r="W227" s="23" t="s">
        <v>90</v>
      </c>
      <c r="X227" s="367" t="s">
        <v>6</v>
      </c>
      <c r="Y227" s="7"/>
      <c r="Z227" s="367" t="s">
        <v>6</v>
      </c>
      <c r="AA227" s="7"/>
      <c r="AB227" s="367" t="s">
        <v>6</v>
      </c>
      <c r="AC227" s="7"/>
      <c r="AD227" s="337" t="str">
        <f t="shared" si="10"/>
        <v/>
      </c>
    </row>
    <row r="228" spans="1:30" ht="13.5" customHeight="1">
      <c r="A228" s="338">
        <f t="shared" si="9"/>
        <v>174</v>
      </c>
      <c r="B228" s="19"/>
      <c r="C228" s="12"/>
      <c r="D228" s="22"/>
      <c r="E228" s="431"/>
      <c r="F228" s="375"/>
      <c r="G228" s="375"/>
      <c r="H228" s="12"/>
      <c r="I228" s="8"/>
      <c r="J228" s="17" t="s">
        <v>46</v>
      </c>
      <c r="K228" s="367" t="s">
        <v>6</v>
      </c>
      <c r="L228" s="23" t="s">
        <v>90</v>
      </c>
      <c r="M228" s="397"/>
      <c r="N228" s="367" t="s">
        <v>6</v>
      </c>
      <c r="O228" s="23" t="s">
        <v>90</v>
      </c>
      <c r="P228" s="367" t="s">
        <v>6</v>
      </c>
      <c r="Q228" s="7"/>
      <c r="R228" s="367" t="s">
        <v>6</v>
      </c>
      <c r="S228" s="23" t="s">
        <v>90</v>
      </c>
      <c r="T228" s="367" t="s">
        <v>6</v>
      </c>
      <c r="U228" s="23" t="s">
        <v>90</v>
      </c>
      <c r="V228" s="367" t="s">
        <v>6</v>
      </c>
      <c r="W228" s="23" t="s">
        <v>90</v>
      </c>
      <c r="X228" s="367" t="s">
        <v>6</v>
      </c>
      <c r="Y228" s="7"/>
      <c r="Z228" s="367" t="s">
        <v>6</v>
      </c>
      <c r="AA228" s="7"/>
      <c r="AB228" s="367" t="s">
        <v>6</v>
      </c>
      <c r="AC228" s="7"/>
      <c r="AD228" s="337" t="str">
        <f t="shared" si="10"/>
        <v/>
      </c>
    </row>
    <row r="229" spans="1:30" ht="13.5" customHeight="1">
      <c r="A229" s="338">
        <f t="shared" si="9"/>
        <v>175</v>
      </c>
      <c r="B229" s="19"/>
      <c r="C229" s="12"/>
      <c r="D229" s="22"/>
      <c r="E229" s="431"/>
      <c r="F229" s="375"/>
      <c r="G229" s="375"/>
      <c r="H229" s="12"/>
      <c r="I229" s="8"/>
      <c r="J229" s="17" t="s">
        <v>46</v>
      </c>
      <c r="K229" s="367" t="s">
        <v>6</v>
      </c>
      <c r="L229" s="23" t="s">
        <v>90</v>
      </c>
      <c r="M229" s="397"/>
      <c r="N229" s="367" t="s">
        <v>6</v>
      </c>
      <c r="O229" s="23" t="s">
        <v>90</v>
      </c>
      <c r="P229" s="367" t="s">
        <v>6</v>
      </c>
      <c r="Q229" s="7"/>
      <c r="R229" s="367" t="s">
        <v>6</v>
      </c>
      <c r="S229" s="23" t="s">
        <v>90</v>
      </c>
      <c r="T229" s="367" t="s">
        <v>6</v>
      </c>
      <c r="U229" s="23" t="s">
        <v>90</v>
      </c>
      <c r="V229" s="367" t="s">
        <v>6</v>
      </c>
      <c r="W229" s="23" t="s">
        <v>90</v>
      </c>
      <c r="X229" s="367" t="s">
        <v>6</v>
      </c>
      <c r="Y229" s="7"/>
      <c r="Z229" s="367" t="s">
        <v>6</v>
      </c>
      <c r="AA229" s="7"/>
      <c r="AB229" s="367" t="s">
        <v>6</v>
      </c>
      <c r="AC229" s="7"/>
      <c r="AD229" s="337" t="str">
        <f t="shared" si="10"/>
        <v/>
      </c>
    </row>
    <row r="230" spans="1:30" ht="13.5" customHeight="1">
      <c r="A230" s="338">
        <f t="shared" si="9"/>
        <v>176</v>
      </c>
      <c r="B230" s="19"/>
      <c r="C230" s="12"/>
      <c r="D230" s="22"/>
      <c r="E230" s="431"/>
      <c r="F230" s="375"/>
      <c r="G230" s="375"/>
      <c r="H230" s="12"/>
      <c r="I230" s="8"/>
      <c r="J230" s="17" t="s">
        <v>46</v>
      </c>
      <c r="K230" s="367" t="s">
        <v>6</v>
      </c>
      <c r="L230" s="23" t="s">
        <v>90</v>
      </c>
      <c r="M230" s="397"/>
      <c r="N230" s="367" t="s">
        <v>6</v>
      </c>
      <c r="O230" s="23" t="s">
        <v>90</v>
      </c>
      <c r="P230" s="367" t="s">
        <v>6</v>
      </c>
      <c r="Q230" s="7"/>
      <c r="R230" s="367" t="s">
        <v>6</v>
      </c>
      <c r="S230" s="23" t="s">
        <v>90</v>
      </c>
      <c r="T230" s="367" t="s">
        <v>6</v>
      </c>
      <c r="U230" s="23" t="s">
        <v>90</v>
      </c>
      <c r="V230" s="367" t="s">
        <v>6</v>
      </c>
      <c r="W230" s="23" t="s">
        <v>90</v>
      </c>
      <c r="X230" s="367" t="s">
        <v>6</v>
      </c>
      <c r="Y230" s="7"/>
      <c r="Z230" s="367" t="s">
        <v>6</v>
      </c>
      <c r="AA230" s="7"/>
      <c r="AB230" s="367" t="s">
        <v>6</v>
      </c>
      <c r="AC230" s="7"/>
      <c r="AD230" s="337" t="str">
        <f t="shared" si="10"/>
        <v/>
      </c>
    </row>
    <row r="231" spans="1:30" ht="13.5" customHeight="1">
      <c r="A231" s="338">
        <f t="shared" si="9"/>
        <v>177</v>
      </c>
      <c r="B231" s="19"/>
      <c r="C231" s="12"/>
      <c r="D231" s="22"/>
      <c r="E231" s="431"/>
      <c r="F231" s="375"/>
      <c r="G231" s="375"/>
      <c r="H231" s="12"/>
      <c r="I231" s="8"/>
      <c r="J231" s="17" t="s">
        <v>46</v>
      </c>
      <c r="K231" s="367" t="s">
        <v>6</v>
      </c>
      <c r="L231" s="23" t="s">
        <v>90</v>
      </c>
      <c r="M231" s="397"/>
      <c r="N231" s="367" t="s">
        <v>6</v>
      </c>
      <c r="O231" s="23" t="s">
        <v>90</v>
      </c>
      <c r="P231" s="367" t="s">
        <v>6</v>
      </c>
      <c r="Q231" s="7"/>
      <c r="R231" s="367" t="s">
        <v>6</v>
      </c>
      <c r="S231" s="23" t="s">
        <v>90</v>
      </c>
      <c r="T231" s="367" t="s">
        <v>6</v>
      </c>
      <c r="U231" s="23" t="s">
        <v>90</v>
      </c>
      <c r="V231" s="367" t="s">
        <v>6</v>
      </c>
      <c r="W231" s="23" t="s">
        <v>90</v>
      </c>
      <c r="X231" s="367" t="s">
        <v>6</v>
      </c>
      <c r="Y231" s="7"/>
      <c r="Z231" s="367" t="s">
        <v>6</v>
      </c>
      <c r="AA231" s="7"/>
      <c r="AB231" s="367" t="s">
        <v>6</v>
      </c>
      <c r="AC231" s="7"/>
      <c r="AD231" s="337" t="str">
        <f t="shared" si="10"/>
        <v/>
      </c>
    </row>
    <row r="232" spans="1:30" ht="13.5" customHeight="1">
      <c r="A232" s="338">
        <f t="shared" si="9"/>
        <v>178</v>
      </c>
      <c r="B232" s="19"/>
      <c r="C232" s="12"/>
      <c r="D232" s="22"/>
      <c r="E232" s="431"/>
      <c r="F232" s="375"/>
      <c r="G232" s="375"/>
      <c r="H232" s="12"/>
      <c r="I232" s="8"/>
      <c r="J232" s="17" t="s">
        <v>46</v>
      </c>
      <c r="K232" s="367" t="s">
        <v>6</v>
      </c>
      <c r="L232" s="23" t="s">
        <v>90</v>
      </c>
      <c r="M232" s="397"/>
      <c r="N232" s="367" t="s">
        <v>6</v>
      </c>
      <c r="O232" s="23" t="s">
        <v>90</v>
      </c>
      <c r="P232" s="367" t="s">
        <v>6</v>
      </c>
      <c r="Q232" s="7"/>
      <c r="R232" s="367" t="s">
        <v>6</v>
      </c>
      <c r="S232" s="23" t="s">
        <v>90</v>
      </c>
      <c r="T232" s="367" t="s">
        <v>6</v>
      </c>
      <c r="U232" s="23" t="s">
        <v>90</v>
      </c>
      <c r="V232" s="367" t="s">
        <v>6</v>
      </c>
      <c r="W232" s="23" t="s">
        <v>90</v>
      </c>
      <c r="X232" s="367" t="s">
        <v>6</v>
      </c>
      <c r="Y232" s="7"/>
      <c r="Z232" s="367" t="s">
        <v>6</v>
      </c>
      <c r="AA232" s="7"/>
      <c r="AB232" s="367" t="s">
        <v>6</v>
      </c>
      <c r="AC232" s="7"/>
      <c r="AD232" s="337" t="str">
        <f t="shared" si="10"/>
        <v/>
      </c>
    </row>
    <row r="233" spans="1:30" ht="13.5" customHeight="1">
      <c r="A233" s="338">
        <f t="shared" si="9"/>
        <v>179</v>
      </c>
      <c r="B233" s="19"/>
      <c r="C233" s="12"/>
      <c r="D233" s="22"/>
      <c r="E233" s="431"/>
      <c r="F233" s="375"/>
      <c r="G233" s="375"/>
      <c r="H233" s="12"/>
      <c r="I233" s="8"/>
      <c r="J233" s="17" t="s">
        <v>46</v>
      </c>
      <c r="K233" s="367" t="s">
        <v>6</v>
      </c>
      <c r="L233" s="23" t="s">
        <v>90</v>
      </c>
      <c r="M233" s="397"/>
      <c r="N233" s="367" t="s">
        <v>6</v>
      </c>
      <c r="O233" s="23" t="s">
        <v>90</v>
      </c>
      <c r="P233" s="367" t="s">
        <v>6</v>
      </c>
      <c r="Q233" s="7"/>
      <c r="R233" s="367" t="s">
        <v>6</v>
      </c>
      <c r="S233" s="23" t="s">
        <v>90</v>
      </c>
      <c r="T233" s="367" t="s">
        <v>6</v>
      </c>
      <c r="U233" s="23" t="s">
        <v>90</v>
      </c>
      <c r="V233" s="367" t="s">
        <v>6</v>
      </c>
      <c r="W233" s="23" t="s">
        <v>90</v>
      </c>
      <c r="X233" s="367" t="s">
        <v>6</v>
      </c>
      <c r="Y233" s="7"/>
      <c r="Z233" s="367" t="s">
        <v>6</v>
      </c>
      <c r="AA233" s="7"/>
      <c r="AB233" s="367" t="s">
        <v>6</v>
      </c>
      <c r="AC233" s="7"/>
      <c r="AD233" s="337" t="str">
        <f t="shared" si="10"/>
        <v/>
      </c>
    </row>
    <row r="234" spans="1:30" ht="13.5" customHeight="1">
      <c r="A234" s="338">
        <f t="shared" si="9"/>
        <v>180</v>
      </c>
      <c r="B234" s="19"/>
      <c r="C234" s="12"/>
      <c r="D234" s="22"/>
      <c r="E234" s="431"/>
      <c r="F234" s="375"/>
      <c r="G234" s="375"/>
      <c r="H234" s="12"/>
      <c r="I234" s="8"/>
      <c r="J234" s="17" t="s">
        <v>46</v>
      </c>
      <c r="K234" s="367" t="s">
        <v>6</v>
      </c>
      <c r="L234" s="23" t="s">
        <v>90</v>
      </c>
      <c r="M234" s="397"/>
      <c r="N234" s="367" t="s">
        <v>6</v>
      </c>
      <c r="O234" s="23" t="s">
        <v>90</v>
      </c>
      <c r="P234" s="367" t="s">
        <v>6</v>
      </c>
      <c r="Q234" s="7"/>
      <c r="R234" s="367" t="s">
        <v>6</v>
      </c>
      <c r="S234" s="23" t="s">
        <v>90</v>
      </c>
      <c r="T234" s="367" t="s">
        <v>6</v>
      </c>
      <c r="U234" s="23" t="s">
        <v>90</v>
      </c>
      <c r="V234" s="367" t="s">
        <v>6</v>
      </c>
      <c r="W234" s="23" t="s">
        <v>90</v>
      </c>
      <c r="X234" s="367" t="s">
        <v>6</v>
      </c>
      <c r="Y234" s="7"/>
      <c r="Z234" s="367" t="s">
        <v>6</v>
      </c>
      <c r="AA234" s="7"/>
      <c r="AB234" s="367" t="s">
        <v>6</v>
      </c>
      <c r="AC234" s="7"/>
      <c r="AD234" s="337" t="str">
        <f t="shared" si="10"/>
        <v/>
      </c>
    </row>
    <row r="235" spans="1:30" ht="13.5" customHeight="1">
      <c r="A235" s="338">
        <f t="shared" si="9"/>
        <v>181</v>
      </c>
      <c r="B235" s="19"/>
      <c r="C235" s="12"/>
      <c r="D235" s="22"/>
      <c r="E235" s="431"/>
      <c r="F235" s="375"/>
      <c r="G235" s="375"/>
      <c r="H235" s="12"/>
      <c r="I235" s="8"/>
      <c r="J235" s="17" t="s">
        <v>46</v>
      </c>
      <c r="K235" s="367" t="s">
        <v>6</v>
      </c>
      <c r="L235" s="23" t="s">
        <v>90</v>
      </c>
      <c r="M235" s="397"/>
      <c r="N235" s="367" t="s">
        <v>6</v>
      </c>
      <c r="O235" s="23" t="s">
        <v>90</v>
      </c>
      <c r="P235" s="367" t="s">
        <v>6</v>
      </c>
      <c r="Q235" s="7"/>
      <c r="R235" s="367" t="s">
        <v>6</v>
      </c>
      <c r="S235" s="23" t="s">
        <v>90</v>
      </c>
      <c r="T235" s="367" t="s">
        <v>6</v>
      </c>
      <c r="U235" s="23" t="s">
        <v>90</v>
      </c>
      <c r="V235" s="367" t="s">
        <v>6</v>
      </c>
      <c r="W235" s="23" t="s">
        <v>90</v>
      </c>
      <c r="X235" s="367" t="s">
        <v>6</v>
      </c>
      <c r="Y235" s="7"/>
      <c r="Z235" s="367" t="s">
        <v>6</v>
      </c>
      <c r="AA235" s="7"/>
      <c r="AB235" s="367" t="s">
        <v>6</v>
      </c>
      <c r="AC235" s="7"/>
      <c r="AD235" s="337" t="str">
        <f t="shared" si="10"/>
        <v/>
      </c>
    </row>
    <row r="236" spans="1:30" ht="13.5" customHeight="1">
      <c r="A236" s="338">
        <f t="shared" si="9"/>
        <v>182</v>
      </c>
      <c r="B236" s="19"/>
      <c r="C236" s="12"/>
      <c r="D236" s="22"/>
      <c r="E236" s="431"/>
      <c r="F236" s="375"/>
      <c r="G236" s="375"/>
      <c r="H236" s="12"/>
      <c r="I236" s="8"/>
      <c r="J236" s="17" t="s">
        <v>46</v>
      </c>
      <c r="K236" s="367" t="s">
        <v>6</v>
      </c>
      <c r="L236" s="23" t="s">
        <v>90</v>
      </c>
      <c r="M236" s="397"/>
      <c r="N236" s="367" t="s">
        <v>6</v>
      </c>
      <c r="O236" s="23" t="s">
        <v>90</v>
      </c>
      <c r="P236" s="367" t="s">
        <v>6</v>
      </c>
      <c r="Q236" s="7"/>
      <c r="R236" s="367" t="s">
        <v>6</v>
      </c>
      <c r="S236" s="23" t="s">
        <v>90</v>
      </c>
      <c r="T236" s="367" t="s">
        <v>6</v>
      </c>
      <c r="U236" s="23" t="s">
        <v>90</v>
      </c>
      <c r="V236" s="367" t="s">
        <v>6</v>
      </c>
      <c r="W236" s="23" t="s">
        <v>90</v>
      </c>
      <c r="X236" s="367" t="s">
        <v>6</v>
      </c>
      <c r="Y236" s="7"/>
      <c r="Z236" s="367" t="s">
        <v>6</v>
      </c>
      <c r="AA236" s="7"/>
      <c r="AB236" s="367" t="s">
        <v>6</v>
      </c>
      <c r="AC236" s="7"/>
      <c r="AD236" s="337" t="str">
        <f t="shared" si="10"/>
        <v/>
      </c>
    </row>
    <row r="237" spans="1:30" ht="13.5" customHeight="1">
      <c r="A237" s="338">
        <f t="shared" si="9"/>
        <v>183</v>
      </c>
      <c r="B237" s="19"/>
      <c r="C237" s="12"/>
      <c r="D237" s="22"/>
      <c r="E237" s="431"/>
      <c r="F237" s="375"/>
      <c r="G237" s="375"/>
      <c r="H237" s="12"/>
      <c r="I237" s="8"/>
      <c r="J237" s="17" t="s">
        <v>46</v>
      </c>
      <c r="K237" s="367" t="s">
        <v>6</v>
      </c>
      <c r="L237" s="23" t="s">
        <v>90</v>
      </c>
      <c r="M237" s="397"/>
      <c r="N237" s="367" t="s">
        <v>6</v>
      </c>
      <c r="O237" s="23" t="s">
        <v>90</v>
      </c>
      <c r="P237" s="367" t="s">
        <v>6</v>
      </c>
      <c r="Q237" s="7"/>
      <c r="R237" s="367" t="s">
        <v>6</v>
      </c>
      <c r="S237" s="23" t="s">
        <v>90</v>
      </c>
      <c r="T237" s="367" t="s">
        <v>6</v>
      </c>
      <c r="U237" s="23" t="s">
        <v>90</v>
      </c>
      <c r="V237" s="367" t="s">
        <v>6</v>
      </c>
      <c r="W237" s="23" t="s">
        <v>90</v>
      </c>
      <c r="X237" s="367" t="s">
        <v>6</v>
      </c>
      <c r="Y237" s="7"/>
      <c r="Z237" s="367" t="s">
        <v>6</v>
      </c>
      <c r="AA237" s="7"/>
      <c r="AB237" s="367" t="s">
        <v>6</v>
      </c>
      <c r="AC237" s="7"/>
      <c r="AD237" s="337" t="str">
        <f t="shared" si="10"/>
        <v/>
      </c>
    </row>
    <row r="238" spans="1:30" ht="13.5" customHeight="1">
      <c r="A238" s="338">
        <f t="shared" si="9"/>
        <v>184</v>
      </c>
      <c r="B238" s="19"/>
      <c r="C238" s="12"/>
      <c r="D238" s="22"/>
      <c r="E238" s="431"/>
      <c r="F238" s="375"/>
      <c r="G238" s="375"/>
      <c r="H238" s="12"/>
      <c r="I238" s="8"/>
      <c r="J238" s="17" t="s">
        <v>46</v>
      </c>
      <c r="K238" s="367" t="s">
        <v>6</v>
      </c>
      <c r="L238" s="23" t="s">
        <v>90</v>
      </c>
      <c r="M238" s="397"/>
      <c r="N238" s="367" t="s">
        <v>6</v>
      </c>
      <c r="O238" s="23" t="s">
        <v>90</v>
      </c>
      <c r="P238" s="367" t="s">
        <v>6</v>
      </c>
      <c r="Q238" s="7"/>
      <c r="R238" s="367" t="s">
        <v>6</v>
      </c>
      <c r="S238" s="23" t="s">
        <v>90</v>
      </c>
      <c r="T238" s="367" t="s">
        <v>6</v>
      </c>
      <c r="U238" s="23" t="s">
        <v>90</v>
      </c>
      <c r="V238" s="367" t="s">
        <v>6</v>
      </c>
      <c r="W238" s="23" t="s">
        <v>90</v>
      </c>
      <c r="X238" s="367" t="s">
        <v>6</v>
      </c>
      <c r="Y238" s="7"/>
      <c r="Z238" s="367" t="s">
        <v>6</v>
      </c>
      <c r="AA238" s="7"/>
      <c r="AB238" s="367" t="s">
        <v>6</v>
      </c>
      <c r="AC238" s="7"/>
      <c r="AD238" s="337" t="str">
        <f t="shared" si="10"/>
        <v/>
      </c>
    </row>
    <row r="239" spans="1:30" ht="13.5" customHeight="1">
      <c r="A239" s="338">
        <f t="shared" si="9"/>
        <v>185</v>
      </c>
      <c r="B239" s="19"/>
      <c r="C239" s="12"/>
      <c r="D239" s="22"/>
      <c r="E239" s="431"/>
      <c r="F239" s="375"/>
      <c r="G239" s="375"/>
      <c r="H239" s="12"/>
      <c r="I239" s="8"/>
      <c r="J239" s="17" t="s">
        <v>46</v>
      </c>
      <c r="K239" s="367" t="s">
        <v>6</v>
      </c>
      <c r="L239" s="23" t="s">
        <v>90</v>
      </c>
      <c r="M239" s="397"/>
      <c r="N239" s="367" t="s">
        <v>6</v>
      </c>
      <c r="O239" s="23" t="s">
        <v>90</v>
      </c>
      <c r="P239" s="367" t="s">
        <v>6</v>
      </c>
      <c r="Q239" s="7"/>
      <c r="R239" s="367" t="s">
        <v>6</v>
      </c>
      <c r="S239" s="23" t="s">
        <v>90</v>
      </c>
      <c r="T239" s="367" t="s">
        <v>6</v>
      </c>
      <c r="U239" s="23" t="s">
        <v>90</v>
      </c>
      <c r="V239" s="367" t="s">
        <v>6</v>
      </c>
      <c r="W239" s="23" t="s">
        <v>90</v>
      </c>
      <c r="X239" s="367" t="s">
        <v>6</v>
      </c>
      <c r="Y239" s="7"/>
      <c r="Z239" s="367" t="s">
        <v>6</v>
      </c>
      <c r="AA239" s="7"/>
      <c r="AB239" s="367" t="s">
        <v>6</v>
      </c>
      <c r="AC239" s="7"/>
      <c r="AD239" s="337" t="str">
        <f t="shared" si="10"/>
        <v/>
      </c>
    </row>
    <row r="240" spans="1:30" ht="13.5" customHeight="1">
      <c r="A240" s="338">
        <f t="shared" si="9"/>
        <v>186</v>
      </c>
      <c r="B240" s="19"/>
      <c r="C240" s="12"/>
      <c r="D240" s="22"/>
      <c r="E240" s="431"/>
      <c r="F240" s="375"/>
      <c r="G240" s="375"/>
      <c r="H240" s="12"/>
      <c r="I240" s="8"/>
      <c r="J240" s="17" t="s">
        <v>46</v>
      </c>
      <c r="K240" s="367" t="s">
        <v>6</v>
      </c>
      <c r="L240" s="23" t="s">
        <v>90</v>
      </c>
      <c r="M240" s="397"/>
      <c r="N240" s="367" t="s">
        <v>6</v>
      </c>
      <c r="O240" s="23" t="s">
        <v>90</v>
      </c>
      <c r="P240" s="367" t="s">
        <v>6</v>
      </c>
      <c r="Q240" s="7"/>
      <c r="R240" s="367" t="s">
        <v>6</v>
      </c>
      <c r="S240" s="23" t="s">
        <v>90</v>
      </c>
      <c r="T240" s="367" t="s">
        <v>6</v>
      </c>
      <c r="U240" s="23" t="s">
        <v>90</v>
      </c>
      <c r="V240" s="367" t="s">
        <v>6</v>
      </c>
      <c r="W240" s="23" t="s">
        <v>90</v>
      </c>
      <c r="X240" s="367" t="s">
        <v>6</v>
      </c>
      <c r="Y240" s="7"/>
      <c r="Z240" s="367" t="s">
        <v>6</v>
      </c>
      <c r="AA240" s="7"/>
      <c r="AB240" s="367" t="s">
        <v>6</v>
      </c>
      <c r="AC240" s="7"/>
      <c r="AD240" s="337" t="str">
        <f t="shared" si="10"/>
        <v/>
      </c>
    </row>
    <row r="241" spans="1:30" ht="13.5" customHeight="1">
      <c r="A241" s="338">
        <f t="shared" si="9"/>
        <v>187</v>
      </c>
      <c r="B241" s="19"/>
      <c r="C241" s="12"/>
      <c r="D241" s="22"/>
      <c r="E241" s="431"/>
      <c r="F241" s="375"/>
      <c r="G241" s="375"/>
      <c r="H241" s="12"/>
      <c r="I241" s="8"/>
      <c r="J241" s="17" t="s">
        <v>46</v>
      </c>
      <c r="K241" s="367" t="s">
        <v>6</v>
      </c>
      <c r="L241" s="23" t="s">
        <v>90</v>
      </c>
      <c r="M241" s="397"/>
      <c r="N241" s="367" t="s">
        <v>6</v>
      </c>
      <c r="O241" s="23" t="s">
        <v>90</v>
      </c>
      <c r="P241" s="367" t="s">
        <v>6</v>
      </c>
      <c r="Q241" s="7"/>
      <c r="R241" s="367" t="s">
        <v>6</v>
      </c>
      <c r="S241" s="23" t="s">
        <v>90</v>
      </c>
      <c r="T241" s="367" t="s">
        <v>6</v>
      </c>
      <c r="U241" s="23" t="s">
        <v>90</v>
      </c>
      <c r="V241" s="367" t="s">
        <v>6</v>
      </c>
      <c r="W241" s="23" t="s">
        <v>90</v>
      </c>
      <c r="X241" s="367" t="s">
        <v>6</v>
      </c>
      <c r="Y241" s="7"/>
      <c r="Z241" s="367" t="s">
        <v>6</v>
      </c>
      <c r="AA241" s="7"/>
      <c r="AB241" s="367" t="s">
        <v>6</v>
      </c>
      <c r="AC241" s="7"/>
      <c r="AD241" s="337" t="str">
        <f t="shared" si="10"/>
        <v/>
      </c>
    </row>
    <row r="242" spans="1:30" ht="13.5" customHeight="1">
      <c r="A242" s="338">
        <f t="shared" si="9"/>
        <v>188</v>
      </c>
      <c r="B242" s="19"/>
      <c r="C242" s="12"/>
      <c r="D242" s="22"/>
      <c r="E242" s="431"/>
      <c r="F242" s="375"/>
      <c r="G242" s="375"/>
      <c r="H242" s="12"/>
      <c r="I242" s="8"/>
      <c r="J242" s="17" t="s">
        <v>46</v>
      </c>
      <c r="K242" s="367" t="s">
        <v>6</v>
      </c>
      <c r="L242" s="23" t="s">
        <v>90</v>
      </c>
      <c r="M242" s="397"/>
      <c r="N242" s="367" t="s">
        <v>6</v>
      </c>
      <c r="O242" s="23" t="s">
        <v>90</v>
      </c>
      <c r="P242" s="367" t="s">
        <v>6</v>
      </c>
      <c r="Q242" s="7"/>
      <c r="R242" s="367" t="s">
        <v>6</v>
      </c>
      <c r="S242" s="23" t="s">
        <v>90</v>
      </c>
      <c r="T242" s="367" t="s">
        <v>6</v>
      </c>
      <c r="U242" s="23" t="s">
        <v>90</v>
      </c>
      <c r="V242" s="367" t="s">
        <v>6</v>
      </c>
      <c r="W242" s="23" t="s">
        <v>90</v>
      </c>
      <c r="X242" s="367" t="s">
        <v>6</v>
      </c>
      <c r="Y242" s="7"/>
      <c r="Z242" s="367" t="s">
        <v>6</v>
      </c>
      <c r="AA242" s="7"/>
      <c r="AB242" s="367" t="s">
        <v>6</v>
      </c>
      <c r="AC242" s="7"/>
      <c r="AD242" s="337" t="str">
        <f t="shared" si="10"/>
        <v/>
      </c>
    </row>
    <row r="243" spans="1:30" ht="13.5" customHeight="1">
      <c r="A243" s="338">
        <f t="shared" si="9"/>
        <v>189</v>
      </c>
      <c r="B243" s="19"/>
      <c r="C243" s="12"/>
      <c r="D243" s="22"/>
      <c r="E243" s="431"/>
      <c r="F243" s="375"/>
      <c r="G243" s="375"/>
      <c r="H243" s="12"/>
      <c r="I243" s="8"/>
      <c r="J243" s="17" t="s">
        <v>46</v>
      </c>
      <c r="K243" s="367" t="s">
        <v>6</v>
      </c>
      <c r="L243" s="23" t="s">
        <v>90</v>
      </c>
      <c r="M243" s="397"/>
      <c r="N243" s="367" t="s">
        <v>6</v>
      </c>
      <c r="O243" s="23" t="s">
        <v>90</v>
      </c>
      <c r="P243" s="367" t="s">
        <v>6</v>
      </c>
      <c r="Q243" s="7"/>
      <c r="R243" s="367" t="s">
        <v>6</v>
      </c>
      <c r="S243" s="23" t="s">
        <v>90</v>
      </c>
      <c r="T243" s="367" t="s">
        <v>6</v>
      </c>
      <c r="U243" s="23" t="s">
        <v>90</v>
      </c>
      <c r="V243" s="367" t="s">
        <v>6</v>
      </c>
      <c r="W243" s="23" t="s">
        <v>90</v>
      </c>
      <c r="X243" s="367" t="s">
        <v>6</v>
      </c>
      <c r="Y243" s="7"/>
      <c r="Z243" s="367" t="s">
        <v>6</v>
      </c>
      <c r="AA243" s="7"/>
      <c r="AB243" s="367" t="s">
        <v>6</v>
      </c>
      <c r="AC243" s="7"/>
      <c r="AD243" s="337" t="str">
        <f t="shared" si="10"/>
        <v/>
      </c>
    </row>
    <row r="244" spans="1:30" ht="13.5" customHeight="1">
      <c r="A244" s="338">
        <f t="shared" si="9"/>
        <v>190</v>
      </c>
      <c r="B244" s="19"/>
      <c r="C244" s="12"/>
      <c r="D244" s="22"/>
      <c r="E244" s="431"/>
      <c r="F244" s="375"/>
      <c r="G244" s="375"/>
      <c r="H244" s="12"/>
      <c r="I244" s="8"/>
      <c r="J244" s="17" t="s">
        <v>46</v>
      </c>
      <c r="K244" s="367" t="s">
        <v>6</v>
      </c>
      <c r="L244" s="23" t="s">
        <v>90</v>
      </c>
      <c r="M244" s="397"/>
      <c r="N244" s="367" t="s">
        <v>6</v>
      </c>
      <c r="O244" s="23" t="s">
        <v>90</v>
      </c>
      <c r="P244" s="367" t="s">
        <v>6</v>
      </c>
      <c r="Q244" s="7"/>
      <c r="R244" s="367" t="s">
        <v>6</v>
      </c>
      <c r="S244" s="23" t="s">
        <v>90</v>
      </c>
      <c r="T244" s="367" t="s">
        <v>6</v>
      </c>
      <c r="U244" s="23" t="s">
        <v>90</v>
      </c>
      <c r="V244" s="367" t="s">
        <v>6</v>
      </c>
      <c r="W244" s="23" t="s">
        <v>90</v>
      </c>
      <c r="X244" s="367" t="s">
        <v>6</v>
      </c>
      <c r="Y244" s="7"/>
      <c r="Z244" s="367" t="s">
        <v>6</v>
      </c>
      <c r="AA244" s="7"/>
      <c r="AB244" s="367" t="s">
        <v>6</v>
      </c>
      <c r="AC244" s="7"/>
      <c r="AD244" s="337" t="str">
        <f t="shared" si="10"/>
        <v/>
      </c>
    </row>
    <row r="245" spans="1:30" ht="13.5" customHeight="1">
      <c r="A245" s="338">
        <f t="shared" si="9"/>
        <v>191</v>
      </c>
      <c r="B245" s="19"/>
      <c r="C245" s="12"/>
      <c r="D245" s="22"/>
      <c r="E245" s="431"/>
      <c r="F245" s="375"/>
      <c r="G245" s="375"/>
      <c r="H245" s="12"/>
      <c r="I245" s="8"/>
      <c r="J245" s="17" t="s">
        <v>46</v>
      </c>
      <c r="K245" s="367" t="s">
        <v>6</v>
      </c>
      <c r="L245" s="23" t="s">
        <v>90</v>
      </c>
      <c r="M245" s="397"/>
      <c r="N245" s="367" t="s">
        <v>6</v>
      </c>
      <c r="O245" s="23" t="s">
        <v>90</v>
      </c>
      <c r="P245" s="367" t="s">
        <v>6</v>
      </c>
      <c r="Q245" s="7"/>
      <c r="R245" s="367" t="s">
        <v>6</v>
      </c>
      <c r="S245" s="23" t="s">
        <v>90</v>
      </c>
      <c r="T245" s="367" t="s">
        <v>6</v>
      </c>
      <c r="U245" s="23" t="s">
        <v>90</v>
      </c>
      <c r="V245" s="367" t="s">
        <v>6</v>
      </c>
      <c r="W245" s="23" t="s">
        <v>90</v>
      </c>
      <c r="X245" s="367" t="s">
        <v>6</v>
      </c>
      <c r="Y245" s="7"/>
      <c r="Z245" s="367" t="s">
        <v>6</v>
      </c>
      <c r="AA245" s="7"/>
      <c r="AB245" s="367" t="s">
        <v>6</v>
      </c>
      <c r="AC245" s="7"/>
      <c r="AD245" s="337" t="str">
        <f t="shared" si="10"/>
        <v/>
      </c>
    </row>
  </sheetData>
  <sheetProtection formatCells="0" sort="0"/>
  <sortState ref="B55:AA245">
    <sortCondition ref="B55"/>
    <sortCondition ref="C55"/>
  </sortState>
  <dataConsolidate/>
  <mergeCells count="10">
    <mergeCell ref="K50:L52"/>
    <mergeCell ref="M50:M52"/>
    <mergeCell ref="AB51:AC51"/>
    <mergeCell ref="R51:S51"/>
    <mergeCell ref="T51:U51"/>
    <mergeCell ref="P52:Q52"/>
    <mergeCell ref="P51:Q51"/>
    <mergeCell ref="X51:Y51"/>
    <mergeCell ref="V51:W51"/>
    <mergeCell ref="Z51:AA51"/>
  </mergeCells>
  <phoneticPr fontId="8" type="noConversion"/>
  <conditionalFormatting sqref="V65:V75 AB55:AB245 V77:V81 V85:V86 V90 V100:V101 V103 V107 V115 V118 V120 V123 V125:V127 V131:V133 V136 V146 V150 V154 V159 V161:V166 V168 V175:V177 V182:V245 Z55:Z245">
    <cfRule type="cellIs" dxfId="365" priority="386" stopIfTrue="1" operator="notEqual">
      <formula>"A"</formula>
    </cfRule>
  </conditionalFormatting>
  <conditionalFormatting sqref="O65:O178 S65:S75 U65:U75 W65:W75 W77:W81 U77:U81 S77:S81 S85:S86 U85:U86 W85:W86 W90 U90 S90 S100:S101 U100:U101 W100:W101 W103 U103 S103 S107 U107 W107 W115 U115 S115 S118 U118 W118 W120 U120 S120 S123 U123 W123 W125:W127 U125:U127 S125:S127 S131:S133 U131:U133 W131:W133 W136 U136 S136 S146 U146 W146 W150 U150 S150 S154 U154 W154 W159 U159 S159 S161:S166 U161:U166 W161:W166 W168 U168 S168 S175:S177 U175:U177 W175:W177 W182:W245 U182:U245 S182:S245 O180:O245 L224:L245">
    <cfRule type="cellIs" dxfId="364" priority="387" stopIfTrue="1" operator="notEqual">
      <formula>"NON"</formula>
    </cfRule>
  </conditionalFormatting>
  <conditionalFormatting sqref="J65:J178 J180:J245">
    <cfRule type="cellIs" dxfId="363" priority="388" stopIfTrue="1" operator="notEqual">
      <formula>"qc"</formula>
    </cfRule>
  </conditionalFormatting>
  <conditionalFormatting sqref="V65:V75 V77:V81 V85:V86 V90 V100:V101 V103 V107 V115 V118 V120 V123 V125:V127 V131:V133 V136 V146 V150 V154 V159 V161:V166 V168 V175:V177 V182:V184 Z55:Z245">
    <cfRule type="cellIs" dxfId="362" priority="383" stopIfTrue="1" operator="notEqual">
      <formula>"A"</formula>
    </cfRule>
  </conditionalFormatting>
  <conditionalFormatting sqref="O65:O178 S65:S75 U65:U75 W65:W75 W77:W81 U77:U81 S77:S81 S85:S86 U85:U86 W85:W86 W90 U90 S90 S100:S101 U100:U101 W100:W101 W103 U103 S103 S107 U107 W107 W115 U115 S115 S118 U118 W118 W120 U120 S120 S123 U123 W123 W125:W127 U125:U127 S125:S127 S131:S133 U131:U133 W131:W133 W136 U136 S136 S146 U146 W146 W150 U150 S150 S154 U154 W154 W159 U159 S159 S161:S166 U161:U166 W161:W166 W168 U168 S168 S175:S177 U175:U177 W175:W177 W182:W184 U182:U184 S182:S184 O180:O184">
    <cfRule type="cellIs" dxfId="361" priority="382" stopIfTrue="1" operator="notEqual">
      <formula>"NON"</formula>
    </cfRule>
  </conditionalFormatting>
  <conditionalFormatting sqref="J65:J178 J180:J245">
    <cfRule type="cellIs" dxfId="360" priority="381" stopIfTrue="1" operator="notEqual">
      <formula>"qc"</formula>
    </cfRule>
  </conditionalFormatting>
  <conditionalFormatting sqref="V103 V107">
    <cfRule type="cellIs" dxfId="359" priority="380" stopIfTrue="1" operator="notEqual">
      <formula>"A"</formula>
    </cfRule>
  </conditionalFormatting>
  <conditionalFormatting sqref="O103:O111 S103 U103 W103 W107 U107 S107">
    <cfRule type="cellIs" dxfId="358" priority="379" stopIfTrue="1" operator="notEqual">
      <formula>"NON"</formula>
    </cfRule>
  </conditionalFormatting>
  <conditionalFormatting sqref="J103:J111">
    <cfRule type="cellIs" dxfId="357" priority="378" stopIfTrue="1" operator="notEqual">
      <formula>"qc"</formula>
    </cfRule>
  </conditionalFormatting>
  <conditionalFormatting sqref="V103 V107">
    <cfRule type="cellIs" dxfId="356" priority="377" stopIfTrue="1" operator="notEqual">
      <formula>"A"</formula>
    </cfRule>
  </conditionalFormatting>
  <conditionalFormatting sqref="O103:O111 S103 U103 W103 W107 U107 S107">
    <cfRule type="cellIs" dxfId="355" priority="376" stopIfTrue="1" operator="notEqual">
      <formula>"NON"</formula>
    </cfRule>
  </conditionalFormatting>
  <conditionalFormatting sqref="J103:J111">
    <cfRule type="cellIs" dxfId="354" priority="375" stopIfTrue="1" operator="notEqual">
      <formula>"qc"</formula>
    </cfRule>
  </conditionalFormatting>
  <conditionalFormatting sqref="V58:V61 V64">
    <cfRule type="cellIs" dxfId="353" priority="372" stopIfTrue="1" operator="notEqual">
      <formula>"A"</formula>
    </cfRule>
  </conditionalFormatting>
  <conditionalFormatting sqref="L57 O57:O64 W58:W61 U58:U61 S58:S61 S64 U64 W64 L60 L63 L66 L69 L72 L75 L78 L81 L84 L87 L90 L93 L96 L99 L102 L105 L108 L111 L114 L117 L120 L123 L126 L129 L132 L135 L138 L141 L144 L147 L150 L153 L156 L159 L162 L165 L168 L171 L174 L177 L180 L183 L186 L189 L192 L195 L198 L201 L204 L207 L210 L213 L216 L219 L222">
    <cfRule type="cellIs" dxfId="352" priority="373" stopIfTrue="1" operator="notEqual">
      <formula>"NON"</formula>
    </cfRule>
  </conditionalFormatting>
  <conditionalFormatting sqref="J57:J64">
    <cfRule type="cellIs" dxfId="351" priority="374" stopIfTrue="1" operator="notEqual">
      <formula>"qc"</formula>
    </cfRule>
  </conditionalFormatting>
  <conditionalFormatting sqref="V58:V61 V64">
    <cfRule type="cellIs" dxfId="350" priority="371" stopIfTrue="1" operator="notEqual">
      <formula>"A"</formula>
    </cfRule>
  </conditionalFormatting>
  <conditionalFormatting sqref="L57 O57:O64 W58:W61 U58:U61 S58:S61 S64 U64 W64 L60 L63 L66 L69 L72 L75 L78 L81 L84 L87 L90 L93 L96 L99 L102 L105 L108 L111 L114 L117 L120 L123 L126 L129 L132 L135 L138 L141 L144 L147 L150 L153 L156 L159 L162 L165 L168 L171 L174 L177 L180 L183 L186 L189 L192 L195 L198 L201 L204 L207 L210 L213 L216 L219 L222">
    <cfRule type="cellIs" dxfId="349" priority="370" stopIfTrue="1" operator="notEqual">
      <formula>"NON"</formula>
    </cfRule>
  </conditionalFormatting>
  <conditionalFormatting sqref="J57:J64">
    <cfRule type="cellIs" dxfId="348" priority="369" stopIfTrue="1" operator="notEqual">
      <formula>"qc"</formula>
    </cfRule>
  </conditionalFormatting>
  <conditionalFormatting sqref="V55 R55 K55:K245 N55:N245 P55:P245 T55:T245 X55:X245">
    <cfRule type="cellIs" dxfId="347" priority="362" stopIfTrue="1" operator="notEqual">
      <formula>"A"</formula>
    </cfRule>
  </conditionalFormatting>
  <conditionalFormatting sqref="O55:O56 S55 U55 W55 L55:L56 L58:L59 L61:L62 L64:L65 L67:L68 L70:L71 L73:L74 L76:L77 L79:L80 L82:L83 L85:L86 L88:L89 L91:L92 L94:L95 L97:L98 L100:L101 L103:L104 L106:L107 L109:L110 L112:L113 L115:L116 L118:L119 L121:L122 L124:L125 L127:L128 L130:L131 L133:L134 L136:L137 L139:L140 L142:L143 L145:L146 L148:L149 L151:L152 L154:L155 L157:L158 L160:L161 L163:L164 L166:L167 L169:L170 L172:L173 L175:L176 L178:L179 L181:L182 L184:L185 L187:L188 L190:L191 L193:L194 L196:L197 L199:L200 L202:L203 L205:L206 L208:L209 L211:L212 L214:L215 L217:L218 L220:L221 L223">
    <cfRule type="cellIs" dxfId="346" priority="363" stopIfTrue="1" operator="notEqual">
      <formula>"NON"</formula>
    </cfRule>
  </conditionalFormatting>
  <conditionalFormatting sqref="J55:J56">
    <cfRule type="cellIs" dxfId="345" priority="364" stopIfTrue="1" operator="notEqual">
      <formula>"qc"</formula>
    </cfRule>
  </conditionalFormatting>
  <conditionalFormatting sqref="V55 R55 K55:K245 N55:N245 P55:P245 T55:T245 X55:X245">
    <cfRule type="cellIs" dxfId="344" priority="361" stopIfTrue="1" operator="notEqual">
      <formula>"A"</formula>
    </cfRule>
  </conditionalFormatting>
  <conditionalFormatting sqref="O55:O56 S55 U55 W55 L55:L56 L58:L59 L61:L62 L64:L65 L67:L68 L70:L71 L73:L74 L76:L77 L79:L80 L82:L83 L85:L86 L88:L89 L91:L92 L94:L95 L97:L98 L100:L101 L103:L104 L106:L107 L109:L110 L112:L113 L115:L116 L118:L119 L121:L122 L124:L125 L127:L128 L130:L131 L133:L134 L136:L137 L139:L140 L142:L143 L145:L146 L148:L149 L151:L152 L154:L155 L157:L158 L160:L161 L163:L164 L166:L167 L169:L170 L172:L173 L175:L176 L178:L179 L181:L182 L184:L185 L187:L188 L190:L191 L193:L194 L196:L197 L199:L200 L202:L203 L205:L206 L208:L209 L211:L212 L214:L215 L217:L218 L220:L221 L223">
    <cfRule type="cellIs" dxfId="343" priority="360" stopIfTrue="1" operator="notEqual">
      <formula>"NON"</formula>
    </cfRule>
  </conditionalFormatting>
  <conditionalFormatting sqref="J55:J56">
    <cfRule type="cellIs" dxfId="342" priority="359" stopIfTrue="1" operator="notEqual">
      <formula>"qc"</formula>
    </cfRule>
  </conditionalFormatting>
  <conditionalFormatting sqref="V56">
    <cfRule type="cellIs" dxfId="341" priority="351" stopIfTrue="1" operator="notEqual">
      <formula>"A"</formula>
    </cfRule>
  </conditionalFormatting>
  <conditionalFormatting sqref="S56 U56 W56">
    <cfRule type="cellIs" dxfId="340" priority="352" stopIfTrue="1" operator="notEqual">
      <formula>"NON"</formula>
    </cfRule>
  </conditionalFormatting>
  <conditionalFormatting sqref="V56">
    <cfRule type="cellIs" dxfId="339" priority="350" stopIfTrue="1" operator="notEqual">
      <formula>"A"</formula>
    </cfRule>
  </conditionalFormatting>
  <conditionalFormatting sqref="S56 U56 W56">
    <cfRule type="cellIs" dxfId="338" priority="349" stopIfTrue="1" operator="notEqual">
      <formula>"NON"</formula>
    </cfRule>
  </conditionalFormatting>
  <conditionalFormatting sqref="V57">
    <cfRule type="cellIs" dxfId="337" priority="347" stopIfTrue="1" operator="notEqual">
      <formula>"A"</formula>
    </cfRule>
  </conditionalFormatting>
  <conditionalFormatting sqref="S57 U57 W57">
    <cfRule type="cellIs" dxfId="336" priority="348" stopIfTrue="1" operator="notEqual">
      <formula>"NON"</formula>
    </cfRule>
  </conditionalFormatting>
  <conditionalFormatting sqref="V57">
    <cfRule type="cellIs" dxfId="335" priority="346" stopIfTrue="1" operator="notEqual">
      <formula>"A"</formula>
    </cfRule>
  </conditionalFormatting>
  <conditionalFormatting sqref="S57 U57 W57">
    <cfRule type="cellIs" dxfId="334" priority="345" stopIfTrue="1" operator="notEqual">
      <formula>"NON"</formula>
    </cfRule>
  </conditionalFormatting>
  <conditionalFormatting sqref="V62">
    <cfRule type="cellIs" dxfId="333" priority="343" stopIfTrue="1" operator="notEqual">
      <formula>"A"</formula>
    </cfRule>
  </conditionalFormatting>
  <conditionalFormatting sqref="W62 U62 S62">
    <cfRule type="cellIs" dxfId="332" priority="344" stopIfTrue="1" operator="notEqual">
      <formula>"NON"</formula>
    </cfRule>
  </conditionalFormatting>
  <conditionalFormatting sqref="V62">
    <cfRule type="cellIs" dxfId="331" priority="342" stopIfTrue="1" operator="notEqual">
      <formula>"A"</formula>
    </cfRule>
  </conditionalFormatting>
  <conditionalFormatting sqref="W62 U62 S62">
    <cfRule type="cellIs" dxfId="330" priority="341" stopIfTrue="1" operator="notEqual">
      <formula>"NON"</formula>
    </cfRule>
  </conditionalFormatting>
  <conditionalFormatting sqref="V63">
    <cfRule type="cellIs" dxfId="329" priority="339" stopIfTrue="1" operator="notEqual">
      <formula>"A"</formula>
    </cfRule>
  </conditionalFormatting>
  <conditionalFormatting sqref="W63 U63 S63">
    <cfRule type="cellIs" dxfId="328" priority="340" stopIfTrue="1" operator="notEqual">
      <formula>"NON"</formula>
    </cfRule>
  </conditionalFormatting>
  <conditionalFormatting sqref="V63">
    <cfRule type="cellIs" dxfId="327" priority="338" stopIfTrue="1" operator="notEqual">
      <formula>"A"</formula>
    </cfRule>
  </conditionalFormatting>
  <conditionalFormatting sqref="W63 U63 S63">
    <cfRule type="cellIs" dxfId="326" priority="337" stopIfTrue="1" operator="notEqual">
      <formula>"NON"</formula>
    </cfRule>
  </conditionalFormatting>
  <conditionalFormatting sqref="V76">
    <cfRule type="cellIs" dxfId="325" priority="335" stopIfTrue="1" operator="notEqual">
      <formula>"A"</formula>
    </cfRule>
  </conditionalFormatting>
  <conditionalFormatting sqref="S76 U76 W76">
    <cfRule type="cellIs" dxfId="324" priority="336" stopIfTrue="1" operator="notEqual">
      <formula>"NON"</formula>
    </cfRule>
  </conditionalFormatting>
  <conditionalFormatting sqref="V76">
    <cfRule type="cellIs" dxfId="323" priority="334" stopIfTrue="1" operator="notEqual">
      <formula>"A"</formula>
    </cfRule>
  </conditionalFormatting>
  <conditionalFormatting sqref="S76 U76 W76">
    <cfRule type="cellIs" dxfId="322" priority="333" stopIfTrue="1" operator="notEqual">
      <formula>"NON"</formula>
    </cfRule>
  </conditionalFormatting>
  <conditionalFormatting sqref="V82">
    <cfRule type="cellIs" dxfId="321" priority="331" stopIfTrue="1" operator="notEqual">
      <formula>"A"</formula>
    </cfRule>
  </conditionalFormatting>
  <conditionalFormatting sqref="W82 U82 S82">
    <cfRule type="cellIs" dxfId="320" priority="332" stopIfTrue="1" operator="notEqual">
      <formula>"NON"</formula>
    </cfRule>
  </conditionalFormatting>
  <conditionalFormatting sqref="V82">
    <cfRule type="cellIs" dxfId="319" priority="330" stopIfTrue="1" operator="notEqual">
      <formula>"A"</formula>
    </cfRule>
  </conditionalFormatting>
  <conditionalFormatting sqref="W82 U82 S82">
    <cfRule type="cellIs" dxfId="318" priority="329" stopIfTrue="1" operator="notEqual">
      <formula>"NON"</formula>
    </cfRule>
  </conditionalFormatting>
  <conditionalFormatting sqref="V83">
    <cfRule type="cellIs" dxfId="317" priority="327" stopIfTrue="1" operator="notEqual">
      <formula>"A"</formula>
    </cfRule>
  </conditionalFormatting>
  <conditionalFormatting sqref="W83 U83 S83">
    <cfRule type="cellIs" dxfId="316" priority="328" stopIfTrue="1" operator="notEqual">
      <formula>"NON"</formula>
    </cfRule>
  </conditionalFormatting>
  <conditionalFormatting sqref="V83">
    <cfRule type="cellIs" dxfId="315" priority="326" stopIfTrue="1" operator="notEqual">
      <formula>"A"</formula>
    </cfRule>
  </conditionalFormatting>
  <conditionalFormatting sqref="W83 U83 S83">
    <cfRule type="cellIs" dxfId="314" priority="325" stopIfTrue="1" operator="notEqual">
      <formula>"NON"</formula>
    </cfRule>
  </conditionalFormatting>
  <conditionalFormatting sqref="V84">
    <cfRule type="cellIs" dxfId="313" priority="323" stopIfTrue="1" operator="notEqual">
      <formula>"A"</formula>
    </cfRule>
  </conditionalFormatting>
  <conditionalFormatting sqref="W84 U84 S84">
    <cfRule type="cellIs" dxfId="312" priority="324" stopIfTrue="1" operator="notEqual">
      <formula>"NON"</formula>
    </cfRule>
  </conditionalFormatting>
  <conditionalFormatting sqref="V84">
    <cfRule type="cellIs" dxfId="311" priority="322" stopIfTrue="1" operator="notEqual">
      <formula>"A"</formula>
    </cfRule>
  </conditionalFormatting>
  <conditionalFormatting sqref="W84 U84 S84">
    <cfRule type="cellIs" dxfId="310" priority="321" stopIfTrue="1" operator="notEqual">
      <formula>"NON"</formula>
    </cfRule>
  </conditionalFormatting>
  <conditionalFormatting sqref="V87">
    <cfRule type="cellIs" dxfId="309" priority="319" stopIfTrue="1" operator="notEqual">
      <formula>"A"</formula>
    </cfRule>
  </conditionalFormatting>
  <conditionalFormatting sqref="S87 U87 W87">
    <cfRule type="cellIs" dxfId="308" priority="320" stopIfTrue="1" operator="notEqual">
      <formula>"NON"</formula>
    </cfRule>
  </conditionalFormatting>
  <conditionalFormatting sqref="V87">
    <cfRule type="cellIs" dxfId="307" priority="318" stopIfTrue="1" operator="notEqual">
      <formula>"A"</formula>
    </cfRule>
  </conditionalFormatting>
  <conditionalFormatting sqref="S87 U87 W87">
    <cfRule type="cellIs" dxfId="306" priority="317" stopIfTrue="1" operator="notEqual">
      <formula>"NON"</formula>
    </cfRule>
  </conditionalFormatting>
  <conditionalFormatting sqref="V88">
    <cfRule type="cellIs" dxfId="305" priority="315" stopIfTrue="1" operator="notEqual">
      <formula>"A"</formula>
    </cfRule>
  </conditionalFormatting>
  <conditionalFormatting sqref="S88 U88 W88">
    <cfRule type="cellIs" dxfId="304" priority="316" stopIfTrue="1" operator="notEqual">
      <formula>"NON"</formula>
    </cfRule>
  </conditionalFormatting>
  <conditionalFormatting sqref="V88">
    <cfRule type="cellIs" dxfId="303" priority="314" stopIfTrue="1" operator="notEqual">
      <formula>"A"</formula>
    </cfRule>
  </conditionalFormatting>
  <conditionalFormatting sqref="S88 U88 W88">
    <cfRule type="cellIs" dxfId="302" priority="313" stopIfTrue="1" operator="notEqual">
      <formula>"NON"</formula>
    </cfRule>
  </conditionalFormatting>
  <conditionalFormatting sqref="V89">
    <cfRule type="cellIs" dxfId="301" priority="311" stopIfTrue="1" operator="notEqual">
      <formula>"A"</formula>
    </cfRule>
  </conditionalFormatting>
  <conditionalFormatting sqref="S89 U89 W89">
    <cfRule type="cellIs" dxfId="300" priority="312" stopIfTrue="1" operator="notEqual">
      <formula>"NON"</formula>
    </cfRule>
  </conditionalFormatting>
  <conditionalFormatting sqref="V89">
    <cfRule type="cellIs" dxfId="299" priority="310" stopIfTrue="1" operator="notEqual">
      <formula>"A"</formula>
    </cfRule>
  </conditionalFormatting>
  <conditionalFormatting sqref="S89 U89 W89">
    <cfRule type="cellIs" dxfId="298" priority="309" stopIfTrue="1" operator="notEqual">
      <formula>"NON"</formula>
    </cfRule>
  </conditionalFormatting>
  <conditionalFormatting sqref="V91">
    <cfRule type="cellIs" dxfId="297" priority="307" stopIfTrue="1" operator="notEqual">
      <formula>"A"</formula>
    </cfRule>
  </conditionalFormatting>
  <conditionalFormatting sqref="S91 U91 W91">
    <cfRule type="cellIs" dxfId="296" priority="308" stopIfTrue="1" operator="notEqual">
      <formula>"NON"</formula>
    </cfRule>
  </conditionalFormatting>
  <conditionalFormatting sqref="V91">
    <cfRule type="cellIs" dxfId="295" priority="306" stopIfTrue="1" operator="notEqual">
      <formula>"A"</formula>
    </cfRule>
  </conditionalFormatting>
  <conditionalFormatting sqref="S91 U91 W91">
    <cfRule type="cellIs" dxfId="294" priority="305" stopIfTrue="1" operator="notEqual">
      <formula>"NON"</formula>
    </cfRule>
  </conditionalFormatting>
  <conditionalFormatting sqref="V92">
    <cfRule type="cellIs" dxfId="293" priority="303" stopIfTrue="1" operator="notEqual">
      <formula>"A"</formula>
    </cfRule>
  </conditionalFormatting>
  <conditionalFormatting sqref="W92 U92 S92">
    <cfRule type="cellIs" dxfId="292" priority="304" stopIfTrue="1" operator="notEqual">
      <formula>"NON"</formula>
    </cfRule>
  </conditionalFormatting>
  <conditionalFormatting sqref="V92">
    <cfRule type="cellIs" dxfId="291" priority="302" stopIfTrue="1" operator="notEqual">
      <formula>"A"</formula>
    </cfRule>
  </conditionalFormatting>
  <conditionalFormatting sqref="W92 U92 S92">
    <cfRule type="cellIs" dxfId="290" priority="301" stopIfTrue="1" operator="notEqual">
      <formula>"NON"</formula>
    </cfRule>
  </conditionalFormatting>
  <conditionalFormatting sqref="V93">
    <cfRule type="cellIs" dxfId="289" priority="299" stopIfTrue="1" operator="notEqual">
      <formula>"A"</formula>
    </cfRule>
  </conditionalFormatting>
  <conditionalFormatting sqref="W93 U93 S93">
    <cfRule type="cellIs" dxfId="288" priority="300" stopIfTrue="1" operator="notEqual">
      <formula>"NON"</formula>
    </cfRule>
  </conditionalFormatting>
  <conditionalFormatting sqref="V93">
    <cfRule type="cellIs" dxfId="287" priority="298" stopIfTrue="1" operator="notEqual">
      <formula>"A"</formula>
    </cfRule>
  </conditionalFormatting>
  <conditionalFormatting sqref="W93 U93 S93">
    <cfRule type="cellIs" dxfId="286" priority="297" stopIfTrue="1" operator="notEqual">
      <formula>"NON"</formula>
    </cfRule>
  </conditionalFormatting>
  <conditionalFormatting sqref="V94">
    <cfRule type="cellIs" dxfId="285" priority="295" stopIfTrue="1" operator="notEqual">
      <formula>"A"</formula>
    </cfRule>
  </conditionalFormatting>
  <conditionalFormatting sqref="W94 U94 S94">
    <cfRule type="cellIs" dxfId="284" priority="296" stopIfTrue="1" operator="notEqual">
      <formula>"NON"</formula>
    </cfRule>
  </conditionalFormatting>
  <conditionalFormatting sqref="V94">
    <cfRule type="cellIs" dxfId="283" priority="294" stopIfTrue="1" operator="notEqual">
      <formula>"A"</formula>
    </cfRule>
  </conditionalFormatting>
  <conditionalFormatting sqref="W94 U94 S94">
    <cfRule type="cellIs" dxfId="282" priority="293" stopIfTrue="1" operator="notEqual">
      <formula>"NON"</formula>
    </cfRule>
  </conditionalFormatting>
  <conditionalFormatting sqref="V95">
    <cfRule type="cellIs" dxfId="281" priority="291" stopIfTrue="1" operator="notEqual">
      <formula>"A"</formula>
    </cfRule>
  </conditionalFormatting>
  <conditionalFormatting sqref="W95 U95 S95">
    <cfRule type="cellIs" dxfId="280" priority="292" stopIfTrue="1" operator="notEqual">
      <formula>"NON"</formula>
    </cfRule>
  </conditionalFormatting>
  <conditionalFormatting sqref="V95">
    <cfRule type="cellIs" dxfId="279" priority="290" stopIfTrue="1" operator="notEqual">
      <formula>"A"</formula>
    </cfRule>
  </conditionalFormatting>
  <conditionalFormatting sqref="W95 U95 S95">
    <cfRule type="cellIs" dxfId="278" priority="289" stopIfTrue="1" operator="notEqual">
      <formula>"NON"</formula>
    </cfRule>
  </conditionalFormatting>
  <conditionalFormatting sqref="V96">
    <cfRule type="cellIs" dxfId="277" priority="287" stopIfTrue="1" operator="notEqual">
      <formula>"A"</formula>
    </cfRule>
  </conditionalFormatting>
  <conditionalFormatting sqref="S96 U96 W96">
    <cfRule type="cellIs" dxfId="276" priority="288" stopIfTrue="1" operator="notEqual">
      <formula>"NON"</formula>
    </cfRule>
  </conditionalFormatting>
  <conditionalFormatting sqref="V96">
    <cfRule type="cellIs" dxfId="275" priority="286" stopIfTrue="1" operator="notEqual">
      <formula>"A"</formula>
    </cfRule>
  </conditionalFormatting>
  <conditionalFormatting sqref="S96 U96 W96">
    <cfRule type="cellIs" dxfId="274" priority="285" stopIfTrue="1" operator="notEqual">
      <formula>"NON"</formula>
    </cfRule>
  </conditionalFormatting>
  <conditionalFormatting sqref="V97">
    <cfRule type="cellIs" dxfId="273" priority="283" stopIfTrue="1" operator="notEqual">
      <formula>"A"</formula>
    </cfRule>
  </conditionalFormatting>
  <conditionalFormatting sqref="S97 U97 W97">
    <cfRule type="cellIs" dxfId="272" priority="284" stopIfTrue="1" operator="notEqual">
      <formula>"NON"</formula>
    </cfRule>
  </conditionalFormatting>
  <conditionalFormatting sqref="V97">
    <cfRule type="cellIs" dxfId="271" priority="282" stopIfTrue="1" operator="notEqual">
      <formula>"A"</formula>
    </cfRule>
  </conditionalFormatting>
  <conditionalFormatting sqref="S97 U97 W97">
    <cfRule type="cellIs" dxfId="270" priority="281" stopIfTrue="1" operator="notEqual">
      <formula>"NON"</formula>
    </cfRule>
  </conditionalFormatting>
  <conditionalFormatting sqref="V98">
    <cfRule type="cellIs" dxfId="269" priority="279" stopIfTrue="1" operator="notEqual">
      <formula>"A"</formula>
    </cfRule>
  </conditionalFormatting>
  <conditionalFormatting sqref="S98 U98 W98">
    <cfRule type="cellIs" dxfId="268" priority="280" stopIfTrue="1" operator="notEqual">
      <formula>"NON"</formula>
    </cfRule>
  </conditionalFormatting>
  <conditionalFormatting sqref="V98">
    <cfRule type="cellIs" dxfId="267" priority="278" stopIfTrue="1" operator="notEqual">
      <formula>"A"</formula>
    </cfRule>
  </conditionalFormatting>
  <conditionalFormatting sqref="S98 U98 W98">
    <cfRule type="cellIs" dxfId="266" priority="277" stopIfTrue="1" operator="notEqual">
      <formula>"NON"</formula>
    </cfRule>
  </conditionalFormatting>
  <conditionalFormatting sqref="V99">
    <cfRule type="cellIs" dxfId="265" priority="275" stopIfTrue="1" operator="notEqual">
      <formula>"A"</formula>
    </cfRule>
  </conditionalFormatting>
  <conditionalFormatting sqref="S99 U99 W99">
    <cfRule type="cellIs" dxfId="264" priority="276" stopIfTrue="1" operator="notEqual">
      <formula>"NON"</formula>
    </cfRule>
  </conditionalFormatting>
  <conditionalFormatting sqref="V99">
    <cfRule type="cellIs" dxfId="263" priority="274" stopIfTrue="1" operator="notEqual">
      <formula>"A"</formula>
    </cfRule>
  </conditionalFormatting>
  <conditionalFormatting sqref="S99 U99 W99">
    <cfRule type="cellIs" dxfId="262" priority="273" stopIfTrue="1" operator="notEqual">
      <formula>"NON"</formula>
    </cfRule>
  </conditionalFormatting>
  <conditionalFormatting sqref="V102">
    <cfRule type="cellIs" dxfId="261" priority="271" stopIfTrue="1" operator="notEqual">
      <formula>"A"</formula>
    </cfRule>
  </conditionalFormatting>
  <conditionalFormatting sqref="S102 U102 W102">
    <cfRule type="cellIs" dxfId="260" priority="272" stopIfTrue="1" operator="notEqual">
      <formula>"NON"</formula>
    </cfRule>
  </conditionalFormatting>
  <conditionalFormatting sqref="V102">
    <cfRule type="cellIs" dxfId="259" priority="270" stopIfTrue="1" operator="notEqual">
      <formula>"A"</formula>
    </cfRule>
  </conditionalFormatting>
  <conditionalFormatting sqref="S102 U102 W102">
    <cfRule type="cellIs" dxfId="258" priority="269" stopIfTrue="1" operator="notEqual">
      <formula>"NON"</formula>
    </cfRule>
  </conditionalFormatting>
  <conditionalFormatting sqref="V104">
    <cfRule type="cellIs" dxfId="257" priority="267" stopIfTrue="1" operator="notEqual">
      <formula>"A"</formula>
    </cfRule>
  </conditionalFormatting>
  <conditionalFormatting sqref="S104 U104 W104">
    <cfRule type="cellIs" dxfId="256" priority="268" stopIfTrue="1" operator="notEqual">
      <formula>"NON"</formula>
    </cfRule>
  </conditionalFormatting>
  <conditionalFormatting sqref="V104">
    <cfRule type="cellIs" dxfId="255" priority="266" stopIfTrue="1" operator="notEqual">
      <formula>"A"</formula>
    </cfRule>
  </conditionalFormatting>
  <conditionalFormatting sqref="S104 U104 W104">
    <cfRule type="cellIs" dxfId="254" priority="265" stopIfTrue="1" operator="notEqual">
      <formula>"NON"</formula>
    </cfRule>
  </conditionalFormatting>
  <conditionalFormatting sqref="V105">
    <cfRule type="cellIs" dxfId="253" priority="263" stopIfTrue="1" operator="notEqual">
      <formula>"A"</formula>
    </cfRule>
  </conditionalFormatting>
  <conditionalFormatting sqref="S105 U105 W105">
    <cfRule type="cellIs" dxfId="252" priority="264" stopIfTrue="1" operator="notEqual">
      <formula>"NON"</formula>
    </cfRule>
  </conditionalFormatting>
  <conditionalFormatting sqref="V105">
    <cfRule type="cellIs" dxfId="251" priority="262" stopIfTrue="1" operator="notEqual">
      <formula>"A"</formula>
    </cfRule>
  </conditionalFormatting>
  <conditionalFormatting sqref="S105 U105 W105">
    <cfRule type="cellIs" dxfId="250" priority="261" stopIfTrue="1" operator="notEqual">
      <formula>"NON"</formula>
    </cfRule>
  </conditionalFormatting>
  <conditionalFormatting sqref="V106">
    <cfRule type="cellIs" dxfId="249" priority="259" stopIfTrue="1" operator="notEqual">
      <formula>"A"</formula>
    </cfRule>
  </conditionalFormatting>
  <conditionalFormatting sqref="W106 U106 S106">
    <cfRule type="cellIs" dxfId="248" priority="260" stopIfTrue="1" operator="notEqual">
      <formula>"NON"</formula>
    </cfRule>
  </conditionalFormatting>
  <conditionalFormatting sqref="V106">
    <cfRule type="cellIs" dxfId="247" priority="258" stopIfTrue="1" operator="notEqual">
      <formula>"A"</formula>
    </cfRule>
  </conditionalFormatting>
  <conditionalFormatting sqref="W106 U106 S106">
    <cfRule type="cellIs" dxfId="246" priority="257" stopIfTrue="1" operator="notEqual">
      <formula>"NON"</formula>
    </cfRule>
  </conditionalFormatting>
  <conditionalFormatting sqref="V106">
    <cfRule type="cellIs" dxfId="245" priority="256" stopIfTrue="1" operator="notEqual">
      <formula>"A"</formula>
    </cfRule>
  </conditionalFormatting>
  <conditionalFormatting sqref="S106 U106 W106">
    <cfRule type="cellIs" dxfId="244" priority="255" stopIfTrue="1" operator="notEqual">
      <formula>"NON"</formula>
    </cfRule>
  </conditionalFormatting>
  <conditionalFormatting sqref="V106">
    <cfRule type="cellIs" dxfId="243" priority="254" stopIfTrue="1" operator="notEqual">
      <formula>"A"</formula>
    </cfRule>
  </conditionalFormatting>
  <conditionalFormatting sqref="S106 U106 W106">
    <cfRule type="cellIs" dxfId="242" priority="253" stopIfTrue="1" operator="notEqual">
      <formula>"NON"</formula>
    </cfRule>
  </conditionalFormatting>
  <conditionalFormatting sqref="V108">
    <cfRule type="cellIs" dxfId="241" priority="251" stopIfTrue="1" operator="notEqual">
      <formula>"A"</formula>
    </cfRule>
  </conditionalFormatting>
  <conditionalFormatting sqref="S108 U108 W108">
    <cfRule type="cellIs" dxfId="240" priority="252" stopIfTrue="1" operator="notEqual">
      <formula>"NON"</formula>
    </cfRule>
  </conditionalFormatting>
  <conditionalFormatting sqref="V108">
    <cfRule type="cellIs" dxfId="239" priority="250" stopIfTrue="1" operator="notEqual">
      <formula>"A"</formula>
    </cfRule>
  </conditionalFormatting>
  <conditionalFormatting sqref="S108 U108 W108">
    <cfRule type="cellIs" dxfId="238" priority="249" stopIfTrue="1" operator="notEqual">
      <formula>"NON"</formula>
    </cfRule>
  </conditionalFormatting>
  <conditionalFormatting sqref="V109">
    <cfRule type="cellIs" dxfId="237" priority="247" stopIfTrue="1" operator="notEqual">
      <formula>"A"</formula>
    </cfRule>
  </conditionalFormatting>
  <conditionalFormatting sqref="S109 U109 W109">
    <cfRule type="cellIs" dxfId="236" priority="248" stopIfTrue="1" operator="notEqual">
      <formula>"NON"</formula>
    </cfRule>
  </conditionalFormatting>
  <conditionalFormatting sqref="V109">
    <cfRule type="cellIs" dxfId="235" priority="246" stopIfTrue="1" operator="notEqual">
      <formula>"A"</formula>
    </cfRule>
  </conditionalFormatting>
  <conditionalFormatting sqref="S109 U109 W109">
    <cfRule type="cellIs" dxfId="234" priority="245" stopIfTrue="1" operator="notEqual">
      <formula>"NON"</formula>
    </cfRule>
  </conditionalFormatting>
  <conditionalFormatting sqref="V110">
    <cfRule type="cellIs" dxfId="233" priority="243" stopIfTrue="1" operator="notEqual">
      <formula>"A"</formula>
    </cfRule>
  </conditionalFormatting>
  <conditionalFormatting sqref="S110 U110 W110">
    <cfRule type="cellIs" dxfId="232" priority="244" stopIfTrue="1" operator="notEqual">
      <formula>"NON"</formula>
    </cfRule>
  </conditionalFormatting>
  <conditionalFormatting sqref="V110">
    <cfRule type="cellIs" dxfId="231" priority="242" stopIfTrue="1" operator="notEqual">
      <formula>"A"</formula>
    </cfRule>
  </conditionalFormatting>
  <conditionalFormatting sqref="S110 U110 W110">
    <cfRule type="cellIs" dxfId="230" priority="241" stopIfTrue="1" operator="notEqual">
      <formula>"NON"</formula>
    </cfRule>
  </conditionalFormatting>
  <conditionalFormatting sqref="V111">
    <cfRule type="cellIs" dxfId="229" priority="239" stopIfTrue="1" operator="notEqual">
      <formula>"A"</formula>
    </cfRule>
  </conditionalFormatting>
  <conditionalFormatting sqref="S111 U111 W111">
    <cfRule type="cellIs" dxfId="228" priority="240" stopIfTrue="1" operator="notEqual">
      <formula>"NON"</formula>
    </cfRule>
  </conditionalFormatting>
  <conditionalFormatting sqref="V111">
    <cfRule type="cellIs" dxfId="227" priority="238" stopIfTrue="1" operator="notEqual">
      <formula>"A"</formula>
    </cfRule>
  </conditionalFormatting>
  <conditionalFormatting sqref="S111 U111 W111">
    <cfRule type="cellIs" dxfId="226" priority="237" stopIfTrue="1" operator="notEqual">
      <formula>"NON"</formula>
    </cfRule>
  </conditionalFormatting>
  <conditionalFormatting sqref="V111">
    <cfRule type="cellIs" dxfId="225" priority="236" stopIfTrue="1" operator="notEqual">
      <formula>"A"</formula>
    </cfRule>
  </conditionalFormatting>
  <conditionalFormatting sqref="W111 U111 S111">
    <cfRule type="cellIs" dxfId="224" priority="235" stopIfTrue="1" operator="notEqual">
      <formula>"NON"</formula>
    </cfRule>
  </conditionalFormatting>
  <conditionalFormatting sqref="V111">
    <cfRule type="cellIs" dxfId="223" priority="234" stopIfTrue="1" operator="notEqual">
      <formula>"A"</formula>
    </cfRule>
  </conditionalFormatting>
  <conditionalFormatting sqref="W111 U111 S111">
    <cfRule type="cellIs" dxfId="222" priority="233" stopIfTrue="1" operator="notEqual">
      <formula>"NON"</formula>
    </cfRule>
  </conditionalFormatting>
  <conditionalFormatting sqref="V112">
    <cfRule type="cellIs" dxfId="221" priority="231" stopIfTrue="1" operator="notEqual">
      <formula>"A"</formula>
    </cfRule>
  </conditionalFormatting>
  <conditionalFormatting sqref="W112 U112 S112">
    <cfRule type="cellIs" dxfId="220" priority="232" stopIfTrue="1" operator="notEqual">
      <formula>"NON"</formula>
    </cfRule>
  </conditionalFormatting>
  <conditionalFormatting sqref="V112">
    <cfRule type="cellIs" dxfId="219" priority="230" stopIfTrue="1" operator="notEqual">
      <formula>"A"</formula>
    </cfRule>
  </conditionalFormatting>
  <conditionalFormatting sqref="W112 U112 S112">
    <cfRule type="cellIs" dxfId="218" priority="229" stopIfTrue="1" operator="notEqual">
      <formula>"NON"</formula>
    </cfRule>
  </conditionalFormatting>
  <conditionalFormatting sqref="V112">
    <cfRule type="cellIs" dxfId="217" priority="228" stopIfTrue="1" operator="notEqual">
      <formula>"A"</formula>
    </cfRule>
  </conditionalFormatting>
  <conditionalFormatting sqref="S112 U112 W112">
    <cfRule type="cellIs" dxfId="216" priority="227" stopIfTrue="1" operator="notEqual">
      <formula>"NON"</formula>
    </cfRule>
  </conditionalFormatting>
  <conditionalFormatting sqref="V112">
    <cfRule type="cellIs" dxfId="215" priority="226" stopIfTrue="1" operator="notEqual">
      <formula>"A"</formula>
    </cfRule>
  </conditionalFormatting>
  <conditionalFormatting sqref="S112 U112 W112">
    <cfRule type="cellIs" dxfId="214" priority="225" stopIfTrue="1" operator="notEqual">
      <formula>"NON"</formula>
    </cfRule>
  </conditionalFormatting>
  <conditionalFormatting sqref="V113">
    <cfRule type="cellIs" dxfId="213" priority="223" stopIfTrue="1" operator="notEqual">
      <formula>"A"</formula>
    </cfRule>
  </conditionalFormatting>
  <conditionalFormatting sqref="S113 U113 W113">
    <cfRule type="cellIs" dxfId="212" priority="224" stopIfTrue="1" operator="notEqual">
      <formula>"NON"</formula>
    </cfRule>
  </conditionalFormatting>
  <conditionalFormatting sqref="V113">
    <cfRule type="cellIs" dxfId="211" priority="222" stopIfTrue="1" operator="notEqual">
      <formula>"A"</formula>
    </cfRule>
  </conditionalFormatting>
  <conditionalFormatting sqref="S113 U113 W113">
    <cfRule type="cellIs" dxfId="210" priority="221" stopIfTrue="1" operator="notEqual">
      <formula>"NON"</formula>
    </cfRule>
  </conditionalFormatting>
  <conditionalFormatting sqref="V113">
    <cfRule type="cellIs" dxfId="209" priority="220" stopIfTrue="1" operator="notEqual">
      <formula>"A"</formula>
    </cfRule>
  </conditionalFormatting>
  <conditionalFormatting sqref="W113 U113 S113">
    <cfRule type="cellIs" dxfId="208" priority="219" stopIfTrue="1" operator="notEqual">
      <formula>"NON"</formula>
    </cfRule>
  </conditionalFormatting>
  <conditionalFormatting sqref="V113">
    <cfRule type="cellIs" dxfId="207" priority="218" stopIfTrue="1" operator="notEqual">
      <formula>"A"</formula>
    </cfRule>
  </conditionalFormatting>
  <conditionalFormatting sqref="W113 U113 S113">
    <cfRule type="cellIs" dxfId="206" priority="217" stopIfTrue="1" operator="notEqual">
      <formula>"NON"</formula>
    </cfRule>
  </conditionalFormatting>
  <conditionalFormatting sqref="V114">
    <cfRule type="cellIs" dxfId="205" priority="215" stopIfTrue="1" operator="notEqual">
      <formula>"A"</formula>
    </cfRule>
  </conditionalFormatting>
  <conditionalFormatting sqref="S114 U114 W114">
    <cfRule type="cellIs" dxfId="204" priority="216" stopIfTrue="1" operator="notEqual">
      <formula>"NON"</formula>
    </cfRule>
  </conditionalFormatting>
  <conditionalFormatting sqref="V114">
    <cfRule type="cellIs" dxfId="203" priority="214" stopIfTrue="1" operator="notEqual">
      <formula>"A"</formula>
    </cfRule>
  </conditionalFormatting>
  <conditionalFormatting sqref="S114 U114 W114">
    <cfRule type="cellIs" dxfId="202" priority="213" stopIfTrue="1" operator="notEqual">
      <formula>"NON"</formula>
    </cfRule>
  </conditionalFormatting>
  <conditionalFormatting sqref="V114">
    <cfRule type="cellIs" dxfId="201" priority="212" stopIfTrue="1" operator="notEqual">
      <formula>"A"</formula>
    </cfRule>
  </conditionalFormatting>
  <conditionalFormatting sqref="W114 U114 S114">
    <cfRule type="cellIs" dxfId="200" priority="211" stopIfTrue="1" operator="notEqual">
      <formula>"NON"</formula>
    </cfRule>
  </conditionalFormatting>
  <conditionalFormatting sqref="V114">
    <cfRule type="cellIs" dxfId="199" priority="210" stopIfTrue="1" operator="notEqual">
      <formula>"A"</formula>
    </cfRule>
  </conditionalFormatting>
  <conditionalFormatting sqref="W114 U114 S114">
    <cfRule type="cellIs" dxfId="198" priority="209" stopIfTrue="1" operator="notEqual">
      <formula>"NON"</formula>
    </cfRule>
  </conditionalFormatting>
  <conditionalFormatting sqref="V116">
    <cfRule type="cellIs" dxfId="197" priority="207" stopIfTrue="1" operator="notEqual">
      <formula>"A"</formula>
    </cfRule>
  </conditionalFormatting>
  <conditionalFormatting sqref="S116 U116 W116">
    <cfRule type="cellIs" dxfId="196" priority="208" stopIfTrue="1" operator="notEqual">
      <formula>"NON"</formula>
    </cfRule>
  </conditionalFormatting>
  <conditionalFormatting sqref="V116">
    <cfRule type="cellIs" dxfId="195" priority="206" stopIfTrue="1" operator="notEqual">
      <formula>"A"</formula>
    </cfRule>
  </conditionalFormatting>
  <conditionalFormatting sqref="S116 U116 W116">
    <cfRule type="cellIs" dxfId="194" priority="205" stopIfTrue="1" operator="notEqual">
      <formula>"NON"</formula>
    </cfRule>
  </conditionalFormatting>
  <conditionalFormatting sqref="V116">
    <cfRule type="cellIs" dxfId="193" priority="204" stopIfTrue="1" operator="notEqual">
      <formula>"A"</formula>
    </cfRule>
  </conditionalFormatting>
  <conditionalFormatting sqref="W116 U116 S116">
    <cfRule type="cellIs" dxfId="192" priority="203" stopIfTrue="1" operator="notEqual">
      <formula>"NON"</formula>
    </cfRule>
  </conditionalFormatting>
  <conditionalFormatting sqref="V116">
    <cfRule type="cellIs" dxfId="191" priority="202" stopIfTrue="1" operator="notEqual">
      <formula>"A"</formula>
    </cfRule>
  </conditionalFormatting>
  <conditionalFormatting sqref="W116 U116 S116">
    <cfRule type="cellIs" dxfId="190" priority="201" stopIfTrue="1" operator="notEqual">
      <formula>"NON"</formula>
    </cfRule>
  </conditionalFormatting>
  <conditionalFormatting sqref="V117">
    <cfRule type="cellIs" dxfId="189" priority="199" stopIfTrue="1" operator="notEqual">
      <formula>"A"</formula>
    </cfRule>
  </conditionalFormatting>
  <conditionalFormatting sqref="S117 U117 W117">
    <cfRule type="cellIs" dxfId="188" priority="200" stopIfTrue="1" operator="notEqual">
      <formula>"NON"</formula>
    </cfRule>
  </conditionalFormatting>
  <conditionalFormatting sqref="V117">
    <cfRule type="cellIs" dxfId="187" priority="198" stopIfTrue="1" operator="notEqual">
      <formula>"A"</formula>
    </cfRule>
  </conditionalFormatting>
  <conditionalFormatting sqref="S117 U117 W117">
    <cfRule type="cellIs" dxfId="186" priority="197" stopIfTrue="1" operator="notEqual">
      <formula>"NON"</formula>
    </cfRule>
  </conditionalFormatting>
  <conditionalFormatting sqref="V117">
    <cfRule type="cellIs" dxfId="185" priority="196" stopIfTrue="1" operator="notEqual">
      <formula>"A"</formula>
    </cfRule>
  </conditionalFormatting>
  <conditionalFormatting sqref="W117 U117 S117">
    <cfRule type="cellIs" dxfId="184" priority="195" stopIfTrue="1" operator="notEqual">
      <formula>"NON"</formula>
    </cfRule>
  </conditionalFormatting>
  <conditionalFormatting sqref="V117">
    <cfRule type="cellIs" dxfId="183" priority="194" stopIfTrue="1" operator="notEqual">
      <formula>"A"</formula>
    </cfRule>
  </conditionalFormatting>
  <conditionalFormatting sqref="W117 U117 S117">
    <cfRule type="cellIs" dxfId="182" priority="193" stopIfTrue="1" operator="notEqual">
      <formula>"NON"</formula>
    </cfRule>
  </conditionalFormatting>
  <conditionalFormatting sqref="V119">
    <cfRule type="cellIs" dxfId="181" priority="191" stopIfTrue="1" operator="notEqual">
      <formula>"A"</formula>
    </cfRule>
  </conditionalFormatting>
  <conditionalFormatting sqref="W119 U119 S119">
    <cfRule type="cellIs" dxfId="180" priority="192" stopIfTrue="1" operator="notEqual">
      <formula>"NON"</formula>
    </cfRule>
  </conditionalFormatting>
  <conditionalFormatting sqref="V119">
    <cfRule type="cellIs" dxfId="179" priority="190" stopIfTrue="1" operator="notEqual">
      <formula>"A"</formula>
    </cfRule>
  </conditionalFormatting>
  <conditionalFormatting sqref="W119 U119 S119">
    <cfRule type="cellIs" dxfId="178" priority="189" stopIfTrue="1" operator="notEqual">
      <formula>"NON"</formula>
    </cfRule>
  </conditionalFormatting>
  <conditionalFormatting sqref="V119">
    <cfRule type="cellIs" dxfId="177" priority="188" stopIfTrue="1" operator="notEqual">
      <formula>"A"</formula>
    </cfRule>
  </conditionalFormatting>
  <conditionalFormatting sqref="S119 U119 W119">
    <cfRule type="cellIs" dxfId="176" priority="187" stopIfTrue="1" operator="notEqual">
      <formula>"NON"</formula>
    </cfRule>
  </conditionalFormatting>
  <conditionalFormatting sqref="V119">
    <cfRule type="cellIs" dxfId="175" priority="186" stopIfTrue="1" operator="notEqual">
      <formula>"A"</formula>
    </cfRule>
  </conditionalFormatting>
  <conditionalFormatting sqref="S119 U119 W119">
    <cfRule type="cellIs" dxfId="174" priority="185" stopIfTrue="1" operator="notEqual">
      <formula>"NON"</formula>
    </cfRule>
  </conditionalFormatting>
  <conditionalFormatting sqref="V121">
    <cfRule type="cellIs" dxfId="173" priority="183" stopIfTrue="1" operator="notEqual">
      <formula>"A"</formula>
    </cfRule>
  </conditionalFormatting>
  <conditionalFormatting sqref="W121 U121 S121">
    <cfRule type="cellIs" dxfId="172" priority="184" stopIfTrue="1" operator="notEqual">
      <formula>"NON"</formula>
    </cfRule>
  </conditionalFormatting>
  <conditionalFormatting sqref="V121">
    <cfRule type="cellIs" dxfId="171" priority="182" stopIfTrue="1" operator="notEqual">
      <formula>"A"</formula>
    </cfRule>
  </conditionalFormatting>
  <conditionalFormatting sqref="W121 U121 S121">
    <cfRule type="cellIs" dxfId="170" priority="181" stopIfTrue="1" operator="notEqual">
      <formula>"NON"</formula>
    </cfRule>
  </conditionalFormatting>
  <conditionalFormatting sqref="V121">
    <cfRule type="cellIs" dxfId="169" priority="180" stopIfTrue="1" operator="notEqual">
      <formula>"A"</formula>
    </cfRule>
  </conditionalFormatting>
  <conditionalFormatting sqref="S121 U121 W121">
    <cfRule type="cellIs" dxfId="168" priority="179" stopIfTrue="1" operator="notEqual">
      <formula>"NON"</formula>
    </cfRule>
  </conditionalFormatting>
  <conditionalFormatting sqref="V121">
    <cfRule type="cellIs" dxfId="167" priority="178" stopIfTrue="1" operator="notEqual">
      <formula>"A"</formula>
    </cfRule>
  </conditionalFormatting>
  <conditionalFormatting sqref="S121 U121 W121">
    <cfRule type="cellIs" dxfId="166" priority="177" stopIfTrue="1" operator="notEqual">
      <formula>"NON"</formula>
    </cfRule>
  </conditionalFormatting>
  <conditionalFormatting sqref="V122">
    <cfRule type="cellIs" dxfId="165" priority="175" stopIfTrue="1" operator="notEqual">
      <formula>"A"</formula>
    </cfRule>
  </conditionalFormatting>
  <conditionalFormatting sqref="W122 U122 S122">
    <cfRule type="cellIs" dxfId="164" priority="176" stopIfTrue="1" operator="notEqual">
      <formula>"NON"</formula>
    </cfRule>
  </conditionalFormatting>
  <conditionalFormatting sqref="V122">
    <cfRule type="cellIs" dxfId="163" priority="174" stopIfTrue="1" operator="notEqual">
      <formula>"A"</formula>
    </cfRule>
  </conditionalFormatting>
  <conditionalFormatting sqref="W122 U122 S122">
    <cfRule type="cellIs" dxfId="162" priority="173" stopIfTrue="1" operator="notEqual">
      <formula>"NON"</formula>
    </cfRule>
  </conditionalFormatting>
  <conditionalFormatting sqref="V122">
    <cfRule type="cellIs" dxfId="161" priority="172" stopIfTrue="1" operator="notEqual">
      <formula>"A"</formula>
    </cfRule>
  </conditionalFormatting>
  <conditionalFormatting sqref="S122 U122 W122">
    <cfRule type="cellIs" dxfId="160" priority="171" stopIfTrue="1" operator="notEqual">
      <formula>"NON"</formula>
    </cfRule>
  </conditionalFormatting>
  <conditionalFormatting sqref="V122">
    <cfRule type="cellIs" dxfId="159" priority="170" stopIfTrue="1" operator="notEqual">
      <formula>"A"</formula>
    </cfRule>
  </conditionalFormatting>
  <conditionalFormatting sqref="S122 U122 W122">
    <cfRule type="cellIs" dxfId="158" priority="169" stopIfTrue="1" operator="notEqual">
      <formula>"NON"</formula>
    </cfRule>
  </conditionalFormatting>
  <conditionalFormatting sqref="V124">
    <cfRule type="cellIs" dxfId="157" priority="167" stopIfTrue="1" operator="notEqual">
      <formula>"A"</formula>
    </cfRule>
  </conditionalFormatting>
  <conditionalFormatting sqref="W124 U124 S124">
    <cfRule type="cellIs" dxfId="156" priority="168" stopIfTrue="1" operator="notEqual">
      <formula>"NON"</formula>
    </cfRule>
  </conditionalFormatting>
  <conditionalFormatting sqref="V124">
    <cfRule type="cellIs" dxfId="155" priority="166" stopIfTrue="1" operator="notEqual">
      <formula>"A"</formula>
    </cfRule>
  </conditionalFormatting>
  <conditionalFormatting sqref="W124 U124 S124">
    <cfRule type="cellIs" dxfId="154" priority="165" stopIfTrue="1" operator="notEqual">
      <formula>"NON"</formula>
    </cfRule>
  </conditionalFormatting>
  <conditionalFormatting sqref="V124">
    <cfRule type="cellIs" dxfId="153" priority="164" stopIfTrue="1" operator="notEqual">
      <formula>"A"</formula>
    </cfRule>
  </conditionalFormatting>
  <conditionalFormatting sqref="S124 U124 W124">
    <cfRule type="cellIs" dxfId="152" priority="163" stopIfTrue="1" operator="notEqual">
      <formula>"NON"</formula>
    </cfRule>
  </conditionalFormatting>
  <conditionalFormatting sqref="V124">
    <cfRule type="cellIs" dxfId="151" priority="162" stopIfTrue="1" operator="notEqual">
      <formula>"A"</formula>
    </cfRule>
  </conditionalFormatting>
  <conditionalFormatting sqref="S124 U124 W124">
    <cfRule type="cellIs" dxfId="150" priority="161" stopIfTrue="1" operator="notEqual">
      <formula>"NON"</formula>
    </cfRule>
  </conditionalFormatting>
  <conditionalFormatting sqref="V128">
    <cfRule type="cellIs" dxfId="149" priority="159" stopIfTrue="1" operator="notEqual">
      <formula>"A"</formula>
    </cfRule>
  </conditionalFormatting>
  <conditionalFormatting sqref="W128 U128 S128">
    <cfRule type="cellIs" dxfId="148" priority="160" stopIfTrue="1" operator="notEqual">
      <formula>"NON"</formula>
    </cfRule>
  </conditionalFormatting>
  <conditionalFormatting sqref="V128">
    <cfRule type="cellIs" dxfId="147" priority="158" stopIfTrue="1" operator="notEqual">
      <formula>"A"</formula>
    </cfRule>
  </conditionalFormatting>
  <conditionalFormatting sqref="W128 U128 S128">
    <cfRule type="cellIs" dxfId="146" priority="157" stopIfTrue="1" operator="notEqual">
      <formula>"NON"</formula>
    </cfRule>
  </conditionalFormatting>
  <conditionalFormatting sqref="V129">
    <cfRule type="cellIs" dxfId="145" priority="155" stopIfTrue="1" operator="notEqual">
      <formula>"A"</formula>
    </cfRule>
  </conditionalFormatting>
  <conditionalFormatting sqref="W129 U129 S129">
    <cfRule type="cellIs" dxfId="144" priority="156" stopIfTrue="1" operator="notEqual">
      <formula>"NON"</formula>
    </cfRule>
  </conditionalFormatting>
  <conditionalFormatting sqref="V129">
    <cfRule type="cellIs" dxfId="143" priority="154" stopIfTrue="1" operator="notEqual">
      <formula>"A"</formula>
    </cfRule>
  </conditionalFormatting>
  <conditionalFormatting sqref="W129 U129 S129">
    <cfRule type="cellIs" dxfId="142" priority="153" stopIfTrue="1" operator="notEqual">
      <formula>"NON"</formula>
    </cfRule>
  </conditionalFormatting>
  <conditionalFormatting sqref="V130">
    <cfRule type="cellIs" dxfId="141" priority="151" stopIfTrue="1" operator="notEqual">
      <formula>"A"</formula>
    </cfRule>
  </conditionalFormatting>
  <conditionalFormatting sqref="W130 U130 S130">
    <cfRule type="cellIs" dxfId="140" priority="152" stopIfTrue="1" operator="notEqual">
      <formula>"NON"</formula>
    </cfRule>
  </conditionalFormatting>
  <conditionalFormatting sqref="V130">
    <cfRule type="cellIs" dxfId="139" priority="150" stopIfTrue="1" operator="notEqual">
      <formula>"A"</formula>
    </cfRule>
  </conditionalFormatting>
  <conditionalFormatting sqref="W130 U130 S130">
    <cfRule type="cellIs" dxfId="138" priority="149" stopIfTrue="1" operator="notEqual">
      <formula>"NON"</formula>
    </cfRule>
  </conditionalFormatting>
  <conditionalFormatting sqref="V134">
    <cfRule type="cellIs" dxfId="137" priority="147" stopIfTrue="1" operator="notEqual">
      <formula>"A"</formula>
    </cfRule>
  </conditionalFormatting>
  <conditionalFormatting sqref="W134 U134 S134">
    <cfRule type="cellIs" dxfId="136" priority="148" stopIfTrue="1" operator="notEqual">
      <formula>"NON"</formula>
    </cfRule>
  </conditionalFormatting>
  <conditionalFormatting sqref="V134">
    <cfRule type="cellIs" dxfId="135" priority="146" stopIfTrue="1" operator="notEqual">
      <formula>"A"</formula>
    </cfRule>
  </conditionalFormatting>
  <conditionalFormatting sqref="W134 U134 S134">
    <cfRule type="cellIs" dxfId="134" priority="145" stopIfTrue="1" operator="notEqual">
      <formula>"NON"</formula>
    </cfRule>
  </conditionalFormatting>
  <conditionalFormatting sqref="V135">
    <cfRule type="cellIs" dxfId="133" priority="143" stopIfTrue="1" operator="notEqual">
      <formula>"A"</formula>
    </cfRule>
  </conditionalFormatting>
  <conditionalFormatting sqref="W135 U135 S135">
    <cfRule type="cellIs" dxfId="132" priority="144" stopIfTrue="1" operator="notEqual">
      <formula>"NON"</formula>
    </cfRule>
  </conditionalFormatting>
  <conditionalFormatting sqref="V135">
    <cfRule type="cellIs" dxfId="131" priority="142" stopIfTrue="1" operator="notEqual">
      <formula>"A"</formula>
    </cfRule>
  </conditionalFormatting>
  <conditionalFormatting sqref="W135 U135 S135">
    <cfRule type="cellIs" dxfId="130" priority="141" stopIfTrue="1" operator="notEqual">
      <formula>"NON"</formula>
    </cfRule>
  </conditionalFormatting>
  <conditionalFormatting sqref="V137">
    <cfRule type="cellIs" dxfId="129" priority="139" stopIfTrue="1" operator="notEqual">
      <formula>"A"</formula>
    </cfRule>
  </conditionalFormatting>
  <conditionalFormatting sqref="S137 U137 W137">
    <cfRule type="cellIs" dxfId="128" priority="140" stopIfTrue="1" operator="notEqual">
      <formula>"NON"</formula>
    </cfRule>
  </conditionalFormatting>
  <conditionalFormatting sqref="V137">
    <cfRule type="cellIs" dxfId="127" priority="138" stopIfTrue="1" operator="notEqual">
      <formula>"A"</formula>
    </cfRule>
  </conditionalFormatting>
  <conditionalFormatting sqref="S137 U137 W137">
    <cfRule type="cellIs" dxfId="126" priority="137" stopIfTrue="1" operator="notEqual">
      <formula>"NON"</formula>
    </cfRule>
  </conditionalFormatting>
  <conditionalFormatting sqref="V138">
    <cfRule type="cellIs" dxfId="125" priority="135" stopIfTrue="1" operator="notEqual">
      <formula>"A"</formula>
    </cfRule>
  </conditionalFormatting>
  <conditionalFormatting sqref="W138 U138 S138">
    <cfRule type="cellIs" dxfId="124" priority="136" stopIfTrue="1" operator="notEqual">
      <formula>"NON"</formula>
    </cfRule>
  </conditionalFormatting>
  <conditionalFormatting sqref="V138">
    <cfRule type="cellIs" dxfId="123" priority="134" stopIfTrue="1" operator="notEqual">
      <formula>"A"</formula>
    </cfRule>
  </conditionalFormatting>
  <conditionalFormatting sqref="W138 U138 S138">
    <cfRule type="cellIs" dxfId="122" priority="133" stopIfTrue="1" operator="notEqual">
      <formula>"NON"</formula>
    </cfRule>
  </conditionalFormatting>
  <conditionalFormatting sqref="V139">
    <cfRule type="cellIs" dxfId="121" priority="131" stopIfTrue="1" operator="notEqual">
      <formula>"A"</formula>
    </cfRule>
  </conditionalFormatting>
  <conditionalFormatting sqref="W139 U139 S139">
    <cfRule type="cellIs" dxfId="120" priority="132" stopIfTrue="1" operator="notEqual">
      <formula>"NON"</formula>
    </cfRule>
  </conditionalFormatting>
  <conditionalFormatting sqref="V139">
    <cfRule type="cellIs" dxfId="119" priority="130" stopIfTrue="1" operator="notEqual">
      <formula>"A"</formula>
    </cfRule>
  </conditionalFormatting>
  <conditionalFormatting sqref="W139 U139 S139">
    <cfRule type="cellIs" dxfId="118" priority="129" stopIfTrue="1" operator="notEqual">
      <formula>"NON"</formula>
    </cfRule>
  </conditionalFormatting>
  <conditionalFormatting sqref="V140">
    <cfRule type="cellIs" dxfId="117" priority="127" stopIfTrue="1" operator="notEqual">
      <formula>"A"</formula>
    </cfRule>
  </conditionalFormatting>
  <conditionalFormatting sqref="S140 U140 W140">
    <cfRule type="cellIs" dxfId="116" priority="128" stopIfTrue="1" operator="notEqual">
      <formula>"NON"</formula>
    </cfRule>
  </conditionalFormatting>
  <conditionalFormatting sqref="V140">
    <cfRule type="cellIs" dxfId="115" priority="126" stopIfTrue="1" operator="notEqual">
      <formula>"A"</formula>
    </cfRule>
  </conditionalFormatting>
  <conditionalFormatting sqref="S140 U140 W140">
    <cfRule type="cellIs" dxfId="114" priority="125" stopIfTrue="1" operator="notEqual">
      <formula>"NON"</formula>
    </cfRule>
  </conditionalFormatting>
  <conditionalFormatting sqref="V141">
    <cfRule type="cellIs" dxfId="113" priority="123" stopIfTrue="1" operator="notEqual">
      <formula>"A"</formula>
    </cfRule>
  </conditionalFormatting>
  <conditionalFormatting sqref="W141 U141 S141">
    <cfRule type="cellIs" dxfId="112" priority="124" stopIfTrue="1" operator="notEqual">
      <formula>"NON"</formula>
    </cfRule>
  </conditionalFormatting>
  <conditionalFormatting sqref="V141">
    <cfRule type="cellIs" dxfId="111" priority="122" stopIfTrue="1" operator="notEqual">
      <formula>"A"</formula>
    </cfRule>
  </conditionalFormatting>
  <conditionalFormatting sqref="W141 U141 S141">
    <cfRule type="cellIs" dxfId="110" priority="121" stopIfTrue="1" operator="notEqual">
      <formula>"NON"</formula>
    </cfRule>
  </conditionalFormatting>
  <conditionalFormatting sqref="V142">
    <cfRule type="cellIs" dxfId="109" priority="119" stopIfTrue="1" operator="notEqual">
      <formula>"A"</formula>
    </cfRule>
  </conditionalFormatting>
  <conditionalFormatting sqref="W142 U142 S142">
    <cfRule type="cellIs" dxfId="108" priority="120" stopIfTrue="1" operator="notEqual">
      <formula>"NON"</formula>
    </cfRule>
  </conditionalFormatting>
  <conditionalFormatting sqref="V142">
    <cfRule type="cellIs" dxfId="107" priority="118" stopIfTrue="1" operator="notEqual">
      <formula>"A"</formula>
    </cfRule>
  </conditionalFormatting>
  <conditionalFormatting sqref="W142 U142 S142">
    <cfRule type="cellIs" dxfId="106" priority="117" stopIfTrue="1" operator="notEqual">
      <formula>"NON"</formula>
    </cfRule>
  </conditionalFormatting>
  <conditionalFormatting sqref="V143">
    <cfRule type="cellIs" dxfId="105" priority="115" stopIfTrue="1" operator="notEqual">
      <formula>"A"</formula>
    </cfRule>
  </conditionalFormatting>
  <conditionalFormatting sqref="W143 U143 S143">
    <cfRule type="cellIs" dxfId="104" priority="116" stopIfTrue="1" operator="notEqual">
      <formula>"NON"</formula>
    </cfRule>
  </conditionalFormatting>
  <conditionalFormatting sqref="V143">
    <cfRule type="cellIs" dxfId="103" priority="114" stopIfTrue="1" operator="notEqual">
      <formula>"A"</formula>
    </cfRule>
  </conditionalFormatting>
  <conditionalFormatting sqref="W143 U143 S143">
    <cfRule type="cellIs" dxfId="102" priority="113" stopIfTrue="1" operator="notEqual">
      <formula>"NON"</formula>
    </cfRule>
  </conditionalFormatting>
  <conditionalFormatting sqref="V144">
    <cfRule type="cellIs" dxfId="101" priority="111" stopIfTrue="1" operator="notEqual">
      <formula>"A"</formula>
    </cfRule>
  </conditionalFormatting>
  <conditionalFormatting sqref="W144 U144 S144">
    <cfRule type="cellIs" dxfId="100" priority="112" stopIfTrue="1" operator="notEqual">
      <formula>"NON"</formula>
    </cfRule>
  </conditionalFormatting>
  <conditionalFormatting sqref="V144">
    <cfRule type="cellIs" dxfId="99" priority="110" stopIfTrue="1" operator="notEqual">
      <formula>"A"</formula>
    </cfRule>
  </conditionalFormatting>
  <conditionalFormatting sqref="W144 U144 S144">
    <cfRule type="cellIs" dxfId="98" priority="109" stopIfTrue="1" operator="notEqual">
      <formula>"NON"</formula>
    </cfRule>
  </conditionalFormatting>
  <conditionalFormatting sqref="V145">
    <cfRule type="cellIs" dxfId="97" priority="107" stopIfTrue="1" operator="notEqual">
      <formula>"A"</formula>
    </cfRule>
  </conditionalFormatting>
  <conditionalFormatting sqref="W145 U145 S145">
    <cfRule type="cellIs" dxfId="96" priority="108" stopIfTrue="1" operator="notEqual">
      <formula>"NON"</formula>
    </cfRule>
  </conditionalFormatting>
  <conditionalFormatting sqref="V145">
    <cfRule type="cellIs" dxfId="95" priority="106" stopIfTrue="1" operator="notEqual">
      <formula>"A"</formula>
    </cfRule>
  </conditionalFormatting>
  <conditionalFormatting sqref="W145 U145 S145">
    <cfRule type="cellIs" dxfId="94" priority="105" stopIfTrue="1" operator="notEqual">
      <formula>"NON"</formula>
    </cfRule>
  </conditionalFormatting>
  <conditionalFormatting sqref="V147">
    <cfRule type="cellIs" dxfId="93" priority="103" stopIfTrue="1" operator="notEqual">
      <formula>"A"</formula>
    </cfRule>
  </conditionalFormatting>
  <conditionalFormatting sqref="W147 U147 S147">
    <cfRule type="cellIs" dxfId="92" priority="104" stopIfTrue="1" operator="notEqual">
      <formula>"NON"</formula>
    </cfRule>
  </conditionalFormatting>
  <conditionalFormatting sqref="V147">
    <cfRule type="cellIs" dxfId="91" priority="102" stopIfTrue="1" operator="notEqual">
      <formula>"A"</formula>
    </cfRule>
  </conditionalFormatting>
  <conditionalFormatting sqref="W147 U147 S147">
    <cfRule type="cellIs" dxfId="90" priority="101" stopIfTrue="1" operator="notEqual">
      <formula>"NON"</formula>
    </cfRule>
  </conditionalFormatting>
  <conditionalFormatting sqref="V148">
    <cfRule type="cellIs" dxfId="89" priority="99" stopIfTrue="1" operator="notEqual">
      <formula>"A"</formula>
    </cfRule>
  </conditionalFormatting>
  <conditionalFormatting sqref="W148 U148 S148">
    <cfRule type="cellIs" dxfId="88" priority="100" stopIfTrue="1" operator="notEqual">
      <formula>"NON"</formula>
    </cfRule>
  </conditionalFormatting>
  <conditionalFormatting sqref="V148">
    <cfRule type="cellIs" dxfId="87" priority="98" stopIfTrue="1" operator="notEqual">
      <formula>"A"</formula>
    </cfRule>
  </conditionalFormatting>
  <conditionalFormatting sqref="W148 U148 S148">
    <cfRule type="cellIs" dxfId="86" priority="97" stopIfTrue="1" operator="notEqual">
      <formula>"NON"</formula>
    </cfRule>
  </conditionalFormatting>
  <conditionalFormatting sqref="V149">
    <cfRule type="cellIs" dxfId="85" priority="95" stopIfTrue="1" operator="notEqual">
      <formula>"A"</formula>
    </cfRule>
  </conditionalFormatting>
  <conditionalFormatting sqref="W149 U149 S149">
    <cfRule type="cellIs" dxfId="84" priority="96" stopIfTrue="1" operator="notEqual">
      <formula>"NON"</formula>
    </cfRule>
  </conditionalFormatting>
  <conditionalFormatting sqref="V149">
    <cfRule type="cellIs" dxfId="83" priority="94" stopIfTrue="1" operator="notEqual">
      <formula>"A"</formula>
    </cfRule>
  </conditionalFormatting>
  <conditionalFormatting sqref="W149 U149 S149">
    <cfRule type="cellIs" dxfId="82" priority="93" stopIfTrue="1" operator="notEqual">
      <formula>"NON"</formula>
    </cfRule>
  </conditionalFormatting>
  <conditionalFormatting sqref="V151">
    <cfRule type="cellIs" dxfId="81" priority="91" stopIfTrue="1" operator="notEqual">
      <formula>"A"</formula>
    </cfRule>
  </conditionalFormatting>
  <conditionalFormatting sqref="S151 U151 W151">
    <cfRule type="cellIs" dxfId="80" priority="92" stopIfTrue="1" operator="notEqual">
      <formula>"NON"</formula>
    </cfRule>
  </conditionalFormatting>
  <conditionalFormatting sqref="V151">
    <cfRule type="cellIs" dxfId="79" priority="90" stopIfTrue="1" operator="notEqual">
      <formula>"A"</formula>
    </cfRule>
  </conditionalFormatting>
  <conditionalFormatting sqref="S151 U151 W151">
    <cfRule type="cellIs" dxfId="78" priority="89" stopIfTrue="1" operator="notEqual">
      <formula>"NON"</formula>
    </cfRule>
  </conditionalFormatting>
  <conditionalFormatting sqref="V152">
    <cfRule type="cellIs" dxfId="77" priority="87" stopIfTrue="1" operator="notEqual">
      <formula>"A"</formula>
    </cfRule>
  </conditionalFormatting>
  <conditionalFormatting sqref="S152 U152 W152">
    <cfRule type="cellIs" dxfId="76" priority="88" stopIfTrue="1" operator="notEqual">
      <formula>"NON"</formula>
    </cfRule>
  </conditionalFormatting>
  <conditionalFormatting sqref="V152">
    <cfRule type="cellIs" dxfId="75" priority="86" stopIfTrue="1" operator="notEqual">
      <formula>"A"</formula>
    </cfRule>
  </conditionalFormatting>
  <conditionalFormatting sqref="S152 U152 W152">
    <cfRule type="cellIs" dxfId="74" priority="85" stopIfTrue="1" operator="notEqual">
      <formula>"NON"</formula>
    </cfRule>
  </conditionalFormatting>
  <conditionalFormatting sqref="V153">
    <cfRule type="cellIs" dxfId="73" priority="83" stopIfTrue="1" operator="notEqual">
      <formula>"A"</formula>
    </cfRule>
  </conditionalFormatting>
  <conditionalFormatting sqref="S153 U153 W153">
    <cfRule type="cellIs" dxfId="72" priority="84" stopIfTrue="1" operator="notEqual">
      <formula>"NON"</formula>
    </cfRule>
  </conditionalFormatting>
  <conditionalFormatting sqref="V153">
    <cfRule type="cellIs" dxfId="71" priority="82" stopIfTrue="1" operator="notEqual">
      <formula>"A"</formula>
    </cfRule>
  </conditionalFormatting>
  <conditionalFormatting sqref="S153 U153 W153">
    <cfRule type="cellIs" dxfId="70" priority="81" stopIfTrue="1" operator="notEqual">
      <formula>"NON"</formula>
    </cfRule>
  </conditionalFormatting>
  <conditionalFormatting sqref="V155">
    <cfRule type="cellIs" dxfId="69" priority="79" stopIfTrue="1" operator="notEqual">
      <formula>"A"</formula>
    </cfRule>
  </conditionalFormatting>
  <conditionalFormatting sqref="S155 U155 W155">
    <cfRule type="cellIs" dxfId="68" priority="80" stopIfTrue="1" operator="notEqual">
      <formula>"NON"</formula>
    </cfRule>
  </conditionalFormatting>
  <conditionalFormatting sqref="V155">
    <cfRule type="cellIs" dxfId="67" priority="78" stopIfTrue="1" operator="notEqual">
      <formula>"A"</formula>
    </cfRule>
  </conditionalFormatting>
  <conditionalFormatting sqref="S155 U155 W155">
    <cfRule type="cellIs" dxfId="66" priority="77" stopIfTrue="1" operator="notEqual">
      <formula>"NON"</formula>
    </cfRule>
  </conditionalFormatting>
  <conditionalFormatting sqref="V156">
    <cfRule type="cellIs" dxfId="65" priority="75" stopIfTrue="1" operator="notEqual">
      <formula>"A"</formula>
    </cfRule>
  </conditionalFormatting>
  <conditionalFormatting sqref="S156 U156 W156">
    <cfRule type="cellIs" dxfId="64" priority="76" stopIfTrue="1" operator="notEqual">
      <formula>"NON"</formula>
    </cfRule>
  </conditionalFormatting>
  <conditionalFormatting sqref="V156">
    <cfRule type="cellIs" dxfId="63" priority="74" stopIfTrue="1" operator="notEqual">
      <formula>"A"</formula>
    </cfRule>
  </conditionalFormatting>
  <conditionalFormatting sqref="S156 U156 W156">
    <cfRule type="cellIs" dxfId="62" priority="73" stopIfTrue="1" operator="notEqual">
      <formula>"NON"</formula>
    </cfRule>
  </conditionalFormatting>
  <conditionalFormatting sqref="V157">
    <cfRule type="cellIs" dxfId="61" priority="71" stopIfTrue="1" operator="notEqual">
      <formula>"A"</formula>
    </cfRule>
  </conditionalFormatting>
  <conditionalFormatting sqref="S157 U157 W157">
    <cfRule type="cellIs" dxfId="60" priority="72" stopIfTrue="1" operator="notEqual">
      <formula>"NON"</formula>
    </cfRule>
  </conditionalFormatting>
  <conditionalFormatting sqref="V157">
    <cfRule type="cellIs" dxfId="59" priority="70" stopIfTrue="1" operator="notEqual">
      <formula>"A"</formula>
    </cfRule>
  </conditionalFormatting>
  <conditionalFormatting sqref="S157 U157 W157">
    <cfRule type="cellIs" dxfId="58" priority="69" stopIfTrue="1" operator="notEqual">
      <formula>"NON"</formula>
    </cfRule>
  </conditionalFormatting>
  <conditionalFormatting sqref="V158">
    <cfRule type="cellIs" dxfId="57" priority="67" stopIfTrue="1" operator="notEqual">
      <formula>"A"</formula>
    </cfRule>
  </conditionalFormatting>
  <conditionalFormatting sqref="S158 U158 W158">
    <cfRule type="cellIs" dxfId="56" priority="68" stopIfTrue="1" operator="notEqual">
      <formula>"NON"</formula>
    </cfRule>
  </conditionalFormatting>
  <conditionalFormatting sqref="V158">
    <cfRule type="cellIs" dxfId="55" priority="66" stopIfTrue="1" operator="notEqual">
      <formula>"A"</formula>
    </cfRule>
  </conditionalFormatting>
  <conditionalFormatting sqref="S158 U158 W158">
    <cfRule type="cellIs" dxfId="54" priority="65" stopIfTrue="1" operator="notEqual">
      <formula>"NON"</formula>
    </cfRule>
  </conditionalFormatting>
  <conditionalFormatting sqref="V160">
    <cfRule type="cellIs" dxfId="53" priority="63" stopIfTrue="1" operator="notEqual">
      <formula>"A"</formula>
    </cfRule>
  </conditionalFormatting>
  <conditionalFormatting sqref="W160 U160 S160">
    <cfRule type="cellIs" dxfId="52" priority="64" stopIfTrue="1" operator="notEqual">
      <formula>"NON"</formula>
    </cfRule>
  </conditionalFormatting>
  <conditionalFormatting sqref="V160">
    <cfRule type="cellIs" dxfId="51" priority="62" stopIfTrue="1" operator="notEqual">
      <formula>"A"</formula>
    </cfRule>
  </conditionalFormatting>
  <conditionalFormatting sqref="W160 U160 S160">
    <cfRule type="cellIs" dxfId="50" priority="61" stopIfTrue="1" operator="notEqual">
      <formula>"NON"</formula>
    </cfRule>
  </conditionalFormatting>
  <conditionalFormatting sqref="V167">
    <cfRule type="cellIs" dxfId="49" priority="59" stopIfTrue="1" operator="notEqual">
      <formula>"A"</formula>
    </cfRule>
  </conditionalFormatting>
  <conditionalFormatting sqref="S167 U167 W167">
    <cfRule type="cellIs" dxfId="48" priority="60" stopIfTrue="1" operator="notEqual">
      <formula>"NON"</formula>
    </cfRule>
  </conditionalFormatting>
  <conditionalFormatting sqref="V167">
    <cfRule type="cellIs" dxfId="47" priority="58" stopIfTrue="1" operator="notEqual">
      <formula>"A"</formula>
    </cfRule>
  </conditionalFormatting>
  <conditionalFormatting sqref="S167 U167 W167">
    <cfRule type="cellIs" dxfId="46" priority="57" stopIfTrue="1" operator="notEqual">
      <formula>"NON"</formula>
    </cfRule>
  </conditionalFormatting>
  <conditionalFormatting sqref="V169">
    <cfRule type="cellIs" dxfId="45" priority="55" stopIfTrue="1" operator="notEqual">
      <formula>"A"</formula>
    </cfRule>
  </conditionalFormatting>
  <conditionalFormatting sqref="W169 U169 S169">
    <cfRule type="cellIs" dxfId="44" priority="56" stopIfTrue="1" operator="notEqual">
      <formula>"NON"</formula>
    </cfRule>
  </conditionalFormatting>
  <conditionalFormatting sqref="V169">
    <cfRule type="cellIs" dxfId="43" priority="54" stopIfTrue="1" operator="notEqual">
      <formula>"A"</formula>
    </cfRule>
  </conditionalFormatting>
  <conditionalFormatting sqref="W169 U169 S169">
    <cfRule type="cellIs" dxfId="42" priority="53" stopIfTrue="1" operator="notEqual">
      <formula>"NON"</formula>
    </cfRule>
  </conditionalFormatting>
  <conditionalFormatting sqref="V170">
    <cfRule type="cellIs" dxfId="41" priority="51" stopIfTrue="1" operator="notEqual">
      <formula>"A"</formula>
    </cfRule>
  </conditionalFormatting>
  <conditionalFormatting sqref="S170 U170 W170">
    <cfRule type="cellIs" dxfId="40" priority="52" stopIfTrue="1" operator="notEqual">
      <formula>"NON"</formula>
    </cfRule>
  </conditionalFormatting>
  <conditionalFormatting sqref="V170">
    <cfRule type="cellIs" dxfId="39" priority="50" stopIfTrue="1" operator="notEqual">
      <formula>"A"</formula>
    </cfRule>
  </conditionalFormatting>
  <conditionalFormatting sqref="S170 U170 W170">
    <cfRule type="cellIs" dxfId="38" priority="49" stopIfTrue="1" operator="notEqual">
      <formula>"NON"</formula>
    </cfRule>
  </conditionalFormatting>
  <conditionalFormatting sqref="V171">
    <cfRule type="cellIs" dxfId="37" priority="47" stopIfTrue="1" operator="notEqual">
      <formula>"A"</formula>
    </cfRule>
  </conditionalFormatting>
  <conditionalFormatting sqref="S171 U171 W171">
    <cfRule type="cellIs" dxfId="36" priority="48" stopIfTrue="1" operator="notEqual">
      <formula>"NON"</formula>
    </cfRule>
  </conditionalFormatting>
  <conditionalFormatting sqref="V171">
    <cfRule type="cellIs" dxfId="35" priority="46" stopIfTrue="1" operator="notEqual">
      <formula>"A"</formula>
    </cfRule>
  </conditionalFormatting>
  <conditionalFormatting sqref="S171 U171 W171">
    <cfRule type="cellIs" dxfId="34" priority="45" stopIfTrue="1" operator="notEqual">
      <formula>"NON"</formula>
    </cfRule>
  </conditionalFormatting>
  <conditionalFormatting sqref="V172">
    <cfRule type="cellIs" dxfId="33" priority="43" stopIfTrue="1" operator="notEqual">
      <formula>"A"</formula>
    </cfRule>
  </conditionalFormatting>
  <conditionalFormatting sqref="S172 U172 W172">
    <cfRule type="cellIs" dxfId="32" priority="44" stopIfTrue="1" operator="notEqual">
      <formula>"NON"</formula>
    </cfRule>
  </conditionalFormatting>
  <conditionalFormatting sqref="V172">
    <cfRule type="cellIs" dxfId="31" priority="42" stopIfTrue="1" operator="notEqual">
      <formula>"A"</formula>
    </cfRule>
  </conditionalFormatting>
  <conditionalFormatting sqref="S172 U172 W172">
    <cfRule type="cellIs" dxfId="30" priority="41" stopIfTrue="1" operator="notEqual">
      <formula>"NON"</formula>
    </cfRule>
  </conditionalFormatting>
  <conditionalFormatting sqref="V173">
    <cfRule type="cellIs" dxfId="29" priority="39" stopIfTrue="1" operator="notEqual">
      <formula>"A"</formula>
    </cfRule>
  </conditionalFormatting>
  <conditionalFormatting sqref="S173 U173 W173">
    <cfRule type="cellIs" dxfId="28" priority="40" stopIfTrue="1" operator="notEqual">
      <formula>"NON"</formula>
    </cfRule>
  </conditionalFormatting>
  <conditionalFormatting sqref="V173">
    <cfRule type="cellIs" dxfId="27" priority="38" stopIfTrue="1" operator="notEqual">
      <formula>"A"</formula>
    </cfRule>
  </conditionalFormatting>
  <conditionalFormatting sqref="S173 U173 W173">
    <cfRule type="cellIs" dxfId="26" priority="37" stopIfTrue="1" operator="notEqual">
      <formula>"NON"</formula>
    </cfRule>
  </conditionalFormatting>
  <conditionalFormatting sqref="V174">
    <cfRule type="cellIs" dxfId="25" priority="35" stopIfTrue="1" operator="notEqual">
      <formula>"A"</formula>
    </cfRule>
  </conditionalFormatting>
  <conditionalFormatting sqref="S174 U174 W174">
    <cfRule type="cellIs" dxfId="24" priority="36" stopIfTrue="1" operator="notEqual">
      <formula>"NON"</formula>
    </cfRule>
  </conditionalFormatting>
  <conditionalFormatting sqref="V174">
    <cfRule type="cellIs" dxfId="23" priority="34" stopIfTrue="1" operator="notEqual">
      <formula>"A"</formula>
    </cfRule>
  </conditionalFormatting>
  <conditionalFormatting sqref="S174 U174 W174">
    <cfRule type="cellIs" dxfId="22" priority="33" stopIfTrue="1" operator="notEqual">
      <formula>"NON"</formula>
    </cfRule>
  </conditionalFormatting>
  <conditionalFormatting sqref="V178">
    <cfRule type="cellIs" dxfId="21" priority="31" stopIfTrue="1" operator="notEqual">
      <formula>"A"</formula>
    </cfRule>
  </conditionalFormatting>
  <conditionalFormatting sqref="S178 U178 W178">
    <cfRule type="cellIs" dxfId="20" priority="32" stopIfTrue="1" operator="notEqual">
      <formula>"NON"</formula>
    </cfRule>
  </conditionalFormatting>
  <conditionalFormatting sqref="V178">
    <cfRule type="cellIs" dxfId="19" priority="30" stopIfTrue="1" operator="notEqual">
      <formula>"A"</formula>
    </cfRule>
  </conditionalFormatting>
  <conditionalFormatting sqref="S178 U178 W178">
    <cfRule type="cellIs" dxfId="18" priority="29" stopIfTrue="1" operator="notEqual">
      <formula>"NON"</formula>
    </cfRule>
  </conditionalFormatting>
  <conditionalFormatting sqref="O179">
    <cfRule type="cellIs" dxfId="17" priority="15" stopIfTrue="1" operator="notEqual">
      <formula>"NON"</formula>
    </cfRule>
  </conditionalFormatting>
  <conditionalFormatting sqref="V180">
    <cfRule type="cellIs" dxfId="16" priority="23" stopIfTrue="1" operator="notEqual">
      <formula>"A"</formula>
    </cfRule>
  </conditionalFormatting>
  <conditionalFormatting sqref="S180 U180 W180">
    <cfRule type="cellIs" dxfId="15" priority="24" stopIfTrue="1" operator="notEqual">
      <formula>"NON"</formula>
    </cfRule>
  </conditionalFormatting>
  <conditionalFormatting sqref="V180">
    <cfRule type="cellIs" dxfId="14" priority="22" stopIfTrue="1" operator="notEqual">
      <formula>"A"</formula>
    </cfRule>
  </conditionalFormatting>
  <conditionalFormatting sqref="S180 U180 W180">
    <cfRule type="cellIs" dxfId="13" priority="21" stopIfTrue="1" operator="notEqual">
      <formula>"NON"</formula>
    </cfRule>
  </conditionalFormatting>
  <conditionalFormatting sqref="V181">
    <cfRule type="cellIs" dxfId="12" priority="19" stopIfTrue="1" operator="notEqual">
      <formula>"A"</formula>
    </cfRule>
  </conditionalFormatting>
  <conditionalFormatting sqref="S181 U181 W181">
    <cfRule type="cellIs" dxfId="11" priority="20" stopIfTrue="1" operator="notEqual">
      <formula>"NON"</formula>
    </cfRule>
  </conditionalFormatting>
  <conditionalFormatting sqref="V181">
    <cfRule type="cellIs" dxfId="10" priority="18" stopIfTrue="1" operator="notEqual">
      <formula>"A"</formula>
    </cfRule>
  </conditionalFormatting>
  <conditionalFormatting sqref="S181 U181 W181">
    <cfRule type="cellIs" dxfId="9" priority="17" stopIfTrue="1" operator="notEqual">
      <formula>"NON"</formula>
    </cfRule>
  </conditionalFormatting>
  <conditionalFormatting sqref="J179">
    <cfRule type="cellIs" dxfId="8" priority="16" stopIfTrue="1" operator="notEqual">
      <formula>"qc"</formula>
    </cfRule>
  </conditionalFormatting>
  <conditionalFormatting sqref="O179">
    <cfRule type="cellIs" dxfId="7" priority="12" stopIfTrue="1" operator="notEqual">
      <formula>"NON"</formula>
    </cfRule>
  </conditionalFormatting>
  <conditionalFormatting sqref="J179">
    <cfRule type="cellIs" dxfId="6" priority="11" stopIfTrue="1" operator="notEqual">
      <formula>"qc"</formula>
    </cfRule>
  </conditionalFormatting>
  <conditionalFormatting sqref="V179">
    <cfRule type="cellIs" dxfId="5" priority="5" stopIfTrue="1" operator="notEqual">
      <formula>"A"</formula>
    </cfRule>
  </conditionalFormatting>
  <conditionalFormatting sqref="S179 U179 W179">
    <cfRule type="cellIs" dxfId="4" priority="6" stopIfTrue="1" operator="notEqual">
      <formula>"NON"</formula>
    </cfRule>
  </conditionalFormatting>
  <conditionalFormatting sqref="V179">
    <cfRule type="cellIs" dxfId="3" priority="4" stopIfTrue="1" operator="notEqual">
      <formula>"A"</formula>
    </cfRule>
  </conditionalFormatting>
  <conditionalFormatting sqref="S179 U179 W179">
    <cfRule type="cellIs" dxfId="2" priority="3" stopIfTrue="1" operator="notEqual">
      <formula>"NON"</formula>
    </cfRule>
  </conditionalFormatting>
  <conditionalFormatting sqref="R56:R245">
    <cfRule type="cellIs" dxfId="1" priority="2" stopIfTrue="1" operator="notEqual">
      <formula>"A"</formula>
    </cfRule>
  </conditionalFormatting>
  <conditionalFormatting sqref="R56:R245">
    <cfRule type="cellIs" dxfId="0" priority="1" stopIfTrue="1" operator="notEqual">
      <formula>"A"</formula>
    </cfRule>
  </conditionalFormatting>
  <dataValidations count="10">
    <dataValidation type="list" allowBlank="1" showInputMessage="1" showErrorMessage="1" sqref="Q55:Q245">
      <formula1>"Fam,Mono,Couple,Aucune"</formula1>
    </dataValidation>
    <dataValidation type="list" showInputMessage="1" showErrorMessage="1" sqref="AB55:AB245 V55:V245">
      <formula1>"A,exo,Non couvert"</formula1>
    </dataValidation>
    <dataValidation type="list" allowBlank="1" showInputMessage="1" showErrorMessage="1" sqref="H55:H245">
      <formula1>$H$23:$H$42</formula1>
    </dataValidation>
    <dataValidation type="list" allowBlank="1" showInputMessage="1" showErrorMessage="1" sqref="AA55:AA245 AC55:AC245 Y55:Y245">
      <formula1>"Ind,Fam,Mono,Couple,Exemptée"</formula1>
    </dataValidation>
    <dataValidation type="list" allowBlank="1" showInputMessage="1" showErrorMessage="1" sqref="O55:O245 W55:W245 U55:U245 S55:S245 L55:L245">
      <formula1>"OUI,NON"</formula1>
    </dataValidation>
    <dataValidation type="list" allowBlank="1" showInputMessage="1" showErrorMessage="1" sqref="J55:J245">
      <formula1>"Qc,On,Manitoba,Autres"</formula1>
    </dataValidation>
    <dataValidation type="list" allowBlank="1" showInputMessage="1" showErrorMessage="1" sqref="M55:M245">
      <formula1>$K$1:$K$42</formula1>
    </dataValidation>
    <dataValidation type="list" allowBlank="1" showInputMessage="1" showErrorMessage="1" sqref="G55:G245">
      <formula1>$H$3:$H$4</formula1>
    </dataValidation>
    <dataValidation type="list" allowBlank="1" showInputMessage="1" showErrorMessage="1" sqref="F55:F245">
      <formula1>$F$3:$F$4</formula1>
    </dataValidation>
    <dataValidation type="list" showInputMessage="1" showErrorMessage="1" sqref="K55:K245 N55:N245 P55:P245 T55:T245 X55:X245 Z55:Z245 R55:R245">
      <formula1>"A,exo"</formula1>
    </dataValidation>
  </dataValidations>
  <printOptions horizontalCentered="1"/>
  <pageMargins left="0.39370078740157483" right="0.39370078740157483" top="0.78740157480314965" bottom="0.78740157480314965" header="0.51181102362204722" footer="0.51181102362204722"/>
  <pageSetup scale="77" fitToHeight="9" orientation="landscape" r:id="rId1"/>
  <headerFooter alignWithMargins="0">
    <oddHeader>&amp;C&amp;"Helv,Gras"&amp;14DONNÉES SUR LES EMPLOYÉS</oddHeader>
    <oddFooter>&amp;R&amp;"Helv,Italique"Imprimé le &amp;D
&amp;P/&amp;N</oddFooter>
  </headerFooter>
  <cellWatches>
    <cellWatch r="B53"/>
  </cellWatche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AI218"/>
  <sheetViews>
    <sheetView showGridLines="0" showZeros="0" zoomScale="130" zoomScaleNormal="130" workbookViewId="0">
      <selection activeCell="E6" sqref="E6"/>
    </sheetView>
  </sheetViews>
  <sheetFormatPr baseColWidth="10" defaultRowHeight="11.25"/>
  <cols>
    <col min="1" max="1" width="4.19921875" style="85" customWidth="1"/>
    <col min="2" max="2" width="30.59765625" style="26" customWidth="1"/>
    <col min="3" max="3" width="11.19921875" style="26" customWidth="1"/>
    <col min="4" max="4" width="12.59765625" style="27" customWidth="1"/>
    <col min="5" max="5" width="11.19921875" style="6" customWidth="1"/>
    <col min="6" max="6" width="12" style="21" hidden="1" customWidth="1"/>
    <col min="7" max="7" width="11.59765625" style="26" customWidth="1"/>
    <col min="8" max="8" width="15.3984375" style="26" customWidth="1"/>
    <col min="9" max="9" width="13.3984375" style="26" customWidth="1"/>
    <col min="10" max="10" width="13.19921875" style="26" customWidth="1"/>
    <col min="11" max="11" width="9" style="26" customWidth="1"/>
    <col min="12" max="12" width="10.19921875" style="26" customWidth="1"/>
    <col min="13" max="14" width="12.59765625" style="26" hidden="1" customWidth="1"/>
    <col min="15" max="16" width="10.19921875" style="26" customWidth="1"/>
    <col min="17" max="17" width="8.796875" style="26" customWidth="1"/>
    <col min="18" max="18" width="10.19921875" style="26" customWidth="1"/>
    <col min="19" max="19" width="12" style="26" customWidth="1"/>
    <col min="20" max="20" width="10.19921875" style="26" customWidth="1"/>
    <col min="21" max="21" width="9" style="26" hidden="1" customWidth="1"/>
    <col min="22" max="23" width="10.19921875" style="26" hidden="1" customWidth="1"/>
    <col min="24" max="25" width="32" style="26" hidden="1" customWidth="1"/>
    <col min="26" max="26" width="21.796875" style="26" hidden="1" customWidth="1"/>
    <col min="27" max="27" width="8.796875" style="26" customWidth="1"/>
    <col min="28" max="28" width="10.19921875" style="26" customWidth="1"/>
    <col min="29" max="29" width="8.796875" style="26" customWidth="1"/>
    <col min="30" max="30" width="10.19921875" style="26" customWidth="1"/>
    <col min="31" max="31" width="8.796875" style="26" hidden="1" customWidth="1"/>
    <col min="32" max="32" width="10.19921875" style="26" hidden="1" customWidth="1"/>
    <col min="33" max="33" width="13.59765625" style="26" customWidth="1"/>
    <col min="34" max="34" width="9.3984375" style="26" customWidth="1"/>
    <col min="35" max="35" width="13.59765625" style="26" customWidth="1"/>
    <col min="36" max="16384" width="11.19921875" style="28"/>
  </cols>
  <sheetData>
    <row r="1" spans="1:35">
      <c r="A1" s="165"/>
      <c r="B1" s="166"/>
      <c r="C1" s="340"/>
      <c r="D1" s="167" t="s">
        <v>96</v>
      </c>
      <c r="E1" s="170">
        <f>Programmation!C1</f>
        <v>0</v>
      </c>
      <c r="F1" s="169"/>
      <c r="H1" s="170"/>
      <c r="I1" s="170"/>
      <c r="J1" s="170"/>
      <c r="K1" s="170"/>
      <c r="L1" s="170"/>
      <c r="M1" s="170"/>
      <c r="N1" s="170"/>
      <c r="S1" s="34"/>
      <c r="T1" s="35"/>
      <c r="U1" s="34"/>
      <c r="V1" s="35"/>
      <c r="W1" s="34"/>
      <c r="X1" s="34"/>
      <c r="Y1" s="34"/>
      <c r="Z1" s="34"/>
      <c r="AI1" s="28"/>
    </row>
    <row r="2" spans="1:35">
      <c r="A2" s="165"/>
      <c r="B2" s="166"/>
      <c r="C2" s="340"/>
      <c r="D2" s="167" t="s">
        <v>97</v>
      </c>
      <c r="E2" s="170">
        <f>Programmation!C2</f>
        <v>0</v>
      </c>
      <c r="F2" s="169"/>
      <c r="H2" s="170"/>
      <c r="I2" s="170"/>
      <c r="J2" s="170"/>
      <c r="K2" s="170"/>
      <c r="L2" s="170"/>
      <c r="M2" s="170"/>
      <c r="N2" s="170"/>
      <c r="S2" s="36"/>
      <c r="U2" s="36"/>
      <c r="AI2" s="28"/>
    </row>
    <row r="3" spans="1:35">
      <c r="A3" s="165"/>
      <c r="B3" s="166"/>
      <c r="C3" s="340"/>
      <c r="D3" s="167" t="s">
        <v>100</v>
      </c>
      <c r="E3" s="339">
        <f>Programmation!C3</f>
        <v>0</v>
      </c>
      <c r="F3" s="169"/>
      <c r="H3" s="170"/>
      <c r="I3" s="170"/>
      <c r="J3" s="170"/>
      <c r="K3" s="170"/>
      <c r="L3" s="170"/>
      <c r="M3" s="170"/>
      <c r="N3" s="170"/>
      <c r="AI3" s="28"/>
    </row>
    <row r="4" spans="1:35" hidden="1">
      <c r="A4" s="165"/>
      <c r="B4" s="166"/>
      <c r="C4" s="340"/>
      <c r="D4" s="167" t="s">
        <v>101</v>
      </c>
      <c r="E4" s="170">
        <f>Programmation!C4</f>
        <v>0</v>
      </c>
      <c r="F4" s="169"/>
      <c r="H4" s="170"/>
      <c r="I4" s="170"/>
      <c r="J4" s="170"/>
      <c r="K4" s="170"/>
      <c r="L4" s="170"/>
      <c r="M4" s="170"/>
      <c r="N4" s="170"/>
      <c r="S4" s="382">
        <f ca="1">TODAY()</f>
        <v>43773</v>
      </c>
      <c r="T4" s="37"/>
      <c r="U4" s="37"/>
      <c r="V4" s="37"/>
      <c r="W4" s="37"/>
      <c r="X4" s="37"/>
      <c r="Y4" s="37"/>
      <c r="Z4" s="37"/>
      <c r="AI4" s="28"/>
    </row>
    <row r="5" spans="1:35" hidden="1">
      <c r="A5" s="165"/>
      <c r="B5" s="166"/>
      <c r="C5" s="340"/>
      <c r="D5" s="167" t="s">
        <v>102</v>
      </c>
      <c r="E5" s="170">
        <f>Programmation!C5</f>
        <v>0</v>
      </c>
      <c r="F5" s="169"/>
      <c r="H5" s="170"/>
      <c r="I5" s="170"/>
      <c r="J5" s="170"/>
      <c r="K5" s="170"/>
      <c r="L5" s="170"/>
      <c r="M5" s="170"/>
      <c r="N5" s="170"/>
      <c r="S5" s="36"/>
    </row>
    <row r="6" spans="1:35">
      <c r="A6" s="165"/>
      <c r="B6" s="166"/>
      <c r="C6" s="340"/>
      <c r="D6" s="167" t="s">
        <v>98</v>
      </c>
      <c r="E6" s="348">
        <f>Programmation!C6</f>
        <v>0</v>
      </c>
      <c r="F6" s="169"/>
      <c r="H6" s="348"/>
      <c r="I6" s="348"/>
      <c r="J6" s="348"/>
      <c r="K6" s="348"/>
      <c r="L6" s="348"/>
      <c r="M6" s="373"/>
      <c r="N6" s="373"/>
    </row>
    <row r="7" spans="1:35">
      <c r="A7" s="165"/>
      <c r="B7" s="166"/>
      <c r="C7" s="340"/>
      <c r="D7" s="167" t="s">
        <v>99</v>
      </c>
      <c r="E7" s="465">
        <f>Données!E46</f>
        <v>0</v>
      </c>
      <c r="F7" s="465"/>
      <c r="G7" s="465"/>
      <c r="H7" s="465"/>
      <c r="I7" s="348"/>
      <c r="J7" s="348"/>
      <c r="K7" s="348"/>
      <c r="L7" s="348"/>
      <c r="M7" s="373"/>
      <c r="N7" s="373"/>
      <c r="X7" s="407">
        <v>0</v>
      </c>
      <c r="Y7" s="408">
        <v>105</v>
      </c>
    </row>
    <row r="8" spans="1:35" hidden="1">
      <c r="A8" s="165"/>
      <c r="B8" s="166"/>
      <c r="C8" s="340"/>
      <c r="D8" s="171"/>
      <c r="E8" s="168"/>
      <c r="F8" s="172"/>
      <c r="G8" s="166"/>
      <c r="H8" s="166"/>
      <c r="I8" s="340"/>
      <c r="J8" s="340"/>
      <c r="K8" s="166"/>
      <c r="L8" s="166"/>
      <c r="M8" s="340"/>
      <c r="N8" s="340"/>
      <c r="S8" s="36"/>
    </row>
    <row r="9" spans="1:35">
      <c r="A9" s="165"/>
      <c r="B9" s="166"/>
      <c r="C9" s="340"/>
      <c r="D9" s="171"/>
      <c r="E9" s="168"/>
      <c r="F9" s="172"/>
      <c r="G9" s="166"/>
      <c r="H9" s="166"/>
      <c r="I9" s="340"/>
      <c r="J9" s="340"/>
      <c r="K9" s="166"/>
      <c r="L9" s="166"/>
      <c r="M9" s="340"/>
      <c r="N9" s="340"/>
    </row>
    <row r="10" spans="1:35" ht="22.5">
      <c r="A10" s="86"/>
      <c r="B10" s="29"/>
      <c r="C10" s="29"/>
      <c r="D10" s="30"/>
      <c r="E10" s="31"/>
      <c r="F10" s="38"/>
      <c r="G10" s="39"/>
      <c r="H10" s="32"/>
      <c r="I10" s="39"/>
      <c r="J10" s="32"/>
      <c r="K10" s="39"/>
      <c r="L10" s="32"/>
      <c r="M10" s="403" t="s">
        <v>127</v>
      </c>
      <c r="N10" s="403" t="s">
        <v>127</v>
      </c>
      <c r="O10" s="40"/>
      <c r="P10" s="41"/>
      <c r="Q10" s="42"/>
      <c r="R10" s="32"/>
      <c r="S10" s="461"/>
      <c r="T10" s="462"/>
      <c r="U10" s="461"/>
      <c r="V10" s="462"/>
      <c r="W10" s="9"/>
      <c r="X10" s="403" t="s">
        <v>128</v>
      </c>
      <c r="Y10" s="403" t="s">
        <v>157</v>
      </c>
      <c r="Z10" s="403" t="s">
        <v>129</v>
      </c>
      <c r="AA10" s="406"/>
      <c r="AB10" s="41"/>
      <c r="AC10" s="40"/>
      <c r="AD10" s="41"/>
      <c r="AE10" s="40"/>
      <c r="AF10" s="41"/>
      <c r="AG10" s="41"/>
      <c r="AH10" s="41"/>
      <c r="AI10" s="32"/>
    </row>
    <row r="11" spans="1:35" ht="10.5" customHeight="1">
      <c r="A11" s="87"/>
      <c r="B11" s="81" t="s">
        <v>2</v>
      </c>
      <c r="C11" s="409" t="s">
        <v>158</v>
      </c>
      <c r="D11" s="33" t="s">
        <v>11</v>
      </c>
      <c r="E11" s="78" t="s">
        <v>16</v>
      </c>
      <c r="F11" s="79" t="s">
        <v>156</v>
      </c>
      <c r="G11" s="459" t="s">
        <v>4</v>
      </c>
      <c r="H11" s="460"/>
      <c r="I11" s="464" t="s">
        <v>131</v>
      </c>
      <c r="J11" s="460"/>
      <c r="K11" s="459" t="s">
        <v>28</v>
      </c>
      <c r="L11" s="460"/>
      <c r="M11" s="404" t="s">
        <v>25</v>
      </c>
      <c r="N11" s="404" t="s">
        <v>28</v>
      </c>
      <c r="O11" s="463" t="s">
        <v>51</v>
      </c>
      <c r="P11" s="460"/>
      <c r="Q11" s="473" t="s">
        <v>12</v>
      </c>
      <c r="R11" s="467"/>
      <c r="S11" s="474" t="s">
        <v>52</v>
      </c>
      <c r="T11" s="467"/>
      <c r="U11" s="474" t="s">
        <v>103</v>
      </c>
      <c r="V11" s="467"/>
      <c r="W11" s="77" t="s">
        <v>39</v>
      </c>
      <c r="X11" s="404"/>
      <c r="Y11" s="404"/>
      <c r="Z11" s="404"/>
      <c r="AA11" s="468" t="s">
        <v>8</v>
      </c>
      <c r="AB11" s="468"/>
      <c r="AC11" s="466" t="s">
        <v>5</v>
      </c>
      <c r="AD11" s="467"/>
      <c r="AE11" s="466" t="s">
        <v>54</v>
      </c>
      <c r="AF11" s="467"/>
      <c r="AG11" s="80" t="s">
        <v>80</v>
      </c>
      <c r="AH11" s="80" t="s">
        <v>59</v>
      </c>
      <c r="AI11" s="80" t="s">
        <v>18</v>
      </c>
    </row>
    <row r="12" spans="1:35" ht="10.5" customHeight="1">
      <c r="A12" s="87"/>
      <c r="B12" s="81" t="s">
        <v>7</v>
      </c>
      <c r="C12" s="81"/>
      <c r="D12" s="33" t="s">
        <v>108</v>
      </c>
      <c r="E12" s="78" t="s">
        <v>17</v>
      </c>
      <c r="F12" s="20"/>
      <c r="G12" s="457"/>
      <c r="H12" s="458"/>
      <c r="I12" s="457"/>
      <c r="J12" s="458"/>
      <c r="K12" s="457"/>
      <c r="L12" s="458"/>
      <c r="M12" s="405"/>
      <c r="N12" s="405"/>
      <c r="O12" s="457"/>
      <c r="P12" s="458"/>
      <c r="Q12" s="470"/>
      <c r="R12" s="458"/>
      <c r="S12" s="471"/>
      <c r="T12" s="472"/>
      <c r="U12" s="471"/>
      <c r="V12" s="472"/>
      <c r="W12" s="10"/>
      <c r="X12" s="405"/>
      <c r="Y12" s="405"/>
      <c r="Z12" s="405"/>
      <c r="AA12" s="469"/>
      <c r="AB12" s="469"/>
      <c r="AC12" s="457"/>
      <c r="AD12" s="458"/>
      <c r="AE12" s="457"/>
      <c r="AF12" s="458"/>
      <c r="AG12" s="77" t="s">
        <v>81</v>
      </c>
      <c r="AH12" s="77"/>
      <c r="AI12" s="77" t="s">
        <v>9</v>
      </c>
    </row>
    <row r="13" spans="1:35" s="48" customFormat="1" ht="9" customHeight="1">
      <c r="A13" s="43"/>
      <c r="B13" s="18"/>
      <c r="C13" s="18"/>
      <c r="D13" s="44"/>
      <c r="E13" s="45"/>
      <c r="F13" s="46"/>
      <c r="G13" s="71" t="s">
        <v>105</v>
      </c>
      <c r="H13" s="71" t="s">
        <v>106</v>
      </c>
      <c r="I13" s="71" t="s">
        <v>105</v>
      </c>
      <c r="J13" s="71" t="s">
        <v>106</v>
      </c>
      <c r="K13" s="71" t="s">
        <v>105</v>
      </c>
      <c r="L13" s="71" t="s">
        <v>106</v>
      </c>
      <c r="M13" s="71"/>
      <c r="N13" s="71"/>
      <c r="O13" s="71" t="s">
        <v>49</v>
      </c>
      <c r="P13" s="71" t="s">
        <v>106</v>
      </c>
      <c r="Q13" s="71" t="s">
        <v>105</v>
      </c>
      <c r="R13" s="71" t="s">
        <v>106</v>
      </c>
      <c r="S13" s="71" t="s">
        <v>105</v>
      </c>
      <c r="T13" s="71" t="s">
        <v>106</v>
      </c>
      <c r="U13" s="71" t="s">
        <v>105</v>
      </c>
      <c r="V13" s="71" t="s">
        <v>106</v>
      </c>
      <c r="W13" s="71" t="s">
        <v>106</v>
      </c>
      <c r="X13" s="71"/>
      <c r="Y13" s="71"/>
      <c r="Z13" s="71"/>
      <c r="AA13" s="71" t="s">
        <v>49</v>
      </c>
      <c r="AB13" s="71" t="s">
        <v>106</v>
      </c>
      <c r="AC13" s="71" t="s">
        <v>49</v>
      </c>
      <c r="AD13" s="71" t="s">
        <v>106</v>
      </c>
      <c r="AE13" s="71" t="s">
        <v>49</v>
      </c>
      <c r="AF13" s="71" t="s">
        <v>106</v>
      </c>
      <c r="AG13" s="18"/>
      <c r="AH13" s="18"/>
      <c r="AI13" s="47" t="s">
        <v>82</v>
      </c>
    </row>
    <row r="14" spans="1:35" s="64" customFormat="1">
      <c r="A14" s="88"/>
      <c r="B14" s="49"/>
      <c r="C14" s="49"/>
      <c r="D14" s="50"/>
      <c r="E14" s="72"/>
      <c r="F14" s="73"/>
      <c r="G14" s="74"/>
      <c r="H14" s="84"/>
      <c r="I14" s="84"/>
      <c r="J14" s="84"/>
      <c r="K14" s="74"/>
      <c r="L14" s="84"/>
      <c r="M14" s="84"/>
      <c r="N14" s="84"/>
      <c r="O14" s="51"/>
      <c r="P14" s="82"/>
      <c r="Q14" s="76"/>
      <c r="R14" s="83"/>
      <c r="S14" s="75"/>
      <c r="T14" s="83"/>
      <c r="U14" s="75"/>
      <c r="V14" s="83"/>
      <c r="W14" s="83"/>
      <c r="Z14" s="382"/>
      <c r="AA14" s="52"/>
      <c r="AB14" s="82"/>
      <c r="AC14" s="52"/>
      <c r="AD14" s="82"/>
      <c r="AE14" s="52"/>
      <c r="AF14" s="82"/>
      <c r="AG14" s="52"/>
      <c r="AH14" s="52"/>
      <c r="AI14" s="53"/>
    </row>
    <row r="15" spans="1:35" s="64" customFormat="1">
      <c r="A15" s="89">
        <v>1</v>
      </c>
      <c r="B15" s="99" t="str">
        <f>CONCATENATE(Données!B55," ",Données!C55)</f>
        <v xml:space="preserve"> </v>
      </c>
      <c r="C15" s="410">
        <f ca="1">IF(B15="",0,INT((TODAY()-Données!E55)/365.25))</f>
        <v>119</v>
      </c>
      <c r="D15" s="100">
        <f>Données!D55</f>
        <v>0</v>
      </c>
      <c r="E15" s="101">
        <f>Données!I55</f>
        <v>0</v>
      </c>
      <c r="F15" s="102" t="str">
        <f>Données!AD55</f>
        <v/>
      </c>
      <c r="G15" s="103">
        <f ca="1">INDEX({1;0.5;0},MATCH(C15,{1;65;70}))*M15</f>
        <v>0</v>
      </c>
      <c r="H15" s="104">
        <f>IF($B15=" ",0,IF(Données!$K55="exo",0,$G15/1000*VLOOKUP($F15,taux,2)))</f>
        <v>0</v>
      </c>
      <c r="I15" s="398">
        <f ca="1">IF(C15&gt;=65,0,Données!M55*5000)</f>
        <v>0</v>
      </c>
      <c r="J15" s="104">
        <f ca="1">I15/1000*(IF(I15=0,0,1)*VLOOKUP((1+(C15&gt;=20)+(C15&gt;=25)+(C15&gt;=30)+(C15&gt;=35)+(C15&gt;=40)+(C15&gt;=45)+(C15&gt;=50)+(C15&gt;=55)+(C15&gt;=60)+(C15&gt;=65)),Test,2+(IF(Données!F55="H",1,3))+(IF(Données!G55="F",1,0))))</f>
        <v>0</v>
      </c>
      <c r="K15" s="103">
        <f ca="1">INDEX({1;0.5;0},MATCH(C15,{1;65;70}))*M15</f>
        <v>0</v>
      </c>
      <c r="L15" s="104">
        <f>IF($B15=" ",0,IF(Données!$N55="exo",0,$K15/1000*VLOOKUP($F15,taux,6)))</f>
        <v>0</v>
      </c>
      <c r="M15" s="379">
        <f>IF($B15=" ",0,IF(Données!$K55="NON COUVERT",0,IF(AND(Données!$L55="oui",Données!$K55=0.5),MIN(VLOOKUP($F15,taux,5)/2,ROUNDUP(VLOOKUP($F15,taux,3)*$E15,-3)/2),IF(Données!$K55=0.5,MIN(VLOOKUP($F15,taux,4)/2,ROUNDUP(VLOOKUP($F15,taux,3)*$E15,-3)/2),ROUNDUP(IF(Données!$L55="OUI",MIN(VLOOKUP($F15,taux,3)*$E15,VLOOKUP($F15,taux,5)),MIN(VLOOKUP($F15,taux,3)*$E15,VLOOKUP($F15,taux,4))),-3)))))</f>
        <v>0</v>
      </c>
      <c r="N15" s="379">
        <f>IF($B15=" ",0,IF(Données!$N55="NON COUVERT",0,IF(AND(Données!$O55="oui",Données!$N55=0.5),MIN(VLOOKUP($F15,taux,9)/2,ROUNDUP(VLOOKUP($F15,taux,7)*$E15,-3)/2),IF(Données!$N55=0.5,MIN(VLOOKUP($F15,taux,8)/2,ROUNDUP(VLOOKUP($F15,taux,7)*$E15,-3)/2),ROUNDUP(IF(Données!$O55="OUI",MIN(VLOOKUP($F15,taux,7)*$E15,VLOOKUP($F15,taux,9)),MIN(VLOOKUP($F15,taux,7)*$E15,VLOOKUP($F15,taux,8))),-3)))))</f>
        <v>0</v>
      </c>
      <c r="O15" s="105">
        <f ca="1">IF(C15&gt;=70,0,IF($B15=" ",0,IF(Données!P55="non couvert"," ",Données!Q55)))</f>
        <v>0</v>
      </c>
      <c r="P15" s="106">
        <f>IF($B15=" ",0,IF(Données!$P55="exo",0,IF($O15="FAM",VLOOKUP($F15,taux,10),IF($O15="MONO",VLOOKUP($F15,taux,11),IF($O15="COUPLE",VLOOKUP($F15,taux,12),0)))))</f>
        <v>0</v>
      </c>
      <c r="Q15" s="107">
        <f ca="1">IF(C15&gt;=70,0,IF($B15=" ",0,IF(Données!$R55="NON COUVERT",0,ROUNDUP(IF(Données!$S55="OUI",MIN($E15*VLOOKUP($F15,taux,15)/52,VLOOKUP($F15,taux,17)),MIN($E15*VLOOKUP($F15,taux,15)/52,VLOOKUP($F15,taux,16))),0))))</f>
        <v>0</v>
      </c>
      <c r="R15" s="108">
        <f>IF($B15=" ",0,IF(Données!$R55="EXO",0,$Q15*VLOOKUP($F15,taux,13)/10))</f>
        <v>0</v>
      </c>
      <c r="S15" s="109">
        <f ca="1">IF(C15&gt;=65,0,IF(B15=" ",0,IF(TODAY()&gt;=Y15,0,Z15)))</f>
        <v>0</v>
      </c>
      <c r="T15" s="110">
        <f>IF(B15=" ",0,IF(Données!$T55="exo",0,$S15*VLOOKUP($F15,taux,18)/100))</f>
        <v>0</v>
      </c>
      <c r="U15" s="109">
        <f>IF($B15=" ",0,IF(Données!$V55="non couvert",0,IF(VLOOKUP($F15,taux,29)="fixe","s/o",IF(Données!$W55="oui",MIN(ROUNDUP(VLOOKUP($F15,taux,31)*$E15,-3),VLOOKUP($F15,taux,33)),MIN(ROUNDUP(VLOOKUP($F15,taux,31)*$E15,-3),VLOOKUP($F15,taux,32))))))</f>
        <v>0</v>
      </c>
      <c r="V15" s="110">
        <f>IF(B15=" ",0,IF(Données!$V55="exo",0,IF(VLOOKUP($F15,taux,29)="fixe",VLOOKUP($F15,taux,30),$U15/1000*VLOOKUP($F15,taux,30))))</f>
        <v>0</v>
      </c>
      <c r="W15" s="110">
        <f t="shared" ref="W15:W78" si="0">IF($B15=" ",0,VLOOKUP($F15,taux,27))</f>
        <v>0</v>
      </c>
      <c r="X15" s="383">
        <f>IF(B15=" ",0,EDATE((Données!E55),780))</f>
        <v>0</v>
      </c>
      <c r="Y15" s="383">
        <f t="shared" ref="Y15:Y46" si="1">IF(B15=" ",0,DATE(YEAR(X15)+0,MONTH(X15)+0,DAY(X15)-Y$7))</f>
        <v>0</v>
      </c>
      <c r="Z15" s="384">
        <f>IF($B15=" ",0,IF(Données!$T55="non couvert",0,IF(Données!$U55="oui",MIN(VLOOKUP($F15,taux,26),ROUNDUP(IF($E15/12&gt;VLOOKUP($F15,taux,21)+VLOOKUP($F15,taux,23),(VLOOKUP($F15,taux,20)*VLOOKUP($F15,taux,21))+(VLOOKUP($F15,taux,22)*VLOOKUP($F15,taux,23))+($E15/12-VLOOKUP($F15,taux,21)-VLOOKUP($F15,taux,23))*VLOOKUP($F15,taux,24),IF($E15/12&gt;VLOOKUP($F15,taux,21),(VLOOKUP($F15,taux,20)*VLOOKUP($F15,taux,21))+($E15/12-VLOOKUP($F15,taux,21))*VLOOKUP($F15,taux,22),$E15/12*VLOOKUP($F15,taux,20))),0)),MIN(VLOOKUP($F15,taux,25),ROUNDUP(IF($E15/12&gt;VLOOKUP($F15,taux,21)+VLOOKUP($F15,taux,23),(VLOOKUP($F15,taux,20)*VLOOKUP($F15,taux,21))+(VLOOKUP($F15,taux,22)*VLOOKUP($F15,taux,23))+($E15/12-VLOOKUP($F15,taux,21)-VLOOKUP($F15,taux,23))*VLOOKUP($F15,taux,24),IF($E15/12&gt;VLOOKUP($F15,taux,21),(VLOOKUP($F15,taux,20)*VLOOKUP($F15,taux,21))+($E15/12-VLOOKUP($F15,taux,21))*VLOOKUP($F15,taux,22),$E15/12*VLOOKUP($F15,taux,20))),0)))))</f>
        <v>0</v>
      </c>
      <c r="AA15" s="111">
        <f ca="1">IF(C15&gt;=70,0,IF($B15=" ",0,IF(Données!$X55="non couvert"," ",Données!Y55)))</f>
        <v>0</v>
      </c>
      <c r="AB15" s="110">
        <f>IF($B15=" ",0,IF(Données!$X55="exo",0,IF($AA15="ind",VLOOKUP($F15,taux,34),IF($AA15="fam",VLOOKUP($F15,taux,35),IF($AA15="mono",VLOOKUP($F15,taux,36),IF($AA15="couple",VLOOKUP($F15,taux,37),0))))))</f>
        <v>0</v>
      </c>
      <c r="AC15" s="111">
        <f ca="1">IF(C15&gt;=70,0,IF($B15=" ",0,IF(Données!$Z55="non couvert"," ",Données!AA55)))</f>
        <v>0</v>
      </c>
      <c r="AD15" s="110">
        <f>IF($B15=" ",0,IF(Données!$Z55="exo",0,IF($AC15="ind",VLOOKUP($F15,taux,38),IF($AC15="fam",VLOOKUP($F15,taux,39),IF($AC15="mono",VLOOKUP($F15,taux,40),IF($AC15="couple",VLOOKUP($F15,taux,41),0))))))</f>
        <v>0</v>
      </c>
      <c r="AE15" s="112">
        <f>IF($B15=" ",0,IF(Données!$AB55="non couvert"," ",Données!AC55))</f>
        <v>0</v>
      </c>
      <c r="AF15" s="113">
        <f>IF($B15=" ",0,IF(Données!$AB55="exo",0,IF($AE15="ind",VLOOKUP($F15,taux,42),IF($AE15="fam",VLOOKUP($F15,taux,43),IF($AE15="mono",VLOOKUP($F15,taux,44),IF($AE15="couple",VLOOKUP($F15,taux,45),0))))))</f>
        <v>0</v>
      </c>
      <c r="AG15" s="114">
        <f t="shared" ref="AG15:AG46" ca="1" si="2">H15+J15+L15+P15+R15+T15+V15+W15+AB15+AD15+AF15</f>
        <v>0</v>
      </c>
      <c r="AH15" s="114">
        <f>IF($B15=" ",0,IF(Données!J55="Manitoba",(Facture!H15+Facture!J15+Facture!L15+Facture!P15+Facture!R15+Facture!T15)*0.08,(AG15-W15)*IF(Données!$J55="qc",0.09,IF(Données!$J55="on",0.08,0))+W15*VLOOKUP($F15,taux,28)))</f>
        <v>0</v>
      </c>
      <c r="AI15" s="106">
        <f ca="1">AH15+AG15</f>
        <v>0</v>
      </c>
    </row>
    <row r="16" spans="1:35" s="64" customFormat="1">
      <c r="A16" s="89">
        <f>A15+1</f>
        <v>2</v>
      </c>
      <c r="B16" s="99" t="str">
        <f>CONCATENATE(Données!B56," ",Données!C56)</f>
        <v xml:space="preserve"> </v>
      </c>
      <c r="C16" s="410">
        <f ca="1">IF(B16="",0,INT((TODAY()-Données!E56)/365.25))</f>
        <v>119</v>
      </c>
      <c r="D16" s="100">
        <f>Données!D56</f>
        <v>0</v>
      </c>
      <c r="E16" s="101">
        <f>Données!I56</f>
        <v>0</v>
      </c>
      <c r="F16" s="102" t="str">
        <f>Données!AD56</f>
        <v/>
      </c>
      <c r="G16" s="103">
        <f ca="1">INDEX({1;0.5;0},MATCH(C16,{1;65;70}))*M16</f>
        <v>0</v>
      </c>
      <c r="H16" s="104">
        <f>IF($B16=" ",0,IF(Données!$K56="exo",0,$G16/1000*VLOOKUP($F16,taux,2)))</f>
        <v>0</v>
      </c>
      <c r="I16" s="398">
        <f ca="1">IF(C16&gt;=65,0,Données!M56*5000)</f>
        <v>0</v>
      </c>
      <c r="J16" s="104">
        <f ca="1">I16/1000*(IF(I16=0,0,1)*VLOOKUP((1+(C16&gt;=20)+(C16&gt;=25)+(C16&gt;=30)+(C16&gt;=35)+(C16&gt;=40)+(C16&gt;=45)+(C16&gt;=50)+(C16&gt;=55)+(C16&gt;=60)+(C16&gt;=65)),Test,2+(IF(Données!F56="H",1,3))+(IF(Données!G56="F",1,0))))</f>
        <v>0</v>
      </c>
      <c r="K16" s="103">
        <f ca="1">INDEX({1;0.5;0},MATCH(C16,{1;65;70}))*M16</f>
        <v>0</v>
      </c>
      <c r="L16" s="104">
        <f>IF($B16=" ",0,IF(Données!$N56="exo",0,$K16/1000*VLOOKUP($F16,taux,6)))</f>
        <v>0</v>
      </c>
      <c r="M16" s="379">
        <f>IF($B16=" ",0,IF(Données!$K56="NON COUVERT",0,IF(AND(Données!$L56="oui",Données!$K56=0.5),MIN(VLOOKUP($F16,taux,5)/2,ROUNDUP(VLOOKUP($F16,taux,3)*$E16,-3)/2),IF(Données!$K56=0.5,MIN(VLOOKUP($F16,taux,4)/2,ROUNDUP(VLOOKUP($F16,taux,3)*$E16,-3)/2),ROUNDUP(IF(Données!$L56="OUI",MIN(VLOOKUP($F16,taux,3)*$E16,VLOOKUP($F16,taux,5)),MIN(VLOOKUP($F16,taux,3)*$E16,VLOOKUP($F16,taux,4))),-3)))))</f>
        <v>0</v>
      </c>
      <c r="N16" s="379">
        <f>IF($B16=" ",0,IF(Données!$N56="NON COUVERT",0,IF(AND(Données!$O56="oui",Données!$N56=0.5),MIN(VLOOKUP($F16,taux,9)/2,ROUNDUP(VLOOKUP($F16,taux,7)*$E16,-3)/2),IF(Données!$N56=0.5,MIN(VLOOKUP($F16,taux,8)/2,ROUNDUP(VLOOKUP($F16,taux,7)*$E16,-3)/2),ROUNDUP(IF(Données!$O56="OUI",MIN(VLOOKUP($F16,taux,7)*$E16,VLOOKUP($F16,taux,9)),MIN(VLOOKUP($F16,taux,7)*$E16,VLOOKUP($F16,taux,8))),-3)))))</f>
        <v>0</v>
      </c>
      <c r="O16" s="105">
        <f ca="1">IF(C16&gt;=70,0,IF($B16=" ",0,IF(Données!P56="non couvert"," ",Données!Q56)))</f>
        <v>0</v>
      </c>
      <c r="P16" s="106">
        <f>IF($B16=" ",0,IF(Données!$P56="exo",0,IF($O16="FAM",VLOOKUP($F16,taux,10),IF($O16="MONO",VLOOKUP($F16,taux,11),IF($O16="COUPLE",VLOOKUP($F16,taux,12),0)))))</f>
        <v>0</v>
      </c>
      <c r="Q16" s="107">
        <f ca="1">IF(C16&gt;=70,0,IF($B16=" ",0,IF(Données!$R56="NON COUVERT",0,ROUNDUP(IF(Données!$S56="OUI",MIN($E16*VLOOKUP($F16,taux,15)/52,VLOOKUP($F16,taux,17)),MIN($E16*VLOOKUP($F16,taux,15)/52,VLOOKUP($F16,taux,16))),0))))</f>
        <v>0</v>
      </c>
      <c r="R16" s="108">
        <f>IF($B16=" ",0,IF(Données!$R56="EXO",0,$Q16*VLOOKUP($F16,taux,13)/10))</f>
        <v>0</v>
      </c>
      <c r="S16" s="109">
        <f t="shared" ref="S16:S79" ca="1" si="3">IF(C16&gt;=65,0,IF(B16=" ",0,IF(TODAY()&gt;=Y16,0,Z16)))</f>
        <v>0</v>
      </c>
      <c r="T16" s="110">
        <f>IF(B16=" ",0,IF(Données!$T56="exo",0,$S16*VLOOKUP($F16,taux,18)/100))</f>
        <v>0</v>
      </c>
      <c r="U16" s="109">
        <f>IF($B16=" ",0,IF(Données!$V56="non couvert",0,IF(VLOOKUP($F16,taux,29)="fixe","s/o",IF(Données!$W56="oui",MIN(ROUNDUP(VLOOKUP($F16,taux,31)*$E16,-3),VLOOKUP($F16,taux,33)),MIN(ROUNDUP(VLOOKUP($F16,taux,31)*$E16,-3),VLOOKUP($F16,taux,32))))))</f>
        <v>0</v>
      </c>
      <c r="V16" s="110">
        <f>IF(B16=" ",0,IF(Données!$V56="exo",0,IF(VLOOKUP($F16,taux,29)="fixe",VLOOKUP($F16,taux,30),$U16/1000*VLOOKUP($F16,taux,30))))</f>
        <v>0</v>
      </c>
      <c r="W16" s="110">
        <f t="shared" si="0"/>
        <v>0</v>
      </c>
      <c r="X16" s="383">
        <f>IF(B16=" ",0,EDATE((Données!E56),780))</f>
        <v>0</v>
      </c>
      <c r="Y16" s="383">
        <f t="shared" si="1"/>
        <v>0</v>
      </c>
      <c r="Z16" s="384">
        <f>IF($B16=" ",0,IF(Données!$T56="non couvert",0,IF(Données!$U56="oui",MIN(VLOOKUP($F16,taux,26),ROUNDUP(IF($E16/12&gt;VLOOKUP($F16,taux,21)+VLOOKUP($F16,taux,23),(VLOOKUP($F16,taux,20)*VLOOKUP($F16,taux,21))+(VLOOKUP($F16,taux,22)*VLOOKUP($F16,taux,23))+($E16/12-VLOOKUP($F16,taux,21)-VLOOKUP($F16,taux,23))*VLOOKUP($F16,taux,24),IF($E16/12&gt;VLOOKUP($F16,taux,21),(VLOOKUP($F16,taux,20)*VLOOKUP($F16,taux,21))+($E16/12-VLOOKUP($F16,taux,21))*VLOOKUP($F16,taux,22),$E16/12*VLOOKUP($F16,taux,20))),0)),MIN(VLOOKUP($F16,taux,25),ROUNDUP(IF($E16/12&gt;VLOOKUP($F16,taux,21)+VLOOKUP($F16,taux,23),(VLOOKUP($F16,taux,20)*VLOOKUP($F16,taux,21))+(VLOOKUP($F16,taux,22)*VLOOKUP($F16,taux,23))+($E16/12-VLOOKUP($F16,taux,21)-VLOOKUP($F16,taux,23))*VLOOKUP($F16,taux,24),IF($E16/12&gt;VLOOKUP($F16,taux,21),(VLOOKUP($F16,taux,20)*VLOOKUP($F16,taux,21))+($E16/12-VLOOKUP($F16,taux,21))*VLOOKUP($F16,taux,22),$E16/12*VLOOKUP($F16,taux,20))),0)))))</f>
        <v>0</v>
      </c>
      <c r="AA16" s="111">
        <f ca="1">IF(C16&gt;=70,0,IF($B16=" ",0,IF(Données!$X56="non couvert"," ",Données!Y56)))</f>
        <v>0</v>
      </c>
      <c r="AB16" s="110">
        <f>IF($B16=" ",0,IF(Données!$X56="exo",0,IF($AA16="ind",VLOOKUP($F16,taux,34),IF($AA16="fam",VLOOKUP($F16,taux,35),IF($AA16="mono",VLOOKUP($F16,taux,36),IF($AA16="couple",VLOOKUP($F16,taux,37),0))))))</f>
        <v>0</v>
      </c>
      <c r="AC16" s="111">
        <f ca="1">IF(C16&gt;=70,0,IF($B16=" ",0,IF(Données!$Z56="non couvert"," ",Données!AA56)))</f>
        <v>0</v>
      </c>
      <c r="AD16" s="110">
        <f>IF($B16=" ",0,IF(Données!$Z56="exo",0,IF($AC16="ind",VLOOKUP($F16,taux,38),IF($AC16="fam",VLOOKUP($F16,taux,39),IF($AC16="mono",VLOOKUP($F16,taux,40),IF($AC16="couple",VLOOKUP($F16,taux,41),0))))))</f>
        <v>0</v>
      </c>
      <c r="AE16" s="112">
        <f>IF($B16=" ",0,IF(Données!$AB56="non couvert"," ",Données!AC56))</f>
        <v>0</v>
      </c>
      <c r="AF16" s="113">
        <f>IF($B16=" ",0,IF(Données!$AB56="exo",0,IF($AE16="ind",VLOOKUP($F16,taux,42),IF($AE16="fam",VLOOKUP($F16,taux,43),IF($AE16="mono",VLOOKUP($F16,taux,44),IF($AE16="couple",VLOOKUP($F16,taux,45),0))))))</f>
        <v>0</v>
      </c>
      <c r="AG16" s="114">
        <f t="shared" ca="1" si="2"/>
        <v>0</v>
      </c>
      <c r="AH16" s="114">
        <f>IF($B16=" ",0,IF(Données!J56="Manitoba",(Facture!H16+Facture!J16+Facture!L16+Facture!P16+Facture!R16+Facture!T16)*0.08,(AG16-W16)*IF(Données!$J56="qc",0.09,IF(Données!$J56="on",0.08,0))+W16*VLOOKUP($F16,taux,28)))</f>
        <v>0</v>
      </c>
      <c r="AI16" s="106">
        <f t="shared" ref="AI16:AI79" ca="1" si="4">AH16+AG16</f>
        <v>0</v>
      </c>
    </row>
    <row r="17" spans="1:35" s="64" customFormat="1">
      <c r="A17" s="89">
        <f t="shared" ref="A17:A80" si="5">A16+1</f>
        <v>3</v>
      </c>
      <c r="B17" s="99" t="str">
        <f>CONCATENATE(Données!B57," ",Données!C57)</f>
        <v xml:space="preserve"> </v>
      </c>
      <c r="C17" s="410">
        <f ca="1">IF(B17="",0,INT((TODAY()-Données!E57)/365.25))</f>
        <v>119</v>
      </c>
      <c r="D17" s="100">
        <f>Données!D57</f>
        <v>0</v>
      </c>
      <c r="E17" s="101">
        <f>Données!I57</f>
        <v>0</v>
      </c>
      <c r="F17" s="102" t="str">
        <f>Données!AD57</f>
        <v/>
      </c>
      <c r="G17" s="103">
        <f ca="1">INDEX({1;0.5;0},MATCH(C17,{1;65;70}))*M17</f>
        <v>0</v>
      </c>
      <c r="H17" s="104">
        <f>IF($B17=" ",0,IF(Données!$K57="exo",0,$G17/1000*VLOOKUP($F17,taux,2)))</f>
        <v>0</v>
      </c>
      <c r="I17" s="398">
        <f ca="1">IF(C17&gt;=65,0,Données!M57*5000)</f>
        <v>0</v>
      </c>
      <c r="J17" s="104">
        <f ca="1">I17/1000*(IF(I17=0,0,1)*VLOOKUP((1+(C17&gt;=20)+(C17&gt;=25)+(C17&gt;=30)+(C17&gt;=35)+(C17&gt;=40)+(C17&gt;=45)+(C17&gt;=50)+(C17&gt;=55)+(C17&gt;=60)+(C17&gt;=65)),Test,2+(IF(Données!F57="H",1,3))+(IF(Données!G57="F",1,0))))</f>
        <v>0</v>
      </c>
      <c r="K17" s="103">
        <f ca="1">INDEX({1;0.5;0},MATCH(C17,{1;65;70}))*M17</f>
        <v>0</v>
      </c>
      <c r="L17" s="104">
        <f>IF($B17=" ",0,IF(Données!$N57="exo",0,$K17/1000*VLOOKUP($F17,taux,6)))</f>
        <v>0</v>
      </c>
      <c r="M17" s="379">
        <f>IF($B17=" ",0,IF(Données!$K57="NON COUVERT",0,IF(AND(Données!$L57="oui",Données!$K57=0.5),MIN(VLOOKUP($F17,taux,5)/2,ROUNDUP(VLOOKUP($F17,taux,3)*$E17,-3)/2),IF(Données!$K57=0.5,MIN(VLOOKUP($F17,taux,4)/2,ROUNDUP(VLOOKUP($F17,taux,3)*$E17,-3)/2),ROUNDUP(IF(Données!$L57="OUI",MIN(VLOOKUP($F17,taux,3)*$E17,VLOOKUP($F17,taux,5)),MIN(VLOOKUP($F17,taux,3)*$E17,VLOOKUP($F17,taux,4))),-3)))))</f>
        <v>0</v>
      </c>
      <c r="N17" s="379">
        <f>IF($B17=" ",0,IF(Données!$N57="NON COUVERT",0,IF(AND(Données!$O57="oui",Données!$N57=0.5),MIN(VLOOKUP($F17,taux,9)/2,ROUNDUP(VLOOKUP($F17,taux,7)*$E17,-3)/2),IF(Données!$N57=0.5,MIN(VLOOKUP($F17,taux,8)/2,ROUNDUP(VLOOKUP($F17,taux,7)*$E17,-3)/2),ROUNDUP(IF(Données!$O57="OUI",MIN(VLOOKUP($F17,taux,7)*$E17,VLOOKUP($F17,taux,9)),MIN(VLOOKUP($F17,taux,7)*$E17,VLOOKUP($F17,taux,8))),-3)))))</f>
        <v>0</v>
      </c>
      <c r="O17" s="105">
        <f ca="1">IF(C17&gt;=70,0,IF($B17=" ",0,IF(Données!P57="non couvert"," ",Données!Q57)))</f>
        <v>0</v>
      </c>
      <c r="P17" s="106">
        <f>IF($B17=" ",0,IF(Données!$P57="exo",0,IF($O17="FAM",VLOOKUP($F17,taux,10),IF($O17="MONO",VLOOKUP($F17,taux,11),IF($O17="COUPLE",VLOOKUP($F17,taux,12),0)))))</f>
        <v>0</v>
      </c>
      <c r="Q17" s="107">
        <f ca="1">IF(C17&gt;=70,0,IF($B17=" ",0,IF(Données!$R57="NON COUVERT",0,ROUNDUP(IF(Données!$S57="OUI",MIN($E17*VLOOKUP($F17,taux,15)/52,VLOOKUP($F17,taux,17)),MIN($E17*VLOOKUP($F17,taux,15)/52,VLOOKUP($F17,taux,16))),0))))</f>
        <v>0</v>
      </c>
      <c r="R17" s="108">
        <f>IF($B17=" ",0,IF(Données!$R57="EXO",0,$Q17*VLOOKUP($F17,taux,13)/10))</f>
        <v>0</v>
      </c>
      <c r="S17" s="109">
        <f t="shared" ca="1" si="3"/>
        <v>0</v>
      </c>
      <c r="T17" s="110">
        <f>IF(B17=" ",0,IF(Données!$T57="exo",0,$S17*VLOOKUP($F17,taux,18)/100))</f>
        <v>0</v>
      </c>
      <c r="U17" s="109">
        <f>IF($B17=" ",0,IF(Données!$V57="non couvert",0,IF(VLOOKUP($F17,taux,29)="fixe","s/o",IF(Données!$W57="oui",MIN(ROUNDUP(VLOOKUP($F17,taux,31)*$E17,-3),VLOOKUP($F17,taux,33)),MIN(ROUNDUP(VLOOKUP($F17,taux,31)*$E17,-3),VLOOKUP($F17,taux,32))))))</f>
        <v>0</v>
      </c>
      <c r="V17" s="110">
        <f>IF(B17=" ",0,IF(Données!$V57="exo",0,IF(VLOOKUP($F17,taux,29)="fixe",VLOOKUP($F17,taux,30),$U17/1000*VLOOKUP($F17,taux,30))))</f>
        <v>0</v>
      </c>
      <c r="W17" s="110">
        <f t="shared" si="0"/>
        <v>0</v>
      </c>
      <c r="X17" s="383">
        <f>IF(B17=" ",0,EDATE((Données!E57),780))</f>
        <v>0</v>
      </c>
      <c r="Y17" s="383">
        <f t="shared" si="1"/>
        <v>0</v>
      </c>
      <c r="Z17" s="384">
        <f>IF($B17=" ",0,IF(Données!$T57="non couvert",0,IF(Données!$U57="oui",MIN(VLOOKUP($F17,taux,26),ROUNDUP(IF($E17/12&gt;VLOOKUP($F17,taux,21)+VLOOKUP($F17,taux,23),(VLOOKUP($F17,taux,20)*VLOOKUP($F17,taux,21))+(VLOOKUP($F17,taux,22)*VLOOKUP($F17,taux,23))+($E17/12-VLOOKUP($F17,taux,21)-VLOOKUP($F17,taux,23))*VLOOKUP($F17,taux,24),IF($E17/12&gt;VLOOKUP($F17,taux,21),(VLOOKUP($F17,taux,20)*VLOOKUP($F17,taux,21))+($E17/12-VLOOKUP($F17,taux,21))*VLOOKUP($F17,taux,22),$E17/12*VLOOKUP($F17,taux,20))),0)),MIN(VLOOKUP($F17,taux,25),ROUNDUP(IF($E17/12&gt;VLOOKUP($F17,taux,21)+VLOOKUP($F17,taux,23),(VLOOKUP($F17,taux,20)*VLOOKUP($F17,taux,21))+(VLOOKUP($F17,taux,22)*VLOOKUP($F17,taux,23))+($E17/12-VLOOKUP($F17,taux,21)-VLOOKUP($F17,taux,23))*VLOOKUP($F17,taux,24),IF($E17/12&gt;VLOOKUP($F17,taux,21),(VLOOKUP($F17,taux,20)*VLOOKUP($F17,taux,21))+($E17/12-VLOOKUP($F17,taux,21))*VLOOKUP($F17,taux,22),$E17/12*VLOOKUP($F17,taux,20))),0)))))</f>
        <v>0</v>
      </c>
      <c r="AA17" s="111">
        <f ca="1">IF(C17&gt;=70,0,IF($B17=" ",0,IF(Données!$X57="non couvert"," ",Données!Y57)))</f>
        <v>0</v>
      </c>
      <c r="AB17" s="110">
        <f>IF($B17=" ",0,IF(Données!$X57="exo",0,IF($AA17="ind",VLOOKUP($F17,taux,34),IF($AA17="fam",VLOOKUP($F17,taux,35),IF($AA17="mono",VLOOKUP($F17,taux,36),IF($AA17="couple",VLOOKUP($F17,taux,37),0))))))</f>
        <v>0</v>
      </c>
      <c r="AC17" s="111">
        <f ca="1">IF(C17&gt;=70,0,IF($B17=" ",0,IF(Données!$Z57="non couvert"," ",Données!AA57)))</f>
        <v>0</v>
      </c>
      <c r="AD17" s="110">
        <f>IF($B17=" ",0,IF(Données!$Z57="exo",0,IF($AC17="ind",VLOOKUP($F17,taux,38),IF($AC17="fam",VLOOKUP($F17,taux,39),IF($AC17="mono",VLOOKUP($F17,taux,40),IF($AC17="couple",VLOOKUP($F17,taux,41),0))))))</f>
        <v>0</v>
      </c>
      <c r="AE17" s="112">
        <f>IF($B17=" ",0,IF(Données!$AB57="non couvert"," ",Données!AC57))</f>
        <v>0</v>
      </c>
      <c r="AF17" s="113">
        <f>IF($B17=" ",0,IF(Données!$AB57="exo",0,IF($AE17="ind",VLOOKUP($F17,taux,42),IF($AE17="fam",VLOOKUP($F17,taux,43),IF($AE17="mono",VLOOKUP($F17,taux,44),IF($AE17="couple",VLOOKUP($F17,taux,45),0))))))</f>
        <v>0</v>
      </c>
      <c r="AG17" s="114">
        <f t="shared" ca="1" si="2"/>
        <v>0</v>
      </c>
      <c r="AH17" s="114">
        <f>IF($B17=" ",0,IF(Données!J57="Manitoba",(Facture!H17+Facture!J17+Facture!L17+Facture!P17+Facture!R17+Facture!T17)*0.08,(AG17-W17)*IF(Données!$J57="qc",0.09,IF(Données!$J57="on",0.08,0))+W17*VLOOKUP($F17,taux,28)))</f>
        <v>0</v>
      </c>
      <c r="AI17" s="106">
        <f t="shared" ca="1" si="4"/>
        <v>0</v>
      </c>
    </row>
    <row r="18" spans="1:35" s="64" customFormat="1">
      <c r="A18" s="89">
        <f t="shared" si="5"/>
        <v>4</v>
      </c>
      <c r="B18" s="99" t="str">
        <f>CONCATENATE(Données!B58," ",Données!C58)</f>
        <v xml:space="preserve"> </v>
      </c>
      <c r="C18" s="410">
        <f ca="1">IF(B18="",0,INT((TODAY()-Données!E58)/365.25))</f>
        <v>119</v>
      </c>
      <c r="D18" s="100">
        <f>Données!D58</f>
        <v>0</v>
      </c>
      <c r="E18" s="101">
        <f>Données!I58</f>
        <v>0</v>
      </c>
      <c r="F18" s="102" t="str">
        <f>Données!AD58</f>
        <v/>
      </c>
      <c r="G18" s="103">
        <f ca="1">INDEX({1;0.5;0},MATCH(C18,{1;65;70}))*M18</f>
        <v>0</v>
      </c>
      <c r="H18" s="104">
        <f>IF($B18=" ",0,IF(Données!$K58="exo",0,$G18/1000*VLOOKUP($F18,taux,2)))</f>
        <v>0</v>
      </c>
      <c r="I18" s="398">
        <f ca="1">IF(C18&gt;=65,0,Données!M58*5000)</f>
        <v>0</v>
      </c>
      <c r="J18" s="104">
        <f ca="1">I18/1000*(IF(I18=0,0,1)*VLOOKUP((1+(C18&gt;=20)+(C18&gt;=25)+(C18&gt;=30)+(C18&gt;=35)+(C18&gt;=40)+(C18&gt;=45)+(C18&gt;=50)+(C18&gt;=55)+(C18&gt;=60)+(C18&gt;=65)),Test,2+(IF(Données!F58="H",1,3))+(IF(Données!G58="F",1,0))))</f>
        <v>0</v>
      </c>
      <c r="K18" s="103">
        <f ca="1">INDEX({1;0.5;0},MATCH(C18,{1;65;70}))*M18</f>
        <v>0</v>
      </c>
      <c r="L18" s="104">
        <f>IF($B18=" ",0,IF(Données!$N58="exo",0,$K18/1000*VLOOKUP($F18,taux,6)))</f>
        <v>0</v>
      </c>
      <c r="M18" s="379">
        <f>IF($B18=" ",0,IF(Données!$K58="NON COUVERT",0,IF(AND(Données!$L58="oui",Données!$K58=0.5),MIN(VLOOKUP($F18,taux,5)/2,ROUNDUP(VLOOKUP($F18,taux,3)*$E18,-3)/2),IF(Données!$K58=0.5,MIN(VLOOKUP($F18,taux,4)/2,ROUNDUP(VLOOKUP($F18,taux,3)*$E18,-3)/2),ROUNDUP(IF(Données!$L58="OUI",MIN(VLOOKUP($F18,taux,3)*$E18,VLOOKUP($F18,taux,5)),MIN(VLOOKUP($F18,taux,3)*$E18,VLOOKUP($F18,taux,4))),-3)))))</f>
        <v>0</v>
      </c>
      <c r="N18" s="379">
        <f>IF($B18=" ",0,IF(Données!$N58="NON COUVERT",0,IF(AND(Données!$O58="oui",Données!$N58=0.5),MIN(VLOOKUP($F18,taux,9)/2,ROUNDUP(VLOOKUP($F18,taux,7)*$E18,-3)/2),IF(Données!$N58=0.5,MIN(VLOOKUP($F18,taux,8)/2,ROUNDUP(VLOOKUP($F18,taux,7)*$E18,-3)/2),ROUNDUP(IF(Données!$O58="OUI",MIN(VLOOKUP($F18,taux,7)*$E18,VLOOKUP($F18,taux,9)),MIN(VLOOKUP($F18,taux,7)*$E18,VLOOKUP($F18,taux,8))),-3)))))</f>
        <v>0</v>
      </c>
      <c r="O18" s="105">
        <f ca="1">IF(C18&gt;=70,0,IF($B18=" ",0,IF(Données!P58="non couvert"," ",Données!Q58)))</f>
        <v>0</v>
      </c>
      <c r="P18" s="106">
        <f>IF($B18=" ",0,IF(Données!$P58="exo",0,IF($O18="FAM",VLOOKUP($F18,taux,10),IF($O18="MONO",VLOOKUP($F18,taux,11),IF($O18="COUPLE",VLOOKUP($F18,taux,12),0)))))</f>
        <v>0</v>
      </c>
      <c r="Q18" s="107">
        <f ca="1">IF(C18&gt;=70,0,IF($B18=" ",0,IF(Données!$R58="NON COUVERT",0,ROUNDUP(IF(Données!$S58="OUI",MIN($E18*VLOOKUP($F18,taux,15)/52,VLOOKUP($F18,taux,17)),MIN($E18*VLOOKUP($F18,taux,15)/52,VLOOKUP($F18,taux,16))),0))))</f>
        <v>0</v>
      </c>
      <c r="R18" s="108">
        <f>IF($B18=" ",0,IF(Données!$R58="EXO",0,$Q18*VLOOKUP($F18,taux,13)/10))</f>
        <v>0</v>
      </c>
      <c r="S18" s="109">
        <f t="shared" ca="1" si="3"/>
        <v>0</v>
      </c>
      <c r="T18" s="110">
        <f>IF(B18=" ",0,IF(Données!$T58="exo",0,$S18*VLOOKUP($F18,taux,18)/100))</f>
        <v>0</v>
      </c>
      <c r="U18" s="109">
        <f>IF($B18=" ",0,IF(Données!$V58="non couvert",0,IF(VLOOKUP($F18,taux,29)="fixe","s/o",IF(Données!$W58="oui",MIN(ROUNDUP(VLOOKUP($F18,taux,31)*$E18,-3),VLOOKUP($F18,taux,33)),MIN(ROUNDUP(VLOOKUP($F18,taux,31)*$E18,-3),VLOOKUP($F18,taux,32))))))</f>
        <v>0</v>
      </c>
      <c r="V18" s="110">
        <f>IF(B18=" ",0,IF(Données!$V58="exo",0,IF(VLOOKUP($F18,taux,29)="fixe",VLOOKUP($F18,taux,30),$U18/1000*VLOOKUP($F18,taux,30))))</f>
        <v>0</v>
      </c>
      <c r="W18" s="110">
        <f t="shared" si="0"/>
        <v>0</v>
      </c>
      <c r="X18" s="383">
        <f>IF(B18=" ",0,EDATE((Données!E58),780))</f>
        <v>0</v>
      </c>
      <c r="Y18" s="383">
        <f t="shared" si="1"/>
        <v>0</v>
      </c>
      <c r="Z18" s="384">
        <f>IF($B18=" ",0,IF(Données!$T58="non couvert",0,IF(Données!$U58="oui",MIN(VLOOKUP($F18,taux,26),ROUNDUP(IF($E18/12&gt;VLOOKUP($F18,taux,21)+VLOOKUP($F18,taux,23),(VLOOKUP($F18,taux,20)*VLOOKUP($F18,taux,21))+(VLOOKUP($F18,taux,22)*VLOOKUP($F18,taux,23))+($E18/12-VLOOKUP($F18,taux,21)-VLOOKUP($F18,taux,23))*VLOOKUP($F18,taux,24),IF($E18/12&gt;VLOOKUP($F18,taux,21),(VLOOKUP($F18,taux,20)*VLOOKUP($F18,taux,21))+($E18/12-VLOOKUP($F18,taux,21))*VLOOKUP($F18,taux,22),$E18/12*VLOOKUP($F18,taux,20))),0)),MIN(VLOOKUP($F18,taux,25),ROUNDUP(IF($E18/12&gt;VLOOKUP($F18,taux,21)+VLOOKUP($F18,taux,23),(VLOOKUP($F18,taux,20)*VLOOKUP($F18,taux,21))+(VLOOKUP($F18,taux,22)*VLOOKUP($F18,taux,23))+($E18/12-VLOOKUP($F18,taux,21)-VLOOKUP($F18,taux,23))*VLOOKUP($F18,taux,24),IF($E18/12&gt;VLOOKUP($F18,taux,21),(VLOOKUP($F18,taux,20)*VLOOKUP($F18,taux,21))+($E18/12-VLOOKUP($F18,taux,21))*VLOOKUP($F18,taux,22),$E18/12*VLOOKUP($F18,taux,20))),0)))))</f>
        <v>0</v>
      </c>
      <c r="AA18" s="111">
        <f ca="1">IF(C18&gt;=70,0,IF($B18=" ",0,IF(Données!$X58="non couvert"," ",Données!Y58)))</f>
        <v>0</v>
      </c>
      <c r="AB18" s="110">
        <f>IF($B18=" ",0,IF(Données!$X58="exo",0,IF($AA18="ind",VLOOKUP($F18,taux,34),IF($AA18="fam",VLOOKUP($F18,taux,35),IF($AA18="mono",VLOOKUP($F18,taux,36),IF($AA18="couple",VLOOKUP($F18,taux,37),0))))))</f>
        <v>0</v>
      </c>
      <c r="AC18" s="111">
        <f ca="1">IF(C18&gt;=70,0,IF($B18=" ",0,IF(Données!$Z58="non couvert"," ",Données!AA58)))</f>
        <v>0</v>
      </c>
      <c r="AD18" s="110">
        <f>IF($B18=" ",0,IF(Données!$Z58="exo",0,IF($AC18="ind",VLOOKUP($F18,taux,38),IF($AC18="fam",VLOOKUP($F18,taux,39),IF($AC18="mono",VLOOKUP($F18,taux,40),IF($AC18="couple",VLOOKUP($F18,taux,41),0))))))</f>
        <v>0</v>
      </c>
      <c r="AE18" s="112">
        <f>IF($B18=" ",0,IF(Données!$AB58="non couvert"," ",Données!AC58))</f>
        <v>0</v>
      </c>
      <c r="AF18" s="113">
        <f>IF($B18=" ",0,IF(Données!$AB58="exo",0,IF($AE18="ind",VLOOKUP($F18,taux,42),IF($AE18="fam",VLOOKUP($F18,taux,43),IF($AE18="mono",VLOOKUP($F18,taux,44),IF($AE18="couple",VLOOKUP($F18,taux,45),0))))))</f>
        <v>0</v>
      </c>
      <c r="AG18" s="114">
        <f t="shared" ca="1" si="2"/>
        <v>0</v>
      </c>
      <c r="AH18" s="114">
        <f>IF($B18=" ",0,IF(Données!J58="Manitoba",(Facture!H18+Facture!J18+Facture!L18+Facture!P18+Facture!R18+Facture!T18)*0.08,(AG18-W18)*IF(Données!$J58="qc",0.09,IF(Données!$J58="on",0.08,0))+W18*VLOOKUP($F18,taux,28)))</f>
        <v>0</v>
      </c>
      <c r="AI18" s="106">
        <f t="shared" ca="1" si="4"/>
        <v>0</v>
      </c>
    </row>
    <row r="19" spans="1:35" s="64" customFormat="1">
      <c r="A19" s="89">
        <f t="shared" si="5"/>
        <v>5</v>
      </c>
      <c r="B19" s="99" t="str">
        <f>CONCATENATE(Données!B59," ",Données!C59)</f>
        <v xml:space="preserve"> </v>
      </c>
      <c r="C19" s="410">
        <f ca="1">IF(B19="",0,INT((TODAY()-Données!E59)/365.25))</f>
        <v>119</v>
      </c>
      <c r="D19" s="100">
        <f>Données!D59</f>
        <v>0</v>
      </c>
      <c r="E19" s="101">
        <f>Données!I59</f>
        <v>0</v>
      </c>
      <c r="F19" s="102" t="str">
        <f>Données!AD59</f>
        <v/>
      </c>
      <c r="G19" s="103">
        <f ca="1">INDEX({1;0.5;0},MATCH(C19,{1;65;70}))*M19</f>
        <v>0</v>
      </c>
      <c r="H19" s="104">
        <f>IF($B19=" ",0,IF(Données!$K59="exo",0,$G19/1000*VLOOKUP($F19,taux,2)))</f>
        <v>0</v>
      </c>
      <c r="I19" s="398">
        <f ca="1">IF(C19&gt;=65,0,Données!M59*5000)</f>
        <v>0</v>
      </c>
      <c r="J19" s="104">
        <f ca="1">I19/1000*(IF(I19=0,0,1)*VLOOKUP((1+(C19&gt;=20)+(C19&gt;=25)+(C19&gt;=30)+(C19&gt;=35)+(C19&gt;=40)+(C19&gt;=45)+(C19&gt;=50)+(C19&gt;=55)+(C19&gt;=60)+(C19&gt;=65)),Test,2+(IF(Données!F59="H",1,3))+(IF(Données!G59="F",1,0))))</f>
        <v>0</v>
      </c>
      <c r="K19" s="103">
        <f ca="1">INDEX({1;0.5;0},MATCH(C19,{1;65;70}))*M19</f>
        <v>0</v>
      </c>
      <c r="L19" s="104">
        <f>IF($B19=" ",0,IF(Données!$N59="exo",0,$K19/1000*VLOOKUP($F19,taux,6)))</f>
        <v>0</v>
      </c>
      <c r="M19" s="379">
        <f>IF($B19=" ",0,IF(Données!$K59="NON COUVERT",0,IF(AND(Données!$L59="oui",Données!$K59=0.5),MIN(VLOOKUP($F19,taux,5)/2,ROUNDUP(VLOOKUP($F19,taux,3)*$E19,-3)/2),IF(Données!$K59=0.5,MIN(VLOOKUP($F19,taux,4)/2,ROUNDUP(VLOOKUP($F19,taux,3)*$E19,-3)/2),ROUNDUP(IF(Données!$L59="OUI",MIN(VLOOKUP($F19,taux,3)*$E19,VLOOKUP($F19,taux,5)),MIN(VLOOKUP($F19,taux,3)*$E19,VLOOKUP($F19,taux,4))),-3)))))</f>
        <v>0</v>
      </c>
      <c r="N19" s="379">
        <f>IF($B19=" ",0,IF(Données!$N59="NON COUVERT",0,IF(AND(Données!$O59="oui",Données!$N59=0.5),MIN(VLOOKUP($F19,taux,9)/2,ROUNDUP(VLOOKUP($F19,taux,7)*$E19,-3)/2),IF(Données!$N59=0.5,MIN(VLOOKUP($F19,taux,8)/2,ROUNDUP(VLOOKUP($F19,taux,7)*$E19,-3)/2),ROUNDUP(IF(Données!$O59="OUI",MIN(VLOOKUP($F19,taux,7)*$E19,VLOOKUP($F19,taux,9)),MIN(VLOOKUP($F19,taux,7)*$E19,VLOOKUP($F19,taux,8))),-3)))))</f>
        <v>0</v>
      </c>
      <c r="O19" s="105">
        <f ca="1">IF(C19&gt;=70,0,IF($B19=" ",0,IF(Données!P59="non couvert"," ",Données!Q59)))</f>
        <v>0</v>
      </c>
      <c r="P19" s="106">
        <f>IF($B19=" ",0,IF(Données!$P59="exo",0,IF($O19="FAM",VLOOKUP($F19,taux,10),IF($O19="MONO",VLOOKUP($F19,taux,11),IF($O19="COUPLE",VLOOKUP($F19,taux,12),0)))))</f>
        <v>0</v>
      </c>
      <c r="Q19" s="107">
        <f ca="1">IF(C19&gt;=70,0,IF($B19=" ",0,IF(Données!$R59="NON COUVERT",0,ROUNDUP(IF(Données!$S59="OUI",MIN($E19*VLOOKUP($F19,taux,15)/52,VLOOKUP($F19,taux,17)),MIN($E19*VLOOKUP($F19,taux,15)/52,VLOOKUP($F19,taux,16))),0))))</f>
        <v>0</v>
      </c>
      <c r="R19" s="108">
        <f>IF($B19=" ",0,IF(Données!$R59="EXO",0,$Q19*VLOOKUP($F19,taux,13)/10))</f>
        <v>0</v>
      </c>
      <c r="S19" s="109">
        <f t="shared" ca="1" si="3"/>
        <v>0</v>
      </c>
      <c r="T19" s="110">
        <f>IF(B19=" ",0,IF(Données!$T59="exo",0,$S19*VLOOKUP($F19,taux,18)/100))</f>
        <v>0</v>
      </c>
      <c r="U19" s="109">
        <f>IF($B19=" ",0,IF(Données!$V59="non couvert",0,IF(VLOOKUP($F19,taux,29)="fixe","s/o",IF(Données!$W59="oui",MIN(ROUNDUP(VLOOKUP($F19,taux,31)*$E19,-3),VLOOKUP($F19,taux,33)),MIN(ROUNDUP(VLOOKUP($F19,taux,31)*$E19,-3),VLOOKUP($F19,taux,32))))))</f>
        <v>0</v>
      </c>
      <c r="V19" s="110">
        <f>IF(B19=" ",0,IF(Données!$V59="exo",0,IF(VLOOKUP($F19,taux,29)="fixe",VLOOKUP($F19,taux,30),$U19/1000*VLOOKUP($F19,taux,30))))</f>
        <v>0</v>
      </c>
      <c r="W19" s="110">
        <f t="shared" si="0"/>
        <v>0</v>
      </c>
      <c r="X19" s="383">
        <f>IF(B19=" ",0,EDATE((Données!E59),780))</f>
        <v>0</v>
      </c>
      <c r="Y19" s="383">
        <f t="shared" si="1"/>
        <v>0</v>
      </c>
      <c r="Z19" s="384">
        <f>IF($B19=" ",0,IF(Données!$T59="non couvert",0,IF(Données!$U59="oui",MIN(VLOOKUP($F19,taux,26),ROUNDUP(IF($E19/12&gt;VLOOKUP($F19,taux,21)+VLOOKUP($F19,taux,23),(VLOOKUP($F19,taux,20)*VLOOKUP($F19,taux,21))+(VLOOKUP($F19,taux,22)*VLOOKUP($F19,taux,23))+($E19/12-VLOOKUP($F19,taux,21)-VLOOKUP($F19,taux,23))*VLOOKUP($F19,taux,24),IF($E19/12&gt;VLOOKUP($F19,taux,21),(VLOOKUP($F19,taux,20)*VLOOKUP($F19,taux,21))+($E19/12-VLOOKUP($F19,taux,21))*VLOOKUP($F19,taux,22),$E19/12*VLOOKUP($F19,taux,20))),0)),MIN(VLOOKUP($F19,taux,25),ROUNDUP(IF($E19/12&gt;VLOOKUP($F19,taux,21)+VLOOKUP($F19,taux,23),(VLOOKUP($F19,taux,20)*VLOOKUP($F19,taux,21))+(VLOOKUP($F19,taux,22)*VLOOKUP($F19,taux,23))+($E19/12-VLOOKUP($F19,taux,21)-VLOOKUP($F19,taux,23))*VLOOKUP($F19,taux,24),IF($E19/12&gt;VLOOKUP($F19,taux,21),(VLOOKUP($F19,taux,20)*VLOOKUP($F19,taux,21))+($E19/12-VLOOKUP($F19,taux,21))*VLOOKUP($F19,taux,22),$E19/12*VLOOKUP($F19,taux,20))),0)))))</f>
        <v>0</v>
      </c>
      <c r="AA19" s="111">
        <f ca="1">IF(C19&gt;=70,0,IF($B19=" ",0,IF(Données!$X59="non couvert"," ",Données!Y59)))</f>
        <v>0</v>
      </c>
      <c r="AB19" s="110">
        <f>IF($B19=" ",0,IF(Données!$X59="exo",0,IF($AA19="ind",VLOOKUP($F19,taux,34),IF($AA19="fam",VLOOKUP($F19,taux,35),IF($AA19="mono",VLOOKUP($F19,taux,36),IF($AA19="couple",VLOOKUP($F19,taux,37),0))))))</f>
        <v>0</v>
      </c>
      <c r="AC19" s="111">
        <f ca="1">IF(C19&gt;=70,0,IF($B19=" ",0,IF(Données!$Z59="non couvert"," ",Données!AA59)))</f>
        <v>0</v>
      </c>
      <c r="AD19" s="110">
        <f>IF($B19=" ",0,IF(Données!$Z59="exo",0,IF($AC19="ind",VLOOKUP($F19,taux,38),IF($AC19="fam",VLOOKUP($F19,taux,39),IF($AC19="mono",VLOOKUP($F19,taux,40),IF($AC19="couple",VLOOKUP($F19,taux,41),0))))))</f>
        <v>0</v>
      </c>
      <c r="AE19" s="112">
        <f>IF($B19=" ",0,IF(Données!$AB59="non couvert"," ",Données!AC59))</f>
        <v>0</v>
      </c>
      <c r="AF19" s="113">
        <f>IF($B19=" ",0,IF(Données!$AB59="exo",0,IF($AE19="ind",VLOOKUP($F19,taux,42),IF($AE19="fam",VLOOKUP($F19,taux,43),IF($AE19="mono",VLOOKUP($F19,taux,44),IF($AE19="couple",VLOOKUP($F19,taux,45),0))))))</f>
        <v>0</v>
      </c>
      <c r="AG19" s="114">
        <f t="shared" ca="1" si="2"/>
        <v>0</v>
      </c>
      <c r="AH19" s="114">
        <f>IF($B19=" ",0,IF(Données!J59="Manitoba",(Facture!H19+Facture!J19+Facture!L19+Facture!P19+Facture!R19+Facture!T19)*0.08,(AG19-W19)*IF(Données!$J59="qc",0.09,IF(Données!$J59="on",0.08,0))+W19*VLOOKUP($F19,taux,28)))</f>
        <v>0</v>
      </c>
      <c r="AI19" s="106">
        <f t="shared" ca="1" si="4"/>
        <v>0</v>
      </c>
    </row>
    <row r="20" spans="1:35" s="64" customFormat="1">
      <c r="A20" s="89">
        <f t="shared" si="5"/>
        <v>6</v>
      </c>
      <c r="B20" s="99" t="str">
        <f>CONCATENATE(Données!B60," ",Données!C60)</f>
        <v xml:space="preserve"> </v>
      </c>
      <c r="C20" s="410">
        <f ca="1">IF(B20="",0,INT((TODAY()-Données!E60)/365.25))</f>
        <v>119</v>
      </c>
      <c r="D20" s="100">
        <f>Données!D60</f>
        <v>0</v>
      </c>
      <c r="E20" s="101">
        <f>Données!I60</f>
        <v>0</v>
      </c>
      <c r="F20" s="102" t="str">
        <f>Données!AD60</f>
        <v/>
      </c>
      <c r="G20" s="103">
        <f ca="1">INDEX({1;0.5;0},MATCH(C20,{1;65;70}))*M20</f>
        <v>0</v>
      </c>
      <c r="H20" s="104">
        <f>IF($B20=" ",0,IF(Données!$K60="exo",0,$G20/1000*VLOOKUP($F20,taux,2)))</f>
        <v>0</v>
      </c>
      <c r="I20" s="398">
        <f ca="1">IF(C20&gt;=65,0,Données!M60*5000)</f>
        <v>0</v>
      </c>
      <c r="J20" s="104">
        <f ca="1">I20/1000*(IF(I20=0,0,1)*VLOOKUP((1+(C20&gt;=20)+(C20&gt;=25)+(C20&gt;=30)+(C20&gt;=35)+(C20&gt;=40)+(C20&gt;=45)+(C20&gt;=50)+(C20&gt;=55)+(C20&gt;=60)+(C20&gt;=65)),Test,2+(IF(Données!F60="H",1,3))+(IF(Données!G60="F",1,0))))</f>
        <v>0</v>
      </c>
      <c r="K20" s="103">
        <f ca="1">INDEX({1;0.5;0},MATCH(C20,{1;65;70}))*M20</f>
        <v>0</v>
      </c>
      <c r="L20" s="104">
        <f>IF($B20=" ",0,IF(Données!$N60="exo",0,$K20/1000*VLOOKUP($F20,taux,6)))</f>
        <v>0</v>
      </c>
      <c r="M20" s="379">
        <f>IF($B20=" ",0,IF(Données!$K60="NON COUVERT",0,IF(AND(Données!$L60="oui",Données!$K60=0.5),MIN(VLOOKUP($F20,taux,5)/2,ROUNDUP(VLOOKUP($F20,taux,3)*$E20,-3)/2),IF(Données!$K60=0.5,MIN(VLOOKUP($F20,taux,4)/2,ROUNDUP(VLOOKUP($F20,taux,3)*$E20,-3)/2),ROUNDUP(IF(Données!$L60="OUI",MIN(VLOOKUP($F20,taux,3)*$E20,VLOOKUP($F20,taux,5)),MIN(VLOOKUP($F20,taux,3)*$E20,VLOOKUP($F20,taux,4))),-3)))))</f>
        <v>0</v>
      </c>
      <c r="N20" s="379">
        <f>IF($B20=" ",0,IF(Données!$N60="NON COUVERT",0,IF(AND(Données!$O60="oui",Données!$N60=0.5),MIN(VLOOKUP($F20,taux,9)/2,ROUNDUP(VLOOKUP($F20,taux,7)*$E20,-3)/2),IF(Données!$N60=0.5,MIN(VLOOKUP($F20,taux,8)/2,ROUNDUP(VLOOKUP($F20,taux,7)*$E20,-3)/2),ROUNDUP(IF(Données!$O60="OUI",MIN(VLOOKUP($F20,taux,7)*$E20,VLOOKUP($F20,taux,9)),MIN(VLOOKUP($F20,taux,7)*$E20,VLOOKUP($F20,taux,8))),-3)))))</f>
        <v>0</v>
      </c>
      <c r="O20" s="105">
        <f ca="1">IF(C20&gt;=70,0,IF($B20=" ",0,IF(Données!P60="non couvert"," ",Données!Q60)))</f>
        <v>0</v>
      </c>
      <c r="P20" s="106">
        <f>IF($B20=" ",0,IF(Données!$P60="exo",0,IF($O20="FAM",VLOOKUP($F20,taux,10),IF($O20="MONO",VLOOKUP($F20,taux,11),IF($O20="COUPLE",VLOOKUP($F20,taux,12),0)))))</f>
        <v>0</v>
      </c>
      <c r="Q20" s="107">
        <f ca="1">IF(C20&gt;=70,0,IF($B20=" ",0,IF(Données!$R60="NON COUVERT",0,ROUNDUP(IF(Données!$S60="OUI",MIN($E20*VLOOKUP($F20,taux,15)/52,VLOOKUP($F20,taux,17)),MIN($E20*VLOOKUP($F20,taux,15)/52,VLOOKUP($F20,taux,16))),0))))</f>
        <v>0</v>
      </c>
      <c r="R20" s="108">
        <f>IF($B20=" ",0,IF(Données!$R60="EXO",0,$Q20*VLOOKUP($F20,taux,13)/10))</f>
        <v>0</v>
      </c>
      <c r="S20" s="109">
        <f t="shared" ca="1" si="3"/>
        <v>0</v>
      </c>
      <c r="T20" s="110">
        <f>IF(B20=" ",0,IF(Données!$T60="exo",0,$S20*VLOOKUP($F20,taux,18)/100))</f>
        <v>0</v>
      </c>
      <c r="U20" s="109">
        <f>IF($B20=" ",0,IF(Données!$V60="non couvert",0,IF(VLOOKUP($F20,taux,29)="fixe","s/o",IF(Données!$W60="oui",MIN(ROUNDUP(VLOOKUP($F20,taux,31)*$E20,-3),VLOOKUP($F20,taux,33)),MIN(ROUNDUP(VLOOKUP($F20,taux,31)*$E20,-3),VLOOKUP($F20,taux,32))))))</f>
        <v>0</v>
      </c>
      <c r="V20" s="110">
        <f>IF(B20=" ",0,IF(Données!$V60="exo",0,IF(VLOOKUP($F20,taux,29)="fixe",VLOOKUP($F20,taux,30),$U20/1000*VLOOKUP($F20,taux,30))))</f>
        <v>0</v>
      </c>
      <c r="W20" s="110">
        <f t="shared" si="0"/>
        <v>0</v>
      </c>
      <c r="X20" s="383">
        <f>IF(B20=" ",0,EDATE((Données!E60),780))</f>
        <v>0</v>
      </c>
      <c r="Y20" s="383">
        <f t="shared" si="1"/>
        <v>0</v>
      </c>
      <c r="Z20" s="384">
        <f>IF($B20=" ",0,IF(Données!$T60="non couvert",0,IF(Données!$U60="oui",MIN(VLOOKUP($F20,taux,26),ROUNDUP(IF($E20/12&gt;VLOOKUP($F20,taux,21)+VLOOKUP($F20,taux,23),(VLOOKUP($F20,taux,20)*VLOOKUP($F20,taux,21))+(VLOOKUP($F20,taux,22)*VLOOKUP($F20,taux,23))+($E20/12-VLOOKUP($F20,taux,21)-VLOOKUP($F20,taux,23))*VLOOKUP($F20,taux,24),IF($E20/12&gt;VLOOKUP($F20,taux,21),(VLOOKUP($F20,taux,20)*VLOOKUP($F20,taux,21))+($E20/12-VLOOKUP($F20,taux,21))*VLOOKUP($F20,taux,22),$E20/12*VLOOKUP($F20,taux,20))),0)),MIN(VLOOKUP($F20,taux,25),ROUNDUP(IF($E20/12&gt;VLOOKUP($F20,taux,21)+VLOOKUP($F20,taux,23),(VLOOKUP($F20,taux,20)*VLOOKUP($F20,taux,21))+(VLOOKUP($F20,taux,22)*VLOOKUP($F20,taux,23))+($E20/12-VLOOKUP($F20,taux,21)-VLOOKUP($F20,taux,23))*VLOOKUP($F20,taux,24),IF($E20/12&gt;VLOOKUP($F20,taux,21),(VLOOKUP($F20,taux,20)*VLOOKUP($F20,taux,21))+($E20/12-VLOOKUP($F20,taux,21))*VLOOKUP($F20,taux,22),$E20/12*VLOOKUP($F20,taux,20))),0)))))</f>
        <v>0</v>
      </c>
      <c r="AA20" s="111">
        <f ca="1">IF(C20&gt;=70,0,IF($B20=" ",0,IF(Données!$X60="non couvert"," ",Données!Y60)))</f>
        <v>0</v>
      </c>
      <c r="AB20" s="110">
        <f>IF($B20=" ",0,IF(Données!$X60="exo",0,IF($AA20="ind",VLOOKUP($F20,taux,34),IF($AA20="fam",VLOOKUP($F20,taux,35),IF($AA20="mono",VLOOKUP($F20,taux,36),IF($AA20="couple",VLOOKUP($F20,taux,37),0))))))</f>
        <v>0</v>
      </c>
      <c r="AC20" s="111">
        <f ca="1">IF(C20&gt;=70,0,IF($B20=" ",0,IF(Données!$Z60="non couvert"," ",Données!AA60)))</f>
        <v>0</v>
      </c>
      <c r="AD20" s="110">
        <f>IF($B20=" ",0,IF(Données!$Z60="exo",0,IF($AC20="ind",VLOOKUP($F20,taux,38),IF($AC20="fam",VLOOKUP($F20,taux,39),IF($AC20="mono",VLOOKUP($F20,taux,40),IF($AC20="couple",VLOOKUP($F20,taux,41),0))))))</f>
        <v>0</v>
      </c>
      <c r="AE20" s="112">
        <f>IF($B20=" ",0,IF(Données!$AB60="non couvert"," ",Données!AC60))</f>
        <v>0</v>
      </c>
      <c r="AF20" s="113">
        <f>IF($B20=" ",0,IF(Données!$AB60="exo",0,IF($AE20="ind",VLOOKUP($F20,taux,42),IF($AE20="fam",VLOOKUP($F20,taux,43),IF($AE20="mono",VLOOKUP($F20,taux,44),IF($AE20="couple",VLOOKUP($F20,taux,45),0))))))</f>
        <v>0</v>
      </c>
      <c r="AG20" s="114">
        <f t="shared" ca="1" si="2"/>
        <v>0</v>
      </c>
      <c r="AH20" s="114">
        <f>IF($B20=" ",0,IF(Données!J60="Manitoba",(Facture!H20+Facture!J20+Facture!L20+Facture!P20+Facture!R20+Facture!T20)*0.08,(AG20-W20)*IF(Données!$J60="qc",0.09,IF(Données!$J60="on",0.08,0))+W20*VLOOKUP($F20,taux,28)))</f>
        <v>0</v>
      </c>
      <c r="AI20" s="106">
        <f t="shared" ca="1" si="4"/>
        <v>0</v>
      </c>
    </row>
    <row r="21" spans="1:35" s="64" customFormat="1">
      <c r="A21" s="89">
        <f t="shared" si="5"/>
        <v>7</v>
      </c>
      <c r="B21" s="99" t="str">
        <f>CONCATENATE(Données!B61," ",Données!C61)</f>
        <v xml:space="preserve"> </v>
      </c>
      <c r="C21" s="410">
        <f ca="1">IF(B21="",0,INT((TODAY()-Données!E61)/365.25))</f>
        <v>119</v>
      </c>
      <c r="D21" s="100">
        <f>Données!D61</f>
        <v>0</v>
      </c>
      <c r="E21" s="101">
        <f>Données!I61</f>
        <v>0</v>
      </c>
      <c r="F21" s="102" t="str">
        <f>Données!AD61</f>
        <v/>
      </c>
      <c r="G21" s="103">
        <f ca="1">INDEX({1;0.5;0},MATCH(C21,{1;65;70}))*M21</f>
        <v>0</v>
      </c>
      <c r="H21" s="104">
        <f>IF($B21=" ",0,IF(Données!$K61="exo",0,$G21/1000*VLOOKUP($F21,taux,2)))</f>
        <v>0</v>
      </c>
      <c r="I21" s="398">
        <f ca="1">IF(C21&gt;=65,0,Données!M61*5000)</f>
        <v>0</v>
      </c>
      <c r="J21" s="104">
        <f ca="1">I21/1000*(IF(I21=0,0,1)*VLOOKUP((1+(C21&gt;=20)+(C21&gt;=25)+(C21&gt;=30)+(C21&gt;=35)+(C21&gt;=40)+(C21&gt;=45)+(C21&gt;=50)+(C21&gt;=55)+(C21&gt;=60)+(C21&gt;=65)),Test,2+(IF(Données!F61="H",1,3))+(IF(Données!G61="F",1,0))))</f>
        <v>0</v>
      </c>
      <c r="K21" s="103">
        <f ca="1">INDEX({1;0.5;0},MATCH(C21,{1;65;70}))*M21</f>
        <v>0</v>
      </c>
      <c r="L21" s="104">
        <f>IF($B21=" ",0,IF(Données!$N61="exo",0,$K21/1000*VLOOKUP($F21,taux,6)))</f>
        <v>0</v>
      </c>
      <c r="M21" s="379">
        <f>IF($B21=" ",0,IF(Données!$K61="NON COUVERT",0,IF(AND(Données!$L61="oui",Données!$K61=0.5),MIN(VLOOKUP($F21,taux,5)/2,ROUNDUP(VLOOKUP($F21,taux,3)*$E21,-3)/2),IF(Données!$K61=0.5,MIN(VLOOKUP($F21,taux,4)/2,ROUNDUP(VLOOKUP($F21,taux,3)*$E21,-3)/2),ROUNDUP(IF(Données!$L61="OUI",MIN(VLOOKUP($F21,taux,3)*$E21,VLOOKUP($F21,taux,5)),MIN(VLOOKUP($F21,taux,3)*$E21,VLOOKUP($F21,taux,4))),-3)))))</f>
        <v>0</v>
      </c>
      <c r="N21" s="379">
        <f>IF($B21=" ",0,IF(Données!$N61="NON COUVERT",0,IF(AND(Données!$O61="oui",Données!$N61=0.5),MIN(VLOOKUP($F21,taux,9)/2,ROUNDUP(VLOOKUP($F21,taux,7)*$E21,-3)/2),IF(Données!$N61=0.5,MIN(VLOOKUP($F21,taux,8)/2,ROUNDUP(VLOOKUP($F21,taux,7)*$E21,-3)/2),ROUNDUP(IF(Données!$O61="OUI",MIN(VLOOKUP($F21,taux,7)*$E21,VLOOKUP($F21,taux,9)),MIN(VLOOKUP($F21,taux,7)*$E21,VLOOKUP($F21,taux,8))),-3)))))</f>
        <v>0</v>
      </c>
      <c r="O21" s="105">
        <f ca="1">IF(C21&gt;=70,0,IF($B21=" ",0,IF(Données!P61="non couvert"," ",Données!Q61)))</f>
        <v>0</v>
      </c>
      <c r="P21" s="106">
        <f>IF($B21=" ",0,IF(Données!$P61="exo",0,IF($O21="FAM",VLOOKUP($F21,taux,10),IF($O21="MONO",VLOOKUP($F21,taux,11),IF($O21="COUPLE",VLOOKUP($F21,taux,12),0)))))</f>
        <v>0</v>
      </c>
      <c r="Q21" s="107">
        <f ca="1">IF(C21&gt;=70,0,IF($B21=" ",0,IF(Données!$R61="NON COUVERT",0,ROUNDUP(IF(Données!$S61="OUI",MIN($E21*VLOOKUP($F21,taux,15)/52,VLOOKUP($F21,taux,17)),MIN($E21*VLOOKUP($F21,taux,15)/52,VLOOKUP($F21,taux,16))),0))))</f>
        <v>0</v>
      </c>
      <c r="R21" s="108">
        <f>IF($B21=" ",0,IF(Données!$R61="EXO",0,$Q21*VLOOKUP($F21,taux,13)/10))</f>
        <v>0</v>
      </c>
      <c r="S21" s="109">
        <f t="shared" ca="1" si="3"/>
        <v>0</v>
      </c>
      <c r="T21" s="110">
        <f>IF(B21=" ",0,IF(Données!$T61="exo",0,$S21*VLOOKUP($F21,taux,18)/100))</f>
        <v>0</v>
      </c>
      <c r="U21" s="109">
        <f>IF($B21=" ",0,IF(Données!$V61="non couvert",0,IF(VLOOKUP($F21,taux,29)="fixe","s/o",IF(Données!$W61="oui",MIN(ROUNDUP(VLOOKUP($F21,taux,31)*$E21,-3),VLOOKUP($F21,taux,33)),MIN(ROUNDUP(VLOOKUP($F21,taux,31)*$E21,-3),VLOOKUP($F21,taux,32))))))</f>
        <v>0</v>
      </c>
      <c r="V21" s="110">
        <f>IF(B21=" ",0,IF(Données!$V61="exo",0,IF(VLOOKUP($F21,taux,29)="fixe",VLOOKUP($F21,taux,30),$U21/1000*VLOOKUP($F21,taux,30))))</f>
        <v>0</v>
      </c>
      <c r="W21" s="110">
        <f t="shared" si="0"/>
        <v>0</v>
      </c>
      <c r="X21" s="383">
        <f>IF(B21=" ",0,EDATE((Données!E61),780))</f>
        <v>0</v>
      </c>
      <c r="Y21" s="383">
        <f t="shared" si="1"/>
        <v>0</v>
      </c>
      <c r="Z21" s="384">
        <f>IF($B21=" ",0,IF(Données!$T61="non couvert",0,IF(Données!$U61="oui",MIN(VLOOKUP($F21,taux,26),ROUNDUP(IF($E21/12&gt;VLOOKUP($F21,taux,21)+VLOOKUP($F21,taux,23),(VLOOKUP($F21,taux,20)*VLOOKUP($F21,taux,21))+(VLOOKUP($F21,taux,22)*VLOOKUP($F21,taux,23))+($E21/12-VLOOKUP($F21,taux,21)-VLOOKUP($F21,taux,23))*VLOOKUP($F21,taux,24),IF($E21/12&gt;VLOOKUP($F21,taux,21),(VLOOKUP($F21,taux,20)*VLOOKUP($F21,taux,21))+($E21/12-VLOOKUP($F21,taux,21))*VLOOKUP($F21,taux,22),$E21/12*VLOOKUP($F21,taux,20))),0)),MIN(VLOOKUP($F21,taux,25),ROUNDUP(IF($E21/12&gt;VLOOKUP($F21,taux,21)+VLOOKUP($F21,taux,23),(VLOOKUP($F21,taux,20)*VLOOKUP($F21,taux,21))+(VLOOKUP($F21,taux,22)*VLOOKUP($F21,taux,23))+($E21/12-VLOOKUP($F21,taux,21)-VLOOKUP($F21,taux,23))*VLOOKUP($F21,taux,24),IF($E21/12&gt;VLOOKUP($F21,taux,21),(VLOOKUP($F21,taux,20)*VLOOKUP($F21,taux,21))+($E21/12-VLOOKUP($F21,taux,21))*VLOOKUP($F21,taux,22),$E21/12*VLOOKUP($F21,taux,20))),0)))))</f>
        <v>0</v>
      </c>
      <c r="AA21" s="111">
        <f ca="1">IF(C21&gt;=70,0,IF($B21=" ",0,IF(Données!$X61="non couvert"," ",Données!Y61)))</f>
        <v>0</v>
      </c>
      <c r="AB21" s="110">
        <f>IF($B21=" ",0,IF(Données!$X61="exo",0,IF($AA21="ind",VLOOKUP($F21,taux,34),IF($AA21="fam",VLOOKUP($F21,taux,35),IF($AA21="mono",VLOOKUP($F21,taux,36),IF($AA21="couple",VLOOKUP($F21,taux,37),0))))))</f>
        <v>0</v>
      </c>
      <c r="AC21" s="111">
        <f ca="1">IF(C21&gt;=70,0,IF($B21=" ",0,IF(Données!$Z61="non couvert"," ",Données!AA61)))</f>
        <v>0</v>
      </c>
      <c r="AD21" s="110">
        <f>IF($B21=" ",0,IF(Données!$Z61="exo",0,IF($AC21="ind",VLOOKUP($F21,taux,38),IF($AC21="fam",VLOOKUP($F21,taux,39),IF($AC21="mono",VLOOKUP($F21,taux,40),IF($AC21="couple",VLOOKUP($F21,taux,41),0))))))</f>
        <v>0</v>
      </c>
      <c r="AE21" s="112">
        <f>IF($B21=" ",0,IF(Données!$AB61="non couvert"," ",Données!AC61))</f>
        <v>0</v>
      </c>
      <c r="AF21" s="113">
        <f>IF($B21=" ",0,IF(Données!$AB61="exo",0,IF($AE21="ind",VLOOKUP($F21,taux,42),IF($AE21="fam",VLOOKUP($F21,taux,43),IF($AE21="mono",VLOOKUP($F21,taux,44),IF($AE21="couple",VLOOKUP($F21,taux,45),0))))))</f>
        <v>0</v>
      </c>
      <c r="AG21" s="114">
        <f t="shared" ca="1" si="2"/>
        <v>0</v>
      </c>
      <c r="AH21" s="114">
        <f>IF($B21=" ",0,IF(Données!J61="Manitoba",(Facture!H21+Facture!J21+Facture!L21+Facture!P21+Facture!R21+Facture!T21)*0.08,(AG21-W21)*IF(Données!$J61="qc",0.09,IF(Données!$J61="on",0.08,0))+W21*VLOOKUP($F21,taux,28)))</f>
        <v>0</v>
      </c>
      <c r="AI21" s="106">
        <f t="shared" ca="1" si="4"/>
        <v>0</v>
      </c>
    </row>
    <row r="22" spans="1:35" s="64" customFormat="1">
      <c r="A22" s="89">
        <f t="shared" si="5"/>
        <v>8</v>
      </c>
      <c r="B22" s="99" t="str">
        <f>CONCATENATE(Données!B62," ",Données!C62)</f>
        <v xml:space="preserve"> </v>
      </c>
      <c r="C22" s="410">
        <f ca="1">IF(B22="",0,INT((TODAY()-Données!E62)/365.25))</f>
        <v>119</v>
      </c>
      <c r="D22" s="100">
        <f>Données!D62</f>
        <v>0</v>
      </c>
      <c r="E22" s="101">
        <f>Données!I62</f>
        <v>0</v>
      </c>
      <c r="F22" s="102" t="str">
        <f>Données!AD62</f>
        <v/>
      </c>
      <c r="G22" s="103">
        <f ca="1">INDEX({1;0.5;0},MATCH(C22,{1;65;70}))*M22</f>
        <v>0</v>
      </c>
      <c r="H22" s="104">
        <f>IF($B22=" ",0,IF(Données!$K62="exo",0,$G22/1000*VLOOKUP($F22,taux,2)))</f>
        <v>0</v>
      </c>
      <c r="I22" s="398">
        <f ca="1">IF(C22&gt;=65,0,Données!M62*5000)</f>
        <v>0</v>
      </c>
      <c r="J22" s="104">
        <f ca="1">I22/1000*(IF(I22=0,0,1)*VLOOKUP((1+(C22&gt;=20)+(C22&gt;=25)+(C22&gt;=30)+(C22&gt;=35)+(C22&gt;=40)+(C22&gt;=45)+(C22&gt;=50)+(C22&gt;=55)+(C22&gt;=60)+(C22&gt;=65)),Test,2+(IF(Données!F62="H",1,3))+(IF(Données!G62="F",1,0))))</f>
        <v>0</v>
      </c>
      <c r="K22" s="103">
        <f ca="1">INDEX({1;0.5;0},MATCH(C22,{1;65;70}))*M22</f>
        <v>0</v>
      </c>
      <c r="L22" s="104">
        <f>IF($B22=" ",0,IF(Données!$N62="exo",0,$K22/1000*VLOOKUP($F22,taux,6)))</f>
        <v>0</v>
      </c>
      <c r="M22" s="379">
        <f>IF($B22=" ",0,IF(Données!$K62="NON COUVERT",0,IF(AND(Données!$L62="oui",Données!$K62=0.5),MIN(VLOOKUP($F22,taux,5)/2,ROUNDUP(VLOOKUP($F22,taux,3)*$E22,-3)/2),IF(Données!$K62=0.5,MIN(VLOOKUP($F22,taux,4)/2,ROUNDUP(VLOOKUP($F22,taux,3)*$E22,-3)/2),ROUNDUP(IF(Données!$L62="OUI",MIN(VLOOKUP($F22,taux,3)*$E22,VLOOKUP($F22,taux,5)),MIN(VLOOKUP($F22,taux,3)*$E22,VLOOKUP($F22,taux,4))),-3)))))</f>
        <v>0</v>
      </c>
      <c r="N22" s="379">
        <f>IF($B22=" ",0,IF(Données!$N62="NON COUVERT",0,IF(AND(Données!$O62="oui",Données!$N62=0.5),MIN(VLOOKUP($F22,taux,9)/2,ROUNDUP(VLOOKUP($F22,taux,7)*$E22,-3)/2),IF(Données!$N62=0.5,MIN(VLOOKUP($F22,taux,8)/2,ROUNDUP(VLOOKUP($F22,taux,7)*$E22,-3)/2),ROUNDUP(IF(Données!$O62="OUI",MIN(VLOOKUP($F22,taux,7)*$E22,VLOOKUP($F22,taux,9)),MIN(VLOOKUP($F22,taux,7)*$E22,VLOOKUP($F22,taux,8))),-3)))))</f>
        <v>0</v>
      </c>
      <c r="O22" s="105">
        <f ca="1">IF(C22&gt;=70,0,IF($B22=" ",0,IF(Données!P62="non couvert"," ",Données!Q62)))</f>
        <v>0</v>
      </c>
      <c r="P22" s="106">
        <f>IF($B22=" ",0,IF(Données!$P62="exo",0,IF($O22="FAM",VLOOKUP($F22,taux,10),IF($O22="MONO",VLOOKUP($F22,taux,11),IF($O22="COUPLE",VLOOKUP($F22,taux,12),0)))))</f>
        <v>0</v>
      </c>
      <c r="Q22" s="107">
        <f ca="1">IF(C22&gt;=70,0,IF($B22=" ",0,IF(Données!$R62="NON COUVERT",0,ROUNDUP(IF(Données!$S62="OUI",MIN($E22*VLOOKUP($F22,taux,15)/52,VLOOKUP($F22,taux,17)),MIN($E22*VLOOKUP($F22,taux,15)/52,VLOOKUP($F22,taux,16))),0))))</f>
        <v>0</v>
      </c>
      <c r="R22" s="108">
        <f>IF($B22=" ",0,IF(Données!$R62="EXO",0,$Q22*VLOOKUP($F22,taux,13)/10))</f>
        <v>0</v>
      </c>
      <c r="S22" s="109">
        <f t="shared" ca="1" si="3"/>
        <v>0</v>
      </c>
      <c r="T22" s="110">
        <f>IF(B22=" ",0,IF(Données!$T62="exo",0,$S22*VLOOKUP($F22,taux,18)/100))</f>
        <v>0</v>
      </c>
      <c r="U22" s="109">
        <f>IF($B22=" ",0,IF(Données!$V62="non couvert",0,IF(VLOOKUP($F22,taux,29)="fixe","s/o",IF(Données!$W62="oui",MIN(ROUNDUP(VLOOKUP($F22,taux,31)*$E22,-3),VLOOKUP($F22,taux,33)),MIN(ROUNDUP(VLOOKUP($F22,taux,31)*$E22,-3),VLOOKUP($F22,taux,32))))))</f>
        <v>0</v>
      </c>
      <c r="V22" s="110">
        <f>IF(B22=" ",0,IF(Données!$V62="exo",0,IF(VLOOKUP($F22,taux,29)="fixe",VLOOKUP($F22,taux,30),$U22/1000*VLOOKUP($F22,taux,30))))</f>
        <v>0</v>
      </c>
      <c r="W22" s="110">
        <f t="shared" si="0"/>
        <v>0</v>
      </c>
      <c r="X22" s="383">
        <f>IF(B22=" ",0,EDATE((Données!E62),780))</f>
        <v>0</v>
      </c>
      <c r="Y22" s="383">
        <f t="shared" si="1"/>
        <v>0</v>
      </c>
      <c r="Z22" s="384">
        <f>IF($B22=" ",0,IF(Données!$T62="non couvert",0,IF(Données!$U62="oui",MIN(VLOOKUP($F22,taux,26),ROUNDUP(IF($E22/12&gt;VLOOKUP($F22,taux,21)+VLOOKUP($F22,taux,23),(VLOOKUP($F22,taux,20)*VLOOKUP($F22,taux,21))+(VLOOKUP($F22,taux,22)*VLOOKUP($F22,taux,23))+($E22/12-VLOOKUP($F22,taux,21)-VLOOKUP($F22,taux,23))*VLOOKUP($F22,taux,24),IF($E22/12&gt;VLOOKUP($F22,taux,21),(VLOOKUP($F22,taux,20)*VLOOKUP($F22,taux,21))+($E22/12-VLOOKUP($F22,taux,21))*VLOOKUP($F22,taux,22),$E22/12*VLOOKUP($F22,taux,20))),0)),MIN(VLOOKUP($F22,taux,25),ROUNDUP(IF($E22/12&gt;VLOOKUP($F22,taux,21)+VLOOKUP($F22,taux,23),(VLOOKUP($F22,taux,20)*VLOOKUP($F22,taux,21))+(VLOOKUP($F22,taux,22)*VLOOKUP($F22,taux,23))+($E22/12-VLOOKUP($F22,taux,21)-VLOOKUP($F22,taux,23))*VLOOKUP($F22,taux,24),IF($E22/12&gt;VLOOKUP($F22,taux,21),(VLOOKUP($F22,taux,20)*VLOOKUP($F22,taux,21))+($E22/12-VLOOKUP($F22,taux,21))*VLOOKUP($F22,taux,22),$E22/12*VLOOKUP($F22,taux,20))),0)))))</f>
        <v>0</v>
      </c>
      <c r="AA22" s="111">
        <f ca="1">IF(C22&gt;=70,0,IF($B22=" ",0,IF(Données!$X62="non couvert"," ",Données!Y62)))</f>
        <v>0</v>
      </c>
      <c r="AB22" s="110">
        <f>IF($B22=" ",0,IF(Données!$X62="exo",0,IF($AA22="ind",VLOOKUP($F22,taux,34),IF($AA22="fam",VLOOKUP($F22,taux,35),IF($AA22="mono",VLOOKUP($F22,taux,36),IF($AA22="couple",VLOOKUP($F22,taux,37),0))))))</f>
        <v>0</v>
      </c>
      <c r="AC22" s="111">
        <f ca="1">IF(C22&gt;=70,0,IF($B22=" ",0,IF(Données!$Z62="non couvert"," ",Données!AA62)))</f>
        <v>0</v>
      </c>
      <c r="AD22" s="110">
        <f>IF($B22=" ",0,IF(Données!$Z62="exo",0,IF($AC22="ind",VLOOKUP($F22,taux,38),IF($AC22="fam",VLOOKUP($F22,taux,39),IF($AC22="mono",VLOOKUP($F22,taux,40),IF($AC22="couple",VLOOKUP($F22,taux,41),0))))))</f>
        <v>0</v>
      </c>
      <c r="AE22" s="112">
        <f>IF($B22=" ",0,IF(Données!$AB62="non couvert"," ",Données!AC62))</f>
        <v>0</v>
      </c>
      <c r="AF22" s="113">
        <f>IF($B22=" ",0,IF(Données!$AB62="exo",0,IF($AE22="ind",VLOOKUP($F22,taux,42),IF($AE22="fam",VLOOKUP($F22,taux,43),IF($AE22="mono",VLOOKUP($F22,taux,44),IF($AE22="couple",VLOOKUP($F22,taux,45),0))))))</f>
        <v>0</v>
      </c>
      <c r="AG22" s="114">
        <f t="shared" ca="1" si="2"/>
        <v>0</v>
      </c>
      <c r="AH22" s="114">
        <f>IF($B22=" ",0,IF(Données!J62="Manitoba",(Facture!H22+Facture!J22+Facture!L22+Facture!P22+Facture!R22+Facture!T22)*0.08,(AG22-W22)*IF(Données!$J62="qc",0.09,IF(Données!$J62="on",0.08,0))+W22*VLOOKUP($F22,taux,28)))</f>
        <v>0</v>
      </c>
      <c r="AI22" s="106">
        <f t="shared" ca="1" si="4"/>
        <v>0</v>
      </c>
    </row>
    <row r="23" spans="1:35" s="64" customFormat="1">
      <c r="A23" s="89">
        <f t="shared" si="5"/>
        <v>9</v>
      </c>
      <c r="B23" s="99" t="str">
        <f>CONCATENATE(Données!B63," ",Données!C63)</f>
        <v xml:space="preserve"> </v>
      </c>
      <c r="C23" s="410">
        <f ca="1">IF(B23="",0,INT((TODAY()-Données!E63)/365.25))</f>
        <v>119</v>
      </c>
      <c r="D23" s="100">
        <f>Données!D63</f>
        <v>0</v>
      </c>
      <c r="E23" s="101">
        <f>Données!I63</f>
        <v>0</v>
      </c>
      <c r="F23" s="102" t="str">
        <f>Données!AD63</f>
        <v/>
      </c>
      <c r="G23" s="103">
        <f ca="1">INDEX({1;0.5;0},MATCH(C23,{1;65;70}))*M23</f>
        <v>0</v>
      </c>
      <c r="H23" s="104">
        <f>IF($B23=" ",0,IF(Données!$K63="exo",0,$G23/1000*VLOOKUP($F23,taux,2)))</f>
        <v>0</v>
      </c>
      <c r="I23" s="398">
        <f ca="1">IF(C23&gt;=65,0,Données!M63*5000)</f>
        <v>0</v>
      </c>
      <c r="J23" s="104">
        <f ca="1">I23/1000*(IF(I23=0,0,1)*VLOOKUP((1+(C23&gt;=20)+(C23&gt;=25)+(C23&gt;=30)+(C23&gt;=35)+(C23&gt;=40)+(C23&gt;=45)+(C23&gt;=50)+(C23&gt;=55)+(C23&gt;=60)+(C23&gt;=65)),Test,2+(IF(Données!F63="H",1,3))+(IF(Données!G63="F",1,0))))</f>
        <v>0</v>
      </c>
      <c r="K23" s="103">
        <f ca="1">INDEX({1;0.5;0},MATCH(C23,{1;65;70}))*M23</f>
        <v>0</v>
      </c>
      <c r="L23" s="104">
        <f>IF($B23=" ",0,IF(Données!$N63="exo",0,$K23/1000*VLOOKUP($F23,taux,6)))</f>
        <v>0</v>
      </c>
      <c r="M23" s="379">
        <f>IF($B23=" ",0,IF(Données!$K63="NON COUVERT",0,IF(AND(Données!$L63="oui",Données!$K63=0.5),MIN(VLOOKUP($F23,taux,5)/2,ROUNDUP(VLOOKUP($F23,taux,3)*$E23,-3)/2),IF(Données!$K63=0.5,MIN(VLOOKUP($F23,taux,4)/2,ROUNDUP(VLOOKUP($F23,taux,3)*$E23,-3)/2),ROUNDUP(IF(Données!$L63="OUI",MIN(VLOOKUP($F23,taux,3)*$E23,VLOOKUP($F23,taux,5)),MIN(VLOOKUP($F23,taux,3)*$E23,VLOOKUP($F23,taux,4))),-3)))))</f>
        <v>0</v>
      </c>
      <c r="N23" s="379">
        <f>IF($B23=" ",0,IF(Données!$N63="NON COUVERT",0,IF(AND(Données!$O63="oui",Données!$N63=0.5),MIN(VLOOKUP($F23,taux,9)/2,ROUNDUP(VLOOKUP($F23,taux,7)*$E23,-3)/2),IF(Données!$N63=0.5,MIN(VLOOKUP($F23,taux,8)/2,ROUNDUP(VLOOKUP($F23,taux,7)*$E23,-3)/2),ROUNDUP(IF(Données!$O63="OUI",MIN(VLOOKUP($F23,taux,7)*$E23,VLOOKUP($F23,taux,9)),MIN(VLOOKUP($F23,taux,7)*$E23,VLOOKUP($F23,taux,8))),-3)))))</f>
        <v>0</v>
      </c>
      <c r="O23" s="105">
        <f ca="1">IF(C23&gt;=70,0,IF($B23=" ",0,IF(Données!P63="non couvert"," ",Données!Q63)))</f>
        <v>0</v>
      </c>
      <c r="P23" s="106">
        <f>IF($B23=" ",0,IF(Données!$P63="exo",0,IF($O23="FAM",VLOOKUP($F23,taux,10),IF($O23="MONO",VLOOKUP($F23,taux,11),IF($O23="COUPLE",VLOOKUP($F23,taux,12),0)))))</f>
        <v>0</v>
      </c>
      <c r="Q23" s="107">
        <f ca="1">IF(C23&gt;=70,0,IF($B23=" ",0,IF(Données!$R63="NON COUVERT",0,ROUNDUP(IF(Données!$S63="OUI",MIN($E23*VLOOKUP($F23,taux,15)/52,VLOOKUP($F23,taux,17)),MIN($E23*VLOOKUP($F23,taux,15)/52,VLOOKUP($F23,taux,16))),0))))</f>
        <v>0</v>
      </c>
      <c r="R23" s="108">
        <f>IF($B23=" ",0,IF(Données!$R63="EXO",0,$Q23*VLOOKUP($F23,taux,13)/10))</f>
        <v>0</v>
      </c>
      <c r="S23" s="109">
        <f t="shared" ca="1" si="3"/>
        <v>0</v>
      </c>
      <c r="T23" s="110">
        <f>IF(B23=" ",0,IF(Données!$T63="exo",0,$S23*VLOOKUP($F23,taux,18)/100))</f>
        <v>0</v>
      </c>
      <c r="U23" s="109">
        <f>IF($B23=" ",0,IF(Données!$V63="non couvert",0,IF(VLOOKUP($F23,taux,29)="fixe","s/o",IF(Données!$W63="oui",MIN(ROUNDUP(VLOOKUP($F23,taux,31)*$E23,-3),VLOOKUP($F23,taux,33)),MIN(ROUNDUP(VLOOKUP($F23,taux,31)*$E23,-3),VLOOKUP($F23,taux,32))))))</f>
        <v>0</v>
      </c>
      <c r="V23" s="110">
        <f>IF(B23=" ",0,IF(Données!$V63="exo",0,IF(VLOOKUP($F23,taux,29)="fixe",VLOOKUP($F23,taux,30),$U23/1000*VLOOKUP($F23,taux,30))))</f>
        <v>0</v>
      </c>
      <c r="W23" s="110">
        <f t="shared" si="0"/>
        <v>0</v>
      </c>
      <c r="X23" s="383">
        <f>IF(B23=" ",0,EDATE((Données!E63),780))</f>
        <v>0</v>
      </c>
      <c r="Y23" s="383">
        <f t="shared" si="1"/>
        <v>0</v>
      </c>
      <c r="Z23" s="384">
        <f>IF($B23=" ",0,IF(Données!$T63="non couvert",0,IF(Données!$U63="oui",MIN(VLOOKUP($F23,taux,26),ROUNDUP(IF($E23/12&gt;VLOOKUP($F23,taux,21)+VLOOKUP($F23,taux,23),(VLOOKUP($F23,taux,20)*VLOOKUP($F23,taux,21))+(VLOOKUP($F23,taux,22)*VLOOKUP($F23,taux,23))+($E23/12-VLOOKUP($F23,taux,21)-VLOOKUP($F23,taux,23))*VLOOKUP($F23,taux,24),IF($E23/12&gt;VLOOKUP($F23,taux,21),(VLOOKUP($F23,taux,20)*VLOOKUP($F23,taux,21))+($E23/12-VLOOKUP($F23,taux,21))*VLOOKUP($F23,taux,22),$E23/12*VLOOKUP($F23,taux,20))),0)),MIN(VLOOKUP($F23,taux,25),ROUNDUP(IF($E23/12&gt;VLOOKUP($F23,taux,21)+VLOOKUP($F23,taux,23),(VLOOKUP($F23,taux,20)*VLOOKUP($F23,taux,21))+(VLOOKUP($F23,taux,22)*VLOOKUP($F23,taux,23))+($E23/12-VLOOKUP($F23,taux,21)-VLOOKUP($F23,taux,23))*VLOOKUP($F23,taux,24),IF($E23/12&gt;VLOOKUP($F23,taux,21),(VLOOKUP($F23,taux,20)*VLOOKUP($F23,taux,21))+($E23/12-VLOOKUP($F23,taux,21))*VLOOKUP($F23,taux,22),$E23/12*VLOOKUP($F23,taux,20))),0)))))</f>
        <v>0</v>
      </c>
      <c r="AA23" s="111">
        <f ca="1">IF(C23&gt;=70,0,IF($B23=" ",0,IF(Données!$X63="non couvert"," ",Données!Y63)))</f>
        <v>0</v>
      </c>
      <c r="AB23" s="110">
        <f>IF($B23=" ",0,IF(Données!$X63="exo",0,IF($AA23="ind",VLOOKUP($F23,taux,34),IF($AA23="fam",VLOOKUP($F23,taux,35),IF($AA23="mono",VLOOKUP($F23,taux,36),IF($AA23="couple",VLOOKUP($F23,taux,37),0))))))</f>
        <v>0</v>
      </c>
      <c r="AC23" s="111">
        <f ca="1">IF(C23&gt;=70,0,IF($B23=" ",0,IF(Données!$Z63="non couvert"," ",Données!AA63)))</f>
        <v>0</v>
      </c>
      <c r="AD23" s="110">
        <f>IF($B23=" ",0,IF(Données!$Z63="exo",0,IF($AC23="ind",VLOOKUP($F23,taux,38),IF($AC23="fam",VLOOKUP($F23,taux,39),IF($AC23="mono",VLOOKUP($F23,taux,40),IF($AC23="couple",VLOOKUP($F23,taux,41),0))))))</f>
        <v>0</v>
      </c>
      <c r="AE23" s="112">
        <f>IF($B23=" ",0,IF(Données!$AB63="non couvert"," ",Données!AC63))</f>
        <v>0</v>
      </c>
      <c r="AF23" s="113">
        <f>IF($B23=" ",0,IF(Données!$AB63="exo",0,IF($AE23="ind",VLOOKUP($F23,taux,42),IF($AE23="fam",VLOOKUP($F23,taux,43),IF($AE23="mono",VLOOKUP($F23,taux,44),IF($AE23="couple",VLOOKUP($F23,taux,45),0))))))</f>
        <v>0</v>
      </c>
      <c r="AG23" s="114">
        <f t="shared" ca="1" si="2"/>
        <v>0</v>
      </c>
      <c r="AH23" s="114">
        <f>IF($B23=" ",0,IF(Données!J63="Manitoba",(Facture!H23+Facture!J23+Facture!L23+Facture!P23+Facture!R23+Facture!T23)*0.08,(AG23-W23)*IF(Données!$J63="qc",0.09,IF(Données!$J63="on",0.08,0))+W23*VLOOKUP($F23,taux,28)))</f>
        <v>0</v>
      </c>
      <c r="AI23" s="106">
        <f t="shared" ca="1" si="4"/>
        <v>0</v>
      </c>
    </row>
    <row r="24" spans="1:35" s="64" customFormat="1">
      <c r="A24" s="89">
        <f t="shared" si="5"/>
        <v>10</v>
      </c>
      <c r="B24" s="99" t="str">
        <f>CONCATENATE(Données!B64," ",Données!C64)</f>
        <v xml:space="preserve"> </v>
      </c>
      <c r="C24" s="410">
        <f ca="1">IF(B24="",0,INT((TODAY()-Données!E64)/365.25))</f>
        <v>119</v>
      </c>
      <c r="D24" s="100">
        <f>Données!D64</f>
        <v>0</v>
      </c>
      <c r="E24" s="101">
        <f>Données!I64</f>
        <v>0</v>
      </c>
      <c r="F24" s="102" t="str">
        <f>Données!AD64</f>
        <v/>
      </c>
      <c r="G24" s="103">
        <f ca="1">INDEX({1;0.5;0},MATCH(C24,{1;65;70}))*M24</f>
        <v>0</v>
      </c>
      <c r="H24" s="104">
        <f>IF($B24=" ",0,IF(Données!$K64="exo",0,$G24/1000*VLOOKUP($F24,taux,2)))</f>
        <v>0</v>
      </c>
      <c r="I24" s="398">
        <f ca="1">IF(C24&gt;=65,0,Données!M64*5000)</f>
        <v>0</v>
      </c>
      <c r="J24" s="104">
        <f ca="1">I24/1000*(IF(I24=0,0,1)*VLOOKUP((1+(C24&gt;=20)+(C24&gt;=25)+(C24&gt;=30)+(C24&gt;=35)+(C24&gt;=40)+(C24&gt;=45)+(C24&gt;=50)+(C24&gt;=55)+(C24&gt;=60)+(C24&gt;=65)),Test,2+(IF(Données!F64="H",1,3))+(IF(Données!G64="F",1,0))))</f>
        <v>0</v>
      </c>
      <c r="K24" s="103">
        <f ca="1">INDEX({1;0.5;0},MATCH(C24,{1;65;70}))*M24</f>
        <v>0</v>
      </c>
      <c r="L24" s="104">
        <f>IF($B24=" ",0,IF(Données!$N64="exo",0,$K24/1000*VLOOKUP($F24,taux,6)))</f>
        <v>0</v>
      </c>
      <c r="M24" s="379">
        <f>IF($B24=" ",0,IF(Données!$K64="NON COUVERT",0,IF(AND(Données!$L64="oui",Données!$K64=0.5),MIN(VLOOKUP($F24,taux,5)/2,ROUNDUP(VLOOKUP($F24,taux,3)*$E24,-3)/2),IF(Données!$K64=0.5,MIN(VLOOKUP($F24,taux,4)/2,ROUNDUP(VLOOKUP($F24,taux,3)*$E24,-3)/2),ROUNDUP(IF(Données!$L64="OUI",MIN(VLOOKUP($F24,taux,3)*$E24,VLOOKUP($F24,taux,5)),MIN(VLOOKUP($F24,taux,3)*$E24,VLOOKUP($F24,taux,4))),-3)))))</f>
        <v>0</v>
      </c>
      <c r="N24" s="379">
        <f>IF($B24=" ",0,IF(Données!$N64="NON COUVERT",0,IF(AND(Données!$O64="oui",Données!$N64=0.5),MIN(VLOOKUP($F24,taux,9)/2,ROUNDUP(VLOOKUP($F24,taux,7)*$E24,-3)/2),IF(Données!$N64=0.5,MIN(VLOOKUP($F24,taux,8)/2,ROUNDUP(VLOOKUP($F24,taux,7)*$E24,-3)/2),ROUNDUP(IF(Données!$O64="OUI",MIN(VLOOKUP($F24,taux,7)*$E24,VLOOKUP($F24,taux,9)),MIN(VLOOKUP($F24,taux,7)*$E24,VLOOKUP($F24,taux,8))),-3)))))</f>
        <v>0</v>
      </c>
      <c r="O24" s="105">
        <f ca="1">IF(C24&gt;=70,0,IF($B24=" ",0,IF(Données!P64="non couvert"," ",Données!Q64)))</f>
        <v>0</v>
      </c>
      <c r="P24" s="106">
        <f>IF($B24=" ",0,IF(Données!$P64="exo",0,IF($O24="FAM",VLOOKUP($F24,taux,10),IF($O24="MONO",VLOOKUP($F24,taux,11),IF($O24="COUPLE",VLOOKUP($F24,taux,12),0)))))</f>
        <v>0</v>
      </c>
      <c r="Q24" s="107">
        <f ca="1">IF(C24&gt;=70,0,IF($B24=" ",0,IF(Données!$R64="NON COUVERT",0,ROUNDUP(IF(Données!$S64="OUI",MIN($E24*VLOOKUP($F24,taux,15)/52,VLOOKUP($F24,taux,17)),MIN($E24*VLOOKUP($F24,taux,15)/52,VLOOKUP($F24,taux,16))),0))))</f>
        <v>0</v>
      </c>
      <c r="R24" s="108">
        <f>IF($B24=" ",0,IF(Données!$R64="EXO",0,$Q24*VLOOKUP($F24,taux,13)/10))</f>
        <v>0</v>
      </c>
      <c r="S24" s="109">
        <f t="shared" ca="1" si="3"/>
        <v>0</v>
      </c>
      <c r="T24" s="110">
        <f>IF(B24=" ",0,IF(Données!$T64="exo",0,$S24*VLOOKUP($F24,taux,18)/100))</f>
        <v>0</v>
      </c>
      <c r="U24" s="109">
        <f>IF($B24=" ",0,IF(Données!$V64="non couvert",0,IF(VLOOKUP($F24,taux,29)="fixe","s/o",IF(Données!$W64="oui",MIN(ROUNDUP(VLOOKUP($F24,taux,31)*$E24,-3),VLOOKUP($F24,taux,33)),MIN(ROUNDUP(VLOOKUP($F24,taux,31)*$E24,-3),VLOOKUP($F24,taux,32))))))</f>
        <v>0</v>
      </c>
      <c r="V24" s="110">
        <f>IF(B24=" ",0,IF(Données!$V64="exo",0,IF(VLOOKUP($F24,taux,29)="fixe",VLOOKUP($F24,taux,30),$U24/1000*VLOOKUP($F24,taux,30))))</f>
        <v>0</v>
      </c>
      <c r="W24" s="110">
        <f t="shared" si="0"/>
        <v>0</v>
      </c>
      <c r="X24" s="383">
        <f>IF(B24=" ",0,EDATE((Données!E64),780))</f>
        <v>0</v>
      </c>
      <c r="Y24" s="383">
        <f t="shared" si="1"/>
        <v>0</v>
      </c>
      <c r="Z24" s="384">
        <f>IF($B24=" ",0,IF(Données!$T64="non couvert",0,IF(Données!$U64="oui",MIN(VLOOKUP($F24,taux,26),ROUNDUP(IF($E24/12&gt;VLOOKUP($F24,taux,21)+VLOOKUP($F24,taux,23),(VLOOKUP($F24,taux,20)*VLOOKUP($F24,taux,21))+(VLOOKUP($F24,taux,22)*VLOOKUP($F24,taux,23))+($E24/12-VLOOKUP($F24,taux,21)-VLOOKUP($F24,taux,23))*VLOOKUP($F24,taux,24),IF($E24/12&gt;VLOOKUP($F24,taux,21),(VLOOKUP($F24,taux,20)*VLOOKUP($F24,taux,21))+($E24/12-VLOOKUP($F24,taux,21))*VLOOKUP($F24,taux,22),$E24/12*VLOOKUP($F24,taux,20))),0)),MIN(VLOOKUP($F24,taux,25),ROUNDUP(IF($E24/12&gt;VLOOKUP($F24,taux,21)+VLOOKUP($F24,taux,23),(VLOOKUP($F24,taux,20)*VLOOKUP($F24,taux,21))+(VLOOKUP($F24,taux,22)*VLOOKUP($F24,taux,23))+($E24/12-VLOOKUP($F24,taux,21)-VLOOKUP($F24,taux,23))*VLOOKUP($F24,taux,24),IF($E24/12&gt;VLOOKUP($F24,taux,21),(VLOOKUP($F24,taux,20)*VLOOKUP($F24,taux,21))+($E24/12-VLOOKUP($F24,taux,21))*VLOOKUP($F24,taux,22),$E24/12*VLOOKUP($F24,taux,20))),0)))))</f>
        <v>0</v>
      </c>
      <c r="AA24" s="111">
        <f ca="1">IF(C24&gt;=70,0,IF($B24=" ",0,IF(Données!$X64="non couvert"," ",Données!Y64)))</f>
        <v>0</v>
      </c>
      <c r="AB24" s="110">
        <f>IF($B24=" ",0,IF(Données!$X64="exo",0,IF($AA24="ind",VLOOKUP($F24,taux,34),IF($AA24="fam",VLOOKUP($F24,taux,35),IF($AA24="mono",VLOOKUP($F24,taux,36),IF($AA24="couple",VLOOKUP($F24,taux,37),0))))))</f>
        <v>0</v>
      </c>
      <c r="AC24" s="111">
        <f ca="1">IF(C24&gt;=70,0,IF($B24=" ",0,IF(Données!$Z64="non couvert"," ",Données!AA64)))</f>
        <v>0</v>
      </c>
      <c r="AD24" s="110">
        <f>IF($B24=" ",0,IF(Données!$Z64="exo",0,IF($AC24="ind",VLOOKUP($F24,taux,38),IF($AC24="fam",VLOOKUP($F24,taux,39),IF($AC24="mono",VLOOKUP($F24,taux,40),IF($AC24="couple",VLOOKUP($F24,taux,41),0))))))</f>
        <v>0</v>
      </c>
      <c r="AE24" s="112">
        <f>IF($B24=" ",0,IF(Données!$AB64="non couvert"," ",Données!AC64))</f>
        <v>0</v>
      </c>
      <c r="AF24" s="113">
        <f>IF($B24=" ",0,IF(Données!$AB64="exo",0,IF($AE24="ind",VLOOKUP($F24,taux,42),IF($AE24="fam",VLOOKUP($F24,taux,43),IF($AE24="mono",VLOOKUP($F24,taux,44),IF($AE24="couple",VLOOKUP($F24,taux,45),0))))))</f>
        <v>0</v>
      </c>
      <c r="AG24" s="114">
        <f t="shared" ca="1" si="2"/>
        <v>0</v>
      </c>
      <c r="AH24" s="114">
        <f>IF($B24=" ",0,IF(Données!J64="Manitoba",(Facture!H24+Facture!J24+Facture!L24+Facture!P24+Facture!R24+Facture!T24)*0.08,(AG24-W24)*IF(Données!$J64="qc",0.09,IF(Données!$J64="on",0.08,0))+W24*VLOOKUP($F24,taux,28)))</f>
        <v>0</v>
      </c>
      <c r="AI24" s="106">
        <f t="shared" ca="1" si="4"/>
        <v>0</v>
      </c>
    </row>
    <row r="25" spans="1:35" s="64" customFormat="1">
      <c r="A25" s="89">
        <f t="shared" si="5"/>
        <v>11</v>
      </c>
      <c r="B25" s="99" t="str">
        <f>CONCATENATE(Données!B65," ",Données!C65)</f>
        <v xml:space="preserve"> </v>
      </c>
      <c r="C25" s="410">
        <f ca="1">IF(B25="",0,INT((TODAY()-Données!E65)/365.25))</f>
        <v>119</v>
      </c>
      <c r="D25" s="100">
        <f>Données!D65</f>
        <v>0</v>
      </c>
      <c r="E25" s="101">
        <f>Données!I65</f>
        <v>0</v>
      </c>
      <c r="F25" s="102" t="str">
        <f>Données!AD65</f>
        <v/>
      </c>
      <c r="G25" s="103">
        <f ca="1">INDEX({1;0.5;0},MATCH(C25,{1;65;70}))*M25</f>
        <v>0</v>
      </c>
      <c r="H25" s="104">
        <f>IF($B25=" ",0,IF(Données!$K65="exo",0,$G25/1000*VLOOKUP($F25,taux,2)))</f>
        <v>0</v>
      </c>
      <c r="I25" s="398">
        <f ca="1">IF(C25&gt;=65,0,Données!M65*5000)</f>
        <v>0</v>
      </c>
      <c r="J25" s="104">
        <f ca="1">I25/1000*(IF(I25=0,0,1)*VLOOKUP((1+(C25&gt;=20)+(C25&gt;=25)+(C25&gt;=30)+(C25&gt;=35)+(C25&gt;=40)+(C25&gt;=45)+(C25&gt;=50)+(C25&gt;=55)+(C25&gt;=60)+(C25&gt;=65)),Test,2+(IF(Données!F65="H",1,3))+(IF(Données!G65="F",1,0))))</f>
        <v>0</v>
      </c>
      <c r="K25" s="103">
        <f ca="1">INDEX({1;0.5;0},MATCH(C25,{1;65;70}))*M25</f>
        <v>0</v>
      </c>
      <c r="L25" s="104">
        <f>IF($B25=" ",0,IF(Données!$N65="exo",0,$K25/1000*VLOOKUP($F25,taux,6)))</f>
        <v>0</v>
      </c>
      <c r="M25" s="379">
        <f>IF($B25=" ",0,IF(Données!$K65="NON COUVERT",0,IF(AND(Données!$L65="oui",Données!$K65=0.5),MIN(VLOOKUP($F25,taux,5)/2,ROUNDUP(VLOOKUP($F25,taux,3)*$E25,-3)/2),IF(Données!$K65=0.5,MIN(VLOOKUP($F25,taux,4)/2,ROUNDUP(VLOOKUP($F25,taux,3)*$E25,-3)/2),ROUNDUP(IF(Données!$L65="OUI",MIN(VLOOKUP($F25,taux,3)*$E25,VLOOKUP($F25,taux,5)),MIN(VLOOKUP($F25,taux,3)*$E25,VLOOKUP($F25,taux,4))),-3)))))</f>
        <v>0</v>
      </c>
      <c r="N25" s="379">
        <f>IF($B25=" ",0,IF(Données!$N65="NON COUVERT",0,IF(AND(Données!$O65="oui",Données!$N65=0.5),MIN(VLOOKUP($F25,taux,9)/2,ROUNDUP(VLOOKUP($F25,taux,7)*$E25,-3)/2),IF(Données!$N65=0.5,MIN(VLOOKUP($F25,taux,8)/2,ROUNDUP(VLOOKUP($F25,taux,7)*$E25,-3)/2),ROUNDUP(IF(Données!$O65="OUI",MIN(VLOOKUP($F25,taux,7)*$E25,VLOOKUP($F25,taux,9)),MIN(VLOOKUP($F25,taux,7)*$E25,VLOOKUP($F25,taux,8))),-3)))))</f>
        <v>0</v>
      </c>
      <c r="O25" s="105">
        <f ca="1">IF(C25&gt;=70,0,IF($B25=" ",0,IF(Données!P65="non couvert"," ",Données!Q65)))</f>
        <v>0</v>
      </c>
      <c r="P25" s="106">
        <f>IF($B25=" ",0,IF(Données!$P65="exo",0,IF($O25="FAM",VLOOKUP($F25,taux,10),IF($O25="MONO",VLOOKUP($F25,taux,11),IF($O25="COUPLE",VLOOKUP($F25,taux,12),0)))))</f>
        <v>0</v>
      </c>
      <c r="Q25" s="107">
        <f ca="1">IF(C25&gt;=70,0,IF($B25=" ",0,IF(Données!$R65="NON COUVERT",0,ROUNDUP(IF(Données!$S65="OUI",MIN($E25*VLOOKUP($F25,taux,15)/52,VLOOKUP($F25,taux,17)),MIN($E25*VLOOKUP($F25,taux,15)/52,VLOOKUP($F25,taux,16))),0))))</f>
        <v>0</v>
      </c>
      <c r="R25" s="108">
        <f>IF($B25=" ",0,IF(Données!$R65="EXO",0,$Q25*VLOOKUP($F25,taux,13)/10))</f>
        <v>0</v>
      </c>
      <c r="S25" s="109">
        <f t="shared" ca="1" si="3"/>
        <v>0</v>
      </c>
      <c r="T25" s="110">
        <f>IF(B25=" ",0,IF(Données!$T65="exo",0,$S25*VLOOKUP($F25,taux,18)/100))</f>
        <v>0</v>
      </c>
      <c r="U25" s="109">
        <f>IF($B25=" ",0,IF(Données!$V65="non couvert",0,IF(VLOOKUP($F25,taux,29)="fixe","s/o",IF(Données!$W65="oui",MIN(ROUNDUP(VLOOKUP($F25,taux,31)*$E25,-3),VLOOKUP($F25,taux,33)),MIN(ROUNDUP(VLOOKUP($F25,taux,31)*$E25,-3),VLOOKUP($F25,taux,32))))))</f>
        <v>0</v>
      </c>
      <c r="V25" s="110">
        <f>IF(B25=" ",0,IF(Données!$V65="exo",0,IF(VLOOKUP($F25,taux,29)="fixe",VLOOKUP($F25,taux,30),$U25/1000*VLOOKUP($F25,taux,30))))</f>
        <v>0</v>
      </c>
      <c r="W25" s="110">
        <f t="shared" si="0"/>
        <v>0</v>
      </c>
      <c r="X25" s="383">
        <f>IF(B25=" ",0,EDATE((Données!E65),780))</f>
        <v>0</v>
      </c>
      <c r="Y25" s="383">
        <f t="shared" si="1"/>
        <v>0</v>
      </c>
      <c r="Z25" s="384">
        <f>IF($B25=" ",0,IF(Données!$T65="non couvert",0,IF(Données!$U65="oui",MIN(VLOOKUP($F25,taux,26),ROUNDUP(IF($E25/12&gt;VLOOKUP($F25,taux,21)+VLOOKUP($F25,taux,23),(VLOOKUP($F25,taux,20)*VLOOKUP($F25,taux,21))+(VLOOKUP($F25,taux,22)*VLOOKUP($F25,taux,23))+($E25/12-VLOOKUP($F25,taux,21)-VLOOKUP($F25,taux,23))*VLOOKUP($F25,taux,24),IF($E25/12&gt;VLOOKUP($F25,taux,21),(VLOOKUP($F25,taux,20)*VLOOKUP($F25,taux,21))+($E25/12-VLOOKUP($F25,taux,21))*VLOOKUP($F25,taux,22),$E25/12*VLOOKUP($F25,taux,20))),0)),MIN(VLOOKUP($F25,taux,25),ROUNDUP(IF($E25/12&gt;VLOOKUP($F25,taux,21)+VLOOKUP($F25,taux,23),(VLOOKUP($F25,taux,20)*VLOOKUP($F25,taux,21))+(VLOOKUP($F25,taux,22)*VLOOKUP($F25,taux,23))+($E25/12-VLOOKUP($F25,taux,21)-VLOOKUP($F25,taux,23))*VLOOKUP($F25,taux,24),IF($E25/12&gt;VLOOKUP($F25,taux,21),(VLOOKUP($F25,taux,20)*VLOOKUP($F25,taux,21))+($E25/12-VLOOKUP($F25,taux,21))*VLOOKUP($F25,taux,22),$E25/12*VLOOKUP($F25,taux,20))),0)))))</f>
        <v>0</v>
      </c>
      <c r="AA25" s="111">
        <f ca="1">IF(C25&gt;=70,0,IF($B25=" ",0,IF(Données!$X65="non couvert"," ",Données!Y65)))</f>
        <v>0</v>
      </c>
      <c r="AB25" s="110">
        <f>IF($B25=" ",0,IF(Données!$X65="exo",0,IF($AA25="ind",VLOOKUP($F25,taux,34),IF($AA25="fam",VLOOKUP($F25,taux,35),IF($AA25="mono",VLOOKUP($F25,taux,36),IF($AA25="couple",VLOOKUP($F25,taux,37),0))))))</f>
        <v>0</v>
      </c>
      <c r="AC25" s="111">
        <f ca="1">IF(C25&gt;=70,0,IF($B25=" ",0,IF(Données!$Z65="non couvert"," ",Données!AA65)))</f>
        <v>0</v>
      </c>
      <c r="AD25" s="110">
        <f>IF($B25=" ",0,IF(Données!$Z65="exo",0,IF($AC25="ind",VLOOKUP($F25,taux,38),IF($AC25="fam",VLOOKUP($F25,taux,39),IF($AC25="mono",VLOOKUP($F25,taux,40),IF($AC25="couple",VLOOKUP($F25,taux,41),0))))))</f>
        <v>0</v>
      </c>
      <c r="AE25" s="112">
        <f>IF($B25=" ",0,IF(Données!$AB65="non couvert"," ",Données!AC65))</f>
        <v>0</v>
      </c>
      <c r="AF25" s="113">
        <f>IF($B25=" ",0,IF(Données!$AB65="exo",0,IF($AE25="ind",VLOOKUP($F25,taux,42),IF($AE25="fam",VLOOKUP($F25,taux,43),IF($AE25="mono",VLOOKUP($F25,taux,44),IF($AE25="couple",VLOOKUP($F25,taux,45),0))))))</f>
        <v>0</v>
      </c>
      <c r="AG25" s="114">
        <f t="shared" ca="1" si="2"/>
        <v>0</v>
      </c>
      <c r="AH25" s="114">
        <f>IF($B25=" ",0,IF(Données!J65="Manitoba",(Facture!H25+Facture!J25+Facture!L25+Facture!P25+Facture!R25+Facture!T25)*0.08,(AG25-W25)*IF(Données!$J65="qc",0.09,IF(Données!$J65="on",0.08,0))+W25*VLOOKUP($F25,taux,28)))</f>
        <v>0</v>
      </c>
      <c r="AI25" s="106">
        <f t="shared" ca="1" si="4"/>
        <v>0</v>
      </c>
    </row>
    <row r="26" spans="1:35" s="64" customFormat="1">
      <c r="A26" s="89">
        <f t="shared" si="5"/>
        <v>12</v>
      </c>
      <c r="B26" s="99" t="str">
        <f>CONCATENATE(Données!B66," ",Données!C66)</f>
        <v xml:space="preserve"> </v>
      </c>
      <c r="C26" s="410">
        <f ca="1">IF(B26="",0,INT((TODAY()-Données!E66)/365.25))</f>
        <v>119</v>
      </c>
      <c r="D26" s="100">
        <f>Données!D66</f>
        <v>0</v>
      </c>
      <c r="E26" s="101">
        <f>Données!I66</f>
        <v>0</v>
      </c>
      <c r="F26" s="102" t="str">
        <f>Données!AD66</f>
        <v/>
      </c>
      <c r="G26" s="103">
        <f ca="1">INDEX({1;0.5;0},MATCH(C26,{1;65;70}))*M26</f>
        <v>0</v>
      </c>
      <c r="H26" s="104">
        <f>IF($B26=" ",0,IF(Données!$K66="exo",0,$G26/1000*VLOOKUP($F26,taux,2)))</f>
        <v>0</v>
      </c>
      <c r="I26" s="398">
        <f ca="1">IF(C26&gt;=65,0,Données!M66*5000)</f>
        <v>0</v>
      </c>
      <c r="J26" s="104">
        <f ca="1">I26/1000*(IF(I26=0,0,1)*VLOOKUP((1+(C26&gt;=20)+(C26&gt;=25)+(C26&gt;=30)+(C26&gt;=35)+(C26&gt;=40)+(C26&gt;=45)+(C26&gt;=50)+(C26&gt;=55)+(C26&gt;=60)+(C26&gt;=65)),Test,2+(IF(Données!F66="H",1,3))+(IF(Données!G66="F",1,0))))</f>
        <v>0</v>
      </c>
      <c r="K26" s="103">
        <f ca="1">INDEX({1;0.5;0},MATCH(C26,{1;65;70}))*M26</f>
        <v>0</v>
      </c>
      <c r="L26" s="104">
        <f>IF($B26=" ",0,IF(Données!$N66="exo",0,$K26/1000*VLOOKUP($F26,taux,6)))</f>
        <v>0</v>
      </c>
      <c r="M26" s="379">
        <f>IF($B26=" ",0,IF(Données!$K66="NON COUVERT",0,IF(AND(Données!$L66="oui",Données!$K66=0.5),MIN(VLOOKUP($F26,taux,5)/2,ROUNDUP(VLOOKUP($F26,taux,3)*$E26,-3)/2),IF(Données!$K66=0.5,MIN(VLOOKUP($F26,taux,4)/2,ROUNDUP(VLOOKUP($F26,taux,3)*$E26,-3)/2),ROUNDUP(IF(Données!$L66="OUI",MIN(VLOOKUP($F26,taux,3)*$E26,VLOOKUP($F26,taux,5)),MIN(VLOOKUP($F26,taux,3)*$E26,VLOOKUP($F26,taux,4))),-3)))))</f>
        <v>0</v>
      </c>
      <c r="N26" s="379">
        <f>IF($B26=" ",0,IF(Données!$N66="NON COUVERT",0,IF(AND(Données!$O66="oui",Données!$N66=0.5),MIN(VLOOKUP($F26,taux,9)/2,ROUNDUP(VLOOKUP($F26,taux,7)*$E26,-3)/2),IF(Données!$N66=0.5,MIN(VLOOKUP($F26,taux,8)/2,ROUNDUP(VLOOKUP($F26,taux,7)*$E26,-3)/2),ROUNDUP(IF(Données!$O66="OUI",MIN(VLOOKUP($F26,taux,7)*$E26,VLOOKUP($F26,taux,9)),MIN(VLOOKUP($F26,taux,7)*$E26,VLOOKUP($F26,taux,8))),-3)))))</f>
        <v>0</v>
      </c>
      <c r="O26" s="105">
        <f ca="1">IF(C26&gt;=70,0,IF($B26=" ",0,IF(Données!P66="non couvert"," ",Données!Q66)))</f>
        <v>0</v>
      </c>
      <c r="P26" s="106">
        <f>IF($B26=" ",0,IF(Données!$P66="exo",0,IF($O26="FAM",VLOOKUP($F26,taux,10),IF($O26="MONO",VLOOKUP($F26,taux,11),IF($O26="COUPLE",VLOOKUP($F26,taux,12),0)))))</f>
        <v>0</v>
      </c>
      <c r="Q26" s="107">
        <f ca="1">IF(C26&gt;=70,0,IF($B26=" ",0,IF(Données!$R66="NON COUVERT",0,ROUNDUP(IF(Données!$S66="OUI",MIN($E26*VLOOKUP($F26,taux,15)/52,VLOOKUP($F26,taux,17)),MIN($E26*VLOOKUP($F26,taux,15)/52,VLOOKUP($F26,taux,16))),0))))</f>
        <v>0</v>
      </c>
      <c r="R26" s="108">
        <f>IF($B26=" ",0,IF(Données!$R66="EXO",0,$Q26*VLOOKUP($F26,taux,13)/10))</f>
        <v>0</v>
      </c>
      <c r="S26" s="109">
        <f t="shared" ca="1" si="3"/>
        <v>0</v>
      </c>
      <c r="T26" s="110">
        <f>IF(B26=" ",0,IF(Données!$T66="exo",0,$S26*VLOOKUP($F26,taux,18)/100))</f>
        <v>0</v>
      </c>
      <c r="U26" s="109">
        <f>IF($B26=" ",0,IF(Données!$V66="non couvert",0,IF(VLOOKUP($F26,taux,29)="fixe","s/o",IF(Données!$W66="oui",MIN(ROUNDUP(VLOOKUP($F26,taux,31)*$E26,-3),VLOOKUP($F26,taux,33)),MIN(ROUNDUP(VLOOKUP($F26,taux,31)*$E26,-3),VLOOKUP($F26,taux,32))))))</f>
        <v>0</v>
      </c>
      <c r="V26" s="110">
        <f>IF(B26=" ",0,IF(Données!$V66="exo",0,IF(VLOOKUP($F26,taux,29)="fixe",VLOOKUP($F26,taux,30),$U26/1000*VLOOKUP($F26,taux,30))))</f>
        <v>0</v>
      </c>
      <c r="W26" s="110">
        <f t="shared" si="0"/>
        <v>0</v>
      </c>
      <c r="X26" s="383">
        <f>IF(B26=" ",0,EDATE((Données!E66),780))</f>
        <v>0</v>
      </c>
      <c r="Y26" s="383">
        <f t="shared" si="1"/>
        <v>0</v>
      </c>
      <c r="Z26" s="384">
        <f>IF($B26=" ",0,IF(Données!$T66="non couvert",0,IF(Données!$U66="oui",MIN(VLOOKUP($F26,taux,26),ROUNDUP(IF($E26/12&gt;VLOOKUP($F26,taux,21)+VLOOKUP($F26,taux,23),(VLOOKUP($F26,taux,20)*VLOOKUP($F26,taux,21))+(VLOOKUP($F26,taux,22)*VLOOKUP($F26,taux,23))+($E26/12-VLOOKUP($F26,taux,21)-VLOOKUP($F26,taux,23))*VLOOKUP($F26,taux,24),IF($E26/12&gt;VLOOKUP($F26,taux,21),(VLOOKUP($F26,taux,20)*VLOOKUP($F26,taux,21))+($E26/12-VLOOKUP($F26,taux,21))*VLOOKUP($F26,taux,22),$E26/12*VLOOKUP($F26,taux,20))),0)),MIN(VLOOKUP($F26,taux,25),ROUNDUP(IF($E26/12&gt;VLOOKUP($F26,taux,21)+VLOOKUP($F26,taux,23),(VLOOKUP($F26,taux,20)*VLOOKUP($F26,taux,21))+(VLOOKUP($F26,taux,22)*VLOOKUP($F26,taux,23))+($E26/12-VLOOKUP($F26,taux,21)-VLOOKUP($F26,taux,23))*VLOOKUP($F26,taux,24),IF($E26/12&gt;VLOOKUP($F26,taux,21),(VLOOKUP($F26,taux,20)*VLOOKUP($F26,taux,21))+($E26/12-VLOOKUP($F26,taux,21))*VLOOKUP($F26,taux,22),$E26/12*VLOOKUP($F26,taux,20))),0)))))</f>
        <v>0</v>
      </c>
      <c r="AA26" s="111">
        <f ca="1">IF(C26&gt;=70,0,IF($B26=" ",0,IF(Données!$X66="non couvert"," ",Données!Y66)))</f>
        <v>0</v>
      </c>
      <c r="AB26" s="110">
        <f>IF($B26=" ",0,IF(Données!$X66="exo",0,IF($AA26="ind",VLOOKUP($F26,taux,34),IF($AA26="fam",VLOOKUP($F26,taux,35),IF($AA26="mono",VLOOKUP($F26,taux,36),IF($AA26="couple",VLOOKUP($F26,taux,37),0))))))</f>
        <v>0</v>
      </c>
      <c r="AC26" s="111">
        <f ca="1">IF(C26&gt;=70,0,IF($B26=" ",0,IF(Données!$Z66="non couvert"," ",Données!AA66)))</f>
        <v>0</v>
      </c>
      <c r="AD26" s="110">
        <f>IF($B26=" ",0,IF(Données!$Z66="exo",0,IF($AC26="ind",VLOOKUP($F26,taux,38),IF($AC26="fam",VLOOKUP($F26,taux,39),IF($AC26="mono",VLOOKUP($F26,taux,40),IF($AC26="couple",VLOOKUP($F26,taux,41),0))))))</f>
        <v>0</v>
      </c>
      <c r="AE26" s="112">
        <f>IF($B26=" ",0,IF(Données!$AB66="non couvert"," ",Données!AC66))</f>
        <v>0</v>
      </c>
      <c r="AF26" s="113">
        <f>IF($B26=" ",0,IF(Données!$AB66="exo",0,IF($AE26="ind",VLOOKUP($F26,taux,42),IF($AE26="fam",VLOOKUP($F26,taux,43),IF($AE26="mono",VLOOKUP($F26,taux,44),IF($AE26="couple",VLOOKUP($F26,taux,45),0))))))</f>
        <v>0</v>
      </c>
      <c r="AG26" s="114">
        <f t="shared" ca="1" si="2"/>
        <v>0</v>
      </c>
      <c r="AH26" s="114">
        <f>IF($B26=" ",0,IF(Données!J66="Manitoba",(Facture!H26+Facture!J26+Facture!L26+Facture!P26+Facture!R26+Facture!T26)*0.08,(AG26-W26)*IF(Données!$J66="qc",0.09,IF(Données!$J66="on",0.08,0))+W26*VLOOKUP($F26,taux,28)))</f>
        <v>0</v>
      </c>
      <c r="AI26" s="106">
        <f t="shared" ca="1" si="4"/>
        <v>0</v>
      </c>
    </row>
    <row r="27" spans="1:35" s="64" customFormat="1">
      <c r="A27" s="89">
        <f t="shared" si="5"/>
        <v>13</v>
      </c>
      <c r="B27" s="99" t="str">
        <f>CONCATENATE(Données!B67," ",Données!C67)</f>
        <v xml:space="preserve"> </v>
      </c>
      <c r="C27" s="410">
        <f ca="1">IF(B27="",0,INT((TODAY()-Données!E67)/365.25))</f>
        <v>119</v>
      </c>
      <c r="D27" s="100">
        <f>Données!D67</f>
        <v>0</v>
      </c>
      <c r="E27" s="101">
        <f>Données!I67</f>
        <v>0</v>
      </c>
      <c r="F27" s="102" t="str">
        <f>Données!AD67</f>
        <v/>
      </c>
      <c r="G27" s="103">
        <f ca="1">INDEX({1;0.5;0},MATCH(C27,{1;65;70}))*M27</f>
        <v>0</v>
      </c>
      <c r="H27" s="104">
        <f>IF($B27=" ",0,IF(Données!$K67="exo",0,$G27/1000*VLOOKUP($F27,taux,2)))</f>
        <v>0</v>
      </c>
      <c r="I27" s="398">
        <f ca="1">IF(C27&gt;=65,0,Données!M67*5000)</f>
        <v>0</v>
      </c>
      <c r="J27" s="104">
        <f ca="1">I27/1000*(IF(I27=0,0,1)*VLOOKUP((1+(C27&gt;=20)+(C27&gt;=25)+(C27&gt;=30)+(C27&gt;=35)+(C27&gt;=40)+(C27&gt;=45)+(C27&gt;=50)+(C27&gt;=55)+(C27&gt;=60)+(C27&gt;=65)),Test,2+(IF(Données!F67="H",1,3))+(IF(Données!G67="F",1,0))))</f>
        <v>0</v>
      </c>
      <c r="K27" s="103">
        <f ca="1">INDEX({1;0.5;0},MATCH(C27,{1;65;70}))*M27</f>
        <v>0</v>
      </c>
      <c r="L27" s="104">
        <f>IF($B27=" ",0,IF(Données!$N67="exo",0,$K27/1000*VLOOKUP($F27,taux,6)))</f>
        <v>0</v>
      </c>
      <c r="M27" s="379">
        <f>IF($B27=" ",0,IF(Données!$K67="NON COUVERT",0,IF(AND(Données!$L67="oui",Données!$K67=0.5),MIN(VLOOKUP($F27,taux,5)/2,ROUNDUP(VLOOKUP($F27,taux,3)*$E27,-3)/2),IF(Données!$K67=0.5,MIN(VLOOKUP($F27,taux,4)/2,ROUNDUP(VLOOKUP($F27,taux,3)*$E27,-3)/2),ROUNDUP(IF(Données!$L67="OUI",MIN(VLOOKUP($F27,taux,3)*$E27,VLOOKUP($F27,taux,5)),MIN(VLOOKUP($F27,taux,3)*$E27,VLOOKUP($F27,taux,4))),-3)))))</f>
        <v>0</v>
      </c>
      <c r="N27" s="379">
        <f>IF($B27=" ",0,IF(Données!$N67="NON COUVERT",0,IF(AND(Données!$O67="oui",Données!$N67=0.5),MIN(VLOOKUP($F27,taux,9)/2,ROUNDUP(VLOOKUP($F27,taux,7)*$E27,-3)/2),IF(Données!$N67=0.5,MIN(VLOOKUP($F27,taux,8)/2,ROUNDUP(VLOOKUP($F27,taux,7)*$E27,-3)/2),ROUNDUP(IF(Données!$O67="OUI",MIN(VLOOKUP($F27,taux,7)*$E27,VLOOKUP($F27,taux,9)),MIN(VLOOKUP($F27,taux,7)*$E27,VLOOKUP($F27,taux,8))),-3)))))</f>
        <v>0</v>
      </c>
      <c r="O27" s="105">
        <f ca="1">IF(C27&gt;=70,0,IF($B27=" ",0,IF(Données!P67="non couvert"," ",Données!Q67)))</f>
        <v>0</v>
      </c>
      <c r="P27" s="106">
        <f>IF($B27=" ",0,IF(Données!$P67="exo",0,IF($O27="FAM",VLOOKUP($F27,taux,10),IF($O27="MONO",VLOOKUP($F27,taux,11),IF($O27="COUPLE",VLOOKUP($F27,taux,12),0)))))</f>
        <v>0</v>
      </c>
      <c r="Q27" s="107">
        <f ca="1">IF(C27&gt;=70,0,IF($B27=" ",0,IF(Données!$R67="NON COUVERT",0,ROUNDUP(IF(Données!$S67="OUI",MIN($E27*VLOOKUP($F27,taux,15)/52,VLOOKUP($F27,taux,17)),MIN($E27*VLOOKUP($F27,taux,15)/52,VLOOKUP($F27,taux,16))),0))))</f>
        <v>0</v>
      </c>
      <c r="R27" s="108">
        <f>IF($B27=" ",0,IF(Données!$R67="EXO",0,$Q27*VLOOKUP($F27,taux,13)/10))</f>
        <v>0</v>
      </c>
      <c r="S27" s="109">
        <f t="shared" ca="1" si="3"/>
        <v>0</v>
      </c>
      <c r="T27" s="110">
        <f>IF(B27=" ",0,IF(Données!$T67="exo",0,$S27*VLOOKUP($F27,taux,18)/100))</f>
        <v>0</v>
      </c>
      <c r="U27" s="109">
        <f>IF($B27=" ",0,IF(Données!$V67="non couvert",0,IF(VLOOKUP($F27,taux,29)="fixe","s/o",IF(Données!$W67="oui",MIN(ROUNDUP(VLOOKUP($F27,taux,31)*$E27,-3),VLOOKUP($F27,taux,33)),MIN(ROUNDUP(VLOOKUP($F27,taux,31)*$E27,-3),VLOOKUP($F27,taux,32))))))</f>
        <v>0</v>
      </c>
      <c r="V27" s="110">
        <f>IF(B27=" ",0,IF(Données!$V67="exo",0,IF(VLOOKUP($F27,taux,29)="fixe",VLOOKUP($F27,taux,30),$U27/1000*VLOOKUP($F27,taux,30))))</f>
        <v>0</v>
      </c>
      <c r="W27" s="110">
        <f t="shared" si="0"/>
        <v>0</v>
      </c>
      <c r="X27" s="383">
        <f>IF(B27=" ",0,EDATE((Données!E67),780))</f>
        <v>0</v>
      </c>
      <c r="Y27" s="383">
        <f t="shared" si="1"/>
        <v>0</v>
      </c>
      <c r="Z27" s="384">
        <f>IF($B27=" ",0,IF(Données!$T67="non couvert",0,IF(Données!$U67="oui",MIN(VLOOKUP($F27,taux,26),ROUNDUP(IF($E27/12&gt;VLOOKUP($F27,taux,21)+VLOOKUP($F27,taux,23),(VLOOKUP($F27,taux,20)*VLOOKUP($F27,taux,21))+(VLOOKUP($F27,taux,22)*VLOOKUP($F27,taux,23))+($E27/12-VLOOKUP($F27,taux,21)-VLOOKUP($F27,taux,23))*VLOOKUP($F27,taux,24),IF($E27/12&gt;VLOOKUP($F27,taux,21),(VLOOKUP($F27,taux,20)*VLOOKUP($F27,taux,21))+($E27/12-VLOOKUP($F27,taux,21))*VLOOKUP($F27,taux,22),$E27/12*VLOOKUP($F27,taux,20))),0)),MIN(VLOOKUP($F27,taux,25),ROUNDUP(IF($E27/12&gt;VLOOKUP($F27,taux,21)+VLOOKUP($F27,taux,23),(VLOOKUP($F27,taux,20)*VLOOKUP($F27,taux,21))+(VLOOKUP($F27,taux,22)*VLOOKUP($F27,taux,23))+($E27/12-VLOOKUP($F27,taux,21)-VLOOKUP($F27,taux,23))*VLOOKUP($F27,taux,24),IF($E27/12&gt;VLOOKUP($F27,taux,21),(VLOOKUP($F27,taux,20)*VLOOKUP($F27,taux,21))+($E27/12-VLOOKUP($F27,taux,21))*VLOOKUP($F27,taux,22),$E27/12*VLOOKUP($F27,taux,20))),0)))))</f>
        <v>0</v>
      </c>
      <c r="AA27" s="111">
        <f ca="1">IF(C27&gt;=70,0,IF($B27=" ",0,IF(Données!$X67="non couvert"," ",Données!Y67)))</f>
        <v>0</v>
      </c>
      <c r="AB27" s="110">
        <f>IF($B27=" ",0,IF(Données!$X67="exo",0,IF($AA27="ind",VLOOKUP($F27,taux,34),IF($AA27="fam",VLOOKUP($F27,taux,35),IF($AA27="mono",VLOOKUP($F27,taux,36),IF($AA27="couple",VLOOKUP($F27,taux,37),0))))))</f>
        <v>0</v>
      </c>
      <c r="AC27" s="111">
        <f ca="1">IF(C27&gt;=70,0,IF($B27=" ",0,IF(Données!$Z67="non couvert"," ",Données!AA67)))</f>
        <v>0</v>
      </c>
      <c r="AD27" s="110">
        <f>IF($B27=" ",0,IF(Données!$Z67="exo",0,IF($AC27="ind",VLOOKUP($F27,taux,38),IF($AC27="fam",VLOOKUP($F27,taux,39),IF($AC27="mono",VLOOKUP($F27,taux,40),IF($AC27="couple",VLOOKUP($F27,taux,41),0))))))</f>
        <v>0</v>
      </c>
      <c r="AE27" s="112">
        <f>IF($B27=" ",0,IF(Données!$AB67="non couvert"," ",Données!AC67))</f>
        <v>0</v>
      </c>
      <c r="AF27" s="113">
        <f>IF($B27=" ",0,IF(Données!$AB67="exo",0,IF($AE27="ind",VLOOKUP($F27,taux,42),IF($AE27="fam",VLOOKUP($F27,taux,43),IF($AE27="mono",VLOOKUP($F27,taux,44),IF($AE27="couple",VLOOKUP($F27,taux,45),0))))))</f>
        <v>0</v>
      </c>
      <c r="AG27" s="114">
        <f t="shared" ca="1" si="2"/>
        <v>0</v>
      </c>
      <c r="AH27" s="114">
        <f>IF($B27=" ",0,IF(Données!J67="Manitoba",(Facture!H27+Facture!J27+Facture!L27+Facture!P27+Facture!R27+Facture!T27)*0.08,(AG27-W27)*IF(Données!$J67="qc",0.09,IF(Données!$J67="on",0.08,0))+W27*VLOOKUP($F27,taux,28)))</f>
        <v>0</v>
      </c>
      <c r="AI27" s="106">
        <f t="shared" ca="1" si="4"/>
        <v>0</v>
      </c>
    </row>
    <row r="28" spans="1:35" s="64" customFormat="1">
      <c r="A28" s="89">
        <f t="shared" si="5"/>
        <v>14</v>
      </c>
      <c r="B28" s="99" t="str">
        <f>CONCATENATE(Données!B68," ",Données!C68)</f>
        <v xml:space="preserve"> </v>
      </c>
      <c r="C28" s="410">
        <f ca="1">IF(B28="",0,INT((TODAY()-Données!E68)/365.25))</f>
        <v>119</v>
      </c>
      <c r="D28" s="100">
        <f>Données!D68</f>
        <v>0</v>
      </c>
      <c r="E28" s="101">
        <f>Données!I68</f>
        <v>0</v>
      </c>
      <c r="F28" s="102" t="str">
        <f>Données!AD68</f>
        <v/>
      </c>
      <c r="G28" s="103">
        <f ca="1">INDEX({1;0.5;0},MATCH(C28,{1;65;70}))*M28</f>
        <v>0</v>
      </c>
      <c r="H28" s="104">
        <f>IF($B28=" ",0,IF(Données!$K68="exo",0,$G28/1000*VLOOKUP($F28,taux,2)))</f>
        <v>0</v>
      </c>
      <c r="I28" s="398">
        <f ca="1">IF(C28&gt;=65,0,Données!M68*5000)</f>
        <v>0</v>
      </c>
      <c r="J28" s="104">
        <f ca="1">I28/1000*(IF(I28=0,0,1)*VLOOKUP((1+(C28&gt;=20)+(C28&gt;=25)+(C28&gt;=30)+(C28&gt;=35)+(C28&gt;=40)+(C28&gt;=45)+(C28&gt;=50)+(C28&gt;=55)+(C28&gt;=60)+(C28&gt;=65)),Test,2+(IF(Données!F68="H",1,3))+(IF(Données!G68="F",1,0))))</f>
        <v>0</v>
      </c>
      <c r="K28" s="103">
        <f ca="1">INDEX({1;0.5;0},MATCH(C28,{1;65;70}))*M28</f>
        <v>0</v>
      </c>
      <c r="L28" s="104">
        <f>IF($B28=" ",0,IF(Données!$N68="exo",0,$K28/1000*VLOOKUP($F28,taux,6)))</f>
        <v>0</v>
      </c>
      <c r="M28" s="379">
        <f>IF($B28=" ",0,IF(Données!$K68="NON COUVERT",0,IF(AND(Données!$L68="oui",Données!$K68=0.5),MIN(VLOOKUP($F28,taux,5)/2,ROUNDUP(VLOOKUP($F28,taux,3)*$E28,-3)/2),IF(Données!$K68=0.5,MIN(VLOOKUP($F28,taux,4)/2,ROUNDUP(VLOOKUP($F28,taux,3)*$E28,-3)/2),ROUNDUP(IF(Données!$L68="OUI",MIN(VLOOKUP($F28,taux,3)*$E28,VLOOKUP($F28,taux,5)),MIN(VLOOKUP($F28,taux,3)*$E28,VLOOKUP($F28,taux,4))),-3)))))</f>
        <v>0</v>
      </c>
      <c r="N28" s="379">
        <f>IF($B28=" ",0,IF(Données!$N68="NON COUVERT",0,IF(AND(Données!$O68="oui",Données!$N68=0.5),MIN(VLOOKUP($F28,taux,9)/2,ROUNDUP(VLOOKUP($F28,taux,7)*$E28,-3)/2),IF(Données!$N68=0.5,MIN(VLOOKUP($F28,taux,8)/2,ROUNDUP(VLOOKUP($F28,taux,7)*$E28,-3)/2),ROUNDUP(IF(Données!$O68="OUI",MIN(VLOOKUP($F28,taux,7)*$E28,VLOOKUP($F28,taux,9)),MIN(VLOOKUP($F28,taux,7)*$E28,VLOOKUP($F28,taux,8))),-3)))))</f>
        <v>0</v>
      </c>
      <c r="O28" s="105">
        <f ca="1">IF(C28&gt;=70,0,IF($B28=" ",0,IF(Données!P68="non couvert"," ",Données!Q68)))</f>
        <v>0</v>
      </c>
      <c r="P28" s="106">
        <f>IF($B28=" ",0,IF(Données!$P68="exo",0,IF($O28="FAM",VLOOKUP($F28,taux,10),IF($O28="MONO",VLOOKUP($F28,taux,11),IF($O28="COUPLE",VLOOKUP($F28,taux,12),0)))))</f>
        <v>0</v>
      </c>
      <c r="Q28" s="107">
        <f ca="1">IF(C28&gt;=70,0,IF($B28=" ",0,IF(Données!$R68="NON COUVERT",0,ROUNDUP(IF(Données!$S68="OUI",MIN($E28*VLOOKUP($F28,taux,15)/52,VLOOKUP($F28,taux,17)),MIN($E28*VLOOKUP($F28,taux,15)/52,VLOOKUP($F28,taux,16))),0))))</f>
        <v>0</v>
      </c>
      <c r="R28" s="108">
        <f>IF($B28=" ",0,IF(Données!$R68="EXO",0,$Q28*VLOOKUP($F28,taux,13)/10))</f>
        <v>0</v>
      </c>
      <c r="S28" s="109">
        <f t="shared" ca="1" si="3"/>
        <v>0</v>
      </c>
      <c r="T28" s="110">
        <f>IF(B28=" ",0,IF(Données!$T68="exo",0,$S28*VLOOKUP($F28,taux,18)/100))</f>
        <v>0</v>
      </c>
      <c r="U28" s="109">
        <f>IF($B28=" ",0,IF(Données!$V68="non couvert",0,IF(VLOOKUP($F28,taux,29)="fixe","s/o",IF(Données!$W68="oui",MIN(ROUNDUP(VLOOKUP($F28,taux,31)*$E28,-3),VLOOKUP($F28,taux,33)),MIN(ROUNDUP(VLOOKUP($F28,taux,31)*$E28,-3),VLOOKUP($F28,taux,32))))))</f>
        <v>0</v>
      </c>
      <c r="V28" s="110">
        <f>IF(B28=" ",0,IF(Données!$V68="exo",0,IF(VLOOKUP($F28,taux,29)="fixe",VLOOKUP($F28,taux,30),$U28/1000*VLOOKUP($F28,taux,30))))</f>
        <v>0</v>
      </c>
      <c r="W28" s="110">
        <f t="shared" si="0"/>
        <v>0</v>
      </c>
      <c r="X28" s="383">
        <f>IF(B28=" ",0,EDATE((Données!E68),780))</f>
        <v>0</v>
      </c>
      <c r="Y28" s="383">
        <f t="shared" si="1"/>
        <v>0</v>
      </c>
      <c r="Z28" s="384">
        <f>IF($B28=" ",0,IF(Données!$T68="non couvert",0,IF(Données!$U68="oui",MIN(VLOOKUP($F28,taux,26),ROUNDUP(IF($E28/12&gt;VLOOKUP($F28,taux,21)+VLOOKUP($F28,taux,23),(VLOOKUP($F28,taux,20)*VLOOKUP($F28,taux,21))+(VLOOKUP($F28,taux,22)*VLOOKUP($F28,taux,23))+($E28/12-VLOOKUP($F28,taux,21)-VLOOKUP($F28,taux,23))*VLOOKUP($F28,taux,24),IF($E28/12&gt;VLOOKUP($F28,taux,21),(VLOOKUP($F28,taux,20)*VLOOKUP($F28,taux,21))+($E28/12-VLOOKUP($F28,taux,21))*VLOOKUP($F28,taux,22),$E28/12*VLOOKUP($F28,taux,20))),0)),MIN(VLOOKUP($F28,taux,25),ROUNDUP(IF($E28/12&gt;VLOOKUP($F28,taux,21)+VLOOKUP($F28,taux,23),(VLOOKUP($F28,taux,20)*VLOOKUP($F28,taux,21))+(VLOOKUP($F28,taux,22)*VLOOKUP($F28,taux,23))+($E28/12-VLOOKUP($F28,taux,21)-VLOOKUP($F28,taux,23))*VLOOKUP($F28,taux,24),IF($E28/12&gt;VLOOKUP($F28,taux,21),(VLOOKUP($F28,taux,20)*VLOOKUP($F28,taux,21))+($E28/12-VLOOKUP($F28,taux,21))*VLOOKUP($F28,taux,22),$E28/12*VLOOKUP($F28,taux,20))),0)))))</f>
        <v>0</v>
      </c>
      <c r="AA28" s="111">
        <f ca="1">IF(C28&gt;=70,0,IF($B28=" ",0,IF(Données!$X68="non couvert"," ",Données!Y68)))</f>
        <v>0</v>
      </c>
      <c r="AB28" s="110">
        <f>IF($B28=" ",0,IF(Données!$X68="exo",0,IF($AA28="ind",VLOOKUP($F28,taux,34),IF($AA28="fam",VLOOKUP($F28,taux,35),IF($AA28="mono",VLOOKUP($F28,taux,36),IF($AA28="couple",VLOOKUP($F28,taux,37),0))))))</f>
        <v>0</v>
      </c>
      <c r="AC28" s="111">
        <f ca="1">IF(C28&gt;=70,0,IF($B28=" ",0,IF(Données!$Z68="non couvert"," ",Données!AA68)))</f>
        <v>0</v>
      </c>
      <c r="AD28" s="110">
        <f>IF($B28=" ",0,IF(Données!$Z68="exo",0,IF($AC28="ind",VLOOKUP($F28,taux,38),IF($AC28="fam",VLOOKUP($F28,taux,39),IF($AC28="mono",VLOOKUP($F28,taux,40),IF($AC28="couple",VLOOKUP($F28,taux,41),0))))))</f>
        <v>0</v>
      </c>
      <c r="AE28" s="112">
        <f>IF($B28=" ",0,IF(Données!$AB68="non couvert"," ",Données!AC68))</f>
        <v>0</v>
      </c>
      <c r="AF28" s="113">
        <f>IF($B28=" ",0,IF(Données!$AB68="exo",0,IF($AE28="ind",VLOOKUP($F28,taux,42),IF($AE28="fam",VLOOKUP($F28,taux,43),IF($AE28="mono",VLOOKUP($F28,taux,44),IF($AE28="couple",VLOOKUP($F28,taux,45),0))))))</f>
        <v>0</v>
      </c>
      <c r="AG28" s="114">
        <f t="shared" ca="1" si="2"/>
        <v>0</v>
      </c>
      <c r="AH28" s="114">
        <f>IF($B28=" ",0,IF(Données!J68="Manitoba",(Facture!H28+Facture!J28+Facture!L28+Facture!P28+Facture!R28+Facture!T28)*0.08,(AG28-W28)*IF(Données!$J68="qc",0.09,IF(Données!$J68="on",0.08,0))+W28*VLOOKUP($F28,taux,28)))</f>
        <v>0</v>
      </c>
      <c r="AI28" s="106">
        <f t="shared" ca="1" si="4"/>
        <v>0</v>
      </c>
    </row>
    <row r="29" spans="1:35" s="64" customFormat="1">
      <c r="A29" s="89">
        <f t="shared" si="5"/>
        <v>15</v>
      </c>
      <c r="B29" s="99" t="str">
        <f>CONCATENATE(Données!B69," ",Données!C69)</f>
        <v xml:space="preserve"> </v>
      </c>
      <c r="C29" s="410">
        <f ca="1">IF(B29="",0,INT((TODAY()-Données!E69)/365.25))</f>
        <v>119</v>
      </c>
      <c r="D29" s="100">
        <f>Données!D69</f>
        <v>0</v>
      </c>
      <c r="E29" s="101">
        <f>Données!I69</f>
        <v>0</v>
      </c>
      <c r="F29" s="102" t="str">
        <f>Données!AD69</f>
        <v/>
      </c>
      <c r="G29" s="103">
        <f ca="1">INDEX({1;0.5;0},MATCH(C29,{1;65;70}))*M29</f>
        <v>0</v>
      </c>
      <c r="H29" s="104">
        <f>IF($B29=" ",0,IF(Données!$K69="exo",0,$G29/1000*VLOOKUP($F29,taux,2)))</f>
        <v>0</v>
      </c>
      <c r="I29" s="398">
        <f ca="1">IF(C29&gt;=65,0,Données!M69*5000)</f>
        <v>0</v>
      </c>
      <c r="J29" s="104">
        <f ca="1">I29/1000*(IF(I29=0,0,1)*VLOOKUP((1+(C29&gt;=20)+(C29&gt;=25)+(C29&gt;=30)+(C29&gt;=35)+(C29&gt;=40)+(C29&gt;=45)+(C29&gt;=50)+(C29&gt;=55)+(C29&gt;=60)+(C29&gt;=65)),Test,2+(IF(Données!F69="H",1,3))+(IF(Données!G69="F",1,0))))</f>
        <v>0</v>
      </c>
      <c r="K29" s="103">
        <f ca="1">INDEX({1;0.5;0},MATCH(C29,{1;65;70}))*M29</f>
        <v>0</v>
      </c>
      <c r="L29" s="104">
        <f>IF($B29=" ",0,IF(Données!$N69="exo",0,$K29/1000*VLOOKUP($F29,taux,6)))</f>
        <v>0</v>
      </c>
      <c r="M29" s="379">
        <f>IF($B29=" ",0,IF(Données!$K69="NON COUVERT",0,IF(AND(Données!$L69="oui",Données!$K69=0.5),MIN(VLOOKUP($F29,taux,5)/2,ROUNDUP(VLOOKUP($F29,taux,3)*$E29,-3)/2),IF(Données!$K69=0.5,MIN(VLOOKUP($F29,taux,4)/2,ROUNDUP(VLOOKUP($F29,taux,3)*$E29,-3)/2),ROUNDUP(IF(Données!$L69="OUI",MIN(VLOOKUP($F29,taux,3)*$E29,VLOOKUP($F29,taux,5)),MIN(VLOOKUP($F29,taux,3)*$E29,VLOOKUP($F29,taux,4))),-3)))))</f>
        <v>0</v>
      </c>
      <c r="N29" s="379">
        <f>IF($B29=" ",0,IF(Données!$N69="NON COUVERT",0,IF(AND(Données!$O69="oui",Données!$N69=0.5),MIN(VLOOKUP($F29,taux,9)/2,ROUNDUP(VLOOKUP($F29,taux,7)*$E29,-3)/2),IF(Données!$N69=0.5,MIN(VLOOKUP($F29,taux,8)/2,ROUNDUP(VLOOKUP($F29,taux,7)*$E29,-3)/2),ROUNDUP(IF(Données!$O69="OUI",MIN(VLOOKUP($F29,taux,7)*$E29,VLOOKUP($F29,taux,9)),MIN(VLOOKUP($F29,taux,7)*$E29,VLOOKUP($F29,taux,8))),-3)))))</f>
        <v>0</v>
      </c>
      <c r="O29" s="105">
        <f ca="1">IF(C29&gt;=70,0,IF($B29=" ",0,IF(Données!P69="non couvert"," ",Données!Q69)))</f>
        <v>0</v>
      </c>
      <c r="P29" s="106">
        <f>IF($B29=" ",0,IF(Données!$P69="exo",0,IF($O29="FAM",VLOOKUP($F29,taux,10),IF($O29="MONO",VLOOKUP($F29,taux,11),IF($O29="COUPLE",VLOOKUP($F29,taux,12),0)))))</f>
        <v>0</v>
      </c>
      <c r="Q29" s="107">
        <f ca="1">IF(C29&gt;=70,0,IF($B29=" ",0,IF(Données!$R69="NON COUVERT",0,ROUNDUP(IF(Données!$S69="OUI",MIN($E29*VLOOKUP($F29,taux,15)/52,VLOOKUP($F29,taux,17)),MIN($E29*VLOOKUP($F29,taux,15)/52,VLOOKUP($F29,taux,16))),0))))</f>
        <v>0</v>
      </c>
      <c r="R29" s="108">
        <f>IF($B29=" ",0,IF(Données!$R69="EXO",0,$Q29*VLOOKUP($F29,taux,13)/10))</f>
        <v>0</v>
      </c>
      <c r="S29" s="109">
        <f t="shared" ca="1" si="3"/>
        <v>0</v>
      </c>
      <c r="T29" s="110">
        <f>IF(B29=" ",0,IF(Données!$T69="exo",0,$S29*VLOOKUP($F29,taux,18)/100))</f>
        <v>0</v>
      </c>
      <c r="U29" s="109">
        <f>IF($B29=" ",0,IF(Données!$V69="non couvert",0,IF(VLOOKUP($F29,taux,29)="fixe","s/o",IF(Données!$W69="oui",MIN(ROUNDUP(VLOOKUP($F29,taux,31)*$E29,-3),VLOOKUP($F29,taux,33)),MIN(ROUNDUP(VLOOKUP($F29,taux,31)*$E29,-3),VLOOKUP($F29,taux,32))))))</f>
        <v>0</v>
      </c>
      <c r="V29" s="110">
        <f>IF(B29=" ",0,IF(Données!$V69="exo",0,IF(VLOOKUP($F29,taux,29)="fixe",VLOOKUP($F29,taux,30),$U29/1000*VLOOKUP($F29,taux,30))))</f>
        <v>0</v>
      </c>
      <c r="W29" s="110">
        <f t="shared" si="0"/>
        <v>0</v>
      </c>
      <c r="X29" s="383">
        <f>IF(B29=" ",0,EDATE((Données!E69),780))</f>
        <v>0</v>
      </c>
      <c r="Y29" s="383">
        <f t="shared" si="1"/>
        <v>0</v>
      </c>
      <c r="Z29" s="384">
        <f>IF($B29=" ",0,IF(Données!$T69="non couvert",0,IF(Données!$U69="oui",MIN(VLOOKUP($F29,taux,26),ROUNDUP(IF($E29/12&gt;VLOOKUP($F29,taux,21)+VLOOKUP($F29,taux,23),(VLOOKUP($F29,taux,20)*VLOOKUP($F29,taux,21))+(VLOOKUP($F29,taux,22)*VLOOKUP($F29,taux,23))+($E29/12-VLOOKUP($F29,taux,21)-VLOOKUP($F29,taux,23))*VLOOKUP($F29,taux,24),IF($E29/12&gt;VLOOKUP($F29,taux,21),(VLOOKUP($F29,taux,20)*VLOOKUP($F29,taux,21))+($E29/12-VLOOKUP($F29,taux,21))*VLOOKUP($F29,taux,22),$E29/12*VLOOKUP($F29,taux,20))),0)),MIN(VLOOKUP($F29,taux,25),ROUNDUP(IF($E29/12&gt;VLOOKUP($F29,taux,21)+VLOOKUP($F29,taux,23),(VLOOKUP($F29,taux,20)*VLOOKUP($F29,taux,21))+(VLOOKUP($F29,taux,22)*VLOOKUP($F29,taux,23))+($E29/12-VLOOKUP($F29,taux,21)-VLOOKUP($F29,taux,23))*VLOOKUP($F29,taux,24),IF($E29/12&gt;VLOOKUP($F29,taux,21),(VLOOKUP($F29,taux,20)*VLOOKUP($F29,taux,21))+($E29/12-VLOOKUP($F29,taux,21))*VLOOKUP($F29,taux,22),$E29/12*VLOOKUP($F29,taux,20))),0)))))</f>
        <v>0</v>
      </c>
      <c r="AA29" s="111">
        <f ca="1">IF(C29&gt;=70,0,IF($B29=" ",0,IF(Données!$X69="non couvert"," ",Données!Y69)))</f>
        <v>0</v>
      </c>
      <c r="AB29" s="110">
        <f>IF($B29=" ",0,IF(Données!$X69="exo",0,IF($AA29="ind",VLOOKUP($F29,taux,34),IF($AA29="fam",VLOOKUP($F29,taux,35),IF($AA29="mono",VLOOKUP($F29,taux,36),IF($AA29="couple",VLOOKUP($F29,taux,37),0))))))</f>
        <v>0</v>
      </c>
      <c r="AC29" s="111">
        <f ca="1">IF(C29&gt;=70,0,IF($B29=" ",0,IF(Données!$Z69="non couvert"," ",Données!AA69)))</f>
        <v>0</v>
      </c>
      <c r="AD29" s="110">
        <f>IF($B29=" ",0,IF(Données!$Z69="exo",0,IF($AC29="ind",VLOOKUP($F29,taux,38),IF($AC29="fam",VLOOKUP($F29,taux,39),IF($AC29="mono",VLOOKUP($F29,taux,40),IF($AC29="couple",VLOOKUP($F29,taux,41),0))))))</f>
        <v>0</v>
      </c>
      <c r="AE29" s="112">
        <f>IF($B29=" ",0,IF(Données!$AB69="non couvert"," ",Données!AC69))</f>
        <v>0</v>
      </c>
      <c r="AF29" s="113">
        <f>IF($B29=" ",0,IF(Données!$AB69="exo",0,IF($AE29="ind",VLOOKUP($F29,taux,42),IF($AE29="fam",VLOOKUP($F29,taux,43),IF($AE29="mono",VLOOKUP($F29,taux,44),IF($AE29="couple",VLOOKUP($F29,taux,45),0))))))</f>
        <v>0</v>
      </c>
      <c r="AG29" s="114">
        <f t="shared" ca="1" si="2"/>
        <v>0</v>
      </c>
      <c r="AH29" s="114">
        <f>IF($B29=" ",0,IF(Données!J69="Manitoba",(Facture!H29+Facture!J29+Facture!L29+Facture!P29+Facture!R29+Facture!T29)*0.08,(AG29-W29)*IF(Données!$J69="qc",0.09,IF(Données!$J69="on",0.08,0))+W29*VLOOKUP($F29,taux,28)))</f>
        <v>0</v>
      </c>
      <c r="AI29" s="106">
        <f t="shared" ca="1" si="4"/>
        <v>0</v>
      </c>
    </row>
    <row r="30" spans="1:35" s="64" customFormat="1">
      <c r="A30" s="89">
        <f t="shared" si="5"/>
        <v>16</v>
      </c>
      <c r="B30" s="99" t="str">
        <f>CONCATENATE(Données!B70," ",Données!C70)</f>
        <v xml:space="preserve"> </v>
      </c>
      <c r="C30" s="410">
        <f ca="1">IF(B30="",0,INT((TODAY()-Données!E70)/365.25))</f>
        <v>119</v>
      </c>
      <c r="D30" s="100">
        <f>Données!D70</f>
        <v>0</v>
      </c>
      <c r="E30" s="101">
        <f>Données!I70</f>
        <v>0</v>
      </c>
      <c r="F30" s="102" t="str">
        <f>Données!AD70</f>
        <v/>
      </c>
      <c r="G30" s="103">
        <f ca="1">INDEX({1;0.5;0},MATCH(C30,{1;65;70}))*M30</f>
        <v>0</v>
      </c>
      <c r="H30" s="104">
        <f>IF($B30=" ",0,IF(Données!$K70="exo",0,$G30/1000*VLOOKUP($F30,taux,2)))</f>
        <v>0</v>
      </c>
      <c r="I30" s="398">
        <f ca="1">IF(C30&gt;=65,0,Données!M70*5000)</f>
        <v>0</v>
      </c>
      <c r="J30" s="104">
        <f ca="1">I30/1000*(IF(I30=0,0,1)*VLOOKUP((1+(C30&gt;=20)+(C30&gt;=25)+(C30&gt;=30)+(C30&gt;=35)+(C30&gt;=40)+(C30&gt;=45)+(C30&gt;=50)+(C30&gt;=55)+(C30&gt;=60)+(C30&gt;=65)),Test,2+(IF(Données!F70="H",1,3))+(IF(Données!G70="F",1,0))))</f>
        <v>0</v>
      </c>
      <c r="K30" s="103">
        <f ca="1">INDEX({1;0.5;0},MATCH(C30,{1;65;70}))*M30</f>
        <v>0</v>
      </c>
      <c r="L30" s="104">
        <f>IF($B30=" ",0,IF(Données!$N70="exo",0,$K30/1000*VLOOKUP($F30,taux,6)))</f>
        <v>0</v>
      </c>
      <c r="M30" s="379">
        <f>IF($B30=" ",0,IF(Données!$K70="NON COUVERT",0,IF(AND(Données!$L70="oui",Données!$K70=0.5),MIN(VLOOKUP($F30,taux,5)/2,ROUNDUP(VLOOKUP($F30,taux,3)*$E30,-3)/2),IF(Données!$K70=0.5,MIN(VLOOKUP($F30,taux,4)/2,ROUNDUP(VLOOKUP($F30,taux,3)*$E30,-3)/2),ROUNDUP(IF(Données!$L70="OUI",MIN(VLOOKUP($F30,taux,3)*$E30,VLOOKUP($F30,taux,5)),MIN(VLOOKUP($F30,taux,3)*$E30,VLOOKUP($F30,taux,4))),-3)))))</f>
        <v>0</v>
      </c>
      <c r="N30" s="379">
        <f>IF($B30=" ",0,IF(Données!$N70="NON COUVERT",0,IF(AND(Données!$O70="oui",Données!$N70=0.5),MIN(VLOOKUP($F30,taux,9)/2,ROUNDUP(VLOOKUP($F30,taux,7)*$E30,-3)/2),IF(Données!$N70=0.5,MIN(VLOOKUP($F30,taux,8)/2,ROUNDUP(VLOOKUP($F30,taux,7)*$E30,-3)/2),ROUNDUP(IF(Données!$O70="OUI",MIN(VLOOKUP($F30,taux,7)*$E30,VLOOKUP($F30,taux,9)),MIN(VLOOKUP($F30,taux,7)*$E30,VLOOKUP($F30,taux,8))),-3)))))</f>
        <v>0</v>
      </c>
      <c r="O30" s="105">
        <f ca="1">IF(C30&gt;=70,0,IF($B30=" ",0,IF(Données!P70="non couvert"," ",Données!Q70)))</f>
        <v>0</v>
      </c>
      <c r="P30" s="106">
        <f>IF($B30=" ",0,IF(Données!$P70="exo",0,IF($O30="FAM",VLOOKUP($F30,taux,10),IF($O30="MONO",VLOOKUP($F30,taux,11),IF($O30="COUPLE",VLOOKUP($F30,taux,12),0)))))</f>
        <v>0</v>
      </c>
      <c r="Q30" s="107">
        <f ca="1">IF(C30&gt;=70,0,IF($B30=" ",0,IF(Données!$R70="NON COUVERT",0,ROUNDUP(IF(Données!$S70="OUI",MIN($E30*VLOOKUP($F30,taux,15)/52,VLOOKUP($F30,taux,17)),MIN($E30*VLOOKUP($F30,taux,15)/52,VLOOKUP($F30,taux,16))),0))))</f>
        <v>0</v>
      </c>
      <c r="R30" s="108">
        <f>IF($B30=" ",0,IF(Données!$R70="EXO",0,$Q30*VLOOKUP($F30,taux,13)/10))</f>
        <v>0</v>
      </c>
      <c r="S30" s="109">
        <f t="shared" ca="1" si="3"/>
        <v>0</v>
      </c>
      <c r="T30" s="110">
        <f>IF(B30=" ",0,IF(Données!$T70="exo",0,$S30*VLOOKUP($F30,taux,18)/100))</f>
        <v>0</v>
      </c>
      <c r="U30" s="109">
        <f>IF($B30=" ",0,IF(Données!$V70="non couvert",0,IF(VLOOKUP($F30,taux,29)="fixe","s/o",IF(Données!$W70="oui",MIN(ROUNDUP(VLOOKUP($F30,taux,31)*$E30,-3),VLOOKUP($F30,taux,33)),MIN(ROUNDUP(VLOOKUP($F30,taux,31)*$E30,-3),VLOOKUP($F30,taux,32))))))</f>
        <v>0</v>
      </c>
      <c r="V30" s="110">
        <f>IF(B30=" ",0,IF(Données!$V70="exo",0,IF(VLOOKUP($F30,taux,29)="fixe",VLOOKUP($F30,taux,30),$U30/1000*VLOOKUP($F30,taux,30))))</f>
        <v>0</v>
      </c>
      <c r="W30" s="110">
        <f t="shared" si="0"/>
        <v>0</v>
      </c>
      <c r="X30" s="383">
        <f>IF(B30=" ",0,EDATE((Données!E70),780))</f>
        <v>0</v>
      </c>
      <c r="Y30" s="383">
        <f t="shared" si="1"/>
        <v>0</v>
      </c>
      <c r="Z30" s="384">
        <f>IF($B30=" ",0,IF(Données!$T70="non couvert",0,IF(Données!$U70="oui",MIN(VLOOKUP($F30,taux,26),ROUNDUP(IF($E30/12&gt;VLOOKUP($F30,taux,21)+VLOOKUP($F30,taux,23),(VLOOKUP($F30,taux,20)*VLOOKUP($F30,taux,21))+(VLOOKUP($F30,taux,22)*VLOOKUP($F30,taux,23))+($E30/12-VLOOKUP($F30,taux,21)-VLOOKUP($F30,taux,23))*VLOOKUP($F30,taux,24),IF($E30/12&gt;VLOOKUP($F30,taux,21),(VLOOKUP($F30,taux,20)*VLOOKUP($F30,taux,21))+($E30/12-VLOOKUP($F30,taux,21))*VLOOKUP($F30,taux,22),$E30/12*VLOOKUP($F30,taux,20))),0)),MIN(VLOOKUP($F30,taux,25),ROUNDUP(IF($E30/12&gt;VLOOKUP($F30,taux,21)+VLOOKUP($F30,taux,23),(VLOOKUP($F30,taux,20)*VLOOKUP($F30,taux,21))+(VLOOKUP($F30,taux,22)*VLOOKUP($F30,taux,23))+($E30/12-VLOOKUP($F30,taux,21)-VLOOKUP($F30,taux,23))*VLOOKUP($F30,taux,24),IF($E30/12&gt;VLOOKUP($F30,taux,21),(VLOOKUP($F30,taux,20)*VLOOKUP($F30,taux,21))+($E30/12-VLOOKUP($F30,taux,21))*VLOOKUP($F30,taux,22),$E30/12*VLOOKUP($F30,taux,20))),0)))))</f>
        <v>0</v>
      </c>
      <c r="AA30" s="111">
        <f ca="1">IF(C30&gt;=70,0,IF($B30=" ",0,IF(Données!$X70="non couvert"," ",Données!Y70)))</f>
        <v>0</v>
      </c>
      <c r="AB30" s="110">
        <f>IF($B30=" ",0,IF(Données!$X70="exo",0,IF($AA30="ind",VLOOKUP($F30,taux,34),IF($AA30="fam",VLOOKUP($F30,taux,35),IF($AA30="mono",VLOOKUP($F30,taux,36),IF($AA30="couple",VLOOKUP($F30,taux,37),0))))))</f>
        <v>0</v>
      </c>
      <c r="AC30" s="111">
        <f ca="1">IF(C30&gt;=70,0,IF($B30=" ",0,IF(Données!$Z70="non couvert"," ",Données!AA70)))</f>
        <v>0</v>
      </c>
      <c r="AD30" s="110">
        <f>IF($B30=" ",0,IF(Données!$Z70="exo",0,IF($AC30="ind",VLOOKUP($F30,taux,38),IF($AC30="fam",VLOOKUP($F30,taux,39),IF($AC30="mono",VLOOKUP($F30,taux,40),IF($AC30="couple",VLOOKUP($F30,taux,41),0))))))</f>
        <v>0</v>
      </c>
      <c r="AE30" s="112">
        <f>IF($B30=" ",0,IF(Données!$AB70="non couvert"," ",Données!AC70))</f>
        <v>0</v>
      </c>
      <c r="AF30" s="113">
        <f>IF($B30=" ",0,IF(Données!$AB70="exo",0,IF($AE30="ind",VLOOKUP($F30,taux,42),IF($AE30="fam",VLOOKUP($F30,taux,43),IF($AE30="mono",VLOOKUP($F30,taux,44),IF($AE30="couple",VLOOKUP($F30,taux,45),0))))))</f>
        <v>0</v>
      </c>
      <c r="AG30" s="114">
        <f t="shared" ca="1" si="2"/>
        <v>0</v>
      </c>
      <c r="AH30" s="114">
        <f>IF($B30=" ",0,IF(Données!J70="Manitoba",(Facture!H30+Facture!J30+Facture!L30+Facture!P30+Facture!R30+Facture!T30)*0.08,(AG30-W30)*IF(Données!$J70="qc",0.09,IF(Données!$J70="on",0.08,0))+W30*VLOOKUP($F30,taux,28)))</f>
        <v>0</v>
      </c>
      <c r="AI30" s="106">
        <f t="shared" ca="1" si="4"/>
        <v>0</v>
      </c>
    </row>
    <row r="31" spans="1:35" s="64" customFormat="1">
      <c r="A31" s="89">
        <f t="shared" si="5"/>
        <v>17</v>
      </c>
      <c r="B31" s="99" t="str">
        <f>CONCATENATE(Données!B71," ",Données!C71)</f>
        <v xml:space="preserve"> </v>
      </c>
      <c r="C31" s="410">
        <f ca="1">IF(B31="",0,INT((TODAY()-Données!E71)/365.25))</f>
        <v>119</v>
      </c>
      <c r="D31" s="100">
        <f>Données!D71</f>
        <v>0</v>
      </c>
      <c r="E31" s="101">
        <f>Données!I71</f>
        <v>0</v>
      </c>
      <c r="F31" s="102" t="str">
        <f>Données!AD71</f>
        <v/>
      </c>
      <c r="G31" s="103">
        <f ca="1">INDEX({1;0.5;0},MATCH(C31,{1;65;70}))*M31</f>
        <v>0</v>
      </c>
      <c r="H31" s="104">
        <f>IF($B31=" ",0,IF(Données!$K71="exo",0,$G31/1000*VLOOKUP($F31,taux,2)))</f>
        <v>0</v>
      </c>
      <c r="I31" s="398">
        <f ca="1">IF(C31&gt;=65,0,Données!M71*5000)</f>
        <v>0</v>
      </c>
      <c r="J31" s="104">
        <f ca="1">I31/1000*(IF(I31=0,0,1)*VLOOKUP((1+(C31&gt;=20)+(C31&gt;=25)+(C31&gt;=30)+(C31&gt;=35)+(C31&gt;=40)+(C31&gt;=45)+(C31&gt;=50)+(C31&gt;=55)+(C31&gt;=60)+(C31&gt;=65)),Test,2+(IF(Données!F71="H",1,3))+(IF(Données!G71="F",1,0))))</f>
        <v>0</v>
      </c>
      <c r="K31" s="103">
        <f ca="1">INDEX({1;0.5;0},MATCH(C31,{1;65;70}))*M31</f>
        <v>0</v>
      </c>
      <c r="L31" s="104">
        <f>IF($B31=" ",0,IF(Données!$N71="exo",0,$K31/1000*VLOOKUP($F31,taux,6)))</f>
        <v>0</v>
      </c>
      <c r="M31" s="379">
        <f>IF($B31=" ",0,IF(Données!$K71="NON COUVERT",0,IF(AND(Données!$L71="oui",Données!$K71=0.5),MIN(VLOOKUP($F31,taux,5)/2,ROUNDUP(VLOOKUP($F31,taux,3)*$E31,-3)/2),IF(Données!$K71=0.5,MIN(VLOOKUP($F31,taux,4)/2,ROUNDUP(VLOOKUP($F31,taux,3)*$E31,-3)/2),ROUNDUP(IF(Données!$L71="OUI",MIN(VLOOKUP($F31,taux,3)*$E31,VLOOKUP($F31,taux,5)),MIN(VLOOKUP($F31,taux,3)*$E31,VLOOKUP($F31,taux,4))),-3)))))</f>
        <v>0</v>
      </c>
      <c r="N31" s="379">
        <f>IF($B31=" ",0,IF(Données!$N71="NON COUVERT",0,IF(AND(Données!$O71="oui",Données!$N71=0.5),MIN(VLOOKUP($F31,taux,9)/2,ROUNDUP(VLOOKUP($F31,taux,7)*$E31,-3)/2),IF(Données!$N71=0.5,MIN(VLOOKUP($F31,taux,8)/2,ROUNDUP(VLOOKUP($F31,taux,7)*$E31,-3)/2),ROUNDUP(IF(Données!$O71="OUI",MIN(VLOOKUP($F31,taux,7)*$E31,VLOOKUP($F31,taux,9)),MIN(VLOOKUP($F31,taux,7)*$E31,VLOOKUP($F31,taux,8))),-3)))))</f>
        <v>0</v>
      </c>
      <c r="O31" s="105">
        <f ca="1">IF(C31&gt;=70,0,IF($B31=" ",0,IF(Données!P71="non couvert"," ",Données!Q71)))</f>
        <v>0</v>
      </c>
      <c r="P31" s="106">
        <f>IF($B31=" ",0,IF(Données!$P71="exo",0,IF($O31="FAM",VLOOKUP($F31,taux,10),IF($O31="MONO",VLOOKUP($F31,taux,11),IF($O31="COUPLE",VLOOKUP($F31,taux,12),0)))))</f>
        <v>0</v>
      </c>
      <c r="Q31" s="107">
        <f ca="1">IF(C31&gt;=70,0,IF($B31=" ",0,IF(Données!$R71="NON COUVERT",0,ROUNDUP(IF(Données!$S71="OUI",MIN($E31*VLOOKUP($F31,taux,15)/52,VLOOKUP($F31,taux,17)),MIN($E31*VLOOKUP($F31,taux,15)/52,VLOOKUP($F31,taux,16))),0))))</f>
        <v>0</v>
      </c>
      <c r="R31" s="108">
        <f>IF($B31=" ",0,IF(Données!$R71="EXO",0,$Q31*VLOOKUP($F31,taux,13)/10))</f>
        <v>0</v>
      </c>
      <c r="S31" s="109">
        <f t="shared" ca="1" si="3"/>
        <v>0</v>
      </c>
      <c r="T31" s="110">
        <f>IF(B31=" ",0,IF(Données!$T71="exo",0,$S31*VLOOKUP($F31,taux,18)/100))</f>
        <v>0</v>
      </c>
      <c r="U31" s="109">
        <f>IF($B31=" ",0,IF(Données!$V71="non couvert",0,IF(VLOOKUP($F31,taux,29)="fixe","s/o",IF(Données!$W71="oui",MIN(ROUNDUP(VLOOKUP($F31,taux,31)*$E31,-3),VLOOKUP($F31,taux,33)),MIN(ROUNDUP(VLOOKUP($F31,taux,31)*$E31,-3),VLOOKUP($F31,taux,32))))))</f>
        <v>0</v>
      </c>
      <c r="V31" s="110">
        <f>IF(B31=" ",0,IF(Données!$V71="exo",0,IF(VLOOKUP($F31,taux,29)="fixe",VLOOKUP($F31,taux,30),$U31/1000*VLOOKUP($F31,taux,30))))</f>
        <v>0</v>
      </c>
      <c r="W31" s="110">
        <f t="shared" si="0"/>
        <v>0</v>
      </c>
      <c r="X31" s="383">
        <f>IF(B31=" ",0,EDATE((Données!E71),780))</f>
        <v>0</v>
      </c>
      <c r="Y31" s="383">
        <f t="shared" si="1"/>
        <v>0</v>
      </c>
      <c r="Z31" s="384">
        <f>IF($B31=" ",0,IF(Données!$T71="non couvert",0,IF(Données!$U71="oui",MIN(VLOOKUP($F31,taux,26),ROUNDUP(IF($E31/12&gt;VLOOKUP($F31,taux,21)+VLOOKUP($F31,taux,23),(VLOOKUP($F31,taux,20)*VLOOKUP($F31,taux,21))+(VLOOKUP($F31,taux,22)*VLOOKUP($F31,taux,23))+($E31/12-VLOOKUP($F31,taux,21)-VLOOKUP($F31,taux,23))*VLOOKUP($F31,taux,24),IF($E31/12&gt;VLOOKUP($F31,taux,21),(VLOOKUP($F31,taux,20)*VLOOKUP($F31,taux,21))+($E31/12-VLOOKUP($F31,taux,21))*VLOOKUP($F31,taux,22),$E31/12*VLOOKUP($F31,taux,20))),0)),MIN(VLOOKUP($F31,taux,25),ROUNDUP(IF($E31/12&gt;VLOOKUP($F31,taux,21)+VLOOKUP($F31,taux,23),(VLOOKUP($F31,taux,20)*VLOOKUP($F31,taux,21))+(VLOOKUP($F31,taux,22)*VLOOKUP($F31,taux,23))+($E31/12-VLOOKUP($F31,taux,21)-VLOOKUP($F31,taux,23))*VLOOKUP($F31,taux,24),IF($E31/12&gt;VLOOKUP($F31,taux,21),(VLOOKUP($F31,taux,20)*VLOOKUP($F31,taux,21))+($E31/12-VLOOKUP($F31,taux,21))*VLOOKUP($F31,taux,22),$E31/12*VLOOKUP($F31,taux,20))),0)))))</f>
        <v>0</v>
      </c>
      <c r="AA31" s="111">
        <f ca="1">IF(C31&gt;=70,0,IF($B31=" ",0,IF(Données!$X71="non couvert"," ",Données!Y71)))</f>
        <v>0</v>
      </c>
      <c r="AB31" s="110">
        <f>IF($B31=" ",0,IF(Données!$X71="exo",0,IF($AA31="ind",VLOOKUP($F31,taux,34),IF($AA31="fam",VLOOKUP($F31,taux,35),IF($AA31="mono",VLOOKUP($F31,taux,36),IF($AA31="couple",VLOOKUP($F31,taux,37),0))))))</f>
        <v>0</v>
      </c>
      <c r="AC31" s="111">
        <f ca="1">IF(C31&gt;=70,0,IF($B31=" ",0,IF(Données!$Z71="non couvert"," ",Données!AA71)))</f>
        <v>0</v>
      </c>
      <c r="AD31" s="110">
        <f>IF($B31=" ",0,IF(Données!$Z71="exo",0,IF($AC31="ind",VLOOKUP($F31,taux,38),IF($AC31="fam",VLOOKUP($F31,taux,39),IF($AC31="mono",VLOOKUP($F31,taux,40),IF($AC31="couple",VLOOKUP($F31,taux,41),0))))))</f>
        <v>0</v>
      </c>
      <c r="AE31" s="112">
        <f>IF($B31=" ",0,IF(Données!$AB71="non couvert"," ",Données!AC71))</f>
        <v>0</v>
      </c>
      <c r="AF31" s="113">
        <f>IF($B31=" ",0,IF(Données!$AB71="exo",0,IF($AE31="ind",VLOOKUP($F31,taux,42),IF($AE31="fam",VLOOKUP($F31,taux,43),IF($AE31="mono",VLOOKUP($F31,taux,44),IF($AE31="couple",VLOOKUP($F31,taux,45),0))))))</f>
        <v>0</v>
      </c>
      <c r="AG31" s="114">
        <f t="shared" ca="1" si="2"/>
        <v>0</v>
      </c>
      <c r="AH31" s="114">
        <f>IF($B31=" ",0,IF(Données!J71="Manitoba",(Facture!H31+Facture!J31+Facture!L31+Facture!P31+Facture!R31+Facture!T31)*0.08,(AG31-W31)*IF(Données!$J71="qc",0.09,IF(Données!$J71="on",0.08,0))+W31*VLOOKUP($F31,taux,28)))</f>
        <v>0</v>
      </c>
      <c r="AI31" s="106">
        <f t="shared" ca="1" si="4"/>
        <v>0</v>
      </c>
    </row>
    <row r="32" spans="1:35" s="64" customFormat="1">
      <c r="A32" s="89">
        <f t="shared" si="5"/>
        <v>18</v>
      </c>
      <c r="B32" s="99" t="str">
        <f>CONCATENATE(Données!B72," ",Données!C72)</f>
        <v xml:space="preserve"> </v>
      </c>
      <c r="C32" s="410">
        <f ca="1">IF(B32="",0,INT((TODAY()-Données!E72)/365.25))</f>
        <v>119</v>
      </c>
      <c r="D32" s="100">
        <f>Données!D72</f>
        <v>0</v>
      </c>
      <c r="E32" s="101">
        <f>Données!I72</f>
        <v>0</v>
      </c>
      <c r="F32" s="102" t="str">
        <f>Données!AD72</f>
        <v/>
      </c>
      <c r="G32" s="103">
        <f ca="1">INDEX({1;0.5;0},MATCH(C32,{1;65;70}))*M32</f>
        <v>0</v>
      </c>
      <c r="H32" s="104">
        <f>IF($B32=" ",0,IF(Données!$K72="exo",0,$G32/1000*VLOOKUP($F32,taux,2)))</f>
        <v>0</v>
      </c>
      <c r="I32" s="398">
        <f ca="1">IF(C32&gt;=65,0,Données!M72*5000)</f>
        <v>0</v>
      </c>
      <c r="J32" s="104">
        <f ca="1">I32/1000*(IF(I32=0,0,1)*VLOOKUP((1+(C32&gt;=20)+(C32&gt;=25)+(C32&gt;=30)+(C32&gt;=35)+(C32&gt;=40)+(C32&gt;=45)+(C32&gt;=50)+(C32&gt;=55)+(C32&gt;=60)+(C32&gt;=65)),Test,2+(IF(Données!F72="H",1,3))+(IF(Données!G72="F",1,0))))</f>
        <v>0</v>
      </c>
      <c r="K32" s="103">
        <f ca="1">INDEX({1;0.5;0},MATCH(C32,{1;65;70}))*M32</f>
        <v>0</v>
      </c>
      <c r="L32" s="104">
        <f>IF($B32=" ",0,IF(Données!$N72="exo",0,$K32/1000*VLOOKUP($F32,taux,6)))</f>
        <v>0</v>
      </c>
      <c r="M32" s="379">
        <f>IF($B32=" ",0,IF(Données!$K72="NON COUVERT",0,IF(AND(Données!$L72="oui",Données!$K72=0.5),MIN(VLOOKUP($F32,taux,5)/2,ROUNDUP(VLOOKUP($F32,taux,3)*$E32,-3)/2),IF(Données!$K72=0.5,MIN(VLOOKUP($F32,taux,4)/2,ROUNDUP(VLOOKUP($F32,taux,3)*$E32,-3)/2),ROUNDUP(IF(Données!$L72="OUI",MIN(VLOOKUP($F32,taux,3)*$E32,VLOOKUP($F32,taux,5)),MIN(VLOOKUP($F32,taux,3)*$E32,VLOOKUP($F32,taux,4))),-3)))))</f>
        <v>0</v>
      </c>
      <c r="N32" s="379">
        <f>IF($B32=" ",0,IF(Données!$N72="NON COUVERT",0,IF(AND(Données!$O72="oui",Données!$N72=0.5),MIN(VLOOKUP($F32,taux,9)/2,ROUNDUP(VLOOKUP($F32,taux,7)*$E32,-3)/2),IF(Données!$N72=0.5,MIN(VLOOKUP($F32,taux,8)/2,ROUNDUP(VLOOKUP($F32,taux,7)*$E32,-3)/2),ROUNDUP(IF(Données!$O72="OUI",MIN(VLOOKUP($F32,taux,7)*$E32,VLOOKUP($F32,taux,9)),MIN(VLOOKUP($F32,taux,7)*$E32,VLOOKUP($F32,taux,8))),-3)))))</f>
        <v>0</v>
      </c>
      <c r="O32" s="105">
        <f ca="1">IF(C32&gt;=70,0,IF($B32=" ",0,IF(Données!P72="non couvert"," ",Données!Q72)))</f>
        <v>0</v>
      </c>
      <c r="P32" s="106">
        <f>IF($B32=" ",0,IF(Données!$P72="exo",0,IF($O32="FAM",VLOOKUP($F32,taux,10),IF($O32="MONO",VLOOKUP($F32,taux,11),IF($O32="COUPLE",VLOOKUP($F32,taux,12),0)))))</f>
        <v>0</v>
      </c>
      <c r="Q32" s="107">
        <f ca="1">IF(C32&gt;=70,0,IF($B32=" ",0,IF(Données!$R72="NON COUVERT",0,ROUNDUP(IF(Données!$S72="OUI",MIN($E32*VLOOKUP($F32,taux,15)/52,VLOOKUP($F32,taux,17)),MIN($E32*VLOOKUP($F32,taux,15)/52,VLOOKUP($F32,taux,16))),0))))</f>
        <v>0</v>
      </c>
      <c r="R32" s="108">
        <f>IF($B32=" ",0,IF(Données!$R72="EXO",0,$Q32*VLOOKUP($F32,taux,13)/10))</f>
        <v>0</v>
      </c>
      <c r="S32" s="109">
        <f t="shared" ca="1" si="3"/>
        <v>0</v>
      </c>
      <c r="T32" s="110">
        <f>IF(B32=" ",0,IF(Données!$T72="exo",0,$S32*VLOOKUP($F32,taux,18)/100))</f>
        <v>0</v>
      </c>
      <c r="U32" s="109">
        <f>IF($B32=" ",0,IF(Données!$V72="non couvert",0,IF(VLOOKUP($F32,taux,29)="fixe","s/o",IF(Données!$W72="oui",MIN(ROUNDUP(VLOOKUP($F32,taux,31)*$E32,-3),VLOOKUP($F32,taux,33)),MIN(ROUNDUP(VLOOKUP($F32,taux,31)*$E32,-3),VLOOKUP($F32,taux,32))))))</f>
        <v>0</v>
      </c>
      <c r="V32" s="110">
        <f>IF(B32=" ",0,IF(Données!$V72="exo",0,IF(VLOOKUP($F32,taux,29)="fixe",VLOOKUP($F32,taux,30),$U32/1000*VLOOKUP($F32,taux,30))))</f>
        <v>0</v>
      </c>
      <c r="W32" s="110">
        <f t="shared" si="0"/>
        <v>0</v>
      </c>
      <c r="X32" s="383">
        <f>IF(B32=" ",0,EDATE((Données!E72),780))</f>
        <v>0</v>
      </c>
      <c r="Y32" s="383">
        <f t="shared" si="1"/>
        <v>0</v>
      </c>
      <c r="Z32" s="384">
        <f>IF($B32=" ",0,IF(Données!$T72="non couvert",0,IF(Données!$U72="oui",MIN(VLOOKUP($F32,taux,26),ROUNDUP(IF($E32/12&gt;VLOOKUP($F32,taux,21)+VLOOKUP($F32,taux,23),(VLOOKUP($F32,taux,20)*VLOOKUP($F32,taux,21))+(VLOOKUP($F32,taux,22)*VLOOKUP($F32,taux,23))+($E32/12-VLOOKUP($F32,taux,21)-VLOOKUP($F32,taux,23))*VLOOKUP($F32,taux,24),IF($E32/12&gt;VLOOKUP($F32,taux,21),(VLOOKUP($F32,taux,20)*VLOOKUP($F32,taux,21))+($E32/12-VLOOKUP($F32,taux,21))*VLOOKUP($F32,taux,22),$E32/12*VLOOKUP($F32,taux,20))),0)),MIN(VLOOKUP($F32,taux,25),ROUNDUP(IF($E32/12&gt;VLOOKUP($F32,taux,21)+VLOOKUP($F32,taux,23),(VLOOKUP($F32,taux,20)*VLOOKUP($F32,taux,21))+(VLOOKUP($F32,taux,22)*VLOOKUP($F32,taux,23))+($E32/12-VLOOKUP($F32,taux,21)-VLOOKUP($F32,taux,23))*VLOOKUP($F32,taux,24),IF($E32/12&gt;VLOOKUP($F32,taux,21),(VLOOKUP($F32,taux,20)*VLOOKUP($F32,taux,21))+($E32/12-VLOOKUP($F32,taux,21))*VLOOKUP($F32,taux,22),$E32/12*VLOOKUP($F32,taux,20))),0)))))</f>
        <v>0</v>
      </c>
      <c r="AA32" s="111">
        <f ca="1">IF(C32&gt;=70,0,IF($B32=" ",0,IF(Données!$X72="non couvert"," ",Données!Y72)))</f>
        <v>0</v>
      </c>
      <c r="AB32" s="110">
        <f>IF($B32=" ",0,IF(Données!$X72="exo",0,IF($AA32="ind",VLOOKUP($F32,taux,34),IF($AA32="fam",VLOOKUP($F32,taux,35),IF($AA32="mono",VLOOKUP($F32,taux,36),IF($AA32="couple",VLOOKUP($F32,taux,37),0))))))</f>
        <v>0</v>
      </c>
      <c r="AC32" s="111">
        <f ca="1">IF(C32&gt;=70,0,IF($B32=" ",0,IF(Données!$Z72="non couvert"," ",Données!AA72)))</f>
        <v>0</v>
      </c>
      <c r="AD32" s="110">
        <f>IF($B32=" ",0,IF(Données!$Z72="exo",0,IF($AC32="ind",VLOOKUP($F32,taux,38),IF($AC32="fam",VLOOKUP($F32,taux,39),IF($AC32="mono",VLOOKUP($F32,taux,40),IF($AC32="couple",VLOOKUP($F32,taux,41),0))))))</f>
        <v>0</v>
      </c>
      <c r="AE32" s="112">
        <f>IF($B32=" ",0,IF(Données!$AB72="non couvert"," ",Données!AC72))</f>
        <v>0</v>
      </c>
      <c r="AF32" s="113">
        <f>IF($B32=" ",0,IF(Données!$AB72="exo",0,IF($AE32="ind",VLOOKUP($F32,taux,42),IF($AE32="fam",VLOOKUP($F32,taux,43),IF($AE32="mono",VLOOKUP($F32,taux,44),IF($AE32="couple",VLOOKUP($F32,taux,45),0))))))</f>
        <v>0</v>
      </c>
      <c r="AG32" s="114">
        <f t="shared" ca="1" si="2"/>
        <v>0</v>
      </c>
      <c r="AH32" s="114">
        <f>IF($B32=" ",0,IF(Données!J72="Manitoba",(Facture!H32+Facture!J32+Facture!L32+Facture!P32+Facture!R32+Facture!T32)*0.08,(AG32-W32)*IF(Données!$J72="qc",0.09,IF(Données!$J72="on",0.08,0))+W32*VLOOKUP($F32,taux,28)))</f>
        <v>0</v>
      </c>
      <c r="AI32" s="106">
        <f t="shared" ca="1" si="4"/>
        <v>0</v>
      </c>
    </row>
    <row r="33" spans="1:35" s="64" customFormat="1">
      <c r="A33" s="89">
        <f t="shared" si="5"/>
        <v>19</v>
      </c>
      <c r="B33" s="99" t="str">
        <f>CONCATENATE(Données!B73," ",Données!C73)</f>
        <v xml:space="preserve"> </v>
      </c>
      <c r="C33" s="410">
        <f ca="1">IF(B33="",0,INT((TODAY()-Données!E73)/365.25))</f>
        <v>119</v>
      </c>
      <c r="D33" s="100">
        <f>Données!D73</f>
        <v>0</v>
      </c>
      <c r="E33" s="101">
        <f>Données!I73</f>
        <v>0</v>
      </c>
      <c r="F33" s="102" t="str">
        <f>Données!AD73</f>
        <v/>
      </c>
      <c r="G33" s="103">
        <f ca="1">INDEX({1;0.5;0},MATCH(C33,{1;65;70}))*M33</f>
        <v>0</v>
      </c>
      <c r="H33" s="104">
        <f>IF($B33=" ",0,IF(Données!$K73="exo",0,$G33/1000*VLOOKUP($F33,taux,2)))</f>
        <v>0</v>
      </c>
      <c r="I33" s="398">
        <f ca="1">IF(C33&gt;=65,0,Données!M73*5000)</f>
        <v>0</v>
      </c>
      <c r="J33" s="104">
        <f ca="1">I33/1000*(IF(I33=0,0,1)*VLOOKUP((1+(C33&gt;=20)+(C33&gt;=25)+(C33&gt;=30)+(C33&gt;=35)+(C33&gt;=40)+(C33&gt;=45)+(C33&gt;=50)+(C33&gt;=55)+(C33&gt;=60)+(C33&gt;=65)),Test,2+(IF(Données!F73="H",1,3))+(IF(Données!G73="F",1,0))))</f>
        <v>0</v>
      </c>
      <c r="K33" s="103">
        <f ca="1">INDEX({1;0.5;0},MATCH(C33,{1;65;70}))*M33</f>
        <v>0</v>
      </c>
      <c r="L33" s="104">
        <f>IF($B33=" ",0,IF(Données!$N73="exo",0,$K33/1000*VLOOKUP($F33,taux,6)))</f>
        <v>0</v>
      </c>
      <c r="M33" s="379">
        <f>IF($B33=" ",0,IF(Données!$K73="NON COUVERT",0,IF(AND(Données!$L73="oui",Données!$K73=0.5),MIN(VLOOKUP($F33,taux,5)/2,ROUNDUP(VLOOKUP($F33,taux,3)*$E33,-3)/2),IF(Données!$K73=0.5,MIN(VLOOKUP($F33,taux,4)/2,ROUNDUP(VLOOKUP($F33,taux,3)*$E33,-3)/2),ROUNDUP(IF(Données!$L73="OUI",MIN(VLOOKUP($F33,taux,3)*$E33,VLOOKUP($F33,taux,5)),MIN(VLOOKUP($F33,taux,3)*$E33,VLOOKUP($F33,taux,4))),-3)))))</f>
        <v>0</v>
      </c>
      <c r="N33" s="379">
        <f>IF($B33=" ",0,IF(Données!$N73="NON COUVERT",0,IF(AND(Données!$O73="oui",Données!$N73=0.5),MIN(VLOOKUP($F33,taux,9)/2,ROUNDUP(VLOOKUP($F33,taux,7)*$E33,-3)/2),IF(Données!$N73=0.5,MIN(VLOOKUP($F33,taux,8)/2,ROUNDUP(VLOOKUP($F33,taux,7)*$E33,-3)/2),ROUNDUP(IF(Données!$O73="OUI",MIN(VLOOKUP($F33,taux,7)*$E33,VLOOKUP($F33,taux,9)),MIN(VLOOKUP($F33,taux,7)*$E33,VLOOKUP($F33,taux,8))),-3)))))</f>
        <v>0</v>
      </c>
      <c r="O33" s="105">
        <f ca="1">IF(C33&gt;=70,0,IF($B33=" ",0,IF(Données!P73="non couvert"," ",Données!Q73)))</f>
        <v>0</v>
      </c>
      <c r="P33" s="106">
        <f>IF($B33=" ",0,IF(Données!$P73="exo",0,IF($O33="FAM",VLOOKUP($F33,taux,10),IF($O33="MONO",VLOOKUP($F33,taux,11),IF($O33="COUPLE",VLOOKUP($F33,taux,12),0)))))</f>
        <v>0</v>
      </c>
      <c r="Q33" s="107">
        <f ca="1">IF(C33&gt;=70,0,IF($B33=" ",0,IF(Données!$R73="NON COUVERT",0,ROUNDUP(IF(Données!$S73="OUI",MIN($E33*VLOOKUP($F33,taux,15)/52,VLOOKUP($F33,taux,17)),MIN($E33*VLOOKUP($F33,taux,15)/52,VLOOKUP($F33,taux,16))),0))))</f>
        <v>0</v>
      </c>
      <c r="R33" s="108">
        <f>IF($B33=" ",0,IF(Données!$R73="EXO",0,$Q33*VLOOKUP($F33,taux,13)/10))</f>
        <v>0</v>
      </c>
      <c r="S33" s="109">
        <f t="shared" ca="1" si="3"/>
        <v>0</v>
      </c>
      <c r="T33" s="110">
        <f>IF(B33=" ",0,IF(Données!$T73="exo",0,$S33*VLOOKUP($F33,taux,18)/100))</f>
        <v>0</v>
      </c>
      <c r="U33" s="109">
        <f>IF($B33=" ",0,IF(Données!$V73="non couvert",0,IF(VLOOKUP($F33,taux,29)="fixe","s/o",IF(Données!$W73="oui",MIN(ROUNDUP(VLOOKUP($F33,taux,31)*$E33,-3),VLOOKUP($F33,taux,33)),MIN(ROUNDUP(VLOOKUP($F33,taux,31)*$E33,-3),VLOOKUP($F33,taux,32))))))</f>
        <v>0</v>
      </c>
      <c r="V33" s="110">
        <f>IF(B33=" ",0,IF(Données!$V73="exo",0,IF(VLOOKUP($F33,taux,29)="fixe",VLOOKUP($F33,taux,30),$U33/1000*VLOOKUP($F33,taux,30))))</f>
        <v>0</v>
      </c>
      <c r="W33" s="110">
        <f t="shared" si="0"/>
        <v>0</v>
      </c>
      <c r="X33" s="383">
        <f>IF(B33=" ",0,EDATE((Données!E73),780))</f>
        <v>0</v>
      </c>
      <c r="Y33" s="383">
        <f t="shared" si="1"/>
        <v>0</v>
      </c>
      <c r="Z33" s="384">
        <f>IF($B33=" ",0,IF(Données!$T73="non couvert",0,IF(Données!$U73="oui",MIN(VLOOKUP($F33,taux,26),ROUNDUP(IF($E33/12&gt;VLOOKUP($F33,taux,21)+VLOOKUP($F33,taux,23),(VLOOKUP($F33,taux,20)*VLOOKUP($F33,taux,21))+(VLOOKUP($F33,taux,22)*VLOOKUP($F33,taux,23))+($E33/12-VLOOKUP($F33,taux,21)-VLOOKUP($F33,taux,23))*VLOOKUP($F33,taux,24),IF($E33/12&gt;VLOOKUP($F33,taux,21),(VLOOKUP($F33,taux,20)*VLOOKUP($F33,taux,21))+($E33/12-VLOOKUP($F33,taux,21))*VLOOKUP($F33,taux,22),$E33/12*VLOOKUP($F33,taux,20))),0)),MIN(VLOOKUP($F33,taux,25),ROUNDUP(IF($E33/12&gt;VLOOKUP($F33,taux,21)+VLOOKUP($F33,taux,23),(VLOOKUP($F33,taux,20)*VLOOKUP($F33,taux,21))+(VLOOKUP($F33,taux,22)*VLOOKUP($F33,taux,23))+($E33/12-VLOOKUP($F33,taux,21)-VLOOKUP($F33,taux,23))*VLOOKUP($F33,taux,24),IF($E33/12&gt;VLOOKUP($F33,taux,21),(VLOOKUP($F33,taux,20)*VLOOKUP($F33,taux,21))+($E33/12-VLOOKUP($F33,taux,21))*VLOOKUP($F33,taux,22),$E33/12*VLOOKUP($F33,taux,20))),0)))))</f>
        <v>0</v>
      </c>
      <c r="AA33" s="111">
        <f ca="1">IF(C33&gt;=70,0,IF($B33=" ",0,IF(Données!$X73="non couvert"," ",Données!Y73)))</f>
        <v>0</v>
      </c>
      <c r="AB33" s="110">
        <f>IF($B33=" ",0,IF(Données!$X73="exo",0,IF($AA33="ind",VLOOKUP($F33,taux,34),IF($AA33="fam",VLOOKUP($F33,taux,35),IF($AA33="mono",VLOOKUP($F33,taux,36),IF($AA33="couple",VLOOKUP($F33,taux,37),0))))))</f>
        <v>0</v>
      </c>
      <c r="AC33" s="111">
        <f ca="1">IF(C33&gt;=70,0,IF($B33=" ",0,IF(Données!$Z73="non couvert"," ",Données!AA73)))</f>
        <v>0</v>
      </c>
      <c r="AD33" s="110">
        <f>IF($B33=" ",0,IF(Données!$Z73="exo",0,IF($AC33="ind",VLOOKUP($F33,taux,38),IF($AC33="fam",VLOOKUP($F33,taux,39),IF($AC33="mono",VLOOKUP($F33,taux,40),IF($AC33="couple",VLOOKUP($F33,taux,41),0))))))</f>
        <v>0</v>
      </c>
      <c r="AE33" s="112">
        <f>IF($B33=" ",0,IF(Données!$AB73="non couvert"," ",Données!AC73))</f>
        <v>0</v>
      </c>
      <c r="AF33" s="113">
        <f>IF($B33=" ",0,IF(Données!$AB73="exo",0,IF($AE33="ind",VLOOKUP($F33,taux,42),IF($AE33="fam",VLOOKUP($F33,taux,43),IF($AE33="mono",VLOOKUP($F33,taux,44),IF($AE33="couple",VLOOKUP($F33,taux,45),0))))))</f>
        <v>0</v>
      </c>
      <c r="AG33" s="114">
        <f t="shared" ca="1" si="2"/>
        <v>0</v>
      </c>
      <c r="AH33" s="114">
        <f>IF($B33=" ",0,IF(Données!J73="Manitoba",(Facture!H33+Facture!J33+Facture!L33+Facture!P33+Facture!R33+Facture!T33)*0.08,(AG33-W33)*IF(Données!$J73="qc",0.09,IF(Données!$J73="on",0.08,0))+W33*VLOOKUP($F33,taux,28)))</f>
        <v>0</v>
      </c>
      <c r="AI33" s="106">
        <f t="shared" ca="1" si="4"/>
        <v>0</v>
      </c>
    </row>
    <row r="34" spans="1:35" s="64" customFormat="1">
      <c r="A34" s="89">
        <f t="shared" si="5"/>
        <v>20</v>
      </c>
      <c r="B34" s="99" t="str">
        <f>CONCATENATE(Données!B74," ",Données!C74)</f>
        <v xml:space="preserve"> </v>
      </c>
      <c r="C34" s="410">
        <f ca="1">IF(B34="",0,INT((TODAY()-Données!E74)/365.25))</f>
        <v>119</v>
      </c>
      <c r="D34" s="100">
        <f>Données!D74</f>
        <v>0</v>
      </c>
      <c r="E34" s="101">
        <f>Données!I74</f>
        <v>0</v>
      </c>
      <c r="F34" s="102" t="str">
        <f>Données!AD74</f>
        <v/>
      </c>
      <c r="G34" s="103">
        <f ca="1">INDEX({1;0.5;0},MATCH(C34,{1;65;70}))*M34</f>
        <v>0</v>
      </c>
      <c r="H34" s="104">
        <f>IF($B34=" ",0,IF(Données!$K74="exo",0,$G34/1000*VLOOKUP($F34,taux,2)))</f>
        <v>0</v>
      </c>
      <c r="I34" s="398">
        <f ca="1">IF(C34&gt;=65,0,Données!M74*5000)</f>
        <v>0</v>
      </c>
      <c r="J34" s="104">
        <f ca="1">I34/1000*(IF(I34=0,0,1)*VLOOKUP((1+(C34&gt;=20)+(C34&gt;=25)+(C34&gt;=30)+(C34&gt;=35)+(C34&gt;=40)+(C34&gt;=45)+(C34&gt;=50)+(C34&gt;=55)+(C34&gt;=60)+(C34&gt;=65)),Test,2+(IF(Données!F74="H",1,3))+(IF(Données!G74="F",1,0))))</f>
        <v>0</v>
      </c>
      <c r="K34" s="103">
        <f ca="1">INDEX({1;0.5;0},MATCH(C34,{1;65;70}))*M34</f>
        <v>0</v>
      </c>
      <c r="L34" s="104">
        <f>IF($B34=" ",0,IF(Données!$N74="exo",0,$K34/1000*VLOOKUP($F34,taux,6)))</f>
        <v>0</v>
      </c>
      <c r="M34" s="379">
        <f>IF($B34=" ",0,IF(Données!$K74="NON COUVERT",0,IF(AND(Données!$L74="oui",Données!$K74=0.5),MIN(VLOOKUP($F34,taux,5)/2,ROUNDUP(VLOOKUP($F34,taux,3)*$E34,-3)/2),IF(Données!$K74=0.5,MIN(VLOOKUP($F34,taux,4)/2,ROUNDUP(VLOOKUP($F34,taux,3)*$E34,-3)/2),ROUNDUP(IF(Données!$L74="OUI",MIN(VLOOKUP($F34,taux,3)*$E34,VLOOKUP($F34,taux,5)),MIN(VLOOKUP($F34,taux,3)*$E34,VLOOKUP($F34,taux,4))),-3)))))</f>
        <v>0</v>
      </c>
      <c r="N34" s="379">
        <f>IF($B34=" ",0,IF(Données!$N74="NON COUVERT",0,IF(AND(Données!$O74="oui",Données!$N74=0.5),MIN(VLOOKUP($F34,taux,9)/2,ROUNDUP(VLOOKUP($F34,taux,7)*$E34,-3)/2),IF(Données!$N74=0.5,MIN(VLOOKUP($F34,taux,8)/2,ROUNDUP(VLOOKUP($F34,taux,7)*$E34,-3)/2),ROUNDUP(IF(Données!$O74="OUI",MIN(VLOOKUP($F34,taux,7)*$E34,VLOOKUP($F34,taux,9)),MIN(VLOOKUP($F34,taux,7)*$E34,VLOOKUP($F34,taux,8))),-3)))))</f>
        <v>0</v>
      </c>
      <c r="O34" s="105">
        <f ca="1">IF(C34&gt;=70,0,IF($B34=" ",0,IF(Données!P74="non couvert"," ",Données!Q74)))</f>
        <v>0</v>
      </c>
      <c r="P34" s="106">
        <f>IF($B34=" ",0,IF(Données!$P74="exo",0,IF($O34="FAM",VLOOKUP($F34,taux,10),IF($O34="MONO",VLOOKUP($F34,taux,11),IF($O34="COUPLE",VLOOKUP($F34,taux,12),0)))))</f>
        <v>0</v>
      </c>
      <c r="Q34" s="107">
        <f ca="1">IF(C34&gt;=70,0,IF($B34=" ",0,IF(Données!$R74="NON COUVERT",0,ROUNDUP(IF(Données!$S74="OUI",MIN($E34*VLOOKUP($F34,taux,15)/52,VLOOKUP($F34,taux,17)),MIN($E34*VLOOKUP($F34,taux,15)/52,VLOOKUP($F34,taux,16))),0))))</f>
        <v>0</v>
      </c>
      <c r="R34" s="108">
        <f>IF($B34=" ",0,IF(Données!$R74="EXO",0,$Q34*VLOOKUP($F34,taux,13)/10))</f>
        <v>0</v>
      </c>
      <c r="S34" s="109">
        <f t="shared" ca="1" si="3"/>
        <v>0</v>
      </c>
      <c r="T34" s="110">
        <f>IF(B34=" ",0,IF(Données!$T74="exo",0,$S34*VLOOKUP($F34,taux,18)/100))</f>
        <v>0</v>
      </c>
      <c r="U34" s="109">
        <f>IF($B34=" ",0,IF(Données!$V74="non couvert",0,IF(VLOOKUP($F34,taux,29)="fixe","s/o",IF(Données!$W74="oui",MIN(ROUNDUP(VLOOKUP($F34,taux,31)*$E34,-3),VLOOKUP($F34,taux,33)),MIN(ROUNDUP(VLOOKUP($F34,taux,31)*$E34,-3),VLOOKUP($F34,taux,32))))))</f>
        <v>0</v>
      </c>
      <c r="V34" s="110">
        <f>IF(B34=" ",0,IF(Données!$V74="exo",0,IF(VLOOKUP($F34,taux,29)="fixe",VLOOKUP($F34,taux,30),$U34/1000*VLOOKUP($F34,taux,30))))</f>
        <v>0</v>
      </c>
      <c r="W34" s="110">
        <f t="shared" si="0"/>
        <v>0</v>
      </c>
      <c r="X34" s="383">
        <f>IF(B34=" ",0,EDATE((Données!E74),780))</f>
        <v>0</v>
      </c>
      <c r="Y34" s="383">
        <f t="shared" si="1"/>
        <v>0</v>
      </c>
      <c r="Z34" s="384">
        <f>IF($B34=" ",0,IF(Données!$T74="non couvert",0,IF(Données!$U74="oui",MIN(VLOOKUP($F34,taux,26),ROUNDUP(IF($E34/12&gt;VLOOKUP($F34,taux,21)+VLOOKUP($F34,taux,23),(VLOOKUP($F34,taux,20)*VLOOKUP($F34,taux,21))+(VLOOKUP($F34,taux,22)*VLOOKUP($F34,taux,23))+($E34/12-VLOOKUP($F34,taux,21)-VLOOKUP($F34,taux,23))*VLOOKUP($F34,taux,24),IF($E34/12&gt;VLOOKUP($F34,taux,21),(VLOOKUP($F34,taux,20)*VLOOKUP($F34,taux,21))+($E34/12-VLOOKUP($F34,taux,21))*VLOOKUP($F34,taux,22),$E34/12*VLOOKUP($F34,taux,20))),0)),MIN(VLOOKUP($F34,taux,25),ROUNDUP(IF($E34/12&gt;VLOOKUP($F34,taux,21)+VLOOKUP($F34,taux,23),(VLOOKUP($F34,taux,20)*VLOOKUP($F34,taux,21))+(VLOOKUP($F34,taux,22)*VLOOKUP($F34,taux,23))+($E34/12-VLOOKUP($F34,taux,21)-VLOOKUP($F34,taux,23))*VLOOKUP($F34,taux,24),IF($E34/12&gt;VLOOKUP($F34,taux,21),(VLOOKUP($F34,taux,20)*VLOOKUP($F34,taux,21))+($E34/12-VLOOKUP($F34,taux,21))*VLOOKUP($F34,taux,22),$E34/12*VLOOKUP($F34,taux,20))),0)))))</f>
        <v>0</v>
      </c>
      <c r="AA34" s="111">
        <f ca="1">IF(C34&gt;=70,0,IF($B34=" ",0,IF(Données!$X74="non couvert"," ",Données!Y74)))</f>
        <v>0</v>
      </c>
      <c r="AB34" s="110">
        <f>IF($B34=" ",0,IF(Données!$X74="exo",0,IF($AA34="ind",VLOOKUP($F34,taux,34),IF($AA34="fam",VLOOKUP($F34,taux,35),IF($AA34="mono",VLOOKUP($F34,taux,36),IF($AA34="couple",VLOOKUP($F34,taux,37),0))))))</f>
        <v>0</v>
      </c>
      <c r="AC34" s="111">
        <f ca="1">IF(C34&gt;=70,0,IF($B34=" ",0,IF(Données!$Z74="non couvert"," ",Données!AA74)))</f>
        <v>0</v>
      </c>
      <c r="AD34" s="110">
        <f>IF($B34=" ",0,IF(Données!$Z74="exo",0,IF($AC34="ind",VLOOKUP($F34,taux,38),IF($AC34="fam",VLOOKUP($F34,taux,39),IF($AC34="mono",VLOOKUP($F34,taux,40),IF($AC34="couple",VLOOKUP($F34,taux,41),0))))))</f>
        <v>0</v>
      </c>
      <c r="AE34" s="112">
        <f>IF($B34=" ",0,IF(Données!$AB74="non couvert"," ",Données!AC74))</f>
        <v>0</v>
      </c>
      <c r="AF34" s="113">
        <f>IF($B34=" ",0,IF(Données!$AB74="exo",0,IF($AE34="ind",VLOOKUP($F34,taux,42),IF($AE34="fam",VLOOKUP($F34,taux,43),IF($AE34="mono",VLOOKUP($F34,taux,44),IF($AE34="couple",VLOOKUP($F34,taux,45),0))))))</f>
        <v>0</v>
      </c>
      <c r="AG34" s="114">
        <f t="shared" ca="1" si="2"/>
        <v>0</v>
      </c>
      <c r="AH34" s="114">
        <f>IF($B34=" ",0,IF(Données!J74="Manitoba",(Facture!H34+Facture!J34+Facture!L34+Facture!P34+Facture!R34+Facture!T34)*0.08,(AG34-W34)*IF(Données!$J74="qc",0.09,IF(Données!$J74="on",0.08,0))+W34*VLOOKUP($F34,taux,28)))</f>
        <v>0</v>
      </c>
      <c r="AI34" s="106">
        <f t="shared" ca="1" si="4"/>
        <v>0</v>
      </c>
    </row>
    <row r="35" spans="1:35" s="64" customFormat="1">
      <c r="A35" s="89">
        <f t="shared" si="5"/>
        <v>21</v>
      </c>
      <c r="B35" s="99" t="str">
        <f>CONCATENATE(Données!B75," ",Données!C75)</f>
        <v xml:space="preserve"> </v>
      </c>
      <c r="C35" s="410">
        <f ca="1">IF(B35="",0,INT((TODAY()-Données!E75)/365.25))</f>
        <v>119</v>
      </c>
      <c r="D35" s="100">
        <f>Données!D75</f>
        <v>0</v>
      </c>
      <c r="E35" s="101">
        <f>Données!I75</f>
        <v>0</v>
      </c>
      <c r="F35" s="102" t="str">
        <f>Données!AD75</f>
        <v/>
      </c>
      <c r="G35" s="103">
        <f ca="1">INDEX({1;0.5;0},MATCH(C35,{1;65;70}))*M35</f>
        <v>0</v>
      </c>
      <c r="H35" s="104">
        <f>IF($B35=" ",0,IF(Données!$K75="exo",0,$G35/1000*VLOOKUP($F35,taux,2)))</f>
        <v>0</v>
      </c>
      <c r="I35" s="398">
        <f ca="1">IF(C35&gt;=65,0,Données!M75*5000)</f>
        <v>0</v>
      </c>
      <c r="J35" s="104">
        <f ca="1">I35/1000*(IF(I35=0,0,1)*VLOOKUP((1+(C35&gt;=20)+(C35&gt;=25)+(C35&gt;=30)+(C35&gt;=35)+(C35&gt;=40)+(C35&gt;=45)+(C35&gt;=50)+(C35&gt;=55)+(C35&gt;=60)+(C35&gt;=65)),Test,2+(IF(Données!F75="H",1,3))+(IF(Données!G75="F",1,0))))</f>
        <v>0</v>
      </c>
      <c r="K35" s="103">
        <f ca="1">INDEX({1;0.5;0},MATCH(C35,{1;65;70}))*M35</f>
        <v>0</v>
      </c>
      <c r="L35" s="104">
        <f>IF($B35=" ",0,IF(Données!$N75="exo",0,$K35/1000*VLOOKUP($F35,taux,6)))</f>
        <v>0</v>
      </c>
      <c r="M35" s="379">
        <f>IF($B35=" ",0,IF(Données!$K75="NON COUVERT",0,IF(AND(Données!$L75="oui",Données!$K75=0.5),MIN(VLOOKUP($F35,taux,5)/2,ROUNDUP(VLOOKUP($F35,taux,3)*$E35,-3)/2),IF(Données!$K75=0.5,MIN(VLOOKUP($F35,taux,4)/2,ROUNDUP(VLOOKUP($F35,taux,3)*$E35,-3)/2),ROUNDUP(IF(Données!$L75="OUI",MIN(VLOOKUP($F35,taux,3)*$E35,VLOOKUP($F35,taux,5)),MIN(VLOOKUP($F35,taux,3)*$E35,VLOOKUP($F35,taux,4))),-3)))))</f>
        <v>0</v>
      </c>
      <c r="N35" s="379">
        <f>IF($B35=" ",0,IF(Données!$N75="NON COUVERT",0,IF(AND(Données!$O75="oui",Données!$N75=0.5),MIN(VLOOKUP($F35,taux,9)/2,ROUNDUP(VLOOKUP($F35,taux,7)*$E35,-3)/2),IF(Données!$N75=0.5,MIN(VLOOKUP($F35,taux,8)/2,ROUNDUP(VLOOKUP($F35,taux,7)*$E35,-3)/2),ROUNDUP(IF(Données!$O75="OUI",MIN(VLOOKUP($F35,taux,7)*$E35,VLOOKUP($F35,taux,9)),MIN(VLOOKUP($F35,taux,7)*$E35,VLOOKUP($F35,taux,8))),-3)))))</f>
        <v>0</v>
      </c>
      <c r="O35" s="105">
        <f ca="1">IF(C35&gt;=70,0,IF($B35=" ",0,IF(Données!P75="non couvert"," ",Données!Q75)))</f>
        <v>0</v>
      </c>
      <c r="P35" s="106">
        <f>IF($B35=" ",0,IF(Données!$P75="exo",0,IF($O35="FAM",VLOOKUP($F35,taux,10),IF($O35="MONO",VLOOKUP($F35,taux,11),IF($O35="COUPLE",VLOOKUP($F35,taux,12),0)))))</f>
        <v>0</v>
      </c>
      <c r="Q35" s="107">
        <f ca="1">IF(C35&gt;=70,0,IF($B35=" ",0,IF(Données!$R75="NON COUVERT",0,ROUNDUP(IF(Données!$S75="OUI",MIN($E35*VLOOKUP($F35,taux,15)/52,VLOOKUP($F35,taux,17)),MIN($E35*VLOOKUP($F35,taux,15)/52,VLOOKUP($F35,taux,16))),0))))</f>
        <v>0</v>
      </c>
      <c r="R35" s="108">
        <f>IF($B35=" ",0,IF(Données!$R75="EXO",0,$Q35*VLOOKUP($F35,taux,13)/10))</f>
        <v>0</v>
      </c>
      <c r="S35" s="109">
        <f t="shared" ca="1" si="3"/>
        <v>0</v>
      </c>
      <c r="T35" s="110">
        <f>IF(B35=" ",0,IF(Données!$T75="exo",0,$S35*VLOOKUP($F35,taux,18)/100))</f>
        <v>0</v>
      </c>
      <c r="U35" s="109">
        <f>IF($B35=" ",0,IF(Données!$V75="non couvert",0,IF(VLOOKUP($F35,taux,29)="fixe","s/o",IF(Données!$W75="oui",MIN(ROUNDUP(VLOOKUP($F35,taux,31)*$E35,-3),VLOOKUP($F35,taux,33)),MIN(ROUNDUP(VLOOKUP($F35,taux,31)*$E35,-3),VLOOKUP($F35,taux,32))))))</f>
        <v>0</v>
      </c>
      <c r="V35" s="110">
        <f>IF(B35=" ",0,IF(Données!$V75="exo",0,IF(VLOOKUP($F35,taux,29)="fixe",VLOOKUP($F35,taux,30),$U35/1000*VLOOKUP($F35,taux,30))))</f>
        <v>0</v>
      </c>
      <c r="W35" s="110">
        <f t="shared" si="0"/>
        <v>0</v>
      </c>
      <c r="X35" s="383">
        <f>IF(B35=" ",0,EDATE((Données!E75),780))</f>
        <v>0</v>
      </c>
      <c r="Y35" s="383">
        <f t="shared" si="1"/>
        <v>0</v>
      </c>
      <c r="Z35" s="384">
        <f>IF($B35=" ",0,IF(Données!$T75="non couvert",0,IF(Données!$U75="oui",MIN(VLOOKUP($F35,taux,26),ROUNDUP(IF($E35/12&gt;VLOOKUP($F35,taux,21)+VLOOKUP($F35,taux,23),(VLOOKUP($F35,taux,20)*VLOOKUP($F35,taux,21))+(VLOOKUP($F35,taux,22)*VLOOKUP($F35,taux,23))+($E35/12-VLOOKUP($F35,taux,21)-VLOOKUP($F35,taux,23))*VLOOKUP($F35,taux,24),IF($E35/12&gt;VLOOKUP($F35,taux,21),(VLOOKUP($F35,taux,20)*VLOOKUP($F35,taux,21))+($E35/12-VLOOKUP($F35,taux,21))*VLOOKUP($F35,taux,22),$E35/12*VLOOKUP($F35,taux,20))),0)),MIN(VLOOKUP($F35,taux,25),ROUNDUP(IF($E35/12&gt;VLOOKUP($F35,taux,21)+VLOOKUP($F35,taux,23),(VLOOKUP($F35,taux,20)*VLOOKUP($F35,taux,21))+(VLOOKUP($F35,taux,22)*VLOOKUP($F35,taux,23))+($E35/12-VLOOKUP($F35,taux,21)-VLOOKUP($F35,taux,23))*VLOOKUP($F35,taux,24),IF($E35/12&gt;VLOOKUP($F35,taux,21),(VLOOKUP($F35,taux,20)*VLOOKUP($F35,taux,21))+($E35/12-VLOOKUP($F35,taux,21))*VLOOKUP($F35,taux,22),$E35/12*VLOOKUP($F35,taux,20))),0)))))</f>
        <v>0</v>
      </c>
      <c r="AA35" s="111">
        <f ca="1">IF(C35&gt;=70,0,IF($B35=" ",0,IF(Données!$X75="non couvert"," ",Données!Y75)))</f>
        <v>0</v>
      </c>
      <c r="AB35" s="110">
        <f>IF($B35=" ",0,IF(Données!$X75="exo",0,IF($AA35="ind",VLOOKUP($F35,taux,34),IF($AA35="fam",VLOOKUP($F35,taux,35),IF($AA35="mono",VLOOKUP($F35,taux,36),IF($AA35="couple",VLOOKUP($F35,taux,37),0))))))</f>
        <v>0</v>
      </c>
      <c r="AC35" s="111">
        <f ca="1">IF(C35&gt;=70,0,IF($B35=" ",0,IF(Données!$Z75="non couvert"," ",Données!AA75)))</f>
        <v>0</v>
      </c>
      <c r="AD35" s="110">
        <f>IF($B35=" ",0,IF(Données!$Z75="exo",0,IF($AC35="ind",VLOOKUP($F35,taux,38),IF($AC35="fam",VLOOKUP($F35,taux,39),IF($AC35="mono",VLOOKUP($F35,taux,40),IF($AC35="couple",VLOOKUP($F35,taux,41),0))))))</f>
        <v>0</v>
      </c>
      <c r="AE35" s="112">
        <f>IF($B35=" ",0,IF(Données!$AB75="non couvert"," ",Données!AC75))</f>
        <v>0</v>
      </c>
      <c r="AF35" s="113">
        <f>IF($B35=" ",0,IF(Données!$AB75="exo",0,IF($AE35="ind",VLOOKUP($F35,taux,42),IF($AE35="fam",VLOOKUP($F35,taux,43),IF($AE35="mono",VLOOKUP($F35,taux,44),IF($AE35="couple",VLOOKUP($F35,taux,45),0))))))</f>
        <v>0</v>
      </c>
      <c r="AG35" s="114">
        <f t="shared" ca="1" si="2"/>
        <v>0</v>
      </c>
      <c r="AH35" s="114">
        <f>IF($B35=" ",0,IF(Données!J75="Manitoba",(Facture!H35+Facture!J35+Facture!L35+Facture!P35+Facture!R35+Facture!T35)*0.08,(AG35-W35)*IF(Données!$J75="qc",0.09,IF(Données!$J75="on",0.08,0))+W35*VLOOKUP($F35,taux,28)))</f>
        <v>0</v>
      </c>
      <c r="AI35" s="106">
        <f t="shared" ca="1" si="4"/>
        <v>0</v>
      </c>
    </row>
    <row r="36" spans="1:35" s="64" customFormat="1">
      <c r="A36" s="89">
        <f t="shared" si="5"/>
        <v>22</v>
      </c>
      <c r="B36" s="99" t="str">
        <f>CONCATENATE(Données!B76," ",Données!C76)</f>
        <v xml:space="preserve"> </v>
      </c>
      <c r="C36" s="410">
        <f ca="1">IF(B36="",0,INT((TODAY()-Données!E76)/365.25))</f>
        <v>119</v>
      </c>
      <c r="D36" s="100">
        <f>Données!D76</f>
        <v>0</v>
      </c>
      <c r="E36" s="101">
        <f>Données!I76</f>
        <v>0</v>
      </c>
      <c r="F36" s="102" t="str">
        <f>Données!AD76</f>
        <v/>
      </c>
      <c r="G36" s="103">
        <f ca="1">INDEX({1;0.5;0},MATCH(C36,{1;65;70}))*M36</f>
        <v>0</v>
      </c>
      <c r="H36" s="104">
        <f>IF($B36=" ",0,IF(Données!$K76="exo",0,$G36/1000*VLOOKUP($F36,taux,2)))</f>
        <v>0</v>
      </c>
      <c r="I36" s="398">
        <f ca="1">IF(C36&gt;=65,0,Données!M76*5000)</f>
        <v>0</v>
      </c>
      <c r="J36" s="104">
        <f ca="1">I36/1000*(IF(I36=0,0,1)*VLOOKUP((1+(C36&gt;=20)+(C36&gt;=25)+(C36&gt;=30)+(C36&gt;=35)+(C36&gt;=40)+(C36&gt;=45)+(C36&gt;=50)+(C36&gt;=55)+(C36&gt;=60)+(C36&gt;=65)),Test,2+(IF(Données!F76="H",1,3))+(IF(Données!G76="F",1,0))))</f>
        <v>0</v>
      </c>
      <c r="K36" s="103">
        <f ca="1">INDEX({1;0.5;0},MATCH(C36,{1;65;70}))*M36</f>
        <v>0</v>
      </c>
      <c r="L36" s="104">
        <f>IF($B36=" ",0,IF(Données!$N76="exo",0,$K36/1000*VLOOKUP($F36,taux,6)))</f>
        <v>0</v>
      </c>
      <c r="M36" s="379">
        <f>IF($B36=" ",0,IF(Données!$K76="NON COUVERT",0,IF(AND(Données!$L76="oui",Données!$K76=0.5),MIN(VLOOKUP($F36,taux,5)/2,ROUNDUP(VLOOKUP($F36,taux,3)*$E36,-3)/2),IF(Données!$K76=0.5,MIN(VLOOKUP($F36,taux,4)/2,ROUNDUP(VLOOKUP($F36,taux,3)*$E36,-3)/2),ROUNDUP(IF(Données!$L76="OUI",MIN(VLOOKUP($F36,taux,3)*$E36,VLOOKUP($F36,taux,5)),MIN(VLOOKUP($F36,taux,3)*$E36,VLOOKUP($F36,taux,4))),-3)))))</f>
        <v>0</v>
      </c>
      <c r="N36" s="379">
        <f>IF($B36=" ",0,IF(Données!$N76="NON COUVERT",0,IF(AND(Données!$O76="oui",Données!$N76=0.5),MIN(VLOOKUP($F36,taux,9)/2,ROUNDUP(VLOOKUP($F36,taux,7)*$E36,-3)/2),IF(Données!$N76=0.5,MIN(VLOOKUP($F36,taux,8)/2,ROUNDUP(VLOOKUP($F36,taux,7)*$E36,-3)/2),ROUNDUP(IF(Données!$O76="OUI",MIN(VLOOKUP($F36,taux,7)*$E36,VLOOKUP($F36,taux,9)),MIN(VLOOKUP($F36,taux,7)*$E36,VLOOKUP($F36,taux,8))),-3)))))</f>
        <v>0</v>
      </c>
      <c r="O36" s="105">
        <f ca="1">IF(C36&gt;=70,0,IF($B36=" ",0,IF(Données!P76="non couvert"," ",Données!Q76)))</f>
        <v>0</v>
      </c>
      <c r="P36" s="106">
        <f>IF($B36=" ",0,IF(Données!$P76="exo",0,IF($O36="FAM",VLOOKUP($F36,taux,10),IF($O36="MONO",VLOOKUP($F36,taux,11),IF($O36="COUPLE",VLOOKUP($F36,taux,12),0)))))</f>
        <v>0</v>
      </c>
      <c r="Q36" s="107">
        <f ca="1">IF(C36&gt;=70,0,IF($B36=" ",0,IF(Données!$R76="NON COUVERT",0,ROUNDUP(IF(Données!$S76="OUI",MIN($E36*VLOOKUP($F36,taux,15)/52,VLOOKUP($F36,taux,17)),MIN($E36*VLOOKUP($F36,taux,15)/52,VLOOKUP($F36,taux,16))),0))))</f>
        <v>0</v>
      </c>
      <c r="R36" s="108">
        <f>IF($B36=" ",0,IF(Données!$R76="EXO",0,$Q36*VLOOKUP($F36,taux,13)/10))</f>
        <v>0</v>
      </c>
      <c r="S36" s="109">
        <f t="shared" ca="1" si="3"/>
        <v>0</v>
      </c>
      <c r="T36" s="110">
        <f>IF(B36=" ",0,IF(Données!$T76="exo",0,$S36*VLOOKUP($F36,taux,18)/100))</f>
        <v>0</v>
      </c>
      <c r="U36" s="109">
        <f>IF($B36=" ",0,IF(Données!$V76="non couvert",0,IF(VLOOKUP($F36,taux,29)="fixe","s/o",IF(Données!$W76="oui",MIN(ROUNDUP(VLOOKUP($F36,taux,31)*$E36,-3),VLOOKUP($F36,taux,33)),MIN(ROUNDUP(VLOOKUP($F36,taux,31)*$E36,-3),VLOOKUP($F36,taux,32))))))</f>
        <v>0</v>
      </c>
      <c r="V36" s="110">
        <f>IF(B36=" ",0,IF(Données!$V76="exo",0,IF(VLOOKUP($F36,taux,29)="fixe",VLOOKUP($F36,taux,30),$U36/1000*VLOOKUP($F36,taux,30))))</f>
        <v>0</v>
      </c>
      <c r="W36" s="110">
        <f t="shared" si="0"/>
        <v>0</v>
      </c>
      <c r="X36" s="383">
        <f>IF(B36=" ",0,EDATE((Données!E76),780))</f>
        <v>0</v>
      </c>
      <c r="Y36" s="383">
        <f t="shared" si="1"/>
        <v>0</v>
      </c>
      <c r="Z36" s="384">
        <f>IF($B36=" ",0,IF(Données!$T76="non couvert",0,IF(Données!$U76="oui",MIN(VLOOKUP($F36,taux,26),ROUNDUP(IF($E36/12&gt;VLOOKUP($F36,taux,21)+VLOOKUP($F36,taux,23),(VLOOKUP($F36,taux,20)*VLOOKUP($F36,taux,21))+(VLOOKUP($F36,taux,22)*VLOOKUP($F36,taux,23))+($E36/12-VLOOKUP($F36,taux,21)-VLOOKUP($F36,taux,23))*VLOOKUP($F36,taux,24),IF($E36/12&gt;VLOOKUP($F36,taux,21),(VLOOKUP($F36,taux,20)*VLOOKUP($F36,taux,21))+($E36/12-VLOOKUP($F36,taux,21))*VLOOKUP($F36,taux,22),$E36/12*VLOOKUP($F36,taux,20))),0)),MIN(VLOOKUP($F36,taux,25),ROUNDUP(IF($E36/12&gt;VLOOKUP($F36,taux,21)+VLOOKUP($F36,taux,23),(VLOOKUP($F36,taux,20)*VLOOKUP($F36,taux,21))+(VLOOKUP($F36,taux,22)*VLOOKUP($F36,taux,23))+($E36/12-VLOOKUP($F36,taux,21)-VLOOKUP($F36,taux,23))*VLOOKUP($F36,taux,24),IF($E36/12&gt;VLOOKUP($F36,taux,21),(VLOOKUP($F36,taux,20)*VLOOKUP($F36,taux,21))+($E36/12-VLOOKUP($F36,taux,21))*VLOOKUP($F36,taux,22),$E36/12*VLOOKUP($F36,taux,20))),0)))))</f>
        <v>0</v>
      </c>
      <c r="AA36" s="111">
        <f ca="1">IF(C36&gt;=70,0,IF($B36=" ",0,IF(Données!$X76="non couvert"," ",Données!Y76)))</f>
        <v>0</v>
      </c>
      <c r="AB36" s="110">
        <f>IF($B36=" ",0,IF(Données!$X76="exo",0,IF($AA36="ind",VLOOKUP($F36,taux,34),IF($AA36="fam",VLOOKUP($F36,taux,35),IF($AA36="mono",VLOOKUP($F36,taux,36),IF($AA36="couple",VLOOKUP($F36,taux,37),0))))))</f>
        <v>0</v>
      </c>
      <c r="AC36" s="111">
        <f ca="1">IF(C36&gt;=70,0,IF($B36=" ",0,IF(Données!$Z76="non couvert"," ",Données!AA76)))</f>
        <v>0</v>
      </c>
      <c r="AD36" s="110">
        <f>IF($B36=" ",0,IF(Données!$Z76="exo",0,IF($AC36="ind",VLOOKUP($F36,taux,38),IF($AC36="fam",VLOOKUP($F36,taux,39),IF($AC36="mono",VLOOKUP($F36,taux,40),IF($AC36="couple",VLOOKUP($F36,taux,41),0))))))</f>
        <v>0</v>
      </c>
      <c r="AE36" s="112">
        <f>IF($B36=" ",0,IF(Données!$AB76="non couvert"," ",Données!AC76))</f>
        <v>0</v>
      </c>
      <c r="AF36" s="113">
        <f>IF($B36=" ",0,IF(Données!$AB76="exo",0,IF($AE36="ind",VLOOKUP($F36,taux,42),IF($AE36="fam",VLOOKUP($F36,taux,43),IF($AE36="mono",VLOOKUP($F36,taux,44),IF($AE36="couple",VLOOKUP($F36,taux,45),0))))))</f>
        <v>0</v>
      </c>
      <c r="AG36" s="114">
        <f t="shared" ca="1" si="2"/>
        <v>0</v>
      </c>
      <c r="AH36" s="114">
        <f>IF($B36=" ",0,IF(Données!J76="Manitoba",(Facture!H36+Facture!J36+Facture!L36+Facture!P36+Facture!R36+Facture!T36)*0.08,(AG36-W36)*IF(Données!$J76="qc",0.09,IF(Données!$J76="on",0.08,0))+W36*VLOOKUP($F36,taux,28)))</f>
        <v>0</v>
      </c>
      <c r="AI36" s="106">
        <f t="shared" ca="1" si="4"/>
        <v>0</v>
      </c>
    </row>
    <row r="37" spans="1:35" s="64" customFormat="1">
      <c r="A37" s="89">
        <f t="shared" si="5"/>
        <v>23</v>
      </c>
      <c r="B37" s="99" t="str">
        <f>CONCATENATE(Données!B77," ",Données!C77)</f>
        <v xml:space="preserve"> </v>
      </c>
      <c r="C37" s="410">
        <f ca="1">IF(B37="",0,INT((TODAY()-Données!E77)/365.25))</f>
        <v>119</v>
      </c>
      <c r="D37" s="100">
        <f>Données!D77</f>
        <v>0</v>
      </c>
      <c r="E37" s="101">
        <f>Données!I77</f>
        <v>0</v>
      </c>
      <c r="F37" s="102" t="str">
        <f>Données!AD77</f>
        <v/>
      </c>
      <c r="G37" s="103">
        <f ca="1">INDEX({1;0.5;0},MATCH(C37,{1;65;70}))*M37</f>
        <v>0</v>
      </c>
      <c r="H37" s="104">
        <f>IF($B37=" ",0,IF(Données!$K77="exo",0,$G37/1000*VLOOKUP($F37,taux,2)))</f>
        <v>0</v>
      </c>
      <c r="I37" s="398">
        <f ca="1">IF(C37&gt;=65,0,Données!M77*5000)</f>
        <v>0</v>
      </c>
      <c r="J37" s="104">
        <f ca="1">I37/1000*(IF(I37=0,0,1)*VLOOKUP((1+(C37&gt;=20)+(C37&gt;=25)+(C37&gt;=30)+(C37&gt;=35)+(C37&gt;=40)+(C37&gt;=45)+(C37&gt;=50)+(C37&gt;=55)+(C37&gt;=60)+(C37&gt;=65)),Test,2+(IF(Données!F77="H",1,3))+(IF(Données!G77="F",1,0))))</f>
        <v>0</v>
      </c>
      <c r="K37" s="103">
        <f ca="1">INDEX({1;0.5;0},MATCH(C37,{1;65;70}))*M37</f>
        <v>0</v>
      </c>
      <c r="L37" s="104">
        <f>IF($B37=" ",0,IF(Données!$N77="exo",0,$K37/1000*VLOOKUP($F37,taux,6)))</f>
        <v>0</v>
      </c>
      <c r="M37" s="379">
        <f>IF($B37=" ",0,IF(Données!$K77="NON COUVERT",0,IF(AND(Données!$L77="oui",Données!$K77=0.5),MIN(VLOOKUP($F37,taux,5)/2,ROUNDUP(VLOOKUP($F37,taux,3)*$E37,-3)/2),IF(Données!$K77=0.5,MIN(VLOOKUP($F37,taux,4)/2,ROUNDUP(VLOOKUP($F37,taux,3)*$E37,-3)/2),ROUNDUP(IF(Données!$L77="OUI",MIN(VLOOKUP($F37,taux,3)*$E37,VLOOKUP($F37,taux,5)),MIN(VLOOKUP($F37,taux,3)*$E37,VLOOKUP($F37,taux,4))),-3)))))</f>
        <v>0</v>
      </c>
      <c r="N37" s="379">
        <f>IF($B37=" ",0,IF(Données!$N77="NON COUVERT",0,IF(AND(Données!$O77="oui",Données!$N77=0.5),MIN(VLOOKUP($F37,taux,9)/2,ROUNDUP(VLOOKUP($F37,taux,7)*$E37,-3)/2),IF(Données!$N77=0.5,MIN(VLOOKUP($F37,taux,8)/2,ROUNDUP(VLOOKUP($F37,taux,7)*$E37,-3)/2),ROUNDUP(IF(Données!$O77="OUI",MIN(VLOOKUP($F37,taux,7)*$E37,VLOOKUP($F37,taux,9)),MIN(VLOOKUP($F37,taux,7)*$E37,VLOOKUP($F37,taux,8))),-3)))))</f>
        <v>0</v>
      </c>
      <c r="O37" s="105">
        <f ca="1">IF(C37&gt;=70,0,IF($B37=" ",0,IF(Données!P77="non couvert"," ",Données!Q77)))</f>
        <v>0</v>
      </c>
      <c r="P37" s="106">
        <f>IF($B37=" ",0,IF(Données!$P77="exo",0,IF($O37="FAM",VLOOKUP($F37,taux,10),IF($O37="MONO",VLOOKUP($F37,taux,11),IF($O37="COUPLE",VLOOKUP($F37,taux,12),0)))))</f>
        <v>0</v>
      </c>
      <c r="Q37" s="107">
        <f ca="1">IF(C37&gt;=70,0,IF($B37=" ",0,IF(Données!$R77="NON COUVERT",0,ROUNDUP(IF(Données!$S77="OUI",MIN($E37*VLOOKUP($F37,taux,15)/52,VLOOKUP($F37,taux,17)),MIN($E37*VLOOKUP($F37,taux,15)/52,VLOOKUP($F37,taux,16))),0))))</f>
        <v>0</v>
      </c>
      <c r="R37" s="108">
        <f>IF($B37=" ",0,IF(Données!$R77="EXO",0,$Q37*VLOOKUP($F37,taux,13)/10))</f>
        <v>0</v>
      </c>
      <c r="S37" s="109">
        <f t="shared" ca="1" si="3"/>
        <v>0</v>
      </c>
      <c r="T37" s="110">
        <f>IF(B37=" ",0,IF(Données!$T77="exo",0,$S37*VLOOKUP($F37,taux,18)/100))</f>
        <v>0</v>
      </c>
      <c r="U37" s="109">
        <f>IF($B37=" ",0,IF(Données!$V77="non couvert",0,IF(VLOOKUP($F37,taux,29)="fixe","s/o",IF(Données!$W77="oui",MIN(ROUNDUP(VLOOKUP($F37,taux,31)*$E37,-3),VLOOKUP($F37,taux,33)),MIN(ROUNDUP(VLOOKUP($F37,taux,31)*$E37,-3),VLOOKUP($F37,taux,32))))))</f>
        <v>0</v>
      </c>
      <c r="V37" s="110">
        <f>IF(B37=" ",0,IF(Données!$V77="exo",0,IF(VLOOKUP($F37,taux,29)="fixe",VLOOKUP($F37,taux,30),$U37/1000*VLOOKUP($F37,taux,30))))</f>
        <v>0</v>
      </c>
      <c r="W37" s="110">
        <f t="shared" si="0"/>
        <v>0</v>
      </c>
      <c r="X37" s="383">
        <f>IF(B37=" ",0,EDATE((Données!E77),780))</f>
        <v>0</v>
      </c>
      <c r="Y37" s="383">
        <f t="shared" si="1"/>
        <v>0</v>
      </c>
      <c r="Z37" s="384">
        <f>IF($B37=" ",0,IF(Données!$T77="non couvert",0,IF(Données!$U77="oui",MIN(VLOOKUP($F37,taux,26),ROUNDUP(IF($E37/12&gt;VLOOKUP($F37,taux,21)+VLOOKUP($F37,taux,23),(VLOOKUP($F37,taux,20)*VLOOKUP($F37,taux,21))+(VLOOKUP($F37,taux,22)*VLOOKUP($F37,taux,23))+($E37/12-VLOOKUP($F37,taux,21)-VLOOKUP($F37,taux,23))*VLOOKUP($F37,taux,24),IF($E37/12&gt;VLOOKUP($F37,taux,21),(VLOOKUP($F37,taux,20)*VLOOKUP($F37,taux,21))+($E37/12-VLOOKUP($F37,taux,21))*VLOOKUP($F37,taux,22),$E37/12*VLOOKUP($F37,taux,20))),0)),MIN(VLOOKUP($F37,taux,25),ROUNDUP(IF($E37/12&gt;VLOOKUP($F37,taux,21)+VLOOKUP($F37,taux,23),(VLOOKUP($F37,taux,20)*VLOOKUP($F37,taux,21))+(VLOOKUP($F37,taux,22)*VLOOKUP($F37,taux,23))+($E37/12-VLOOKUP($F37,taux,21)-VLOOKUP($F37,taux,23))*VLOOKUP($F37,taux,24),IF($E37/12&gt;VLOOKUP($F37,taux,21),(VLOOKUP($F37,taux,20)*VLOOKUP($F37,taux,21))+($E37/12-VLOOKUP($F37,taux,21))*VLOOKUP($F37,taux,22),$E37/12*VLOOKUP($F37,taux,20))),0)))))</f>
        <v>0</v>
      </c>
      <c r="AA37" s="111">
        <f ca="1">IF(C37&gt;=70,0,IF($B37=" ",0,IF(Données!$X77="non couvert"," ",Données!Y77)))</f>
        <v>0</v>
      </c>
      <c r="AB37" s="110">
        <f>IF($B37=" ",0,IF(Données!$X77="exo",0,IF($AA37="ind",VLOOKUP($F37,taux,34),IF($AA37="fam",VLOOKUP($F37,taux,35),IF($AA37="mono",VLOOKUP($F37,taux,36),IF($AA37="couple",VLOOKUP($F37,taux,37),0))))))</f>
        <v>0</v>
      </c>
      <c r="AC37" s="111">
        <f ca="1">IF(C37&gt;=70,0,IF($B37=" ",0,IF(Données!$Z77="non couvert"," ",Données!AA77)))</f>
        <v>0</v>
      </c>
      <c r="AD37" s="110">
        <f>IF($B37=" ",0,IF(Données!$Z77="exo",0,IF($AC37="ind",VLOOKUP($F37,taux,38),IF($AC37="fam",VLOOKUP($F37,taux,39),IF($AC37="mono",VLOOKUP($F37,taux,40),IF($AC37="couple",VLOOKUP($F37,taux,41),0))))))</f>
        <v>0</v>
      </c>
      <c r="AE37" s="112">
        <f>IF($B37=" ",0,IF(Données!$AB77="non couvert"," ",Données!AC77))</f>
        <v>0</v>
      </c>
      <c r="AF37" s="113">
        <f>IF($B37=" ",0,IF(Données!$AB77="exo",0,IF($AE37="ind",VLOOKUP($F37,taux,42),IF($AE37="fam",VLOOKUP($F37,taux,43),IF($AE37="mono",VLOOKUP($F37,taux,44),IF($AE37="couple",VLOOKUP($F37,taux,45),0))))))</f>
        <v>0</v>
      </c>
      <c r="AG37" s="114">
        <f t="shared" ca="1" si="2"/>
        <v>0</v>
      </c>
      <c r="AH37" s="114">
        <f>IF($B37=" ",0,IF(Données!J77="Manitoba",(Facture!H37+Facture!J37+Facture!L37+Facture!P37+Facture!R37+Facture!T37)*0.08,(AG37-W37)*IF(Données!$J77="qc",0.09,IF(Données!$J77="on",0.08,0))+W37*VLOOKUP($F37,taux,28)))</f>
        <v>0</v>
      </c>
      <c r="AI37" s="106">
        <f t="shared" ca="1" si="4"/>
        <v>0</v>
      </c>
    </row>
    <row r="38" spans="1:35" s="64" customFormat="1">
      <c r="A38" s="89">
        <f t="shared" si="5"/>
        <v>24</v>
      </c>
      <c r="B38" s="99" t="str">
        <f>CONCATENATE(Données!B78," ",Données!C78)</f>
        <v xml:space="preserve"> </v>
      </c>
      <c r="C38" s="410">
        <f ca="1">IF(B38="",0,INT((TODAY()-Données!E78)/365.25))</f>
        <v>119</v>
      </c>
      <c r="D38" s="100">
        <f>Données!D78</f>
        <v>0</v>
      </c>
      <c r="E38" s="101">
        <f>Données!I78</f>
        <v>0</v>
      </c>
      <c r="F38" s="102" t="str">
        <f>Données!AD78</f>
        <v/>
      </c>
      <c r="G38" s="103">
        <f ca="1">INDEX({1;0.5;0},MATCH(C38,{1;65;70}))*M38</f>
        <v>0</v>
      </c>
      <c r="H38" s="104">
        <f>IF($B38=" ",0,IF(Données!$K78="exo",0,$G38/1000*VLOOKUP($F38,taux,2)))</f>
        <v>0</v>
      </c>
      <c r="I38" s="398">
        <f ca="1">IF(C38&gt;=65,0,Données!M78*5000)</f>
        <v>0</v>
      </c>
      <c r="J38" s="104">
        <f ca="1">I38/1000*(IF(I38=0,0,1)*VLOOKUP((1+(C38&gt;=20)+(C38&gt;=25)+(C38&gt;=30)+(C38&gt;=35)+(C38&gt;=40)+(C38&gt;=45)+(C38&gt;=50)+(C38&gt;=55)+(C38&gt;=60)+(C38&gt;=65)),Test,2+(IF(Données!F78="H",1,3))+(IF(Données!G78="F",1,0))))</f>
        <v>0</v>
      </c>
      <c r="K38" s="103">
        <f ca="1">INDEX({1;0.5;0},MATCH(C38,{1;65;70}))*M38</f>
        <v>0</v>
      </c>
      <c r="L38" s="104">
        <f>IF($B38=" ",0,IF(Données!$N78="exo",0,$K38/1000*VLOOKUP($F38,taux,6)))</f>
        <v>0</v>
      </c>
      <c r="M38" s="379">
        <f>IF($B38=" ",0,IF(Données!$K78="NON COUVERT",0,IF(AND(Données!$L78="oui",Données!$K78=0.5),MIN(VLOOKUP($F38,taux,5)/2,ROUNDUP(VLOOKUP($F38,taux,3)*$E38,-3)/2),IF(Données!$K78=0.5,MIN(VLOOKUP($F38,taux,4)/2,ROUNDUP(VLOOKUP($F38,taux,3)*$E38,-3)/2),ROUNDUP(IF(Données!$L78="OUI",MIN(VLOOKUP($F38,taux,3)*$E38,VLOOKUP($F38,taux,5)),MIN(VLOOKUP($F38,taux,3)*$E38,VLOOKUP($F38,taux,4))),-3)))))</f>
        <v>0</v>
      </c>
      <c r="N38" s="379">
        <f>IF($B38=" ",0,IF(Données!$N78="NON COUVERT",0,IF(AND(Données!$O78="oui",Données!$N78=0.5),MIN(VLOOKUP($F38,taux,9)/2,ROUNDUP(VLOOKUP($F38,taux,7)*$E38,-3)/2),IF(Données!$N78=0.5,MIN(VLOOKUP($F38,taux,8)/2,ROUNDUP(VLOOKUP($F38,taux,7)*$E38,-3)/2),ROUNDUP(IF(Données!$O78="OUI",MIN(VLOOKUP($F38,taux,7)*$E38,VLOOKUP($F38,taux,9)),MIN(VLOOKUP($F38,taux,7)*$E38,VLOOKUP($F38,taux,8))),-3)))))</f>
        <v>0</v>
      </c>
      <c r="O38" s="105">
        <f ca="1">IF(C38&gt;=70,0,IF($B38=" ",0,IF(Données!P78="non couvert"," ",Données!Q78)))</f>
        <v>0</v>
      </c>
      <c r="P38" s="106">
        <f>IF($B38=" ",0,IF(Données!$P78="exo",0,IF($O38="FAM",VLOOKUP($F38,taux,10),IF($O38="MONO",VLOOKUP($F38,taux,11),IF($O38="COUPLE",VLOOKUP($F38,taux,12),0)))))</f>
        <v>0</v>
      </c>
      <c r="Q38" s="107">
        <f ca="1">IF(C38&gt;=70,0,IF($B38=" ",0,IF(Données!$R78="NON COUVERT",0,ROUNDUP(IF(Données!$S78="OUI",MIN($E38*VLOOKUP($F38,taux,15)/52,VLOOKUP($F38,taux,17)),MIN($E38*VLOOKUP($F38,taux,15)/52,VLOOKUP($F38,taux,16))),0))))</f>
        <v>0</v>
      </c>
      <c r="R38" s="108">
        <f>IF($B38=" ",0,IF(Données!$R78="EXO",0,$Q38*VLOOKUP($F38,taux,13)/10))</f>
        <v>0</v>
      </c>
      <c r="S38" s="109">
        <f t="shared" ca="1" si="3"/>
        <v>0</v>
      </c>
      <c r="T38" s="110">
        <f>IF(B38=" ",0,IF(Données!$T78="exo",0,$S38*VLOOKUP($F38,taux,18)/100))</f>
        <v>0</v>
      </c>
      <c r="U38" s="109">
        <f>IF($B38=" ",0,IF(Données!$V78="non couvert",0,IF(VLOOKUP($F38,taux,29)="fixe","s/o",IF(Données!$W78="oui",MIN(ROUNDUP(VLOOKUP($F38,taux,31)*$E38,-3),VLOOKUP($F38,taux,33)),MIN(ROUNDUP(VLOOKUP($F38,taux,31)*$E38,-3),VLOOKUP($F38,taux,32))))))</f>
        <v>0</v>
      </c>
      <c r="V38" s="110">
        <f>IF(B38=" ",0,IF(Données!$V78="exo",0,IF(VLOOKUP($F38,taux,29)="fixe",VLOOKUP($F38,taux,30),$U38/1000*VLOOKUP($F38,taux,30))))</f>
        <v>0</v>
      </c>
      <c r="W38" s="110">
        <f t="shared" si="0"/>
        <v>0</v>
      </c>
      <c r="X38" s="383">
        <f>IF(B38=" ",0,EDATE((Données!E78),780))</f>
        <v>0</v>
      </c>
      <c r="Y38" s="383">
        <f t="shared" si="1"/>
        <v>0</v>
      </c>
      <c r="Z38" s="384">
        <f>IF($B38=" ",0,IF(Données!$T78="non couvert",0,IF(Données!$U78="oui",MIN(VLOOKUP($F38,taux,26),ROUNDUP(IF($E38/12&gt;VLOOKUP($F38,taux,21)+VLOOKUP($F38,taux,23),(VLOOKUP($F38,taux,20)*VLOOKUP($F38,taux,21))+(VLOOKUP($F38,taux,22)*VLOOKUP($F38,taux,23))+($E38/12-VLOOKUP($F38,taux,21)-VLOOKUP($F38,taux,23))*VLOOKUP($F38,taux,24),IF($E38/12&gt;VLOOKUP($F38,taux,21),(VLOOKUP($F38,taux,20)*VLOOKUP($F38,taux,21))+($E38/12-VLOOKUP($F38,taux,21))*VLOOKUP($F38,taux,22),$E38/12*VLOOKUP($F38,taux,20))),0)),MIN(VLOOKUP($F38,taux,25),ROUNDUP(IF($E38/12&gt;VLOOKUP($F38,taux,21)+VLOOKUP($F38,taux,23),(VLOOKUP($F38,taux,20)*VLOOKUP($F38,taux,21))+(VLOOKUP($F38,taux,22)*VLOOKUP($F38,taux,23))+($E38/12-VLOOKUP($F38,taux,21)-VLOOKUP($F38,taux,23))*VLOOKUP($F38,taux,24),IF($E38/12&gt;VLOOKUP($F38,taux,21),(VLOOKUP($F38,taux,20)*VLOOKUP($F38,taux,21))+($E38/12-VLOOKUP($F38,taux,21))*VLOOKUP($F38,taux,22),$E38/12*VLOOKUP($F38,taux,20))),0)))))</f>
        <v>0</v>
      </c>
      <c r="AA38" s="111">
        <f ca="1">IF(C38&gt;=70,0,IF($B38=" ",0,IF(Données!$X78="non couvert"," ",Données!Y78)))</f>
        <v>0</v>
      </c>
      <c r="AB38" s="110">
        <f>IF($B38=" ",0,IF(Données!$X78="exo",0,IF($AA38="ind",VLOOKUP($F38,taux,34),IF($AA38="fam",VLOOKUP($F38,taux,35),IF($AA38="mono",VLOOKUP($F38,taux,36),IF($AA38="couple",VLOOKUP($F38,taux,37),0))))))</f>
        <v>0</v>
      </c>
      <c r="AC38" s="111">
        <f ca="1">IF(C38&gt;=70,0,IF($B38=" ",0,IF(Données!$Z78="non couvert"," ",Données!AA78)))</f>
        <v>0</v>
      </c>
      <c r="AD38" s="110">
        <f>IF($B38=" ",0,IF(Données!$Z78="exo",0,IF($AC38="ind",VLOOKUP($F38,taux,38),IF($AC38="fam",VLOOKUP($F38,taux,39),IF($AC38="mono",VLOOKUP($F38,taux,40),IF($AC38="couple",VLOOKUP($F38,taux,41),0))))))</f>
        <v>0</v>
      </c>
      <c r="AE38" s="112">
        <f>IF($B38=" ",0,IF(Données!$AB78="non couvert"," ",Données!AC78))</f>
        <v>0</v>
      </c>
      <c r="AF38" s="113">
        <f>IF($B38=" ",0,IF(Données!$AB78="exo",0,IF($AE38="ind",VLOOKUP($F38,taux,42),IF($AE38="fam",VLOOKUP($F38,taux,43),IF($AE38="mono",VLOOKUP($F38,taux,44),IF($AE38="couple",VLOOKUP($F38,taux,45),0))))))</f>
        <v>0</v>
      </c>
      <c r="AG38" s="114">
        <f t="shared" ca="1" si="2"/>
        <v>0</v>
      </c>
      <c r="AH38" s="114">
        <f>IF($B38=" ",0,IF(Données!J78="Manitoba",(Facture!H38+Facture!J38+Facture!L38+Facture!P38+Facture!R38+Facture!T38)*0.08,(AG38-W38)*IF(Données!$J78="qc",0.09,IF(Données!$J78="on",0.08,0))+W38*VLOOKUP($F38,taux,28)))</f>
        <v>0</v>
      </c>
      <c r="AI38" s="106">
        <f t="shared" ca="1" si="4"/>
        <v>0</v>
      </c>
    </row>
    <row r="39" spans="1:35" s="64" customFormat="1">
      <c r="A39" s="89">
        <f t="shared" si="5"/>
        <v>25</v>
      </c>
      <c r="B39" s="99" t="str">
        <f>CONCATENATE(Données!B79," ",Données!C79)</f>
        <v xml:space="preserve"> </v>
      </c>
      <c r="C39" s="410">
        <f ca="1">IF(B39="",0,INT((TODAY()-Données!E79)/365.25))</f>
        <v>119</v>
      </c>
      <c r="D39" s="100">
        <f>Données!D79</f>
        <v>0</v>
      </c>
      <c r="E39" s="101">
        <f>Données!I79</f>
        <v>0</v>
      </c>
      <c r="F39" s="102" t="str">
        <f>Données!AD79</f>
        <v/>
      </c>
      <c r="G39" s="103">
        <f ca="1">INDEX({1;0.5;0},MATCH(C39,{1;65;70}))*M39</f>
        <v>0</v>
      </c>
      <c r="H39" s="104">
        <f>IF($B39=" ",0,IF(Données!$K79="exo",0,$G39/1000*VLOOKUP($F39,taux,2)))</f>
        <v>0</v>
      </c>
      <c r="I39" s="398">
        <f ca="1">IF(C39&gt;=65,0,Données!M79*5000)</f>
        <v>0</v>
      </c>
      <c r="J39" s="104">
        <f ca="1">I39/1000*(IF(I39=0,0,1)*VLOOKUP((1+(C39&gt;=20)+(C39&gt;=25)+(C39&gt;=30)+(C39&gt;=35)+(C39&gt;=40)+(C39&gt;=45)+(C39&gt;=50)+(C39&gt;=55)+(C39&gt;=60)+(C39&gt;=65)),Test,2+(IF(Données!F79="H",1,3))+(IF(Données!G79="F",1,0))))</f>
        <v>0</v>
      </c>
      <c r="K39" s="103">
        <f ca="1">INDEX({1;0.5;0},MATCH(C39,{1;65;70}))*M39</f>
        <v>0</v>
      </c>
      <c r="L39" s="104">
        <f>IF($B39=" ",0,IF(Données!$N79="exo",0,$K39/1000*VLOOKUP($F39,taux,6)))</f>
        <v>0</v>
      </c>
      <c r="M39" s="379">
        <f>IF($B39=" ",0,IF(Données!$K79="NON COUVERT",0,IF(AND(Données!$L79="oui",Données!$K79=0.5),MIN(VLOOKUP($F39,taux,5)/2,ROUNDUP(VLOOKUP($F39,taux,3)*$E39,-3)/2),IF(Données!$K79=0.5,MIN(VLOOKUP($F39,taux,4)/2,ROUNDUP(VLOOKUP($F39,taux,3)*$E39,-3)/2),ROUNDUP(IF(Données!$L79="OUI",MIN(VLOOKUP($F39,taux,3)*$E39,VLOOKUP($F39,taux,5)),MIN(VLOOKUP($F39,taux,3)*$E39,VLOOKUP($F39,taux,4))),-3)))))</f>
        <v>0</v>
      </c>
      <c r="N39" s="379">
        <f>IF($B39=" ",0,IF(Données!$N79="NON COUVERT",0,IF(AND(Données!$O79="oui",Données!$N79=0.5),MIN(VLOOKUP($F39,taux,9)/2,ROUNDUP(VLOOKUP($F39,taux,7)*$E39,-3)/2),IF(Données!$N79=0.5,MIN(VLOOKUP($F39,taux,8)/2,ROUNDUP(VLOOKUP($F39,taux,7)*$E39,-3)/2),ROUNDUP(IF(Données!$O79="OUI",MIN(VLOOKUP($F39,taux,7)*$E39,VLOOKUP($F39,taux,9)),MIN(VLOOKUP($F39,taux,7)*$E39,VLOOKUP($F39,taux,8))),-3)))))</f>
        <v>0</v>
      </c>
      <c r="O39" s="105">
        <f ca="1">IF(C39&gt;=70,0,IF($B39=" ",0,IF(Données!P79="non couvert"," ",Données!Q79)))</f>
        <v>0</v>
      </c>
      <c r="P39" s="106">
        <f>IF($B39=" ",0,IF(Données!$P79="exo",0,IF($O39="FAM",VLOOKUP($F39,taux,10),IF($O39="MONO",VLOOKUP($F39,taux,11),IF($O39="COUPLE",VLOOKUP($F39,taux,12),0)))))</f>
        <v>0</v>
      </c>
      <c r="Q39" s="107">
        <f ca="1">IF(C39&gt;=70,0,IF($B39=" ",0,IF(Données!$R79="NON COUVERT",0,ROUNDUP(IF(Données!$S79="OUI",MIN($E39*VLOOKUP($F39,taux,15)/52,VLOOKUP($F39,taux,17)),MIN($E39*VLOOKUP($F39,taux,15)/52,VLOOKUP($F39,taux,16))),0))))</f>
        <v>0</v>
      </c>
      <c r="R39" s="108">
        <f>IF($B39=" ",0,IF(Données!$R79="EXO",0,$Q39*VLOOKUP($F39,taux,13)/10))</f>
        <v>0</v>
      </c>
      <c r="S39" s="109">
        <f t="shared" ca="1" si="3"/>
        <v>0</v>
      </c>
      <c r="T39" s="110">
        <f>IF(B39=" ",0,IF(Données!$T79="exo",0,$S39*VLOOKUP($F39,taux,18)/100))</f>
        <v>0</v>
      </c>
      <c r="U39" s="109">
        <f>IF($B39=" ",0,IF(Données!$V79="non couvert",0,IF(VLOOKUP($F39,taux,29)="fixe","s/o",IF(Données!$W79="oui",MIN(ROUNDUP(VLOOKUP($F39,taux,31)*$E39,-3),VLOOKUP($F39,taux,33)),MIN(ROUNDUP(VLOOKUP($F39,taux,31)*$E39,-3),VLOOKUP($F39,taux,32))))))</f>
        <v>0</v>
      </c>
      <c r="V39" s="110">
        <f>IF(B39=" ",0,IF(Données!$V79="exo",0,IF(VLOOKUP($F39,taux,29)="fixe",VLOOKUP($F39,taux,30),$U39/1000*VLOOKUP($F39,taux,30))))</f>
        <v>0</v>
      </c>
      <c r="W39" s="110">
        <f t="shared" si="0"/>
        <v>0</v>
      </c>
      <c r="X39" s="383">
        <f>IF(B39=" ",0,EDATE((Données!E79),780))</f>
        <v>0</v>
      </c>
      <c r="Y39" s="383">
        <f t="shared" si="1"/>
        <v>0</v>
      </c>
      <c r="Z39" s="384">
        <f>IF($B39=" ",0,IF(Données!$T79="non couvert",0,IF(Données!$U79="oui",MIN(VLOOKUP($F39,taux,26),ROUNDUP(IF($E39/12&gt;VLOOKUP($F39,taux,21)+VLOOKUP($F39,taux,23),(VLOOKUP($F39,taux,20)*VLOOKUP($F39,taux,21))+(VLOOKUP($F39,taux,22)*VLOOKUP($F39,taux,23))+($E39/12-VLOOKUP($F39,taux,21)-VLOOKUP($F39,taux,23))*VLOOKUP($F39,taux,24),IF($E39/12&gt;VLOOKUP($F39,taux,21),(VLOOKUP($F39,taux,20)*VLOOKUP($F39,taux,21))+($E39/12-VLOOKUP($F39,taux,21))*VLOOKUP($F39,taux,22),$E39/12*VLOOKUP($F39,taux,20))),0)),MIN(VLOOKUP($F39,taux,25),ROUNDUP(IF($E39/12&gt;VLOOKUP($F39,taux,21)+VLOOKUP($F39,taux,23),(VLOOKUP($F39,taux,20)*VLOOKUP($F39,taux,21))+(VLOOKUP($F39,taux,22)*VLOOKUP($F39,taux,23))+($E39/12-VLOOKUP($F39,taux,21)-VLOOKUP($F39,taux,23))*VLOOKUP($F39,taux,24),IF($E39/12&gt;VLOOKUP($F39,taux,21),(VLOOKUP($F39,taux,20)*VLOOKUP($F39,taux,21))+($E39/12-VLOOKUP($F39,taux,21))*VLOOKUP($F39,taux,22),$E39/12*VLOOKUP($F39,taux,20))),0)))))</f>
        <v>0</v>
      </c>
      <c r="AA39" s="111">
        <f ca="1">IF(C39&gt;=70,0,IF($B39=" ",0,IF(Données!$X79="non couvert"," ",Données!Y79)))</f>
        <v>0</v>
      </c>
      <c r="AB39" s="110">
        <f>IF($B39=" ",0,IF(Données!$X79="exo",0,IF($AA39="ind",VLOOKUP($F39,taux,34),IF($AA39="fam",VLOOKUP($F39,taux,35),IF($AA39="mono",VLOOKUP($F39,taux,36),IF($AA39="couple",VLOOKUP($F39,taux,37),0))))))</f>
        <v>0</v>
      </c>
      <c r="AC39" s="111">
        <f ca="1">IF(C39&gt;=70,0,IF($B39=" ",0,IF(Données!$Z79="non couvert"," ",Données!AA79)))</f>
        <v>0</v>
      </c>
      <c r="AD39" s="110">
        <f>IF($B39=" ",0,IF(Données!$Z79="exo",0,IF($AC39="ind",VLOOKUP($F39,taux,38),IF($AC39="fam",VLOOKUP($F39,taux,39),IF($AC39="mono",VLOOKUP($F39,taux,40),IF($AC39="couple",VLOOKUP($F39,taux,41),0))))))</f>
        <v>0</v>
      </c>
      <c r="AE39" s="112">
        <f>IF($B39=" ",0,IF(Données!$AB79="non couvert"," ",Données!AC79))</f>
        <v>0</v>
      </c>
      <c r="AF39" s="113">
        <f>IF($B39=" ",0,IF(Données!$AB79="exo",0,IF($AE39="ind",VLOOKUP($F39,taux,42),IF($AE39="fam",VLOOKUP($F39,taux,43),IF($AE39="mono",VLOOKUP($F39,taux,44),IF($AE39="couple",VLOOKUP($F39,taux,45),0))))))</f>
        <v>0</v>
      </c>
      <c r="AG39" s="114">
        <f t="shared" ca="1" si="2"/>
        <v>0</v>
      </c>
      <c r="AH39" s="114">
        <f>IF($B39=" ",0,IF(Données!J79="Manitoba",(Facture!H39+Facture!J39+Facture!L39+Facture!P39+Facture!R39+Facture!T39)*0.08,(AG39-W39)*IF(Données!$J79="qc",0.09,IF(Données!$J79="on",0.08,0))+W39*VLOOKUP($F39,taux,28)))</f>
        <v>0</v>
      </c>
      <c r="AI39" s="106">
        <f t="shared" ca="1" si="4"/>
        <v>0</v>
      </c>
    </row>
    <row r="40" spans="1:35" s="64" customFormat="1">
      <c r="A40" s="89">
        <f t="shared" si="5"/>
        <v>26</v>
      </c>
      <c r="B40" s="99" t="str">
        <f>CONCATENATE(Données!B80," ",Données!C80)</f>
        <v xml:space="preserve"> </v>
      </c>
      <c r="C40" s="410">
        <f ca="1">IF(B40="",0,INT((TODAY()-Données!E80)/365.25))</f>
        <v>119</v>
      </c>
      <c r="D40" s="100">
        <f>Données!D80</f>
        <v>0</v>
      </c>
      <c r="E40" s="101">
        <f>Données!I80</f>
        <v>0</v>
      </c>
      <c r="F40" s="102" t="str">
        <f>Données!AD80</f>
        <v/>
      </c>
      <c r="G40" s="103">
        <f ca="1">INDEX({1;0.5;0},MATCH(C40,{1;65;70}))*M40</f>
        <v>0</v>
      </c>
      <c r="H40" s="104">
        <f>IF($B40=" ",0,IF(Données!$K80="exo",0,$G40/1000*VLOOKUP($F40,taux,2)))</f>
        <v>0</v>
      </c>
      <c r="I40" s="398">
        <f ca="1">IF(C40&gt;=65,0,Données!M80*5000)</f>
        <v>0</v>
      </c>
      <c r="J40" s="104">
        <f ca="1">I40/1000*(IF(I40=0,0,1)*VLOOKUP((1+(C40&gt;=20)+(C40&gt;=25)+(C40&gt;=30)+(C40&gt;=35)+(C40&gt;=40)+(C40&gt;=45)+(C40&gt;=50)+(C40&gt;=55)+(C40&gt;=60)+(C40&gt;=65)),Test,2+(IF(Données!F80="H",1,3))+(IF(Données!G80="F",1,0))))</f>
        <v>0</v>
      </c>
      <c r="K40" s="103">
        <f ca="1">INDEX({1;0.5;0},MATCH(C40,{1;65;70}))*M40</f>
        <v>0</v>
      </c>
      <c r="L40" s="104">
        <f>IF($B40=" ",0,IF(Données!$N80="exo",0,$K40/1000*VLOOKUP($F40,taux,6)))</f>
        <v>0</v>
      </c>
      <c r="M40" s="379">
        <f>IF($B40=" ",0,IF(Données!$K80="NON COUVERT",0,IF(AND(Données!$L80="oui",Données!$K80=0.5),MIN(VLOOKUP($F40,taux,5)/2,ROUNDUP(VLOOKUP($F40,taux,3)*$E40,-3)/2),IF(Données!$K80=0.5,MIN(VLOOKUP($F40,taux,4)/2,ROUNDUP(VLOOKUP($F40,taux,3)*$E40,-3)/2),ROUNDUP(IF(Données!$L80="OUI",MIN(VLOOKUP($F40,taux,3)*$E40,VLOOKUP($F40,taux,5)),MIN(VLOOKUP($F40,taux,3)*$E40,VLOOKUP($F40,taux,4))),-3)))))</f>
        <v>0</v>
      </c>
      <c r="N40" s="379">
        <f>IF($B40=" ",0,IF(Données!$N80="NON COUVERT",0,IF(AND(Données!$O80="oui",Données!$N80=0.5),MIN(VLOOKUP($F40,taux,9)/2,ROUNDUP(VLOOKUP($F40,taux,7)*$E40,-3)/2),IF(Données!$N80=0.5,MIN(VLOOKUP($F40,taux,8)/2,ROUNDUP(VLOOKUP($F40,taux,7)*$E40,-3)/2),ROUNDUP(IF(Données!$O80="OUI",MIN(VLOOKUP($F40,taux,7)*$E40,VLOOKUP($F40,taux,9)),MIN(VLOOKUP($F40,taux,7)*$E40,VLOOKUP($F40,taux,8))),-3)))))</f>
        <v>0</v>
      </c>
      <c r="O40" s="105">
        <f ca="1">IF(C40&gt;=70,0,IF($B40=" ",0,IF(Données!P80="non couvert"," ",Données!Q80)))</f>
        <v>0</v>
      </c>
      <c r="P40" s="106">
        <f>IF($B40=" ",0,IF(Données!$P80="exo",0,IF($O40="FAM",VLOOKUP($F40,taux,10),IF($O40="MONO",VLOOKUP($F40,taux,11),IF($O40="COUPLE",VLOOKUP($F40,taux,12),0)))))</f>
        <v>0</v>
      </c>
      <c r="Q40" s="107">
        <f ca="1">IF(C40&gt;=70,0,IF($B40=" ",0,IF(Données!$R80="NON COUVERT",0,ROUNDUP(IF(Données!$S80="OUI",MIN($E40*VLOOKUP($F40,taux,15)/52,VLOOKUP($F40,taux,17)),MIN($E40*VLOOKUP($F40,taux,15)/52,VLOOKUP($F40,taux,16))),0))))</f>
        <v>0</v>
      </c>
      <c r="R40" s="108">
        <f>IF($B40=" ",0,IF(Données!$R80="EXO",0,$Q40*VLOOKUP($F40,taux,13)/10))</f>
        <v>0</v>
      </c>
      <c r="S40" s="109">
        <f t="shared" ca="1" si="3"/>
        <v>0</v>
      </c>
      <c r="T40" s="110">
        <f>IF(B40=" ",0,IF(Données!$T80="exo",0,$S40*VLOOKUP($F40,taux,18)/100))</f>
        <v>0</v>
      </c>
      <c r="U40" s="109">
        <f>IF($B40=" ",0,IF(Données!$V80="non couvert",0,IF(VLOOKUP($F40,taux,29)="fixe","s/o",IF(Données!$W80="oui",MIN(ROUNDUP(VLOOKUP($F40,taux,31)*$E40,-3),VLOOKUP($F40,taux,33)),MIN(ROUNDUP(VLOOKUP($F40,taux,31)*$E40,-3),VLOOKUP($F40,taux,32))))))</f>
        <v>0</v>
      </c>
      <c r="V40" s="110">
        <f>IF(B40=" ",0,IF(Données!$V80="exo",0,IF(VLOOKUP($F40,taux,29)="fixe",VLOOKUP($F40,taux,30),$U40/1000*VLOOKUP($F40,taux,30))))</f>
        <v>0</v>
      </c>
      <c r="W40" s="110">
        <f t="shared" si="0"/>
        <v>0</v>
      </c>
      <c r="X40" s="383">
        <f>IF(B40=" ",0,EDATE((Données!E80),780))</f>
        <v>0</v>
      </c>
      <c r="Y40" s="383">
        <f t="shared" si="1"/>
        <v>0</v>
      </c>
      <c r="Z40" s="384">
        <f>IF($B40=" ",0,IF(Données!$T80="non couvert",0,IF(Données!$U80="oui",MIN(VLOOKUP($F40,taux,26),ROUNDUP(IF($E40/12&gt;VLOOKUP($F40,taux,21)+VLOOKUP($F40,taux,23),(VLOOKUP($F40,taux,20)*VLOOKUP($F40,taux,21))+(VLOOKUP($F40,taux,22)*VLOOKUP($F40,taux,23))+($E40/12-VLOOKUP($F40,taux,21)-VLOOKUP($F40,taux,23))*VLOOKUP($F40,taux,24),IF($E40/12&gt;VLOOKUP($F40,taux,21),(VLOOKUP($F40,taux,20)*VLOOKUP($F40,taux,21))+($E40/12-VLOOKUP($F40,taux,21))*VLOOKUP($F40,taux,22),$E40/12*VLOOKUP($F40,taux,20))),0)),MIN(VLOOKUP($F40,taux,25),ROUNDUP(IF($E40/12&gt;VLOOKUP($F40,taux,21)+VLOOKUP($F40,taux,23),(VLOOKUP($F40,taux,20)*VLOOKUP($F40,taux,21))+(VLOOKUP($F40,taux,22)*VLOOKUP($F40,taux,23))+($E40/12-VLOOKUP($F40,taux,21)-VLOOKUP($F40,taux,23))*VLOOKUP($F40,taux,24),IF($E40/12&gt;VLOOKUP($F40,taux,21),(VLOOKUP($F40,taux,20)*VLOOKUP($F40,taux,21))+($E40/12-VLOOKUP($F40,taux,21))*VLOOKUP($F40,taux,22),$E40/12*VLOOKUP($F40,taux,20))),0)))))</f>
        <v>0</v>
      </c>
      <c r="AA40" s="111">
        <f ca="1">IF(C40&gt;=70,0,IF($B40=" ",0,IF(Données!$X80="non couvert"," ",Données!Y80)))</f>
        <v>0</v>
      </c>
      <c r="AB40" s="110">
        <f>IF($B40=" ",0,IF(Données!$X80="exo",0,IF($AA40="ind",VLOOKUP($F40,taux,34),IF($AA40="fam",VLOOKUP($F40,taux,35),IF($AA40="mono",VLOOKUP($F40,taux,36),IF($AA40="couple",VLOOKUP($F40,taux,37),0))))))</f>
        <v>0</v>
      </c>
      <c r="AC40" s="111">
        <f ca="1">IF(C40&gt;=70,0,IF($B40=" ",0,IF(Données!$Z80="non couvert"," ",Données!AA80)))</f>
        <v>0</v>
      </c>
      <c r="AD40" s="110">
        <f>IF($B40=" ",0,IF(Données!$Z80="exo",0,IF($AC40="ind",VLOOKUP($F40,taux,38),IF($AC40="fam",VLOOKUP($F40,taux,39),IF($AC40="mono",VLOOKUP($F40,taux,40),IF($AC40="couple",VLOOKUP($F40,taux,41),0))))))</f>
        <v>0</v>
      </c>
      <c r="AE40" s="112">
        <f>IF($B40=" ",0,IF(Données!$AB80="non couvert"," ",Données!AC80))</f>
        <v>0</v>
      </c>
      <c r="AF40" s="113">
        <f>IF($B40=" ",0,IF(Données!$AB80="exo",0,IF($AE40="ind",VLOOKUP($F40,taux,42),IF($AE40="fam",VLOOKUP($F40,taux,43),IF($AE40="mono",VLOOKUP($F40,taux,44),IF($AE40="couple",VLOOKUP($F40,taux,45),0))))))</f>
        <v>0</v>
      </c>
      <c r="AG40" s="114">
        <f t="shared" ca="1" si="2"/>
        <v>0</v>
      </c>
      <c r="AH40" s="114">
        <f>IF($B40=" ",0,IF(Données!J80="Manitoba",(Facture!H40+Facture!J40+Facture!L40+Facture!P40+Facture!R40+Facture!T40)*0.08,(AG40-W40)*IF(Données!$J80="qc",0.09,IF(Données!$J80="on",0.08,0))+W40*VLOOKUP($F40,taux,28)))</f>
        <v>0</v>
      </c>
      <c r="AI40" s="106">
        <f t="shared" ca="1" si="4"/>
        <v>0</v>
      </c>
    </row>
    <row r="41" spans="1:35" s="64" customFormat="1">
      <c r="A41" s="89">
        <f t="shared" si="5"/>
        <v>27</v>
      </c>
      <c r="B41" s="99" t="str">
        <f>CONCATENATE(Données!B81," ",Données!C81)</f>
        <v xml:space="preserve"> </v>
      </c>
      <c r="C41" s="410">
        <f ca="1">IF(B41="",0,INT((TODAY()-Données!E81)/365.25))</f>
        <v>119</v>
      </c>
      <c r="D41" s="100">
        <f>Données!D81</f>
        <v>0</v>
      </c>
      <c r="E41" s="101">
        <f>Données!I81</f>
        <v>0</v>
      </c>
      <c r="F41" s="102" t="str">
        <f>Données!AD81</f>
        <v/>
      </c>
      <c r="G41" s="103">
        <f ca="1">INDEX({1;0.5;0},MATCH(C41,{1;65;70}))*M41</f>
        <v>0</v>
      </c>
      <c r="H41" s="104">
        <f>IF($B41=" ",0,IF(Données!$K81="exo",0,$G41/1000*VLOOKUP($F41,taux,2)))</f>
        <v>0</v>
      </c>
      <c r="I41" s="398">
        <f ca="1">IF(C41&gt;=65,0,Données!M81*5000)</f>
        <v>0</v>
      </c>
      <c r="J41" s="104">
        <f ca="1">I41/1000*(IF(I41=0,0,1)*VLOOKUP((1+(C41&gt;=20)+(C41&gt;=25)+(C41&gt;=30)+(C41&gt;=35)+(C41&gt;=40)+(C41&gt;=45)+(C41&gt;=50)+(C41&gt;=55)+(C41&gt;=60)+(C41&gt;=65)),Test,2+(IF(Données!F81="H",1,3))+(IF(Données!G81="F",1,0))))</f>
        <v>0</v>
      </c>
      <c r="K41" s="103">
        <f ca="1">INDEX({1;0.5;0},MATCH(C41,{1;65;70}))*M41</f>
        <v>0</v>
      </c>
      <c r="L41" s="104">
        <f>IF($B41=" ",0,IF(Données!$N81="exo",0,$K41/1000*VLOOKUP($F41,taux,6)))</f>
        <v>0</v>
      </c>
      <c r="M41" s="379">
        <f>IF($B41=" ",0,IF(Données!$K81="NON COUVERT",0,IF(AND(Données!$L81="oui",Données!$K81=0.5),MIN(VLOOKUP($F41,taux,5)/2,ROUNDUP(VLOOKUP($F41,taux,3)*$E41,-3)/2),IF(Données!$K81=0.5,MIN(VLOOKUP($F41,taux,4)/2,ROUNDUP(VLOOKUP($F41,taux,3)*$E41,-3)/2),ROUNDUP(IF(Données!$L81="OUI",MIN(VLOOKUP($F41,taux,3)*$E41,VLOOKUP($F41,taux,5)),MIN(VLOOKUP($F41,taux,3)*$E41,VLOOKUP($F41,taux,4))),-3)))))</f>
        <v>0</v>
      </c>
      <c r="N41" s="379">
        <f>IF($B41=" ",0,IF(Données!$N81="NON COUVERT",0,IF(AND(Données!$O81="oui",Données!$N81=0.5),MIN(VLOOKUP($F41,taux,9)/2,ROUNDUP(VLOOKUP($F41,taux,7)*$E41,-3)/2),IF(Données!$N81=0.5,MIN(VLOOKUP($F41,taux,8)/2,ROUNDUP(VLOOKUP($F41,taux,7)*$E41,-3)/2),ROUNDUP(IF(Données!$O81="OUI",MIN(VLOOKUP($F41,taux,7)*$E41,VLOOKUP($F41,taux,9)),MIN(VLOOKUP($F41,taux,7)*$E41,VLOOKUP($F41,taux,8))),-3)))))</f>
        <v>0</v>
      </c>
      <c r="O41" s="105">
        <f ca="1">IF(C41&gt;=70,0,IF($B41=" ",0,IF(Données!P81="non couvert"," ",Données!Q81)))</f>
        <v>0</v>
      </c>
      <c r="P41" s="106">
        <f>IF($B41=" ",0,IF(Données!$P81="exo",0,IF($O41="FAM",VLOOKUP($F41,taux,10),IF($O41="MONO",VLOOKUP($F41,taux,11),IF($O41="COUPLE",VLOOKUP($F41,taux,12),0)))))</f>
        <v>0</v>
      </c>
      <c r="Q41" s="107">
        <f ca="1">IF(C41&gt;=70,0,IF($B41=" ",0,IF(Données!$R81="NON COUVERT",0,ROUNDUP(IF(Données!$S81="OUI",MIN($E41*VLOOKUP($F41,taux,15)/52,VLOOKUP($F41,taux,17)),MIN($E41*VLOOKUP($F41,taux,15)/52,VLOOKUP($F41,taux,16))),0))))</f>
        <v>0</v>
      </c>
      <c r="R41" s="108">
        <f>IF($B41=" ",0,IF(Données!$R81="EXO",0,$Q41*VLOOKUP($F41,taux,13)/10))</f>
        <v>0</v>
      </c>
      <c r="S41" s="109">
        <f t="shared" ca="1" si="3"/>
        <v>0</v>
      </c>
      <c r="T41" s="110">
        <f>IF(B41=" ",0,IF(Données!$T81="exo",0,$S41*VLOOKUP($F41,taux,18)/100))</f>
        <v>0</v>
      </c>
      <c r="U41" s="109">
        <f>IF($B41=" ",0,IF(Données!$V81="non couvert",0,IF(VLOOKUP($F41,taux,29)="fixe","s/o",IF(Données!$W81="oui",MIN(ROUNDUP(VLOOKUP($F41,taux,31)*$E41,-3),VLOOKUP($F41,taux,33)),MIN(ROUNDUP(VLOOKUP($F41,taux,31)*$E41,-3),VLOOKUP($F41,taux,32))))))</f>
        <v>0</v>
      </c>
      <c r="V41" s="110">
        <f>IF(B41=" ",0,IF(Données!$V81="exo",0,IF(VLOOKUP($F41,taux,29)="fixe",VLOOKUP($F41,taux,30),$U41/1000*VLOOKUP($F41,taux,30))))</f>
        <v>0</v>
      </c>
      <c r="W41" s="110">
        <f t="shared" si="0"/>
        <v>0</v>
      </c>
      <c r="X41" s="383">
        <f>IF(B41=" ",0,EDATE((Données!E81),780))</f>
        <v>0</v>
      </c>
      <c r="Y41" s="383">
        <f t="shared" si="1"/>
        <v>0</v>
      </c>
      <c r="Z41" s="384">
        <f>IF($B41=" ",0,IF(Données!$T81="non couvert",0,IF(Données!$U81="oui",MIN(VLOOKUP($F41,taux,26),ROUNDUP(IF($E41/12&gt;VLOOKUP($F41,taux,21)+VLOOKUP($F41,taux,23),(VLOOKUP($F41,taux,20)*VLOOKUP($F41,taux,21))+(VLOOKUP($F41,taux,22)*VLOOKUP($F41,taux,23))+($E41/12-VLOOKUP($F41,taux,21)-VLOOKUP($F41,taux,23))*VLOOKUP($F41,taux,24),IF($E41/12&gt;VLOOKUP($F41,taux,21),(VLOOKUP($F41,taux,20)*VLOOKUP($F41,taux,21))+($E41/12-VLOOKUP($F41,taux,21))*VLOOKUP($F41,taux,22),$E41/12*VLOOKUP($F41,taux,20))),0)),MIN(VLOOKUP($F41,taux,25),ROUNDUP(IF($E41/12&gt;VLOOKUP($F41,taux,21)+VLOOKUP($F41,taux,23),(VLOOKUP($F41,taux,20)*VLOOKUP($F41,taux,21))+(VLOOKUP($F41,taux,22)*VLOOKUP($F41,taux,23))+($E41/12-VLOOKUP($F41,taux,21)-VLOOKUP($F41,taux,23))*VLOOKUP($F41,taux,24),IF($E41/12&gt;VLOOKUP($F41,taux,21),(VLOOKUP($F41,taux,20)*VLOOKUP($F41,taux,21))+($E41/12-VLOOKUP($F41,taux,21))*VLOOKUP($F41,taux,22),$E41/12*VLOOKUP($F41,taux,20))),0)))))</f>
        <v>0</v>
      </c>
      <c r="AA41" s="111">
        <f ca="1">IF(C41&gt;=70,0,IF($B41=" ",0,IF(Données!$X81="non couvert"," ",Données!Y81)))</f>
        <v>0</v>
      </c>
      <c r="AB41" s="110">
        <f>IF($B41=" ",0,IF(Données!$X81="exo",0,IF($AA41="ind",VLOOKUP($F41,taux,34),IF($AA41="fam",VLOOKUP($F41,taux,35),IF($AA41="mono",VLOOKUP($F41,taux,36),IF($AA41="couple",VLOOKUP($F41,taux,37),0))))))</f>
        <v>0</v>
      </c>
      <c r="AC41" s="111">
        <f ca="1">IF(C41&gt;=70,0,IF($B41=" ",0,IF(Données!$Z81="non couvert"," ",Données!AA81)))</f>
        <v>0</v>
      </c>
      <c r="AD41" s="110">
        <f>IF($B41=" ",0,IF(Données!$Z81="exo",0,IF($AC41="ind",VLOOKUP($F41,taux,38),IF($AC41="fam",VLOOKUP($F41,taux,39),IF($AC41="mono",VLOOKUP($F41,taux,40),IF($AC41="couple",VLOOKUP($F41,taux,41),0))))))</f>
        <v>0</v>
      </c>
      <c r="AE41" s="112">
        <f>IF($B41=" ",0,IF(Données!$AB81="non couvert"," ",Données!AC81))</f>
        <v>0</v>
      </c>
      <c r="AF41" s="113">
        <f>IF($B41=" ",0,IF(Données!$AB81="exo",0,IF($AE41="ind",VLOOKUP($F41,taux,42),IF($AE41="fam",VLOOKUP($F41,taux,43),IF($AE41="mono",VLOOKUP($F41,taux,44),IF($AE41="couple",VLOOKUP($F41,taux,45),0))))))</f>
        <v>0</v>
      </c>
      <c r="AG41" s="114">
        <f t="shared" ca="1" si="2"/>
        <v>0</v>
      </c>
      <c r="AH41" s="114">
        <f>IF($B41=" ",0,IF(Données!J81="Manitoba",(Facture!H41+Facture!J41+Facture!L41+Facture!P41+Facture!R41+Facture!T41)*0.08,(AG41-W41)*IF(Données!$J81="qc",0.09,IF(Données!$J81="on",0.08,0))+W41*VLOOKUP($F41,taux,28)))</f>
        <v>0</v>
      </c>
      <c r="AI41" s="106">
        <f t="shared" ca="1" si="4"/>
        <v>0</v>
      </c>
    </row>
    <row r="42" spans="1:35" s="64" customFormat="1">
      <c r="A42" s="89">
        <f t="shared" si="5"/>
        <v>28</v>
      </c>
      <c r="B42" s="99" t="str">
        <f>CONCATENATE(Données!B82," ",Données!C82)</f>
        <v xml:space="preserve"> </v>
      </c>
      <c r="C42" s="410">
        <f ca="1">IF(B42="",0,INT((TODAY()-Données!E82)/365.25))</f>
        <v>119</v>
      </c>
      <c r="D42" s="100">
        <f>Données!D82</f>
        <v>0</v>
      </c>
      <c r="E42" s="101">
        <f>Données!I82</f>
        <v>0</v>
      </c>
      <c r="F42" s="102" t="str">
        <f>Données!AD82</f>
        <v/>
      </c>
      <c r="G42" s="103">
        <f ca="1">INDEX({1;0.5;0},MATCH(C42,{1;65;70}))*M42</f>
        <v>0</v>
      </c>
      <c r="H42" s="104">
        <f>IF($B42=" ",0,IF(Données!$K82="exo",0,$G42/1000*VLOOKUP($F42,taux,2)))</f>
        <v>0</v>
      </c>
      <c r="I42" s="398">
        <f ca="1">IF(C42&gt;=65,0,Données!M82*5000)</f>
        <v>0</v>
      </c>
      <c r="J42" s="104">
        <f ca="1">I42/1000*(IF(I42=0,0,1)*VLOOKUP((1+(C42&gt;=20)+(C42&gt;=25)+(C42&gt;=30)+(C42&gt;=35)+(C42&gt;=40)+(C42&gt;=45)+(C42&gt;=50)+(C42&gt;=55)+(C42&gt;=60)+(C42&gt;=65)),Test,2+(IF(Données!F82="H",1,3))+(IF(Données!G82="F",1,0))))</f>
        <v>0</v>
      </c>
      <c r="K42" s="103">
        <f ca="1">INDEX({1;0.5;0},MATCH(C42,{1;65;70}))*M42</f>
        <v>0</v>
      </c>
      <c r="L42" s="104">
        <f>IF($B42=" ",0,IF(Données!$N82="exo",0,$K42/1000*VLOOKUP($F42,taux,6)))</f>
        <v>0</v>
      </c>
      <c r="M42" s="379">
        <f>IF($B42=" ",0,IF(Données!$K82="NON COUVERT",0,IF(AND(Données!$L82="oui",Données!$K82=0.5),MIN(VLOOKUP($F42,taux,5)/2,ROUNDUP(VLOOKUP($F42,taux,3)*$E42,-3)/2),IF(Données!$K82=0.5,MIN(VLOOKUP($F42,taux,4)/2,ROUNDUP(VLOOKUP($F42,taux,3)*$E42,-3)/2),ROUNDUP(IF(Données!$L82="OUI",MIN(VLOOKUP($F42,taux,3)*$E42,VLOOKUP($F42,taux,5)),MIN(VLOOKUP($F42,taux,3)*$E42,VLOOKUP($F42,taux,4))),-3)))))</f>
        <v>0</v>
      </c>
      <c r="N42" s="379">
        <f>IF($B42=" ",0,IF(Données!$N82="NON COUVERT",0,IF(AND(Données!$O82="oui",Données!$N82=0.5),MIN(VLOOKUP($F42,taux,9)/2,ROUNDUP(VLOOKUP($F42,taux,7)*$E42,-3)/2),IF(Données!$N82=0.5,MIN(VLOOKUP($F42,taux,8)/2,ROUNDUP(VLOOKUP($F42,taux,7)*$E42,-3)/2),ROUNDUP(IF(Données!$O82="OUI",MIN(VLOOKUP($F42,taux,7)*$E42,VLOOKUP($F42,taux,9)),MIN(VLOOKUP($F42,taux,7)*$E42,VLOOKUP($F42,taux,8))),-3)))))</f>
        <v>0</v>
      </c>
      <c r="O42" s="105">
        <f ca="1">IF(C42&gt;=70,0,IF($B42=" ",0,IF(Données!P82="non couvert"," ",Données!Q82)))</f>
        <v>0</v>
      </c>
      <c r="P42" s="106">
        <f>IF($B42=" ",0,IF(Données!$P82="exo",0,IF($O42="FAM",VLOOKUP($F42,taux,10),IF($O42="MONO",VLOOKUP($F42,taux,11),IF($O42="COUPLE",VLOOKUP($F42,taux,12),0)))))</f>
        <v>0</v>
      </c>
      <c r="Q42" s="107">
        <f ca="1">IF(C42&gt;=70,0,IF($B42=" ",0,IF(Données!$R82="NON COUVERT",0,ROUNDUP(IF(Données!$S82="OUI",MIN($E42*VLOOKUP($F42,taux,15)/52,VLOOKUP($F42,taux,17)),MIN($E42*VLOOKUP($F42,taux,15)/52,VLOOKUP($F42,taux,16))),0))))</f>
        <v>0</v>
      </c>
      <c r="R42" s="108">
        <f>IF($B42=" ",0,IF(Données!$R82="EXO",0,$Q42*VLOOKUP($F42,taux,13)/10))</f>
        <v>0</v>
      </c>
      <c r="S42" s="109">
        <f t="shared" ca="1" si="3"/>
        <v>0</v>
      </c>
      <c r="T42" s="110">
        <f>IF(B42=" ",0,IF(Données!$T82="exo",0,$S42*VLOOKUP($F42,taux,18)/100))</f>
        <v>0</v>
      </c>
      <c r="U42" s="109">
        <f>IF($B42=" ",0,IF(Données!$V82="non couvert",0,IF(VLOOKUP($F42,taux,29)="fixe","s/o",IF(Données!$W82="oui",MIN(ROUNDUP(VLOOKUP($F42,taux,31)*$E42,-3),VLOOKUP($F42,taux,33)),MIN(ROUNDUP(VLOOKUP($F42,taux,31)*$E42,-3),VLOOKUP($F42,taux,32))))))</f>
        <v>0</v>
      </c>
      <c r="V42" s="110">
        <f>IF(B42=" ",0,IF(Données!$V82="exo",0,IF(VLOOKUP($F42,taux,29)="fixe",VLOOKUP($F42,taux,30),$U42/1000*VLOOKUP($F42,taux,30))))</f>
        <v>0</v>
      </c>
      <c r="W42" s="110">
        <f t="shared" si="0"/>
        <v>0</v>
      </c>
      <c r="X42" s="383">
        <f>IF(B42=" ",0,EDATE((Données!E82),780))</f>
        <v>0</v>
      </c>
      <c r="Y42" s="383">
        <f t="shared" si="1"/>
        <v>0</v>
      </c>
      <c r="Z42" s="384">
        <f>IF($B42=" ",0,IF(Données!$T82="non couvert",0,IF(Données!$U82="oui",MIN(VLOOKUP($F42,taux,26),ROUNDUP(IF($E42/12&gt;VLOOKUP($F42,taux,21)+VLOOKUP($F42,taux,23),(VLOOKUP($F42,taux,20)*VLOOKUP($F42,taux,21))+(VLOOKUP($F42,taux,22)*VLOOKUP($F42,taux,23))+($E42/12-VLOOKUP($F42,taux,21)-VLOOKUP($F42,taux,23))*VLOOKUP($F42,taux,24),IF($E42/12&gt;VLOOKUP($F42,taux,21),(VLOOKUP($F42,taux,20)*VLOOKUP($F42,taux,21))+($E42/12-VLOOKUP($F42,taux,21))*VLOOKUP($F42,taux,22),$E42/12*VLOOKUP($F42,taux,20))),0)),MIN(VLOOKUP($F42,taux,25),ROUNDUP(IF($E42/12&gt;VLOOKUP($F42,taux,21)+VLOOKUP($F42,taux,23),(VLOOKUP($F42,taux,20)*VLOOKUP($F42,taux,21))+(VLOOKUP($F42,taux,22)*VLOOKUP($F42,taux,23))+($E42/12-VLOOKUP($F42,taux,21)-VLOOKUP($F42,taux,23))*VLOOKUP($F42,taux,24),IF($E42/12&gt;VLOOKUP($F42,taux,21),(VLOOKUP($F42,taux,20)*VLOOKUP($F42,taux,21))+($E42/12-VLOOKUP($F42,taux,21))*VLOOKUP($F42,taux,22),$E42/12*VLOOKUP($F42,taux,20))),0)))))</f>
        <v>0</v>
      </c>
      <c r="AA42" s="111">
        <f ca="1">IF(C42&gt;=70,0,IF($B42=" ",0,IF(Données!$X82="non couvert"," ",Données!Y82)))</f>
        <v>0</v>
      </c>
      <c r="AB42" s="110">
        <f>IF($B42=" ",0,IF(Données!$X82="exo",0,IF($AA42="ind",VLOOKUP($F42,taux,34),IF($AA42="fam",VLOOKUP($F42,taux,35),IF($AA42="mono",VLOOKUP($F42,taux,36),IF($AA42="couple",VLOOKUP($F42,taux,37),0))))))</f>
        <v>0</v>
      </c>
      <c r="AC42" s="111">
        <f ca="1">IF(C42&gt;=70,0,IF($B42=" ",0,IF(Données!$Z82="non couvert"," ",Données!AA82)))</f>
        <v>0</v>
      </c>
      <c r="AD42" s="110">
        <f>IF($B42=" ",0,IF(Données!$Z82="exo",0,IF($AC42="ind",VLOOKUP($F42,taux,38),IF($AC42="fam",VLOOKUP($F42,taux,39),IF($AC42="mono",VLOOKUP($F42,taux,40),IF($AC42="couple",VLOOKUP($F42,taux,41),0))))))</f>
        <v>0</v>
      </c>
      <c r="AE42" s="112">
        <f>IF($B42=" ",0,IF(Données!$AB82="non couvert"," ",Données!AC82))</f>
        <v>0</v>
      </c>
      <c r="AF42" s="113">
        <f>IF($B42=" ",0,IF(Données!$AB82="exo",0,IF($AE42="ind",VLOOKUP($F42,taux,42),IF($AE42="fam",VLOOKUP($F42,taux,43),IF($AE42="mono",VLOOKUP($F42,taux,44),IF($AE42="couple",VLOOKUP($F42,taux,45),0))))))</f>
        <v>0</v>
      </c>
      <c r="AG42" s="114">
        <f t="shared" ca="1" si="2"/>
        <v>0</v>
      </c>
      <c r="AH42" s="114">
        <f>IF($B42=" ",0,IF(Données!J82="Manitoba",(Facture!H42+Facture!J42+Facture!L42+Facture!P42+Facture!R42+Facture!T42)*0.08,(AG42-W42)*IF(Données!$J82="qc",0.09,IF(Données!$J82="on",0.08,0))+W42*VLOOKUP($F42,taux,28)))</f>
        <v>0</v>
      </c>
      <c r="AI42" s="106">
        <f t="shared" ca="1" si="4"/>
        <v>0</v>
      </c>
    </row>
    <row r="43" spans="1:35" s="64" customFormat="1">
      <c r="A43" s="89">
        <f t="shared" si="5"/>
        <v>29</v>
      </c>
      <c r="B43" s="99" t="str">
        <f>CONCATENATE(Données!B83," ",Données!C83)</f>
        <v xml:space="preserve"> </v>
      </c>
      <c r="C43" s="410">
        <f ca="1">IF(B43="",0,INT((TODAY()-Données!E83)/365.25))</f>
        <v>119</v>
      </c>
      <c r="D43" s="100">
        <f>Données!D83</f>
        <v>0</v>
      </c>
      <c r="E43" s="101">
        <f>Données!I83</f>
        <v>0</v>
      </c>
      <c r="F43" s="102" t="str">
        <f>Données!AD83</f>
        <v/>
      </c>
      <c r="G43" s="103">
        <f ca="1">INDEX({1;0.5;0},MATCH(C43,{1;65;70}))*M43</f>
        <v>0</v>
      </c>
      <c r="H43" s="104">
        <f>IF($B43=" ",0,IF(Données!$K83="exo",0,$G43/1000*VLOOKUP($F43,taux,2)))</f>
        <v>0</v>
      </c>
      <c r="I43" s="398">
        <f ca="1">IF(C43&gt;=65,0,Données!M83*5000)</f>
        <v>0</v>
      </c>
      <c r="J43" s="104">
        <f ca="1">I43/1000*(IF(I43=0,0,1)*VLOOKUP((1+(C43&gt;=20)+(C43&gt;=25)+(C43&gt;=30)+(C43&gt;=35)+(C43&gt;=40)+(C43&gt;=45)+(C43&gt;=50)+(C43&gt;=55)+(C43&gt;=60)+(C43&gt;=65)),Test,2+(IF(Données!F83="H",1,3))+(IF(Données!G83="F",1,0))))</f>
        <v>0</v>
      </c>
      <c r="K43" s="103">
        <f ca="1">INDEX({1;0.5;0},MATCH(C43,{1;65;70}))*M43</f>
        <v>0</v>
      </c>
      <c r="L43" s="104">
        <f>IF($B43=" ",0,IF(Données!$N83="exo",0,$K43/1000*VLOOKUP($F43,taux,6)))</f>
        <v>0</v>
      </c>
      <c r="M43" s="379">
        <f>IF($B43=" ",0,IF(Données!$K83="NON COUVERT",0,IF(AND(Données!$L83="oui",Données!$K83=0.5),MIN(VLOOKUP($F43,taux,5)/2,ROUNDUP(VLOOKUP($F43,taux,3)*$E43,-3)/2),IF(Données!$K83=0.5,MIN(VLOOKUP($F43,taux,4)/2,ROUNDUP(VLOOKUP($F43,taux,3)*$E43,-3)/2),ROUNDUP(IF(Données!$L83="OUI",MIN(VLOOKUP($F43,taux,3)*$E43,VLOOKUP($F43,taux,5)),MIN(VLOOKUP($F43,taux,3)*$E43,VLOOKUP($F43,taux,4))),-3)))))</f>
        <v>0</v>
      </c>
      <c r="N43" s="379">
        <f>IF($B43=" ",0,IF(Données!$N83="NON COUVERT",0,IF(AND(Données!$O83="oui",Données!$N83=0.5),MIN(VLOOKUP($F43,taux,9)/2,ROUNDUP(VLOOKUP($F43,taux,7)*$E43,-3)/2),IF(Données!$N83=0.5,MIN(VLOOKUP($F43,taux,8)/2,ROUNDUP(VLOOKUP($F43,taux,7)*$E43,-3)/2),ROUNDUP(IF(Données!$O83="OUI",MIN(VLOOKUP($F43,taux,7)*$E43,VLOOKUP($F43,taux,9)),MIN(VLOOKUP($F43,taux,7)*$E43,VLOOKUP($F43,taux,8))),-3)))))</f>
        <v>0</v>
      </c>
      <c r="O43" s="105">
        <f ca="1">IF(C43&gt;=70,0,IF($B43=" ",0,IF(Données!P83="non couvert"," ",Données!Q83)))</f>
        <v>0</v>
      </c>
      <c r="P43" s="106">
        <f>IF($B43=" ",0,IF(Données!$P83="exo",0,IF($O43="FAM",VLOOKUP($F43,taux,10),IF($O43="MONO",VLOOKUP($F43,taux,11),IF($O43="COUPLE",VLOOKUP($F43,taux,12),0)))))</f>
        <v>0</v>
      </c>
      <c r="Q43" s="107">
        <f ca="1">IF(C43&gt;=70,0,IF($B43=" ",0,IF(Données!$R83="NON COUVERT",0,ROUNDUP(IF(Données!$S83="OUI",MIN($E43*VLOOKUP($F43,taux,15)/52,VLOOKUP($F43,taux,17)),MIN($E43*VLOOKUP($F43,taux,15)/52,VLOOKUP($F43,taux,16))),0))))</f>
        <v>0</v>
      </c>
      <c r="R43" s="108">
        <f>IF($B43=" ",0,IF(Données!$R83="EXO",0,$Q43*VLOOKUP($F43,taux,13)/10))</f>
        <v>0</v>
      </c>
      <c r="S43" s="109">
        <f t="shared" ca="1" si="3"/>
        <v>0</v>
      </c>
      <c r="T43" s="110">
        <f>IF(B43=" ",0,IF(Données!$T83="exo",0,$S43*VLOOKUP($F43,taux,18)/100))</f>
        <v>0</v>
      </c>
      <c r="U43" s="109">
        <f>IF($B43=" ",0,IF(Données!$V83="non couvert",0,IF(VLOOKUP($F43,taux,29)="fixe","s/o",IF(Données!$W83="oui",MIN(ROUNDUP(VLOOKUP($F43,taux,31)*$E43,-3),VLOOKUP($F43,taux,33)),MIN(ROUNDUP(VLOOKUP($F43,taux,31)*$E43,-3),VLOOKUP($F43,taux,32))))))</f>
        <v>0</v>
      </c>
      <c r="V43" s="110">
        <f>IF(B43=" ",0,IF(Données!$V83="exo",0,IF(VLOOKUP($F43,taux,29)="fixe",VLOOKUP($F43,taux,30),$U43/1000*VLOOKUP($F43,taux,30))))</f>
        <v>0</v>
      </c>
      <c r="W43" s="110">
        <f t="shared" si="0"/>
        <v>0</v>
      </c>
      <c r="X43" s="383">
        <f>IF(B43=" ",0,EDATE((Données!E83),780))</f>
        <v>0</v>
      </c>
      <c r="Y43" s="383">
        <f t="shared" si="1"/>
        <v>0</v>
      </c>
      <c r="Z43" s="384">
        <f>IF($B43=" ",0,IF(Données!$T83="non couvert",0,IF(Données!$U83="oui",MIN(VLOOKUP($F43,taux,26),ROUNDUP(IF($E43/12&gt;VLOOKUP($F43,taux,21)+VLOOKUP($F43,taux,23),(VLOOKUP($F43,taux,20)*VLOOKUP($F43,taux,21))+(VLOOKUP($F43,taux,22)*VLOOKUP($F43,taux,23))+($E43/12-VLOOKUP($F43,taux,21)-VLOOKUP($F43,taux,23))*VLOOKUP($F43,taux,24),IF($E43/12&gt;VLOOKUP($F43,taux,21),(VLOOKUP($F43,taux,20)*VLOOKUP($F43,taux,21))+($E43/12-VLOOKUP($F43,taux,21))*VLOOKUP($F43,taux,22),$E43/12*VLOOKUP($F43,taux,20))),0)),MIN(VLOOKUP($F43,taux,25),ROUNDUP(IF($E43/12&gt;VLOOKUP($F43,taux,21)+VLOOKUP($F43,taux,23),(VLOOKUP($F43,taux,20)*VLOOKUP($F43,taux,21))+(VLOOKUP($F43,taux,22)*VLOOKUP($F43,taux,23))+($E43/12-VLOOKUP($F43,taux,21)-VLOOKUP($F43,taux,23))*VLOOKUP($F43,taux,24),IF($E43/12&gt;VLOOKUP($F43,taux,21),(VLOOKUP($F43,taux,20)*VLOOKUP($F43,taux,21))+($E43/12-VLOOKUP($F43,taux,21))*VLOOKUP($F43,taux,22),$E43/12*VLOOKUP($F43,taux,20))),0)))))</f>
        <v>0</v>
      </c>
      <c r="AA43" s="111">
        <f ca="1">IF(C43&gt;=70,0,IF($B43=" ",0,IF(Données!$X83="non couvert"," ",Données!Y83)))</f>
        <v>0</v>
      </c>
      <c r="AB43" s="110">
        <f>IF($B43=" ",0,IF(Données!$X83="exo",0,IF($AA43="ind",VLOOKUP($F43,taux,34),IF($AA43="fam",VLOOKUP($F43,taux,35),IF($AA43="mono",VLOOKUP($F43,taux,36),IF($AA43="couple",VLOOKUP($F43,taux,37),0))))))</f>
        <v>0</v>
      </c>
      <c r="AC43" s="111">
        <f ca="1">IF(C43&gt;=70,0,IF($B43=" ",0,IF(Données!$Z83="non couvert"," ",Données!AA83)))</f>
        <v>0</v>
      </c>
      <c r="AD43" s="110">
        <f>IF($B43=" ",0,IF(Données!$Z83="exo",0,IF($AC43="ind",VLOOKUP($F43,taux,38),IF($AC43="fam",VLOOKUP($F43,taux,39),IF($AC43="mono",VLOOKUP($F43,taux,40),IF($AC43="couple",VLOOKUP($F43,taux,41),0))))))</f>
        <v>0</v>
      </c>
      <c r="AE43" s="112">
        <f>IF($B43=" ",0,IF(Données!$AB83="non couvert"," ",Données!AC83))</f>
        <v>0</v>
      </c>
      <c r="AF43" s="113">
        <f>IF($B43=" ",0,IF(Données!$AB83="exo",0,IF($AE43="ind",VLOOKUP($F43,taux,42),IF($AE43="fam",VLOOKUP($F43,taux,43),IF($AE43="mono",VLOOKUP($F43,taux,44),IF($AE43="couple",VLOOKUP($F43,taux,45),0))))))</f>
        <v>0</v>
      </c>
      <c r="AG43" s="114">
        <f t="shared" ca="1" si="2"/>
        <v>0</v>
      </c>
      <c r="AH43" s="114">
        <f>IF($B43=" ",0,IF(Données!J83="Manitoba",(Facture!H43+Facture!J43+Facture!L43+Facture!P43+Facture!R43+Facture!T43)*0.08,(AG43-W43)*IF(Données!$J83="qc",0.09,IF(Données!$J83="on",0.08,0))+W43*VLOOKUP($F43,taux,28)))</f>
        <v>0</v>
      </c>
      <c r="AI43" s="106">
        <f t="shared" ca="1" si="4"/>
        <v>0</v>
      </c>
    </row>
    <row r="44" spans="1:35" s="64" customFormat="1">
      <c r="A44" s="89">
        <f t="shared" si="5"/>
        <v>30</v>
      </c>
      <c r="B44" s="99" t="str">
        <f>CONCATENATE(Données!B84," ",Données!C84)</f>
        <v xml:space="preserve"> </v>
      </c>
      <c r="C44" s="410">
        <f ca="1">IF(B44="",0,INT((TODAY()-Données!E84)/365.25))</f>
        <v>119</v>
      </c>
      <c r="D44" s="100">
        <f>Données!D84</f>
        <v>0</v>
      </c>
      <c r="E44" s="101">
        <f>Données!I84</f>
        <v>0</v>
      </c>
      <c r="F44" s="102" t="str">
        <f>Données!AD84</f>
        <v/>
      </c>
      <c r="G44" s="103">
        <f ca="1">INDEX({1;0.5;0},MATCH(C44,{1;65;70}))*M44</f>
        <v>0</v>
      </c>
      <c r="H44" s="104">
        <f>IF($B44=" ",0,IF(Données!$K84="exo",0,$G44/1000*VLOOKUP($F44,taux,2)))</f>
        <v>0</v>
      </c>
      <c r="I44" s="398">
        <f ca="1">IF(C44&gt;=65,0,Données!M84*5000)</f>
        <v>0</v>
      </c>
      <c r="J44" s="104">
        <f ca="1">I44/1000*(IF(I44=0,0,1)*VLOOKUP((1+(C44&gt;=20)+(C44&gt;=25)+(C44&gt;=30)+(C44&gt;=35)+(C44&gt;=40)+(C44&gt;=45)+(C44&gt;=50)+(C44&gt;=55)+(C44&gt;=60)+(C44&gt;=65)),Test,2+(IF(Données!F84="H",1,3))+(IF(Données!G84="F",1,0))))</f>
        <v>0</v>
      </c>
      <c r="K44" s="103">
        <f ca="1">INDEX({1;0.5;0},MATCH(C44,{1;65;70}))*M44</f>
        <v>0</v>
      </c>
      <c r="L44" s="104">
        <f>IF($B44=" ",0,IF(Données!$N84="exo",0,$K44/1000*VLOOKUP($F44,taux,6)))</f>
        <v>0</v>
      </c>
      <c r="M44" s="379">
        <f>IF($B44=" ",0,IF(Données!$K84="NON COUVERT",0,IF(AND(Données!$L84="oui",Données!$K84=0.5),MIN(VLOOKUP($F44,taux,5)/2,ROUNDUP(VLOOKUP($F44,taux,3)*$E44,-3)/2),IF(Données!$K84=0.5,MIN(VLOOKUP($F44,taux,4)/2,ROUNDUP(VLOOKUP($F44,taux,3)*$E44,-3)/2),ROUNDUP(IF(Données!$L84="OUI",MIN(VLOOKUP($F44,taux,3)*$E44,VLOOKUP($F44,taux,5)),MIN(VLOOKUP($F44,taux,3)*$E44,VLOOKUP($F44,taux,4))),-3)))))</f>
        <v>0</v>
      </c>
      <c r="N44" s="379">
        <f>IF($B44=" ",0,IF(Données!$N84="NON COUVERT",0,IF(AND(Données!$O84="oui",Données!$N84=0.5),MIN(VLOOKUP($F44,taux,9)/2,ROUNDUP(VLOOKUP($F44,taux,7)*$E44,-3)/2),IF(Données!$N84=0.5,MIN(VLOOKUP($F44,taux,8)/2,ROUNDUP(VLOOKUP($F44,taux,7)*$E44,-3)/2),ROUNDUP(IF(Données!$O84="OUI",MIN(VLOOKUP($F44,taux,7)*$E44,VLOOKUP($F44,taux,9)),MIN(VLOOKUP($F44,taux,7)*$E44,VLOOKUP($F44,taux,8))),-3)))))</f>
        <v>0</v>
      </c>
      <c r="O44" s="105">
        <f ca="1">IF(C44&gt;=70,0,IF($B44=" ",0,IF(Données!P84="non couvert"," ",Données!Q84)))</f>
        <v>0</v>
      </c>
      <c r="P44" s="106">
        <f>IF($B44=" ",0,IF(Données!$P84="exo",0,IF($O44="FAM",VLOOKUP($F44,taux,10),IF($O44="MONO",VLOOKUP($F44,taux,11),IF($O44="COUPLE",VLOOKUP($F44,taux,12),0)))))</f>
        <v>0</v>
      </c>
      <c r="Q44" s="107">
        <f ca="1">IF(C44&gt;=70,0,IF($B44=" ",0,IF(Données!$R84="NON COUVERT",0,ROUNDUP(IF(Données!$S84="OUI",MIN($E44*VLOOKUP($F44,taux,15)/52,VLOOKUP($F44,taux,17)),MIN($E44*VLOOKUP($F44,taux,15)/52,VLOOKUP($F44,taux,16))),0))))</f>
        <v>0</v>
      </c>
      <c r="R44" s="108">
        <f>IF($B44=" ",0,IF(Données!$R84="EXO",0,$Q44*VLOOKUP($F44,taux,13)/10))</f>
        <v>0</v>
      </c>
      <c r="S44" s="109">
        <f t="shared" ca="1" si="3"/>
        <v>0</v>
      </c>
      <c r="T44" s="110">
        <f>IF(B44=" ",0,IF(Données!$T84="exo",0,$S44*VLOOKUP($F44,taux,18)/100))</f>
        <v>0</v>
      </c>
      <c r="U44" s="109">
        <f>IF($B44=" ",0,IF(Données!$V84="non couvert",0,IF(VLOOKUP($F44,taux,29)="fixe","s/o",IF(Données!$W84="oui",MIN(ROUNDUP(VLOOKUP($F44,taux,31)*$E44,-3),VLOOKUP($F44,taux,33)),MIN(ROUNDUP(VLOOKUP($F44,taux,31)*$E44,-3),VLOOKUP($F44,taux,32))))))</f>
        <v>0</v>
      </c>
      <c r="V44" s="110">
        <f>IF(B44=" ",0,IF(Données!$V84="exo",0,IF(VLOOKUP($F44,taux,29)="fixe",VLOOKUP($F44,taux,30),$U44/1000*VLOOKUP($F44,taux,30))))</f>
        <v>0</v>
      </c>
      <c r="W44" s="110">
        <f t="shared" si="0"/>
        <v>0</v>
      </c>
      <c r="X44" s="383">
        <f>IF(B44=" ",0,EDATE((Données!E84),780))</f>
        <v>0</v>
      </c>
      <c r="Y44" s="383">
        <f t="shared" si="1"/>
        <v>0</v>
      </c>
      <c r="Z44" s="384">
        <f>IF($B44=" ",0,IF(Données!$T84="non couvert",0,IF(Données!$U84="oui",MIN(VLOOKUP($F44,taux,26),ROUNDUP(IF($E44/12&gt;VLOOKUP($F44,taux,21)+VLOOKUP($F44,taux,23),(VLOOKUP($F44,taux,20)*VLOOKUP($F44,taux,21))+(VLOOKUP($F44,taux,22)*VLOOKUP($F44,taux,23))+($E44/12-VLOOKUP($F44,taux,21)-VLOOKUP($F44,taux,23))*VLOOKUP($F44,taux,24),IF($E44/12&gt;VLOOKUP($F44,taux,21),(VLOOKUP($F44,taux,20)*VLOOKUP($F44,taux,21))+($E44/12-VLOOKUP($F44,taux,21))*VLOOKUP($F44,taux,22),$E44/12*VLOOKUP($F44,taux,20))),0)),MIN(VLOOKUP($F44,taux,25),ROUNDUP(IF($E44/12&gt;VLOOKUP($F44,taux,21)+VLOOKUP($F44,taux,23),(VLOOKUP($F44,taux,20)*VLOOKUP($F44,taux,21))+(VLOOKUP($F44,taux,22)*VLOOKUP($F44,taux,23))+($E44/12-VLOOKUP($F44,taux,21)-VLOOKUP($F44,taux,23))*VLOOKUP($F44,taux,24),IF($E44/12&gt;VLOOKUP($F44,taux,21),(VLOOKUP($F44,taux,20)*VLOOKUP($F44,taux,21))+($E44/12-VLOOKUP($F44,taux,21))*VLOOKUP($F44,taux,22),$E44/12*VLOOKUP($F44,taux,20))),0)))))</f>
        <v>0</v>
      </c>
      <c r="AA44" s="111">
        <f ca="1">IF(C44&gt;=70,0,IF($B44=" ",0,IF(Données!$X84="non couvert"," ",Données!Y84)))</f>
        <v>0</v>
      </c>
      <c r="AB44" s="110">
        <f>IF($B44=" ",0,IF(Données!$X84="exo",0,IF($AA44="ind",VLOOKUP($F44,taux,34),IF($AA44="fam",VLOOKUP($F44,taux,35),IF($AA44="mono",VLOOKUP($F44,taux,36),IF($AA44="couple",VLOOKUP($F44,taux,37),0))))))</f>
        <v>0</v>
      </c>
      <c r="AC44" s="111">
        <f ca="1">IF(C44&gt;=70,0,IF($B44=" ",0,IF(Données!$Z84="non couvert"," ",Données!AA84)))</f>
        <v>0</v>
      </c>
      <c r="AD44" s="110">
        <f>IF($B44=" ",0,IF(Données!$Z84="exo",0,IF($AC44="ind",VLOOKUP($F44,taux,38),IF($AC44="fam",VLOOKUP($F44,taux,39),IF($AC44="mono",VLOOKUP($F44,taux,40),IF($AC44="couple",VLOOKUP($F44,taux,41),0))))))</f>
        <v>0</v>
      </c>
      <c r="AE44" s="112">
        <f>IF($B44=" ",0,IF(Données!$AB84="non couvert"," ",Données!AC84))</f>
        <v>0</v>
      </c>
      <c r="AF44" s="113">
        <f>IF($B44=" ",0,IF(Données!$AB84="exo",0,IF($AE44="ind",VLOOKUP($F44,taux,42),IF($AE44="fam",VLOOKUP($F44,taux,43),IF($AE44="mono",VLOOKUP($F44,taux,44),IF($AE44="couple",VLOOKUP($F44,taux,45),0))))))</f>
        <v>0</v>
      </c>
      <c r="AG44" s="114">
        <f t="shared" ca="1" si="2"/>
        <v>0</v>
      </c>
      <c r="AH44" s="114">
        <f>IF($B44=" ",0,IF(Données!J84="Manitoba",(Facture!H44+Facture!J44+Facture!L44+Facture!P44+Facture!R44+Facture!T44)*0.08,(AG44-W44)*IF(Données!$J84="qc",0.09,IF(Données!$J84="on",0.08,0))+W44*VLOOKUP($F44,taux,28)))</f>
        <v>0</v>
      </c>
      <c r="AI44" s="106">
        <f t="shared" ca="1" si="4"/>
        <v>0</v>
      </c>
    </row>
    <row r="45" spans="1:35" s="64" customFormat="1">
      <c r="A45" s="89">
        <f t="shared" si="5"/>
        <v>31</v>
      </c>
      <c r="B45" s="99" t="str">
        <f>CONCATENATE(Données!B85," ",Données!C85)</f>
        <v xml:space="preserve"> </v>
      </c>
      <c r="C45" s="410">
        <f ca="1">IF(B45="",0,INT((TODAY()-Données!E85)/365.25))</f>
        <v>119</v>
      </c>
      <c r="D45" s="100">
        <f>Données!D85</f>
        <v>0</v>
      </c>
      <c r="E45" s="101">
        <f>Données!I85</f>
        <v>0</v>
      </c>
      <c r="F45" s="102" t="str">
        <f>Données!AD85</f>
        <v/>
      </c>
      <c r="G45" s="103">
        <f ca="1">INDEX({1;0.5;0},MATCH(C45,{1;65;70}))*M45</f>
        <v>0</v>
      </c>
      <c r="H45" s="104">
        <f>IF($B45=" ",0,IF(Données!$K85="exo",0,$G45/1000*VLOOKUP($F45,taux,2)))</f>
        <v>0</v>
      </c>
      <c r="I45" s="398">
        <f ca="1">IF(C45&gt;=65,0,Données!M85*5000)</f>
        <v>0</v>
      </c>
      <c r="J45" s="104">
        <f ca="1">I45/1000*(IF(I45=0,0,1)*VLOOKUP((1+(C45&gt;=20)+(C45&gt;=25)+(C45&gt;=30)+(C45&gt;=35)+(C45&gt;=40)+(C45&gt;=45)+(C45&gt;=50)+(C45&gt;=55)+(C45&gt;=60)+(C45&gt;=65)),Test,2+(IF(Données!F85="H",1,3))+(IF(Données!G85="F",1,0))))</f>
        <v>0</v>
      </c>
      <c r="K45" s="103">
        <f ca="1">INDEX({1;0.5;0},MATCH(C45,{1;65;70}))*M45</f>
        <v>0</v>
      </c>
      <c r="L45" s="104">
        <f>IF($B45=" ",0,IF(Données!$N85="exo",0,$K45/1000*VLOOKUP($F45,taux,6)))</f>
        <v>0</v>
      </c>
      <c r="M45" s="379">
        <f>IF($B45=" ",0,IF(Données!$K85="NON COUVERT",0,IF(AND(Données!$L85="oui",Données!$K85=0.5),MIN(VLOOKUP($F45,taux,5)/2,ROUNDUP(VLOOKUP($F45,taux,3)*$E45,-3)/2),IF(Données!$K85=0.5,MIN(VLOOKUP($F45,taux,4)/2,ROUNDUP(VLOOKUP($F45,taux,3)*$E45,-3)/2),ROUNDUP(IF(Données!$L85="OUI",MIN(VLOOKUP($F45,taux,3)*$E45,VLOOKUP($F45,taux,5)),MIN(VLOOKUP($F45,taux,3)*$E45,VLOOKUP($F45,taux,4))),-3)))))</f>
        <v>0</v>
      </c>
      <c r="N45" s="379">
        <f>IF($B45=" ",0,IF(Données!$N85="NON COUVERT",0,IF(AND(Données!$O85="oui",Données!$N85=0.5),MIN(VLOOKUP($F45,taux,9)/2,ROUNDUP(VLOOKUP($F45,taux,7)*$E45,-3)/2),IF(Données!$N85=0.5,MIN(VLOOKUP($F45,taux,8)/2,ROUNDUP(VLOOKUP($F45,taux,7)*$E45,-3)/2),ROUNDUP(IF(Données!$O85="OUI",MIN(VLOOKUP($F45,taux,7)*$E45,VLOOKUP($F45,taux,9)),MIN(VLOOKUP($F45,taux,7)*$E45,VLOOKUP($F45,taux,8))),-3)))))</f>
        <v>0</v>
      </c>
      <c r="O45" s="105">
        <f ca="1">IF(C45&gt;=70,0,IF($B45=" ",0,IF(Données!P85="non couvert"," ",Données!Q85)))</f>
        <v>0</v>
      </c>
      <c r="P45" s="106">
        <f>IF($B45=" ",0,IF(Données!$P85="exo",0,IF($O45="FAM",VLOOKUP($F45,taux,10),IF($O45="MONO",VLOOKUP($F45,taux,11),IF($O45="COUPLE",VLOOKUP($F45,taux,12),0)))))</f>
        <v>0</v>
      </c>
      <c r="Q45" s="107">
        <f ca="1">IF(C45&gt;=70,0,IF($B45=" ",0,IF(Données!$R85="NON COUVERT",0,ROUNDUP(IF(Données!$S85="OUI",MIN($E45*VLOOKUP($F45,taux,15)/52,VLOOKUP($F45,taux,17)),MIN($E45*VLOOKUP($F45,taux,15)/52,VLOOKUP($F45,taux,16))),0))))</f>
        <v>0</v>
      </c>
      <c r="R45" s="108">
        <f>IF($B45=" ",0,IF(Données!$R85="EXO",0,$Q45*VLOOKUP($F45,taux,13)/10))</f>
        <v>0</v>
      </c>
      <c r="S45" s="109">
        <f t="shared" ca="1" si="3"/>
        <v>0</v>
      </c>
      <c r="T45" s="110">
        <f>IF(B45=" ",0,IF(Données!$T85="exo",0,$S45*VLOOKUP($F45,taux,18)/100))</f>
        <v>0</v>
      </c>
      <c r="U45" s="109">
        <f>IF($B45=" ",0,IF(Données!$V85="non couvert",0,IF(VLOOKUP($F45,taux,29)="fixe","s/o",IF(Données!$W85="oui",MIN(ROUNDUP(VLOOKUP($F45,taux,31)*$E45,-3),VLOOKUP($F45,taux,33)),MIN(ROUNDUP(VLOOKUP($F45,taux,31)*$E45,-3),VLOOKUP($F45,taux,32))))))</f>
        <v>0</v>
      </c>
      <c r="V45" s="110">
        <f>IF(B45=" ",0,IF(Données!$V85="exo",0,IF(VLOOKUP($F45,taux,29)="fixe",VLOOKUP($F45,taux,30),$U45/1000*VLOOKUP($F45,taux,30))))</f>
        <v>0</v>
      </c>
      <c r="W45" s="110">
        <f t="shared" si="0"/>
        <v>0</v>
      </c>
      <c r="X45" s="383">
        <f>IF(B45=" ",0,EDATE((Données!E85),780))</f>
        <v>0</v>
      </c>
      <c r="Y45" s="383">
        <f t="shared" si="1"/>
        <v>0</v>
      </c>
      <c r="Z45" s="384">
        <f>IF($B45=" ",0,IF(Données!$T85="non couvert",0,IF(Données!$U85="oui",MIN(VLOOKUP($F45,taux,26),ROUNDUP(IF($E45/12&gt;VLOOKUP($F45,taux,21)+VLOOKUP($F45,taux,23),(VLOOKUP($F45,taux,20)*VLOOKUP($F45,taux,21))+(VLOOKUP($F45,taux,22)*VLOOKUP($F45,taux,23))+($E45/12-VLOOKUP($F45,taux,21)-VLOOKUP($F45,taux,23))*VLOOKUP($F45,taux,24),IF($E45/12&gt;VLOOKUP($F45,taux,21),(VLOOKUP($F45,taux,20)*VLOOKUP($F45,taux,21))+($E45/12-VLOOKUP($F45,taux,21))*VLOOKUP($F45,taux,22),$E45/12*VLOOKUP($F45,taux,20))),0)),MIN(VLOOKUP($F45,taux,25),ROUNDUP(IF($E45/12&gt;VLOOKUP($F45,taux,21)+VLOOKUP($F45,taux,23),(VLOOKUP($F45,taux,20)*VLOOKUP($F45,taux,21))+(VLOOKUP($F45,taux,22)*VLOOKUP($F45,taux,23))+($E45/12-VLOOKUP($F45,taux,21)-VLOOKUP($F45,taux,23))*VLOOKUP($F45,taux,24),IF($E45/12&gt;VLOOKUP($F45,taux,21),(VLOOKUP($F45,taux,20)*VLOOKUP($F45,taux,21))+($E45/12-VLOOKUP($F45,taux,21))*VLOOKUP($F45,taux,22),$E45/12*VLOOKUP($F45,taux,20))),0)))))</f>
        <v>0</v>
      </c>
      <c r="AA45" s="111">
        <f ca="1">IF(C45&gt;=70,0,IF($B45=" ",0,IF(Données!$X85="non couvert"," ",Données!Y85)))</f>
        <v>0</v>
      </c>
      <c r="AB45" s="110">
        <f>IF($B45=" ",0,IF(Données!$X85="exo",0,IF($AA45="ind",VLOOKUP($F45,taux,34),IF($AA45="fam",VLOOKUP($F45,taux,35),IF($AA45="mono",VLOOKUP($F45,taux,36),IF($AA45="couple",VLOOKUP($F45,taux,37),0))))))</f>
        <v>0</v>
      </c>
      <c r="AC45" s="111">
        <f ca="1">IF(C45&gt;=70,0,IF($B45=" ",0,IF(Données!$Z85="non couvert"," ",Données!AA85)))</f>
        <v>0</v>
      </c>
      <c r="AD45" s="110">
        <f>IF($B45=" ",0,IF(Données!$Z85="exo",0,IF($AC45="ind",VLOOKUP($F45,taux,38),IF($AC45="fam",VLOOKUP($F45,taux,39),IF($AC45="mono",VLOOKUP($F45,taux,40),IF($AC45="couple",VLOOKUP($F45,taux,41),0))))))</f>
        <v>0</v>
      </c>
      <c r="AE45" s="112">
        <f>IF($B45=" ",0,IF(Données!$AB85="non couvert"," ",Données!AC85))</f>
        <v>0</v>
      </c>
      <c r="AF45" s="113">
        <f>IF($B45=" ",0,IF(Données!$AB85="exo",0,IF($AE45="ind",VLOOKUP($F45,taux,42),IF($AE45="fam",VLOOKUP($F45,taux,43),IF($AE45="mono",VLOOKUP($F45,taux,44),IF($AE45="couple",VLOOKUP($F45,taux,45),0))))))</f>
        <v>0</v>
      </c>
      <c r="AG45" s="114">
        <f t="shared" ca="1" si="2"/>
        <v>0</v>
      </c>
      <c r="AH45" s="114">
        <f>IF($B45=" ",0,IF(Données!J85="Manitoba",(Facture!H45+Facture!J45+Facture!L45+Facture!P45+Facture!R45+Facture!T45)*0.08,(AG45-W45)*IF(Données!$J85="qc",0.09,IF(Données!$J85="on",0.08,0))+W45*VLOOKUP($F45,taux,28)))</f>
        <v>0</v>
      </c>
      <c r="AI45" s="106">
        <f t="shared" ca="1" si="4"/>
        <v>0</v>
      </c>
    </row>
    <row r="46" spans="1:35" s="64" customFormat="1">
      <c r="A46" s="89">
        <f t="shared" si="5"/>
        <v>32</v>
      </c>
      <c r="B46" s="99" t="str">
        <f>CONCATENATE(Données!B86," ",Données!C86)</f>
        <v xml:space="preserve"> </v>
      </c>
      <c r="C46" s="410">
        <f ca="1">IF(B46="",0,INT((TODAY()-Données!E86)/365.25))</f>
        <v>119</v>
      </c>
      <c r="D46" s="100">
        <f>Données!D86</f>
        <v>0</v>
      </c>
      <c r="E46" s="101">
        <f>Données!I86</f>
        <v>0</v>
      </c>
      <c r="F46" s="102" t="str">
        <f>Données!AD86</f>
        <v/>
      </c>
      <c r="G46" s="103">
        <f ca="1">INDEX({1;0.5;0},MATCH(C46,{1;65;70}))*M46</f>
        <v>0</v>
      </c>
      <c r="H46" s="104">
        <f>IF($B46=" ",0,IF(Données!$K86="exo",0,$G46/1000*VLOOKUP($F46,taux,2)))</f>
        <v>0</v>
      </c>
      <c r="I46" s="398">
        <f ca="1">IF(C46&gt;=65,0,Données!M86*5000)</f>
        <v>0</v>
      </c>
      <c r="J46" s="104">
        <f ca="1">I46/1000*(IF(I46=0,0,1)*VLOOKUP((1+(C46&gt;=20)+(C46&gt;=25)+(C46&gt;=30)+(C46&gt;=35)+(C46&gt;=40)+(C46&gt;=45)+(C46&gt;=50)+(C46&gt;=55)+(C46&gt;=60)+(C46&gt;=65)),Test,2+(IF(Données!F86="H",1,3))+(IF(Données!G86="F",1,0))))</f>
        <v>0</v>
      </c>
      <c r="K46" s="103">
        <f ca="1">INDEX({1;0.5;0},MATCH(C46,{1;65;70}))*M46</f>
        <v>0</v>
      </c>
      <c r="L46" s="104">
        <f>IF($B46=" ",0,IF(Données!$N86="exo",0,$K46/1000*VLOOKUP($F46,taux,6)))</f>
        <v>0</v>
      </c>
      <c r="M46" s="379">
        <f>IF($B46=" ",0,IF(Données!$K86="NON COUVERT",0,IF(AND(Données!$L86="oui",Données!$K86=0.5),MIN(VLOOKUP($F46,taux,5)/2,ROUNDUP(VLOOKUP($F46,taux,3)*$E46,-3)/2),IF(Données!$K86=0.5,MIN(VLOOKUP($F46,taux,4)/2,ROUNDUP(VLOOKUP($F46,taux,3)*$E46,-3)/2),ROUNDUP(IF(Données!$L86="OUI",MIN(VLOOKUP($F46,taux,3)*$E46,VLOOKUP($F46,taux,5)),MIN(VLOOKUP($F46,taux,3)*$E46,VLOOKUP($F46,taux,4))),-3)))))</f>
        <v>0</v>
      </c>
      <c r="N46" s="379">
        <f>IF($B46=" ",0,IF(Données!$N86="NON COUVERT",0,IF(AND(Données!$O86="oui",Données!$N86=0.5),MIN(VLOOKUP($F46,taux,9)/2,ROUNDUP(VLOOKUP($F46,taux,7)*$E46,-3)/2),IF(Données!$N86=0.5,MIN(VLOOKUP($F46,taux,8)/2,ROUNDUP(VLOOKUP($F46,taux,7)*$E46,-3)/2),ROUNDUP(IF(Données!$O86="OUI",MIN(VLOOKUP($F46,taux,7)*$E46,VLOOKUP($F46,taux,9)),MIN(VLOOKUP($F46,taux,7)*$E46,VLOOKUP($F46,taux,8))),-3)))))</f>
        <v>0</v>
      </c>
      <c r="O46" s="105">
        <f ca="1">IF(C46&gt;=70,0,IF($B46=" ",0,IF(Données!P86="non couvert"," ",Données!Q86)))</f>
        <v>0</v>
      </c>
      <c r="P46" s="106">
        <f>IF($B46=" ",0,IF(Données!$P86="exo",0,IF($O46="FAM",VLOOKUP($F46,taux,10),IF($O46="MONO",VLOOKUP($F46,taux,11),IF($O46="COUPLE",VLOOKUP($F46,taux,12),0)))))</f>
        <v>0</v>
      </c>
      <c r="Q46" s="107">
        <f ca="1">IF(C46&gt;=70,0,IF($B46=" ",0,IF(Données!$R86="NON COUVERT",0,ROUNDUP(IF(Données!$S86="OUI",MIN($E46*VLOOKUP($F46,taux,15)/52,VLOOKUP($F46,taux,17)),MIN($E46*VLOOKUP($F46,taux,15)/52,VLOOKUP($F46,taux,16))),0))))</f>
        <v>0</v>
      </c>
      <c r="R46" s="108">
        <f>IF($B46=" ",0,IF(Données!$R86="EXO",0,$Q46*VLOOKUP($F46,taux,13)/10))</f>
        <v>0</v>
      </c>
      <c r="S46" s="109">
        <f t="shared" ca="1" si="3"/>
        <v>0</v>
      </c>
      <c r="T46" s="110">
        <f>IF(B46=" ",0,IF(Données!$T86="exo",0,$S46*VLOOKUP($F46,taux,18)/100))</f>
        <v>0</v>
      </c>
      <c r="U46" s="109">
        <f>IF($B46=" ",0,IF(Données!$V86="non couvert",0,IF(VLOOKUP($F46,taux,29)="fixe","s/o",IF(Données!$W86="oui",MIN(ROUNDUP(VLOOKUP($F46,taux,31)*$E46,-3),VLOOKUP($F46,taux,33)),MIN(ROUNDUP(VLOOKUP($F46,taux,31)*$E46,-3),VLOOKUP($F46,taux,32))))))</f>
        <v>0</v>
      </c>
      <c r="V46" s="110">
        <f>IF(B46=" ",0,IF(Données!$V86="exo",0,IF(VLOOKUP($F46,taux,29)="fixe",VLOOKUP($F46,taux,30),$U46/1000*VLOOKUP($F46,taux,30))))</f>
        <v>0</v>
      </c>
      <c r="W46" s="110">
        <f t="shared" si="0"/>
        <v>0</v>
      </c>
      <c r="X46" s="383">
        <f>IF(B46=" ",0,EDATE((Données!E86),780))</f>
        <v>0</v>
      </c>
      <c r="Y46" s="383">
        <f t="shared" si="1"/>
        <v>0</v>
      </c>
      <c r="Z46" s="384">
        <f>IF($B46=" ",0,IF(Données!$T86="non couvert",0,IF(Données!$U86="oui",MIN(VLOOKUP($F46,taux,26),ROUNDUP(IF($E46/12&gt;VLOOKUP($F46,taux,21)+VLOOKUP($F46,taux,23),(VLOOKUP($F46,taux,20)*VLOOKUP($F46,taux,21))+(VLOOKUP($F46,taux,22)*VLOOKUP($F46,taux,23))+($E46/12-VLOOKUP($F46,taux,21)-VLOOKUP($F46,taux,23))*VLOOKUP($F46,taux,24),IF($E46/12&gt;VLOOKUP($F46,taux,21),(VLOOKUP($F46,taux,20)*VLOOKUP($F46,taux,21))+($E46/12-VLOOKUP($F46,taux,21))*VLOOKUP($F46,taux,22),$E46/12*VLOOKUP($F46,taux,20))),0)),MIN(VLOOKUP($F46,taux,25),ROUNDUP(IF($E46/12&gt;VLOOKUP($F46,taux,21)+VLOOKUP($F46,taux,23),(VLOOKUP($F46,taux,20)*VLOOKUP($F46,taux,21))+(VLOOKUP($F46,taux,22)*VLOOKUP($F46,taux,23))+($E46/12-VLOOKUP($F46,taux,21)-VLOOKUP($F46,taux,23))*VLOOKUP($F46,taux,24),IF($E46/12&gt;VLOOKUP($F46,taux,21),(VLOOKUP($F46,taux,20)*VLOOKUP($F46,taux,21))+($E46/12-VLOOKUP($F46,taux,21))*VLOOKUP($F46,taux,22),$E46/12*VLOOKUP($F46,taux,20))),0)))))</f>
        <v>0</v>
      </c>
      <c r="AA46" s="111">
        <f ca="1">IF(C46&gt;=70,0,IF($B46=" ",0,IF(Données!$X86="non couvert"," ",Données!Y86)))</f>
        <v>0</v>
      </c>
      <c r="AB46" s="110">
        <f>IF($B46=" ",0,IF(Données!$X86="exo",0,IF($AA46="ind",VLOOKUP($F46,taux,34),IF($AA46="fam",VLOOKUP($F46,taux,35),IF($AA46="mono",VLOOKUP($F46,taux,36),IF($AA46="couple",VLOOKUP($F46,taux,37),0))))))</f>
        <v>0</v>
      </c>
      <c r="AC46" s="111">
        <f ca="1">IF(C46&gt;=70,0,IF($B46=" ",0,IF(Données!$Z86="non couvert"," ",Données!AA86)))</f>
        <v>0</v>
      </c>
      <c r="AD46" s="110">
        <f>IF($B46=" ",0,IF(Données!$Z86="exo",0,IF($AC46="ind",VLOOKUP($F46,taux,38),IF($AC46="fam",VLOOKUP($F46,taux,39),IF($AC46="mono",VLOOKUP($F46,taux,40),IF($AC46="couple",VLOOKUP($F46,taux,41),0))))))</f>
        <v>0</v>
      </c>
      <c r="AE46" s="112">
        <f>IF($B46=" ",0,IF(Données!$AB86="non couvert"," ",Données!AC86))</f>
        <v>0</v>
      </c>
      <c r="AF46" s="113">
        <f>IF($B46=" ",0,IF(Données!$AB86="exo",0,IF($AE46="ind",VLOOKUP($F46,taux,42),IF($AE46="fam",VLOOKUP($F46,taux,43),IF($AE46="mono",VLOOKUP($F46,taux,44),IF($AE46="couple",VLOOKUP($F46,taux,45),0))))))</f>
        <v>0</v>
      </c>
      <c r="AG46" s="114">
        <f t="shared" ca="1" si="2"/>
        <v>0</v>
      </c>
      <c r="AH46" s="114">
        <f>IF($B46=" ",0,IF(Données!J86="Manitoba",(Facture!H46+Facture!J46+Facture!L46+Facture!P46+Facture!R46+Facture!T46)*0.08,(AG46-W46)*IF(Données!$J86="qc",0.09,IF(Données!$J86="on",0.08,0))+W46*VLOOKUP($F46,taux,28)))</f>
        <v>0</v>
      </c>
      <c r="AI46" s="106">
        <f t="shared" ca="1" si="4"/>
        <v>0</v>
      </c>
    </row>
    <row r="47" spans="1:35" s="64" customFormat="1">
      <c r="A47" s="89">
        <f t="shared" si="5"/>
        <v>33</v>
      </c>
      <c r="B47" s="99" t="str">
        <f>CONCATENATE(Données!B87," ",Données!C87)</f>
        <v xml:space="preserve"> </v>
      </c>
      <c r="C47" s="410">
        <f ca="1">IF(B47="",0,INT((TODAY()-Données!E87)/365.25))</f>
        <v>119</v>
      </c>
      <c r="D47" s="100">
        <f>Données!D87</f>
        <v>0</v>
      </c>
      <c r="E47" s="101">
        <f>Données!I87</f>
        <v>0</v>
      </c>
      <c r="F47" s="102" t="str">
        <f>Données!AD87</f>
        <v/>
      </c>
      <c r="G47" s="103">
        <f ca="1">INDEX({1;0.5;0},MATCH(C47,{1;65;70}))*M47</f>
        <v>0</v>
      </c>
      <c r="H47" s="104">
        <f>IF($B47=" ",0,IF(Données!$K87="exo",0,$G47/1000*VLOOKUP($F47,taux,2)))</f>
        <v>0</v>
      </c>
      <c r="I47" s="398">
        <f ca="1">IF(C47&gt;=65,0,Données!M87*5000)</f>
        <v>0</v>
      </c>
      <c r="J47" s="104">
        <f ca="1">I47/1000*(IF(I47=0,0,1)*VLOOKUP((1+(C47&gt;=20)+(C47&gt;=25)+(C47&gt;=30)+(C47&gt;=35)+(C47&gt;=40)+(C47&gt;=45)+(C47&gt;=50)+(C47&gt;=55)+(C47&gt;=60)+(C47&gt;=65)),Test,2+(IF(Données!F87="H",1,3))+(IF(Données!G87="F",1,0))))</f>
        <v>0</v>
      </c>
      <c r="K47" s="103">
        <f ca="1">INDEX({1;0.5;0},MATCH(C47,{1;65;70}))*M47</f>
        <v>0</v>
      </c>
      <c r="L47" s="104">
        <f>IF($B47=" ",0,IF(Données!$N87="exo",0,$K47/1000*VLOOKUP($F47,taux,6)))</f>
        <v>0</v>
      </c>
      <c r="M47" s="379">
        <f>IF($B47=" ",0,IF(Données!$K87="NON COUVERT",0,IF(AND(Données!$L87="oui",Données!$K87=0.5),MIN(VLOOKUP($F47,taux,5)/2,ROUNDUP(VLOOKUP($F47,taux,3)*$E47,-3)/2),IF(Données!$K87=0.5,MIN(VLOOKUP($F47,taux,4)/2,ROUNDUP(VLOOKUP($F47,taux,3)*$E47,-3)/2),ROUNDUP(IF(Données!$L87="OUI",MIN(VLOOKUP($F47,taux,3)*$E47,VLOOKUP($F47,taux,5)),MIN(VLOOKUP($F47,taux,3)*$E47,VLOOKUP($F47,taux,4))),-3)))))</f>
        <v>0</v>
      </c>
      <c r="N47" s="379">
        <f>IF($B47=" ",0,IF(Données!$N87="NON COUVERT",0,IF(AND(Données!$O87="oui",Données!$N87=0.5),MIN(VLOOKUP($F47,taux,9)/2,ROUNDUP(VLOOKUP($F47,taux,7)*$E47,-3)/2),IF(Données!$N87=0.5,MIN(VLOOKUP($F47,taux,8)/2,ROUNDUP(VLOOKUP($F47,taux,7)*$E47,-3)/2),ROUNDUP(IF(Données!$O87="OUI",MIN(VLOOKUP($F47,taux,7)*$E47,VLOOKUP($F47,taux,9)),MIN(VLOOKUP($F47,taux,7)*$E47,VLOOKUP($F47,taux,8))),-3)))))</f>
        <v>0</v>
      </c>
      <c r="O47" s="105">
        <f ca="1">IF(C47&gt;=70,0,IF($B47=" ",0,IF(Données!P87="non couvert"," ",Données!Q87)))</f>
        <v>0</v>
      </c>
      <c r="P47" s="106">
        <f>IF($B47=" ",0,IF(Données!$P87="exo",0,IF($O47="FAM",VLOOKUP($F47,taux,10),IF($O47="MONO",VLOOKUP($F47,taux,11),IF($O47="COUPLE",VLOOKUP($F47,taux,12),0)))))</f>
        <v>0</v>
      </c>
      <c r="Q47" s="107">
        <f ca="1">IF(C47&gt;=70,0,IF($B47=" ",0,IF(Données!$R87="NON COUVERT",0,ROUNDUP(IF(Données!$S87="OUI",MIN($E47*VLOOKUP($F47,taux,15)/52,VLOOKUP($F47,taux,17)),MIN($E47*VLOOKUP($F47,taux,15)/52,VLOOKUP($F47,taux,16))),0))))</f>
        <v>0</v>
      </c>
      <c r="R47" s="108">
        <f>IF($B47=" ",0,IF(Données!$R87="EXO",0,$Q47*VLOOKUP($F47,taux,13)/10))</f>
        <v>0</v>
      </c>
      <c r="S47" s="109">
        <f t="shared" ca="1" si="3"/>
        <v>0</v>
      </c>
      <c r="T47" s="110">
        <f>IF(B47=" ",0,IF(Données!$T87="exo",0,$S47*VLOOKUP($F47,taux,18)/100))</f>
        <v>0</v>
      </c>
      <c r="U47" s="109">
        <f>IF($B47=" ",0,IF(Données!$V87="non couvert",0,IF(VLOOKUP($F47,taux,29)="fixe","s/o",IF(Données!$W87="oui",MIN(ROUNDUP(VLOOKUP($F47,taux,31)*$E47,-3),VLOOKUP($F47,taux,33)),MIN(ROUNDUP(VLOOKUP($F47,taux,31)*$E47,-3),VLOOKUP($F47,taux,32))))))</f>
        <v>0</v>
      </c>
      <c r="V47" s="110">
        <f>IF(B47=" ",0,IF(Données!$V87="exo",0,IF(VLOOKUP($F47,taux,29)="fixe",VLOOKUP($F47,taux,30),$U47/1000*VLOOKUP($F47,taux,30))))</f>
        <v>0</v>
      </c>
      <c r="W47" s="110">
        <f t="shared" si="0"/>
        <v>0</v>
      </c>
      <c r="X47" s="383">
        <f>IF(B47=" ",0,EDATE((Données!E87),780))</f>
        <v>0</v>
      </c>
      <c r="Y47" s="383">
        <f t="shared" ref="Y47:Y78" si="6">IF(B47=" ",0,DATE(YEAR(X47)+0,MONTH(X47)+0,DAY(X47)-Y$7))</f>
        <v>0</v>
      </c>
      <c r="Z47" s="384">
        <f>IF($B47=" ",0,IF(Données!$T87="non couvert",0,IF(Données!$U87="oui",MIN(VLOOKUP($F47,taux,26),ROUNDUP(IF($E47/12&gt;VLOOKUP($F47,taux,21)+VLOOKUP($F47,taux,23),(VLOOKUP($F47,taux,20)*VLOOKUP($F47,taux,21))+(VLOOKUP($F47,taux,22)*VLOOKUP($F47,taux,23))+($E47/12-VLOOKUP($F47,taux,21)-VLOOKUP($F47,taux,23))*VLOOKUP($F47,taux,24),IF($E47/12&gt;VLOOKUP($F47,taux,21),(VLOOKUP($F47,taux,20)*VLOOKUP($F47,taux,21))+($E47/12-VLOOKUP($F47,taux,21))*VLOOKUP($F47,taux,22),$E47/12*VLOOKUP($F47,taux,20))),0)),MIN(VLOOKUP($F47,taux,25),ROUNDUP(IF($E47/12&gt;VLOOKUP($F47,taux,21)+VLOOKUP($F47,taux,23),(VLOOKUP($F47,taux,20)*VLOOKUP($F47,taux,21))+(VLOOKUP($F47,taux,22)*VLOOKUP($F47,taux,23))+($E47/12-VLOOKUP($F47,taux,21)-VLOOKUP($F47,taux,23))*VLOOKUP($F47,taux,24),IF($E47/12&gt;VLOOKUP($F47,taux,21),(VLOOKUP($F47,taux,20)*VLOOKUP($F47,taux,21))+($E47/12-VLOOKUP($F47,taux,21))*VLOOKUP($F47,taux,22),$E47/12*VLOOKUP($F47,taux,20))),0)))))</f>
        <v>0</v>
      </c>
      <c r="AA47" s="111">
        <f ca="1">IF(C47&gt;=70,0,IF($B47=" ",0,IF(Données!$X87="non couvert"," ",Données!Y87)))</f>
        <v>0</v>
      </c>
      <c r="AB47" s="110">
        <f>IF($B47=" ",0,IF(Données!$X87="exo",0,IF($AA47="ind",VLOOKUP($F47,taux,34),IF($AA47="fam",VLOOKUP($F47,taux,35),IF($AA47="mono",VLOOKUP($F47,taux,36),IF($AA47="couple",VLOOKUP($F47,taux,37),0))))))</f>
        <v>0</v>
      </c>
      <c r="AC47" s="111">
        <f ca="1">IF(C47&gt;=70,0,IF($B47=" ",0,IF(Données!$Z87="non couvert"," ",Données!AA87)))</f>
        <v>0</v>
      </c>
      <c r="AD47" s="110">
        <f>IF($B47=" ",0,IF(Données!$Z87="exo",0,IF($AC47="ind",VLOOKUP($F47,taux,38),IF($AC47="fam",VLOOKUP($F47,taux,39),IF($AC47="mono",VLOOKUP($F47,taux,40),IF($AC47="couple",VLOOKUP($F47,taux,41),0))))))</f>
        <v>0</v>
      </c>
      <c r="AE47" s="112">
        <f>IF($B47=" ",0,IF(Données!$AB87="non couvert"," ",Données!AC87))</f>
        <v>0</v>
      </c>
      <c r="AF47" s="113">
        <f>IF($B47=" ",0,IF(Données!$AB87="exo",0,IF($AE47="ind",VLOOKUP($F47,taux,42),IF($AE47="fam",VLOOKUP($F47,taux,43),IF($AE47="mono",VLOOKUP($F47,taux,44),IF($AE47="couple",VLOOKUP($F47,taux,45),0))))))</f>
        <v>0</v>
      </c>
      <c r="AG47" s="114">
        <f t="shared" ref="AG47:AG78" ca="1" si="7">H47+J47+L47+P47+R47+T47+V47+W47+AB47+AD47+AF47</f>
        <v>0</v>
      </c>
      <c r="AH47" s="114">
        <f>IF($B47=" ",0,IF(Données!J87="Manitoba",(Facture!H47+Facture!J47+Facture!L47+Facture!P47+Facture!R47+Facture!T47)*0.08,(AG47-W47)*IF(Données!$J87="qc",0.09,IF(Données!$J87="on",0.08,0))+W47*VLOOKUP($F47,taux,28)))</f>
        <v>0</v>
      </c>
      <c r="AI47" s="106">
        <f t="shared" ca="1" si="4"/>
        <v>0</v>
      </c>
    </row>
    <row r="48" spans="1:35" s="64" customFormat="1">
      <c r="A48" s="89">
        <f t="shared" si="5"/>
        <v>34</v>
      </c>
      <c r="B48" s="99" t="str">
        <f>CONCATENATE(Données!B88," ",Données!C88)</f>
        <v xml:space="preserve"> </v>
      </c>
      <c r="C48" s="410">
        <f ca="1">IF(B48="",0,INT((TODAY()-Données!E88)/365.25))</f>
        <v>119</v>
      </c>
      <c r="D48" s="100">
        <f>Données!D88</f>
        <v>0</v>
      </c>
      <c r="E48" s="101">
        <f>Données!I88</f>
        <v>0</v>
      </c>
      <c r="F48" s="102" t="str">
        <f>Données!AD88</f>
        <v/>
      </c>
      <c r="G48" s="103">
        <f ca="1">INDEX({1;0.5;0},MATCH(C48,{1;65;70}))*M48</f>
        <v>0</v>
      </c>
      <c r="H48" s="104">
        <f>IF($B48=" ",0,IF(Données!$K88="exo",0,$G48/1000*VLOOKUP($F48,taux,2)))</f>
        <v>0</v>
      </c>
      <c r="I48" s="398">
        <f ca="1">IF(C48&gt;=65,0,Données!M88*5000)</f>
        <v>0</v>
      </c>
      <c r="J48" s="104">
        <f ca="1">I48/1000*(IF(I48=0,0,1)*VLOOKUP((1+(C48&gt;=20)+(C48&gt;=25)+(C48&gt;=30)+(C48&gt;=35)+(C48&gt;=40)+(C48&gt;=45)+(C48&gt;=50)+(C48&gt;=55)+(C48&gt;=60)+(C48&gt;=65)),Test,2+(IF(Données!F88="H",1,3))+(IF(Données!G88="F",1,0))))</f>
        <v>0</v>
      </c>
      <c r="K48" s="103">
        <f ca="1">INDEX({1;0.5;0},MATCH(C48,{1;65;70}))*M48</f>
        <v>0</v>
      </c>
      <c r="L48" s="104">
        <f>IF($B48=" ",0,IF(Données!$N88="exo",0,$K48/1000*VLOOKUP($F48,taux,6)))</f>
        <v>0</v>
      </c>
      <c r="M48" s="379">
        <f>IF($B48=" ",0,IF(Données!$K88="NON COUVERT",0,IF(AND(Données!$L88="oui",Données!$K88=0.5),MIN(VLOOKUP($F48,taux,5)/2,ROUNDUP(VLOOKUP($F48,taux,3)*$E48,-3)/2),IF(Données!$K88=0.5,MIN(VLOOKUP($F48,taux,4)/2,ROUNDUP(VLOOKUP($F48,taux,3)*$E48,-3)/2),ROUNDUP(IF(Données!$L88="OUI",MIN(VLOOKUP($F48,taux,3)*$E48,VLOOKUP($F48,taux,5)),MIN(VLOOKUP($F48,taux,3)*$E48,VLOOKUP($F48,taux,4))),-3)))))</f>
        <v>0</v>
      </c>
      <c r="N48" s="379">
        <f>IF($B48=" ",0,IF(Données!$N88="NON COUVERT",0,IF(AND(Données!$O88="oui",Données!$N88=0.5),MIN(VLOOKUP($F48,taux,9)/2,ROUNDUP(VLOOKUP($F48,taux,7)*$E48,-3)/2),IF(Données!$N88=0.5,MIN(VLOOKUP($F48,taux,8)/2,ROUNDUP(VLOOKUP($F48,taux,7)*$E48,-3)/2),ROUNDUP(IF(Données!$O88="OUI",MIN(VLOOKUP($F48,taux,7)*$E48,VLOOKUP($F48,taux,9)),MIN(VLOOKUP($F48,taux,7)*$E48,VLOOKUP($F48,taux,8))),-3)))))</f>
        <v>0</v>
      </c>
      <c r="O48" s="105">
        <f ca="1">IF(C48&gt;=70,0,IF($B48=" ",0,IF(Données!P88="non couvert"," ",Données!Q88)))</f>
        <v>0</v>
      </c>
      <c r="P48" s="106">
        <f>IF($B48=" ",0,IF(Données!$P88="exo",0,IF($O48="FAM",VLOOKUP($F48,taux,10),IF($O48="MONO",VLOOKUP($F48,taux,11),IF($O48="COUPLE",VLOOKUP($F48,taux,12),0)))))</f>
        <v>0</v>
      </c>
      <c r="Q48" s="107">
        <f ca="1">IF(C48&gt;=70,0,IF($B48=" ",0,IF(Données!$R88="NON COUVERT",0,ROUNDUP(IF(Données!$S88="OUI",MIN($E48*VLOOKUP($F48,taux,15)/52,VLOOKUP($F48,taux,17)),MIN($E48*VLOOKUP($F48,taux,15)/52,VLOOKUP($F48,taux,16))),0))))</f>
        <v>0</v>
      </c>
      <c r="R48" s="108">
        <f>IF($B48=" ",0,IF(Données!$R88="EXO",0,$Q48*VLOOKUP($F48,taux,13)/10))</f>
        <v>0</v>
      </c>
      <c r="S48" s="109">
        <f t="shared" ca="1" si="3"/>
        <v>0</v>
      </c>
      <c r="T48" s="110">
        <f>IF(B48=" ",0,IF(Données!$T88="exo",0,$S48*VLOOKUP($F48,taux,18)/100))</f>
        <v>0</v>
      </c>
      <c r="U48" s="109">
        <f>IF($B48=" ",0,IF(Données!$V88="non couvert",0,IF(VLOOKUP($F48,taux,29)="fixe","s/o",IF(Données!$W88="oui",MIN(ROUNDUP(VLOOKUP($F48,taux,31)*$E48,-3),VLOOKUP($F48,taux,33)),MIN(ROUNDUP(VLOOKUP($F48,taux,31)*$E48,-3),VLOOKUP($F48,taux,32))))))</f>
        <v>0</v>
      </c>
      <c r="V48" s="110">
        <f>IF(B48=" ",0,IF(Données!$V88="exo",0,IF(VLOOKUP($F48,taux,29)="fixe",VLOOKUP($F48,taux,30),$U48/1000*VLOOKUP($F48,taux,30))))</f>
        <v>0</v>
      </c>
      <c r="W48" s="110">
        <f t="shared" si="0"/>
        <v>0</v>
      </c>
      <c r="X48" s="383">
        <f>IF(B48=" ",0,EDATE((Données!E88),780))</f>
        <v>0</v>
      </c>
      <c r="Y48" s="383">
        <f t="shared" si="6"/>
        <v>0</v>
      </c>
      <c r="Z48" s="384">
        <f>IF($B48=" ",0,IF(Données!$T88="non couvert",0,IF(Données!$U88="oui",MIN(VLOOKUP($F48,taux,26),ROUNDUP(IF($E48/12&gt;VLOOKUP($F48,taux,21)+VLOOKUP($F48,taux,23),(VLOOKUP($F48,taux,20)*VLOOKUP($F48,taux,21))+(VLOOKUP($F48,taux,22)*VLOOKUP($F48,taux,23))+($E48/12-VLOOKUP($F48,taux,21)-VLOOKUP($F48,taux,23))*VLOOKUP($F48,taux,24),IF($E48/12&gt;VLOOKUP($F48,taux,21),(VLOOKUP($F48,taux,20)*VLOOKUP($F48,taux,21))+($E48/12-VLOOKUP($F48,taux,21))*VLOOKUP($F48,taux,22),$E48/12*VLOOKUP($F48,taux,20))),0)),MIN(VLOOKUP($F48,taux,25),ROUNDUP(IF($E48/12&gt;VLOOKUP($F48,taux,21)+VLOOKUP($F48,taux,23),(VLOOKUP($F48,taux,20)*VLOOKUP($F48,taux,21))+(VLOOKUP($F48,taux,22)*VLOOKUP($F48,taux,23))+($E48/12-VLOOKUP($F48,taux,21)-VLOOKUP($F48,taux,23))*VLOOKUP($F48,taux,24),IF($E48/12&gt;VLOOKUP($F48,taux,21),(VLOOKUP($F48,taux,20)*VLOOKUP($F48,taux,21))+($E48/12-VLOOKUP($F48,taux,21))*VLOOKUP($F48,taux,22),$E48/12*VLOOKUP($F48,taux,20))),0)))))</f>
        <v>0</v>
      </c>
      <c r="AA48" s="111">
        <f ca="1">IF(C48&gt;=70,0,IF($B48=" ",0,IF(Données!$X88="non couvert"," ",Données!Y88)))</f>
        <v>0</v>
      </c>
      <c r="AB48" s="110">
        <f>IF($B48=" ",0,IF(Données!$X88="exo",0,IF($AA48="ind",VLOOKUP($F48,taux,34),IF($AA48="fam",VLOOKUP($F48,taux,35),IF($AA48="mono",VLOOKUP($F48,taux,36),IF($AA48="couple",VLOOKUP($F48,taux,37),0))))))</f>
        <v>0</v>
      </c>
      <c r="AC48" s="111">
        <f ca="1">IF(C48&gt;=70,0,IF($B48=" ",0,IF(Données!$Z88="non couvert"," ",Données!AA88)))</f>
        <v>0</v>
      </c>
      <c r="AD48" s="110">
        <f>IF($B48=" ",0,IF(Données!$Z88="exo",0,IF($AC48="ind",VLOOKUP($F48,taux,38),IF($AC48="fam",VLOOKUP($F48,taux,39),IF($AC48="mono",VLOOKUP($F48,taux,40),IF($AC48="couple",VLOOKUP($F48,taux,41),0))))))</f>
        <v>0</v>
      </c>
      <c r="AE48" s="112">
        <f>IF($B48=" ",0,IF(Données!$AB88="non couvert"," ",Données!AC88))</f>
        <v>0</v>
      </c>
      <c r="AF48" s="113">
        <f>IF($B48=" ",0,IF(Données!$AB88="exo",0,IF($AE48="ind",VLOOKUP($F48,taux,42),IF($AE48="fam",VLOOKUP($F48,taux,43),IF($AE48="mono",VLOOKUP($F48,taux,44),IF($AE48="couple",VLOOKUP($F48,taux,45),0))))))</f>
        <v>0</v>
      </c>
      <c r="AG48" s="114">
        <f t="shared" ca="1" si="7"/>
        <v>0</v>
      </c>
      <c r="AH48" s="114">
        <f>IF($B48=" ",0,IF(Données!J88="Manitoba",(Facture!H48+Facture!J48+Facture!L48+Facture!P48+Facture!R48+Facture!T48)*0.08,(AG48-W48)*IF(Données!$J88="qc",0.09,IF(Données!$J88="on",0.08,0))+W48*VLOOKUP($F48,taux,28)))</f>
        <v>0</v>
      </c>
      <c r="AI48" s="106">
        <f t="shared" ca="1" si="4"/>
        <v>0</v>
      </c>
    </row>
    <row r="49" spans="1:35" s="64" customFormat="1">
      <c r="A49" s="89">
        <f t="shared" si="5"/>
        <v>35</v>
      </c>
      <c r="B49" s="99" t="str">
        <f>CONCATENATE(Données!B89," ",Données!C89)</f>
        <v xml:space="preserve"> </v>
      </c>
      <c r="C49" s="410">
        <f ca="1">IF(B49="",0,INT((TODAY()-Données!E89)/365.25))</f>
        <v>119</v>
      </c>
      <c r="D49" s="100">
        <f>Données!D89</f>
        <v>0</v>
      </c>
      <c r="E49" s="101">
        <f>Données!I89</f>
        <v>0</v>
      </c>
      <c r="F49" s="102" t="str">
        <f>Données!AD89</f>
        <v/>
      </c>
      <c r="G49" s="103">
        <f ca="1">INDEX({1;0.5;0},MATCH(C49,{1;65;70}))*M49</f>
        <v>0</v>
      </c>
      <c r="H49" s="104">
        <f>IF($B49=" ",0,IF(Données!$K89="exo",0,$G49/1000*VLOOKUP($F49,taux,2)))</f>
        <v>0</v>
      </c>
      <c r="I49" s="398">
        <f ca="1">IF(C49&gt;=65,0,Données!M89*5000)</f>
        <v>0</v>
      </c>
      <c r="J49" s="104">
        <f ca="1">I49/1000*(IF(I49=0,0,1)*VLOOKUP((1+(C49&gt;=20)+(C49&gt;=25)+(C49&gt;=30)+(C49&gt;=35)+(C49&gt;=40)+(C49&gt;=45)+(C49&gt;=50)+(C49&gt;=55)+(C49&gt;=60)+(C49&gt;=65)),Test,2+(IF(Données!F89="H",1,3))+(IF(Données!G89="F",1,0))))</f>
        <v>0</v>
      </c>
      <c r="K49" s="103">
        <f ca="1">INDEX({1;0.5;0},MATCH(C49,{1;65;70}))*M49</f>
        <v>0</v>
      </c>
      <c r="L49" s="104">
        <f>IF($B49=" ",0,IF(Données!$N89="exo",0,$K49/1000*VLOOKUP($F49,taux,6)))</f>
        <v>0</v>
      </c>
      <c r="M49" s="379">
        <f>IF($B49=" ",0,IF(Données!$K89="NON COUVERT",0,IF(AND(Données!$L89="oui",Données!$K89=0.5),MIN(VLOOKUP($F49,taux,5)/2,ROUNDUP(VLOOKUP($F49,taux,3)*$E49,-3)/2),IF(Données!$K89=0.5,MIN(VLOOKUP($F49,taux,4)/2,ROUNDUP(VLOOKUP($F49,taux,3)*$E49,-3)/2),ROUNDUP(IF(Données!$L89="OUI",MIN(VLOOKUP($F49,taux,3)*$E49,VLOOKUP($F49,taux,5)),MIN(VLOOKUP($F49,taux,3)*$E49,VLOOKUP($F49,taux,4))),-3)))))</f>
        <v>0</v>
      </c>
      <c r="N49" s="379">
        <f>IF($B49=" ",0,IF(Données!$N89="NON COUVERT",0,IF(AND(Données!$O89="oui",Données!$N89=0.5),MIN(VLOOKUP($F49,taux,9)/2,ROUNDUP(VLOOKUP($F49,taux,7)*$E49,-3)/2),IF(Données!$N89=0.5,MIN(VLOOKUP($F49,taux,8)/2,ROUNDUP(VLOOKUP($F49,taux,7)*$E49,-3)/2),ROUNDUP(IF(Données!$O89="OUI",MIN(VLOOKUP($F49,taux,7)*$E49,VLOOKUP($F49,taux,9)),MIN(VLOOKUP($F49,taux,7)*$E49,VLOOKUP($F49,taux,8))),-3)))))</f>
        <v>0</v>
      </c>
      <c r="O49" s="105">
        <f ca="1">IF(C49&gt;=70,0,IF($B49=" ",0,IF(Données!P89="non couvert"," ",Données!Q89)))</f>
        <v>0</v>
      </c>
      <c r="P49" s="106">
        <f>IF($B49=" ",0,IF(Données!$P89="exo",0,IF($O49="FAM",VLOOKUP($F49,taux,10),IF($O49="MONO",VLOOKUP($F49,taux,11),IF($O49="COUPLE",VLOOKUP($F49,taux,12),0)))))</f>
        <v>0</v>
      </c>
      <c r="Q49" s="107">
        <f ca="1">IF(C49&gt;=70,0,IF($B49=" ",0,IF(Données!$R89="NON COUVERT",0,ROUNDUP(IF(Données!$S89="OUI",MIN($E49*VLOOKUP($F49,taux,15)/52,VLOOKUP($F49,taux,17)),MIN($E49*VLOOKUP($F49,taux,15)/52,VLOOKUP($F49,taux,16))),0))))</f>
        <v>0</v>
      </c>
      <c r="R49" s="108">
        <f>IF($B49=" ",0,IF(Données!$R89="EXO",0,$Q49*VLOOKUP($F49,taux,13)/10))</f>
        <v>0</v>
      </c>
      <c r="S49" s="109">
        <f t="shared" ca="1" si="3"/>
        <v>0</v>
      </c>
      <c r="T49" s="110">
        <f>IF(B49=" ",0,IF(Données!$T89="exo",0,$S49*VLOOKUP($F49,taux,18)/100))</f>
        <v>0</v>
      </c>
      <c r="U49" s="109">
        <f>IF($B49=" ",0,IF(Données!$V89="non couvert",0,IF(VLOOKUP($F49,taux,29)="fixe","s/o",IF(Données!$W89="oui",MIN(ROUNDUP(VLOOKUP($F49,taux,31)*$E49,-3),VLOOKUP($F49,taux,33)),MIN(ROUNDUP(VLOOKUP($F49,taux,31)*$E49,-3),VLOOKUP($F49,taux,32))))))</f>
        <v>0</v>
      </c>
      <c r="V49" s="110">
        <f>IF(B49=" ",0,IF(Données!$V89="exo",0,IF(VLOOKUP($F49,taux,29)="fixe",VLOOKUP($F49,taux,30),$U49/1000*VLOOKUP($F49,taux,30))))</f>
        <v>0</v>
      </c>
      <c r="W49" s="110">
        <f t="shared" si="0"/>
        <v>0</v>
      </c>
      <c r="X49" s="383">
        <f>IF(B49=" ",0,EDATE((Données!E89),780))</f>
        <v>0</v>
      </c>
      <c r="Y49" s="383">
        <f t="shared" si="6"/>
        <v>0</v>
      </c>
      <c r="Z49" s="384">
        <f>IF($B49=" ",0,IF(Données!$T89="non couvert",0,IF(Données!$U89="oui",MIN(VLOOKUP($F49,taux,26),ROUNDUP(IF($E49/12&gt;VLOOKUP($F49,taux,21)+VLOOKUP($F49,taux,23),(VLOOKUP($F49,taux,20)*VLOOKUP($F49,taux,21))+(VLOOKUP($F49,taux,22)*VLOOKUP($F49,taux,23))+($E49/12-VLOOKUP($F49,taux,21)-VLOOKUP($F49,taux,23))*VLOOKUP($F49,taux,24),IF($E49/12&gt;VLOOKUP($F49,taux,21),(VLOOKUP($F49,taux,20)*VLOOKUP($F49,taux,21))+($E49/12-VLOOKUP($F49,taux,21))*VLOOKUP($F49,taux,22),$E49/12*VLOOKUP($F49,taux,20))),0)),MIN(VLOOKUP($F49,taux,25),ROUNDUP(IF($E49/12&gt;VLOOKUP($F49,taux,21)+VLOOKUP($F49,taux,23),(VLOOKUP($F49,taux,20)*VLOOKUP($F49,taux,21))+(VLOOKUP($F49,taux,22)*VLOOKUP($F49,taux,23))+($E49/12-VLOOKUP($F49,taux,21)-VLOOKUP($F49,taux,23))*VLOOKUP($F49,taux,24),IF($E49/12&gt;VLOOKUP($F49,taux,21),(VLOOKUP($F49,taux,20)*VLOOKUP($F49,taux,21))+($E49/12-VLOOKUP($F49,taux,21))*VLOOKUP($F49,taux,22),$E49/12*VLOOKUP($F49,taux,20))),0)))))</f>
        <v>0</v>
      </c>
      <c r="AA49" s="111">
        <f ca="1">IF(C49&gt;=70,0,IF($B49=" ",0,IF(Données!$X89="non couvert"," ",Données!Y89)))</f>
        <v>0</v>
      </c>
      <c r="AB49" s="110">
        <f>IF($B49=" ",0,IF(Données!$X89="exo",0,IF($AA49="ind",VLOOKUP($F49,taux,34),IF($AA49="fam",VLOOKUP($F49,taux,35),IF($AA49="mono",VLOOKUP($F49,taux,36),IF($AA49="couple",VLOOKUP($F49,taux,37),0))))))</f>
        <v>0</v>
      </c>
      <c r="AC49" s="111">
        <f ca="1">IF(C49&gt;=70,0,IF($B49=" ",0,IF(Données!$Z89="non couvert"," ",Données!AA89)))</f>
        <v>0</v>
      </c>
      <c r="AD49" s="110">
        <f>IF($B49=" ",0,IF(Données!$Z89="exo",0,IF($AC49="ind",VLOOKUP($F49,taux,38),IF($AC49="fam",VLOOKUP($F49,taux,39),IF($AC49="mono",VLOOKUP($F49,taux,40),IF($AC49="couple",VLOOKUP($F49,taux,41),0))))))</f>
        <v>0</v>
      </c>
      <c r="AE49" s="112">
        <f>IF($B49=" ",0,IF(Données!$AB89="non couvert"," ",Données!AC89))</f>
        <v>0</v>
      </c>
      <c r="AF49" s="113">
        <f>IF($B49=" ",0,IF(Données!$AB89="exo",0,IF($AE49="ind",VLOOKUP($F49,taux,42),IF($AE49="fam",VLOOKUP($F49,taux,43),IF($AE49="mono",VLOOKUP($F49,taux,44),IF($AE49="couple",VLOOKUP($F49,taux,45),0))))))</f>
        <v>0</v>
      </c>
      <c r="AG49" s="114">
        <f t="shared" ca="1" si="7"/>
        <v>0</v>
      </c>
      <c r="AH49" s="114">
        <f>IF($B49=" ",0,IF(Données!J89="Manitoba",(Facture!H49+Facture!J49+Facture!L49+Facture!P49+Facture!R49+Facture!T49)*0.08,(AG49-W49)*IF(Données!$J89="qc",0.09,IF(Données!$J89="on",0.08,0))+W49*VLOOKUP($F49,taux,28)))</f>
        <v>0</v>
      </c>
      <c r="AI49" s="106">
        <f t="shared" ca="1" si="4"/>
        <v>0</v>
      </c>
    </row>
    <row r="50" spans="1:35" s="64" customFormat="1">
      <c r="A50" s="89">
        <f t="shared" si="5"/>
        <v>36</v>
      </c>
      <c r="B50" s="99" t="str">
        <f>CONCATENATE(Données!B90," ",Données!C90)</f>
        <v xml:space="preserve"> </v>
      </c>
      <c r="C50" s="410">
        <f ca="1">IF(B50="",0,INT((TODAY()-Données!E90)/365.25))</f>
        <v>119</v>
      </c>
      <c r="D50" s="100">
        <f>Données!D90</f>
        <v>0</v>
      </c>
      <c r="E50" s="101">
        <f>Données!I90</f>
        <v>0</v>
      </c>
      <c r="F50" s="102" t="str">
        <f>Données!AD90</f>
        <v/>
      </c>
      <c r="G50" s="103">
        <f ca="1">INDEX({1;0.5;0},MATCH(C50,{1;65;70}))*M50</f>
        <v>0</v>
      </c>
      <c r="H50" s="104">
        <f>IF($B50=" ",0,IF(Données!$K90="exo",0,$G50/1000*VLOOKUP($F50,taux,2)))</f>
        <v>0</v>
      </c>
      <c r="I50" s="398">
        <f ca="1">IF(C50&gt;=65,0,Données!M90*5000)</f>
        <v>0</v>
      </c>
      <c r="J50" s="104">
        <f ca="1">I50/1000*(IF(I50=0,0,1)*VLOOKUP((1+(C50&gt;=20)+(C50&gt;=25)+(C50&gt;=30)+(C50&gt;=35)+(C50&gt;=40)+(C50&gt;=45)+(C50&gt;=50)+(C50&gt;=55)+(C50&gt;=60)+(C50&gt;=65)),Test,2+(IF(Données!F90="H",1,3))+(IF(Données!G90="F",1,0))))</f>
        <v>0</v>
      </c>
      <c r="K50" s="103">
        <f ca="1">INDEX({1;0.5;0},MATCH(C50,{1;65;70}))*M50</f>
        <v>0</v>
      </c>
      <c r="L50" s="104">
        <f>IF($B50=" ",0,IF(Données!$N90="exo",0,$K50/1000*VLOOKUP($F50,taux,6)))</f>
        <v>0</v>
      </c>
      <c r="M50" s="379">
        <f>IF($B50=" ",0,IF(Données!$K90="NON COUVERT",0,IF(AND(Données!$L90="oui",Données!$K90=0.5),MIN(VLOOKUP($F50,taux,5)/2,ROUNDUP(VLOOKUP($F50,taux,3)*$E50,-3)/2),IF(Données!$K90=0.5,MIN(VLOOKUP($F50,taux,4)/2,ROUNDUP(VLOOKUP($F50,taux,3)*$E50,-3)/2),ROUNDUP(IF(Données!$L90="OUI",MIN(VLOOKUP($F50,taux,3)*$E50,VLOOKUP($F50,taux,5)),MIN(VLOOKUP($F50,taux,3)*$E50,VLOOKUP($F50,taux,4))),-3)))))</f>
        <v>0</v>
      </c>
      <c r="N50" s="379">
        <f>IF($B50=" ",0,IF(Données!$N90="NON COUVERT",0,IF(AND(Données!$O90="oui",Données!$N90=0.5),MIN(VLOOKUP($F50,taux,9)/2,ROUNDUP(VLOOKUP($F50,taux,7)*$E50,-3)/2),IF(Données!$N90=0.5,MIN(VLOOKUP($F50,taux,8)/2,ROUNDUP(VLOOKUP($F50,taux,7)*$E50,-3)/2),ROUNDUP(IF(Données!$O90="OUI",MIN(VLOOKUP($F50,taux,7)*$E50,VLOOKUP($F50,taux,9)),MIN(VLOOKUP($F50,taux,7)*$E50,VLOOKUP($F50,taux,8))),-3)))))</f>
        <v>0</v>
      </c>
      <c r="O50" s="105">
        <f ca="1">IF(C50&gt;=70,0,IF($B50=" ",0,IF(Données!P90="non couvert"," ",Données!Q90)))</f>
        <v>0</v>
      </c>
      <c r="P50" s="106">
        <f>IF($B50=" ",0,IF(Données!$P90="exo",0,IF($O50="FAM",VLOOKUP($F50,taux,10),IF($O50="MONO",VLOOKUP($F50,taux,11),IF($O50="COUPLE",VLOOKUP($F50,taux,12),0)))))</f>
        <v>0</v>
      </c>
      <c r="Q50" s="107">
        <f ca="1">IF(C50&gt;=70,0,IF($B50=" ",0,IF(Données!$R90="NON COUVERT",0,ROUNDUP(IF(Données!$S90="OUI",MIN($E50*VLOOKUP($F50,taux,15)/52,VLOOKUP($F50,taux,17)),MIN($E50*VLOOKUP($F50,taux,15)/52,VLOOKUP($F50,taux,16))),0))))</f>
        <v>0</v>
      </c>
      <c r="R50" s="108">
        <f>IF($B50=" ",0,IF(Données!$R90="EXO",0,$Q50*VLOOKUP($F50,taux,13)/10))</f>
        <v>0</v>
      </c>
      <c r="S50" s="109">
        <f t="shared" ca="1" si="3"/>
        <v>0</v>
      </c>
      <c r="T50" s="110">
        <f>IF(B50=" ",0,IF(Données!$T90="exo",0,$S50*VLOOKUP($F50,taux,18)/100))</f>
        <v>0</v>
      </c>
      <c r="U50" s="109">
        <f>IF($B50=" ",0,IF(Données!$V90="non couvert",0,IF(VLOOKUP($F50,taux,29)="fixe","s/o",IF(Données!$W90="oui",MIN(ROUNDUP(VLOOKUP($F50,taux,31)*$E50,-3),VLOOKUP($F50,taux,33)),MIN(ROUNDUP(VLOOKUP($F50,taux,31)*$E50,-3),VLOOKUP($F50,taux,32))))))</f>
        <v>0</v>
      </c>
      <c r="V50" s="110">
        <f>IF(B50=" ",0,IF(Données!$V90="exo",0,IF(VLOOKUP($F50,taux,29)="fixe",VLOOKUP($F50,taux,30),$U50/1000*VLOOKUP($F50,taux,30))))</f>
        <v>0</v>
      </c>
      <c r="W50" s="110">
        <f t="shared" si="0"/>
        <v>0</v>
      </c>
      <c r="X50" s="383">
        <f>IF(B50=" ",0,EDATE((Données!E90),780))</f>
        <v>0</v>
      </c>
      <c r="Y50" s="383">
        <f t="shared" si="6"/>
        <v>0</v>
      </c>
      <c r="Z50" s="384">
        <f>IF($B50=" ",0,IF(Données!$T90="non couvert",0,IF(Données!$U90="oui",MIN(VLOOKUP($F50,taux,26),ROUNDUP(IF($E50/12&gt;VLOOKUP($F50,taux,21)+VLOOKUP($F50,taux,23),(VLOOKUP($F50,taux,20)*VLOOKUP($F50,taux,21))+(VLOOKUP($F50,taux,22)*VLOOKUP($F50,taux,23))+($E50/12-VLOOKUP($F50,taux,21)-VLOOKUP($F50,taux,23))*VLOOKUP($F50,taux,24),IF($E50/12&gt;VLOOKUP($F50,taux,21),(VLOOKUP($F50,taux,20)*VLOOKUP($F50,taux,21))+($E50/12-VLOOKUP($F50,taux,21))*VLOOKUP($F50,taux,22),$E50/12*VLOOKUP($F50,taux,20))),0)),MIN(VLOOKUP($F50,taux,25),ROUNDUP(IF($E50/12&gt;VLOOKUP($F50,taux,21)+VLOOKUP($F50,taux,23),(VLOOKUP($F50,taux,20)*VLOOKUP($F50,taux,21))+(VLOOKUP($F50,taux,22)*VLOOKUP($F50,taux,23))+($E50/12-VLOOKUP($F50,taux,21)-VLOOKUP($F50,taux,23))*VLOOKUP($F50,taux,24),IF($E50/12&gt;VLOOKUP($F50,taux,21),(VLOOKUP($F50,taux,20)*VLOOKUP($F50,taux,21))+($E50/12-VLOOKUP($F50,taux,21))*VLOOKUP($F50,taux,22),$E50/12*VLOOKUP($F50,taux,20))),0)))))</f>
        <v>0</v>
      </c>
      <c r="AA50" s="111">
        <f ca="1">IF(C50&gt;=70,0,IF($B50=" ",0,IF(Données!$X90="non couvert"," ",Données!Y90)))</f>
        <v>0</v>
      </c>
      <c r="AB50" s="110">
        <f>IF($B50=" ",0,IF(Données!$X90="exo",0,IF($AA50="ind",VLOOKUP($F50,taux,34),IF($AA50="fam",VLOOKUP($F50,taux,35),IF($AA50="mono",VLOOKUP($F50,taux,36),IF($AA50="couple",VLOOKUP($F50,taux,37),0))))))</f>
        <v>0</v>
      </c>
      <c r="AC50" s="111">
        <f ca="1">IF(C50&gt;=70,0,IF($B50=" ",0,IF(Données!$Z90="non couvert"," ",Données!AA90)))</f>
        <v>0</v>
      </c>
      <c r="AD50" s="110">
        <f>IF($B50=" ",0,IF(Données!$Z90="exo",0,IF($AC50="ind",VLOOKUP($F50,taux,38),IF($AC50="fam",VLOOKUP($F50,taux,39),IF($AC50="mono",VLOOKUP($F50,taux,40),IF($AC50="couple",VLOOKUP($F50,taux,41),0))))))</f>
        <v>0</v>
      </c>
      <c r="AE50" s="112">
        <f>IF($B50=" ",0,IF(Données!$AB90="non couvert"," ",Données!AC90))</f>
        <v>0</v>
      </c>
      <c r="AF50" s="113">
        <f>IF($B50=" ",0,IF(Données!$AB90="exo",0,IF($AE50="ind",VLOOKUP($F50,taux,42),IF($AE50="fam",VLOOKUP($F50,taux,43),IF($AE50="mono",VLOOKUP($F50,taux,44),IF($AE50="couple",VLOOKUP($F50,taux,45),0))))))</f>
        <v>0</v>
      </c>
      <c r="AG50" s="114">
        <f t="shared" ca="1" si="7"/>
        <v>0</v>
      </c>
      <c r="AH50" s="114">
        <f>IF($B50=" ",0,IF(Données!J90="Manitoba",(Facture!H50+Facture!J50+Facture!L50+Facture!P50+Facture!R50+Facture!T50)*0.08,(AG50-W50)*IF(Données!$J90="qc",0.09,IF(Données!$J90="on",0.08,0))+W50*VLOOKUP($F50,taux,28)))</f>
        <v>0</v>
      </c>
      <c r="AI50" s="106">
        <f t="shared" ca="1" si="4"/>
        <v>0</v>
      </c>
    </row>
    <row r="51" spans="1:35" s="64" customFormat="1">
      <c r="A51" s="89">
        <f t="shared" si="5"/>
        <v>37</v>
      </c>
      <c r="B51" s="99" t="str">
        <f>CONCATENATE(Données!B91," ",Données!C91)</f>
        <v xml:space="preserve"> </v>
      </c>
      <c r="C51" s="410">
        <f ca="1">IF(B51="",0,INT((TODAY()-Données!E91)/365.25))</f>
        <v>119</v>
      </c>
      <c r="D51" s="100">
        <f>Données!D91</f>
        <v>0</v>
      </c>
      <c r="E51" s="101">
        <f>Données!I91</f>
        <v>0</v>
      </c>
      <c r="F51" s="102" t="str">
        <f>Données!AD91</f>
        <v/>
      </c>
      <c r="G51" s="103">
        <f ca="1">INDEX({1;0.5;0},MATCH(C51,{1;65;70}))*M51</f>
        <v>0</v>
      </c>
      <c r="H51" s="104">
        <f>IF($B51=" ",0,IF(Données!$K91="exo",0,$G51/1000*VLOOKUP($F51,taux,2)))</f>
        <v>0</v>
      </c>
      <c r="I51" s="398">
        <f ca="1">IF(C51&gt;=65,0,Données!M91*5000)</f>
        <v>0</v>
      </c>
      <c r="J51" s="104">
        <f ca="1">I51/1000*(IF(I51=0,0,1)*VLOOKUP((1+(C51&gt;=20)+(C51&gt;=25)+(C51&gt;=30)+(C51&gt;=35)+(C51&gt;=40)+(C51&gt;=45)+(C51&gt;=50)+(C51&gt;=55)+(C51&gt;=60)+(C51&gt;=65)),Test,2+(IF(Données!F91="H",1,3))+(IF(Données!G91="F",1,0))))</f>
        <v>0</v>
      </c>
      <c r="K51" s="103">
        <f ca="1">INDEX({1;0.5;0},MATCH(C51,{1;65;70}))*M51</f>
        <v>0</v>
      </c>
      <c r="L51" s="104">
        <f>IF($B51=" ",0,IF(Données!$N91="exo",0,$K51/1000*VLOOKUP($F51,taux,6)))</f>
        <v>0</v>
      </c>
      <c r="M51" s="379">
        <f>IF($B51=" ",0,IF(Données!$K91="NON COUVERT",0,IF(AND(Données!$L91="oui",Données!$K91=0.5),MIN(VLOOKUP($F51,taux,5)/2,ROUNDUP(VLOOKUP($F51,taux,3)*$E51,-3)/2),IF(Données!$K91=0.5,MIN(VLOOKUP($F51,taux,4)/2,ROUNDUP(VLOOKUP($F51,taux,3)*$E51,-3)/2),ROUNDUP(IF(Données!$L91="OUI",MIN(VLOOKUP($F51,taux,3)*$E51,VLOOKUP($F51,taux,5)),MIN(VLOOKUP($F51,taux,3)*$E51,VLOOKUP($F51,taux,4))),-3)))))</f>
        <v>0</v>
      </c>
      <c r="N51" s="379">
        <f>IF($B51=" ",0,IF(Données!$N91="NON COUVERT",0,IF(AND(Données!$O91="oui",Données!$N91=0.5),MIN(VLOOKUP($F51,taux,9)/2,ROUNDUP(VLOOKUP($F51,taux,7)*$E51,-3)/2),IF(Données!$N91=0.5,MIN(VLOOKUP($F51,taux,8)/2,ROUNDUP(VLOOKUP($F51,taux,7)*$E51,-3)/2),ROUNDUP(IF(Données!$O91="OUI",MIN(VLOOKUP($F51,taux,7)*$E51,VLOOKUP($F51,taux,9)),MIN(VLOOKUP($F51,taux,7)*$E51,VLOOKUP($F51,taux,8))),-3)))))</f>
        <v>0</v>
      </c>
      <c r="O51" s="105">
        <f ca="1">IF(C51&gt;=70,0,IF($B51=" ",0,IF(Données!P91="non couvert"," ",Données!Q91)))</f>
        <v>0</v>
      </c>
      <c r="P51" s="106">
        <f>IF($B51=" ",0,IF(Données!$P91="exo",0,IF($O51="FAM",VLOOKUP($F51,taux,10),IF($O51="MONO",VLOOKUP($F51,taux,11),IF($O51="COUPLE",VLOOKUP($F51,taux,12),0)))))</f>
        <v>0</v>
      </c>
      <c r="Q51" s="107">
        <f ca="1">IF(C51&gt;=70,0,IF($B51=" ",0,IF(Données!$R91="NON COUVERT",0,ROUNDUP(IF(Données!$S91="OUI",MIN($E51*VLOOKUP($F51,taux,15)/52,VLOOKUP($F51,taux,17)),MIN($E51*VLOOKUP($F51,taux,15)/52,VLOOKUP($F51,taux,16))),0))))</f>
        <v>0</v>
      </c>
      <c r="R51" s="108">
        <f>IF($B51=" ",0,IF(Données!$R91="EXO",0,$Q51*VLOOKUP($F51,taux,13)/10))</f>
        <v>0</v>
      </c>
      <c r="S51" s="109">
        <f t="shared" ca="1" si="3"/>
        <v>0</v>
      </c>
      <c r="T51" s="110">
        <f>IF(B51=" ",0,IF(Données!$T91="exo",0,$S51*VLOOKUP($F51,taux,18)/100))</f>
        <v>0</v>
      </c>
      <c r="U51" s="109">
        <f>IF($B51=" ",0,IF(Données!$V91="non couvert",0,IF(VLOOKUP($F51,taux,29)="fixe","s/o",IF(Données!$W91="oui",MIN(ROUNDUP(VLOOKUP($F51,taux,31)*$E51,-3),VLOOKUP($F51,taux,33)),MIN(ROUNDUP(VLOOKUP($F51,taux,31)*$E51,-3),VLOOKUP($F51,taux,32))))))</f>
        <v>0</v>
      </c>
      <c r="V51" s="110">
        <f>IF(B51=" ",0,IF(Données!$V91="exo",0,IF(VLOOKUP($F51,taux,29)="fixe",VLOOKUP($F51,taux,30),$U51/1000*VLOOKUP($F51,taux,30))))</f>
        <v>0</v>
      </c>
      <c r="W51" s="110">
        <f t="shared" si="0"/>
        <v>0</v>
      </c>
      <c r="X51" s="383">
        <f>IF(B51=" ",0,EDATE((Données!E91),780))</f>
        <v>0</v>
      </c>
      <c r="Y51" s="383">
        <f t="shared" si="6"/>
        <v>0</v>
      </c>
      <c r="Z51" s="384">
        <f>IF($B51=" ",0,IF(Données!$T91="non couvert",0,IF(Données!$U91="oui",MIN(VLOOKUP($F51,taux,26),ROUNDUP(IF($E51/12&gt;VLOOKUP($F51,taux,21)+VLOOKUP($F51,taux,23),(VLOOKUP($F51,taux,20)*VLOOKUP($F51,taux,21))+(VLOOKUP($F51,taux,22)*VLOOKUP($F51,taux,23))+($E51/12-VLOOKUP($F51,taux,21)-VLOOKUP($F51,taux,23))*VLOOKUP($F51,taux,24),IF($E51/12&gt;VLOOKUP($F51,taux,21),(VLOOKUP($F51,taux,20)*VLOOKUP($F51,taux,21))+($E51/12-VLOOKUP($F51,taux,21))*VLOOKUP($F51,taux,22),$E51/12*VLOOKUP($F51,taux,20))),0)),MIN(VLOOKUP($F51,taux,25),ROUNDUP(IF($E51/12&gt;VLOOKUP($F51,taux,21)+VLOOKUP($F51,taux,23),(VLOOKUP($F51,taux,20)*VLOOKUP($F51,taux,21))+(VLOOKUP($F51,taux,22)*VLOOKUP($F51,taux,23))+($E51/12-VLOOKUP($F51,taux,21)-VLOOKUP($F51,taux,23))*VLOOKUP($F51,taux,24),IF($E51/12&gt;VLOOKUP($F51,taux,21),(VLOOKUP($F51,taux,20)*VLOOKUP($F51,taux,21))+($E51/12-VLOOKUP($F51,taux,21))*VLOOKUP($F51,taux,22),$E51/12*VLOOKUP($F51,taux,20))),0)))))</f>
        <v>0</v>
      </c>
      <c r="AA51" s="111">
        <f ca="1">IF(C51&gt;=70,0,IF($B51=" ",0,IF(Données!$X91="non couvert"," ",Données!Y91)))</f>
        <v>0</v>
      </c>
      <c r="AB51" s="110">
        <f>IF($B51=" ",0,IF(Données!$X91="exo",0,IF($AA51="ind",VLOOKUP($F51,taux,34),IF($AA51="fam",VLOOKUP($F51,taux,35),IF($AA51="mono",VLOOKUP($F51,taux,36),IF($AA51="couple",VLOOKUP($F51,taux,37),0))))))</f>
        <v>0</v>
      </c>
      <c r="AC51" s="111">
        <f ca="1">IF(C51&gt;=70,0,IF($B51=" ",0,IF(Données!$Z91="non couvert"," ",Données!AA91)))</f>
        <v>0</v>
      </c>
      <c r="AD51" s="110">
        <f>IF($B51=" ",0,IF(Données!$Z91="exo",0,IF($AC51="ind",VLOOKUP($F51,taux,38),IF($AC51="fam",VLOOKUP($F51,taux,39),IF($AC51="mono",VLOOKUP($F51,taux,40),IF($AC51="couple",VLOOKUP($F51,taux,41),0))))))</f>
        <v>0</v>
      </c>
      <c r="AE51" s="112">
        <f>IF($B51=" ",0,IF(Données!$AB91="non couvert"," ",Données!AC91))</f>
        <v>0</v>
      </c>
      <c r="AF51" s="113">
        <f>IF($B51=" ",0,IF(Données!$AB91="exo",0,IF($AE51="ind",VLOOKUP($F51,taux,42),IF($AE51="fam",VLOOKUP($F51,taux,43),IF($AE51="mono",VLOOKUP($F51,taux,44),IF($AE51="couple",VLOOKUP($F51,taux,45),0))))))</f>
        <v>0</v>
      </c>
      <c r="AG51" s="114">
        <f t="shared" ca="1" si="7"/>
        <v>0</v>
      </c>
      <c r="AH51" s="114">
        <f>IF($B51=" ",0,IF(Données!J91="Manitoba",(Facture!H51+Facture!J51+Facture!L51+Facture!P51+Facture!R51+Facture!T51)*0.08,(AG51-W51)*IF(Données!$J91="qc",0.09,IF(Données!$J91="on",0.08,0))+W51*VLOOKUP($F51,taux,28)))</f>
        <v>0</v>
      </c>
      <c r="AI51" s="106">
        <f t="shared" ca="1" si="4"/>
        <v>0</v>
      </c>
    </row>
    <row r="52" spans="1:35" s="64" customFormat="1">
      <c r="A52" s="89">
        <f t="shared" si="5"/>
        <v>38</v>
      </c>
      <c r="B52" s="99" t="str">
        <f>CONCATENATE(Données!B92," ",Données!C92)</f>
        <v xml:space="preserve"> </v>
      </c>
      <c r="C52" s="410">
        <f ca="1">IF(B52="",0,INT((TODAY()-Données!E92)/365.25))</f>
        <v>119</v>
      </c>
      <c r="D52" s="100">
        <f>Données!D92</f>
        <v>0</v>
      </c>
      <c r="E52" s="101">
        <f>Données!I92</f>
        <v>0</v>
      </c>
      <c r="F52" s="102" t="str">
        <f>Données!AD92</f>
        <v/>
      </c>
      <c r="G52" s="103">
        <f ca="1">INDEX({1;0.5;0},MATCH(C52,{1;65;70}))*M52</f>
        <v>0</v>
      </c>
      <c r="H52" s="104">
        <f>IF($B52=" ",0,IF(Données!$K92="exo",0,$G52/1000*VLOOKUP($F52,taux,2)))</f>
        <v>0</v>
      </c>
      <c r="I52" s="398">
        <f ca="1">IF(C52&gt;=65,0,Données!M92*5000)</f>
        <v>0</v>
      </c>
      <c r="J52" s="104">
        <f ca="1">I52/1000*(IF(I52=0,0,1)*VLOOKUP((1+(C52&gt;=20)+(C52&gt;=25)+(C52&gt;=30)+(C52&gt;=35)+(C52&gt;=40)+(C52&gt;=45)+(C52&gt;=50)+(C52&gt;=55)+(C52&gt;=60)+(C52&gt;=65)),Test,2+(IF(Données!F92="H",1,3))+(IF(Données!G92="F",1,0))))</f>
        <v>0</v>
      </c>
      <c r="K52" s="103">
        <f ca="1">INDEX({1;0.5;0},MATCH(C52,{1;65;70}))*M52</f>
        <v>0</v>
      </c>
      <c r="L52" s="104">
        <f>IF($B52=" ",0,IF(Données!$N92="exo",0,$K52/1000*VLOOKUP($F52,taux,6)))</f>
        <v>0</v>
      </c>
      <c r="M52" s="379">
        <f>IF($B52=" ",0,IF(Données!$K92="NON COUVERT",0,IF(AND(Données!$L92="oui",Données!$K92=0.5),MIN(VLOOKUP($F52,taux,5)/2,ROUNDUP(VLOOKUP($F52,taux,3)*$E52,-3)/2),IF(Données!$K92=0.5,MIN(VLOOKUP($F52,taux,4)/2,ROUNDUP(VLOOKUP($F52,taux,3)*$E52,-3)/2),ROUNDUP(IF(Données!$L92="OUI",MIN(VLOOKUP($F52,taux,3)*$E52,VLOOKUP($F52,taux,5)),MIN(VLOOKUP($F52,taux,3)*$E52,VLOOKUP($F52,taux,4))),-3)))))</f>
        <v>0</v>
      </c>
      <c r="N52" s="379">
        <f>IF($B52=" ",0,IF(Données!$N92="NON COUVERT",0,IF(AND(Données!$O92="oui",Données!$N92=0.5),MIN(VLOOKUP($F52,taux,9)/2,ROUNDUP(VLOOKUP($F52,taux,7)*$E52,-3)/2),IF(Données!$N92=0.5,MIN(VLOOKUP($F52,taux,8)/2,ROUNDUP(VLOOKUP($F52,taux,7)*$E52,-3)/2),ROUNDUP(IF(Données!$O92="OUI",MIN(VLOOKUP($F52,taux,7)*$E52,VLOOKUP($F52,taux,9)),MIN(VLOOKUP($F52,taux,7)*$E52,VLOOKUP($F52,taux,8))),-3)))))</f>
        <v>0</v>
      </c>
      <c r="O52" s="105">
        <f ca="1">IF(C52&gt;=70,0,IF($B52=" ",0,IF(Données!P92="non couvert"," ",Données!Q92)))</f>
        <v>0</v>
      </c>
      <c r="P52" s="106">
        <f>IF($B52=" ",0,IF(Données!$P92="exo",0,IF($O52="FAM",VLOOKUP($F52,taux,10),IF($O52="MONO",VLOOKUP($F52,taux,11),IF($O52="COUPLE",VLOOKUP($F52,taux,12),0)))))</f>
        <v>0</v>
      </c>
      <c r="Q52" s="107">
        <f ca="1">IF(C52&gt;=70,0,IF($B52=" ",0,IF(Données!$R92="NON COUVERT",0,ROUNDUP(IF(Données!$S92="OUI",MIN($E52*VLOOKUP($F52,taux,15)/52,VLOOKUP($F52,taux,17)),MIN($E52*VLOOKUP($F52,taux,15)/52,VLOOKUP($F52,taux,16))),0))))</f>
        <v>0</v>
      </c>
      <c r="R52" s="108">
        <f>IF($B52=" ",0,IF(Données!$R92="EXO",0,$Q52*VLOOKUP($F52,taux,13)/10))</f>
        <v>0</v>
      </c>
      <c r="S52" s="109">
        <f t="shared" ca="1" si="3"/>
        <v>0</v>
      </c>
      <c r="T52" s="110">
        <f>IF(B52=" ",0,IF(Données!$T92="exo",0,$S52*VLOOKUP($F52,taux,18)/100))</f>
        <v>0</v>
      </c>
      <c r="U52" s="109">
        <f>IF($B52=" ",0,IF(Données!$V92="non couvert",0,IF(VLOOKUP($F52,taux,29)="fixe","s/o",IF(Données!$W92="oui",MIN(ROUNDUP(VLOOKUP($F52,taux,31)*$E52,-3),VLOOKUP($F52,taux,33)),MIN(ROUNDUP(VLOOKUP($F52,taux,31)*$E52,-3),VLOOKUP($F52,taux,32))))))</f>
        <v>0</v>
      </c>
      <c r="V52" s="110">
        <f>IF(B52=" ",0,IF(Données!$V92="exo",0,IF(VLOOKUP($F52,taux,29)="fixe",VLOOKUP($F52,taux,30),$U52/1000*VLOOKUP($F52,taux,30))))</f>
        <v>0</v>
      </c>
      <c r="W52" s="110">
        <f t="shared" si="0"/>
        <v>0</v>
      </c>
      <c r="X52" s="383">
        <f>IF(B52=" ",0,EDATE((Données!E92),780))</f>
        <v>0</v>
      </c>
      <c r="Y52" s="383">
        <f t="shared" si="6"/>
        <v>0</v>
      </c>
      <c r="Z52" s="384">
        <f>IF($B52=" ",0,IF(Données!$T92="non couvert",0,IF(Données!$U92="oui",MIN(VLOOKUP($F52,taux,26),ROUNDUP(IF($E52/12&gt;VLOOKUP($F52,taux,21)+VLOOKUP($F52,taux,23),(VLOOKUP($F52,taux,20)*VLOOKUP($F52,taux,21))+(VLOOKUP($F52,taux,22)*VLOOKUP($F52,taux,23))+($E52/12-VLOOKUP($F52,taux,21)-VLOOKUP($F52,taux,23))*VLOOKUP($F52,taux,24),IF($E52/12&gt;VLOOKUP($F52,taux,21),(VLOOKUP($F52,taux,20)*VLOOKUP($F52,taux,21))+($E52/12-VLOOKUP($F52,taux,21))*VLOOKUP($F52,taux,22),$E52/12*VLOOKUP($F52,taux,20))),0)),MIN(VLOOKUP($F52,taux,25),ROUNDUP(IF($E52/12&gt;VLOOKUP($F52,taux,21)+VLOOKUP($F52,taux,23),(VLOOKUP($F52,taux,20)*VLOOKUP($F52,taux,21))+(VLOOKUP($F52,taux,22)*VLOOKUP($F52,taux,23))+($E52/12-VLOOKUP($F52,taux,21)-VLOOKUP($F52,taux,23))*VLOOKUP($F52,taux,24),IF($E52/12&gt;VLOOKUP($F52,taux,21),(VLOOKUP($F52,taux,20)*VLOOKUP($F52,taux,21))+($E52/12-VLOOKUP($F52,taux,21))*VLOOKUP($F52,taux,22),$E52/12*VLOOKUP($F52,taux,20))),0)))))</f>
        <v>0</v>
      </c>
      <c r="AA52" s="111">
        <f ca="1">IF(C52&gt;=70,0,IF($B52=" ",0,IF(Données!$X92="non couvert"," ",Données!Y92)))</f>
        <v>0</v>
      </c>
      <c r="AB52" s="110">
        <f>IF($B52=" ",0,IF(Données!$X92="exo",0,IF($AA52="ind",VLOOKUP($F52,taux,34),IF($AA52="fam",VLOOKUP($F52,taux,35),IF($AA52="mono",VLOOKUP($F52,taux,36),IF($AA52="couple",VLOOKUP($F52,taux,37),0))))))</f>
        <v>0</v>
      </c>
      <c r="AC52" s="111">
        <f ca="1">IF(C52&gt;=70,0,IF($B52=" ",0,IF(Données!$Z92="non couvert"," ",Données!AA92)))</f>
        <v>0</v>
      </c>
      <c r="AD52" s="110">
        <f>IF($B52=" ",0,IF(Données!$Z92="exo",0,IF($AC52="ind",VLOOKUP($F52,taux,38),IF($AC52="fam",VLOOKUP($F52,taux,39),IF($AC52="mono",VLOOKUP($F52,taux,40),IF($AC52="couple",VLOOKUP($F52,taux,41),0))))))</f>
        <v>0</v>
      </c>
      <c r="AE52" s="112">
        <f>IF($B52=" ",0,IF(Données!$AB92="non couvert"," ",Données!AC92))</f>
        <v>0</v>
      </c>
      <c r="AF52" s="113">
        <f>IF($B52=" ",0,IF(Données!$AB92="exo",0,IF($AE52="ind",VLOOKUP($F52,taux,42),IF($AE52="fam",VLOOKUP($F52,taux,43),IF($AE52="mono",VLOOKUP($F52,taux,44),IF($AE52="couple",VLOOKUP($F52,taux,45),0))))))</f>
        <v>0</v>
      </c>
      <c r="AG52" s="114">
        <f t="shared" ca="1" si="7"/>
        <v>0</v>
      </c>
      <c r="AH52" s="114">
        <f>IF($B52=" ",0,IF(Données!J92="Manitoba",(Facture!H52+Facture!J52+Facture!L52+Facture!P52+Facture!R52+Facture!T52)*0.08,(AG52-W52)*IF(Données!$J92="qc",0.09,IF(Données!$J92="on",0.08,0))+W52*VLOOKUP($F52,taux,28)))</f>
        <v>0</v>
      </c>
      <c r="AI52" s="106">
        <f t="shared" ca="1" si="4"/>
        <v>0</v>
      </c>
    </row>
    <row r="53" spans="1:35" s="64" customFormat="1">
      <c r="A53" s="89">
        <f t="shared" si="5"/>
        <v>39</v>
      </c>
      <c r="B53" s="99" t="str">
        <f>CONCATENATE(Données!B93," ",Données!C93)</f>
        <v xml:space="preserve"> </v>
      </c>
      <c r="C53" s="410">
        <f ca="1">IF(B53="",0,INT((TODAY()-Données!E93)/365.25))</f>
        <v>119</v>
      </c>
      <c r="D53" s="100">
        <f>Données!D93</f>
        <v>0</v>
      </c>
      <c r="E53" s="101">
        <f>Données!I93</f>
        <v>0</v>
      </c>
      <c r="F53" s="102" t="str">
        <f>Données!AD93</f>
        <v/>
      </c>
      <c r="G53" s="103">
        <f ca="1">INDEX({1;0.5;0},MATCH(C53,{1;65;70}))*M53</f>
        <v>0</v>
      </c>
      <c r="H53" s="104">
        <f>IF($B53=" ",0,IF(Données!$K93="exo",0,$G53/1000*VLOOKUP($F53,taux,2)))</f>
        <v>0</v>
      </c>
      <c r="I53" s="398">
        <f ca="1">IF(C53&gt;=65,0,Données!M93*5000)</f>
        <v>0</v>
      </c>
      <c r="J53" s="104">
        <f ca="1">I53/1000*(IF(I53=0,0,1)*VLOOKUP((1+(C53&gt;=20)+(C53&gt;=25)+(C53&gt;=30)+(C53&gt;=35)+(C53&gt;=40)+(C53&gt;=45)+(C53&gt;=50)+(C53&gt;=55)+(C53&gt;=60)+(C53&gt;=65)),Test,2+(IF(Données!F93="H",1,3))+(IF(Données!G93="F",1,0))))</f>
        <v>0</v>
      </c>
      <c r="K53" s="103">
        <f ca="1">INDEX({1;0.5;0},MATCH(C53,{1;65;70}))*M53</f>
        <v>0</v>
      </c>
      <c r="L53" s="104">
        <f>IF($B53=" ",0,IF(Données!$N93="exo",0,$K53/1000*VLOOKUP($F53,taux,6)))</f>
        <v>0</v>
      </c>
      <c r="M53" s="379">
        <f>IF($B53=" ",0,IF(Données!$K93="NON COUVERT",0,IF(AND(Données!$L93="oui",Données!$K93=0.5),MIN(VLOOKUP($F53,taux,5)/2,ROUNDUP(VLOOKUP($F53,taux,3)*$E53,-3)/2),IF(Données!$K93=0.5,MIN(VLOOKUP($F53,taux,4)/2,ROUNDUP(VLOOKUP($F53,taux,3)*$E53,-3)/2),ROUNDUP(IF(Données!$L93="OUI",MIN(VLOOKUP($F53,taux,3)*$E53,VLOOKUP($F53,taux,5)),MIN(VLOOKUP($F53,taux,3)*$E53,VLOOKUP($F53,taux,4))),-3)))))</f>
        <v>0</v>
      </c>
      <c r="N53" s="379">
        <f>IF($B53=" ",0,IF(Données!$N93="NON COUVERT",0,IF(AND(Données!$O93="oui",Données!$N93=0.5),MIN(VLOOKUP($F53,taux,9)/2,ROUNDUP(VLOOKUP($F53,taux,7)*$E53,-3)/2),IF(Données!$N93=0.5,MIN(VLOOKUP($F53,taux,8)/2,ROUNDUP(VLOOKUP($F53,taux,7)*$E53,-3)/2),ROUNDUP(IF(Données!$O93="OUI",MIN(VLOOKUP($F53,taux,7)*$E53,VLOOKUP($F53,taux,9)),MIN(VLOOKUP($F53,taux,7)*$E53,VLOOKUP($F53,taux,8))),-3)))))</f>
        <v>0</v>
      </c>
      <c r="O53" s="105">
        <f ca="1">IF(C53&gt;=70,0,IF($B53=" ",0,IF(Données!P93="non couvert"," ",Données!Q93)))</f>
        <v>0</v>
      </c>
      <c r="P53" s="106">
        <f>IF($B53=" ",0,IF(Données!$P93="exo",0,IF($O53="FAM",VLOOKUP($F53,taux,10),IF($O53="MONO",VLOOKUP($F53,taux,11),IF($O53="COUPLE",VLOOKUP($F53,taux,12),0)))))</f>
        <v>0</v>
      </c>
      <c r="Q53" s="107">
        <f ca="1">IF(C53&gt;=70,0,IF($B53=" ",0,IF(Données!$R93="NON COUVERT",0,ROUNDUP(IF(Données!$S93="OUI",MIN($E53*VLOOKUP($F53,taux,15)/52,VLOOKUP($F53,taux,17)),MIN($E53*VLOOKUP($F53,taux,15)/52,VLOOKUP($F53,taux,16))),0))))</f>
        <v>0</v>
      </c>
      <c r="R53" s="108">
        <f>IF($B53=" ",0,IF(Données!$R93="EXO",0,$Q53*VLOOKUP($F53,taux,13)/10))</f>
        <v>0</v>
      </c>
      <c r="S53" s="109">
        <f t="shared" ca="1" si="3"/>
        <v>0</v>
      </c>
      <c r="T53" s="110">
        <f>IF(B53=" ",0,IF(Données!$T93="exo",0,$S53*VLOOKUP($F53,taux,18)/100))</f>
        <v>0</v>
      </c>
      <c r="U53" s="109">
        <f>IF($B53=" ",0,IF(Données!$V93="non couvert",0,IF(VLOOKUP($F53,taux,29)="fixe","s/o",IF(Données!$W93="oui",MIN(ROUNDUP(VLOOKUP($F53,taux,31)*$E53,-3),VLOOKUP($F53,taux,33)),MIN(ROUNDUP(VLOOKUP($F53,taux,31)*$E53,-3),VLOOKUP($F53,taux,32))))))</f>
        <v>0</v>
      </c>
      <c r="V53" s="110">
        <f>IF(B53=" ",0,IF(Données!$V93="exo",0,IF(VLOOKUP($F53,taux,29)="fixe",VLOOKUP($F53,taux,30),$U53/1000*VLOOKUP($F53,taux,30))))</f>
        <v>0</v>
      </c>
      <c r="W53" s="110">
        <f t="shared" si="0"/>
        <v>0</v>
      </c>
      <c r="X53" s="383">
        <f>IF(B53=" ",0,EDATE((Données!E93),780))</f>
        <v>0</v>
      </c>
      <c r="Y53" s="383">
        <f t="shared" si="6"/>
        <v>0</v>
      </c>
      <c r="Z53" s="384">
        <f>IF($B53=" ",0,IF(Données!$T93="non couvert",0,IF(Données!$U93="oui",MIN(VLOOKUP($F53,taux,26),ROUNDUP(IF($E53/12&gt;VLOOKUP($F53,taux,21)+VLOOKUP($F53,taux,23),(VLOOKUP($F53,taux,20)*VLOOKUP($F53,taux,21))+(VLOOKUP($F53,taux,22)*VLOOKUP($F53,taux,23))+($E53/12-VLOOKUP($F53,taux,21)-VLOOKUP($F53,taux,23))*VLOOKUP($F53,taux,24),IF($E53/12&gt;VLOOKUP($F53,taux,21),(VLOOKUP($F53,taux,20)*VLOOKUP($F53,taux,21))+($E53/12-VLOOKUP($F53,taux,21))*VLOOKUP($F53,taux,22),$E53/12*VLOOKUP($F53,taux,20))),0)),MIN(VLOOKUP($F53,taux,25),ROUNDUP(IF($E53/12&gt;VLOOKUP($F53,taux,21)+VLOOKUP($F53,taux,23),(VLOOKUP($F53,taux,20)*VLOOKUP($F53,taux,21))+(VLOOKUP($F53,taux,22)*VLOOKUP($F53,taux,23))+($E53/12-VLOOKUP($F53,taux,21)-VLOOKUP($F53,taux,23))*VLOOKUP($F53,taux,24),IF($E53/12&gt;VLOOKUP($F53,taux,21),(VLOOKUP($F53,taux,20)*VLOOKUP($F53,taux,21))+($E53/12-VLOOKUP($F53,taux,21))*VLOOKUP($F53,taux,22),$E53/12*VLOOKUP($F53,taux,20))),0)))))</f>
        <v>0</v>
      </c>
      <c r="AA53" s="111">
        <f ca="1">IF(C53&gt;=70,0,IF($B53=" ",0,IF(Données!$X93="non couvert"," ",Données!Y93)))</f>
        <v>0</v>
      </c>
      <c r="AB53" s="110">
        <f>IF($B53=" ",0,IF(Données!$X93="exo",0,IF($AA53="ind",VLOOKUP($F53,taux,34),IF($AA53="fam",VLOOKUP($F53,taux,35),IF($AA53="mono",VLOOKUP($F53,taux,36),IF($AA53="couple",VLOOKUP($F53,taux,37),0))))))</f>
        <v>0</v>
      </c>
      <c r="AC53" s="111">
        <f ca="1">IF(C53&gt;=70,0,IF($B53=" ",0,IF(Données!$Z93="non couvert"," ",Données!AA93)))</f>
        <v>0</v>
      </c>
      <c r="AD53" s="110">
        <f>IF($B53=" ",0,IF(Données!$Z93="exo",0,IF($AC53="ind",VLOOKUP($F53,taux,38),IF($AC53="fam",VLOOKUP($F53,taux,39),IF($AC53="mono",VLOOKUP($F53,taux,40),IF($AC53="couple",VLOOKUP($F53,taux,41),0))))))</f>
        <v>0</v>
      </c>
      <c r="AE53" s="112">
        <f>IF($B53=" ",0,IF(Données!$AB93="non couvert"," ",Données!AC93))</f>
        <v>0</v>
      </c>
      <c r="AF53" s="113">
        <f>IF($B53=" ",0,IF(Données!$AB93="exo",0,IF($AE53="ind",VLOOKUP($F53,taux,42),IF($AE53="fam",VLOOKUP($F53,taux,43),IF($AE53="mono",VLOOKUP($F53,taux,44),IF($AE53="couple",VLOOKUP($F53,taux,45),0))))))</f>
        <v>0</v>
      </c>
      <c r="AG53" s="114">
        <f t="shared" ca="1" si="7"/>
        <v>0</v>
      </c>
      <c r="AH53" s="114">
        <f>IF($B53=" ",0,IF(Données!J93="Manitoba",(Facture!H53+Facture!J53+Facture!L53+Facture!P53+Facture!R53+Facture!T53)*0.08,(AG53-W53)*IF(Données!$J93="qc",0.09,IF(Données!$J93="on",0.08,0))+W53*VLOOKUP($F53,taux,28)))</f>
        <v>0</v>
      </c>
      <c r="AI53" s="106">
        <f t="shared" ca="1" si="4"/>
        <v>0</v>
      </c>
    </row>
    <row r="54" spans="1:35" s="64" customFormat="1">
      <c r="A54" s="89">
        <f t="shared" si="5"/>
        <v>40</v>
      </c>
      <c r="B54" s="99" t="str">
        <f>CONCATENATE(Données!B94," ",Données!C94)</f>
        <v xml:space="preserve"> </v>
      </c>
      <c r="C54" s="410">
        <f ca="1">IF(B54="",0,INT((TODAY()-Données!E94)/365.25))</f>
        <v>119</v>
      </c>
      <c r="D54" s="100">
        <f>Données!D94</f>
        <v>0</v>
      </c>
      <c r="E54" s="101">
        <f>Données!I94</f>
        <v>0</v>
      </c>
      <c r="F54" s="102" t="str">
        <f>Données!AD94</f>
        <v/>
      </c>
      <c r="G54" s="103">
        <f ca="1">INDEX({1;0.5;0},MATCH(C54,{1;65;70}))*M54</f>
        <v>0</v>
      </c>
      <c r="H54" s="104">
        <f>IF($B54=" ",0,IF(Données!$K94="exo",0,$G54/1000*VLOOKUP($F54,taux,2)))</f>
        <v>0</v>
      </c>
      <c r="I54" s="398">
        <f ca="1">IF(C54&gt;=65,0,Données!M94*5000)</f>
        <v>0</v>
      </c>
      <c r="J54" s="104">
        <f ca="1">I54/1000*(IF(I54=0,0,1)*VLOOKUP((1+(C54&gt;=20)+(C54&gt;=25)+(C54&gt;=30)+(C54&gt;=35)+(C54&gt;=40)+(C54&gt;=45)+(C54&gt;=50)+(C54&gt;=55)+(C54&gt;=60)+(C54&gt;=65)),Test,2+(IF(Données!F94="H",1,3))+(IF(Données!G94="F",1,0))))</f>
        <v>0</v>
      </c>
      <c r="K54" s="103">
        <f ca="1">INDEX({1;0.5;0},MATCH(C54,{1;65;70}))*M54</f>
        <v>0</v>
      </c>
      <c r="L54" s="104">
        <f>IF($B54=" ",0,IF(Données!$N94="exo",0,$K54/1000*VLOOKUP($F54,taux,6)))</f>
        <v>0</v>
      </c>
      <c r="M54" s="379">
        <f>IF($B54=" ",0,IF(Données!$K94="NON COUVERT",0,IF(AND(Données!$L94="oui",Données!$K94=0.5),MIN(VLOOKUP($F54,taux,5)/2,ROUNDUP(VLOOKUP($F54,taux,3)*$E54,-3)/2),IF(Données!$K94=0.5,MIN(VLOOKUP($F54,taux,4)/2,ROUNDUP(VLOOKUP($F54,taux,3)*$E54,-3)/2),ROUNDUP(IF(Données!$L94="OUI",MIN(VLOOKUP($F54,taux,3)*$E54,VLOOKUP($F54,taux,5)),MIN(VLOOKUP($F54,taux,3)*$E54,VLOOKUP($F54,taux,4))),-3)))))</f>
        <v>0</v>
      </c>
      <c r="N54" s="379">
        <f>IF($B54=" ",0,IF(Données!$N94="NON COUVERT",0,IF(AND(Données!$O94="oui",Données!$N94=0.5),MIN(VLOOKUP($F54,taux,9)/2,ROUNDUP(VLOOKUP($F54,taux,7)*$E54,-3)/2),IF(Données!$N94=0.5,MIN(VLOOKUP($F54,taux,8)/2,ROUNDUP(VLOOKUP($F54,taux,7)*$E54,-3)/2),ROUNDUP(IF(Données!$O94="OUI",MIN(VLOOKUP($F54,taux,7)*$E54,VLOOKUP($F54,taux,9)),MIN(VLOOKUP($F54,taux,7)*$E54,VLOOKUP($F54,taux,8))),-3)))))</f>
        <v>0</v>
      </c>
      <c r="O54" s="105">
        <f ca="1">IF(C54&gt;=70,0,IF($B54=" ",0,IF(Données!P94="non couvert"," ",Données!Q94)))</f>
        <v>0</v>
      </c>
      <c r="P54" s="106">
        <f>IF($B54=" ",0,IF(Données!$P94="exo",0,IF($O54="FAM",VLOOKUP($F54,taux,10),IF($O54="MONO",VLOOKUP($F54,taux,11),IF($O54="COUPLE",VLOOKUP($F54,taux,12),0)))))</f>
        <v>0</v>
      </c>
      <c r="Q54" s="107">
        <f ca="1">IF(C54&gt;=70,0,IF($B54=" ",0,IF(Données!$R94="NON COUVERT",0,ROUNDUP(IF(Données!$S94="OUI",MIN($E54*VLOOKUP($F54,taux,15)/52,VLOOKUP($F54,taux,17)),MIN($E54*VLOOKUP($F54,taux,15)/52,VLOOKUP($F54,taux,16))),0))))</f>
        <v>0</v>
      </c>
      <c r="R54" s="108">
        <f>IF($B54=" ",0,IF(Données!$R94="EXO",0,$Q54*VLOOKUP($F54,taux,13)/10))</f>
        <v>0</v>
      </c>
      <c r="S54" s="109">
        <f t="shared" ca="1" si="3"/>
        <v>0</v>
      </c>
      <c r="T54" s="110">
        <f>IF(B54=" ",0,IF(Données!$T94="exo",0,$S54*VLOOKUP($F54,taux,18)/100))</f>
        <v>0</v>
      </c>
      <c r="U54" s="109">
        <f>IF($B54=" ",0,IF(Données!$V94="non couvert",0,IF(VLOOKUP($F54,taux,29)="fixe","s/o",IF(Données!$W94="oui",MIN(ROUNDUP(VLOOKUP($F54,taux,31)*$E54,-3),VLOOKUP($F54,taux,33)),MIN(ROUNDUP(VLOOKUP($F54,taux,31)*$E54,-3),VLOOKUP($F54,taux,32))))))</f>
        <v>0</v>
      </c>
      <c r="V54" s="110">
        <f>IF(B54=" ",0,IF(Données!$V94="exo",0,IF(VLOOKUP($F54,taux,29)="fixe",VLOOKUP($F54,taux,30),$U54/1000*VLOOKUP($F54,taux,30))))</f>
        <v>0</v>
      </c>
      <c r="W54" s="110">
        <f t="shared" si="0"/>
        <v>0</v>
      </c>
      <c r="X54" s="383">
        <f>IF(B54=" ",0,EDATE((Données!E94),780))</f>
        <v>0</v>
      </c>
      <c r="Y54" s="383">
        <f t="shared" si="6"/>
        <v>0</v>
      </c>
      <c r="Z54" s="384">
        <f>IF($B54=" ",0,IF(Données!$T94="non couvert",0,IF(Données!$U94="oui",MIN(VLOOKUP($F54,taux,26),ROUNDUP(IF($E54/12&gt;VLOOKUP($F54,taux,21)+VLOOKUP($F54,taux,23),(VLOOKUP($F54,taux,20)*VLOOKUP($F54,taux,21))+(VLOOKUP($F54,taux,22)*VLOOKUP($F54,taux,23))+($E54/12-VLOOKUP($F54,taux,21)-VLOOKUP($F54,taux,23))*VLOOKUP($F54,taux,24),IF($E54/12&gt;VLOOKUP($F54,taux,21),(VLOOKUP($F54,taux,20)*VLOOKUP($F54,taux,21))+($E54/12-VLOOKUP($F54,taux,21))*VLOOKUP($F54,taux,22),$E54/12*VLOOKUP($F54,taux,20))),0)),MIN(VLOOKUP($F54,taux,25),ROUNDUP(IF($E54/12&gt;VLOOKUP($F54,taux,21)+VLOOKUP($F54,taux,23),(VLOOKUP($F54,taux,20)*VLOOKUP($F54,taux,21))+(VLOOKUP($F54,taux,22)*VLOOKUP($F54,taux,23))+($E54/12-VLOOKUP($F54,taux,21)-VLOOKUP($F54,taux,23))*VLOOKUP($F54,taux,24),IF($E54/12&gt;VLOOKUP($F54,taux,21),(VLOOKUP($F54,taux,20)*VLOOKUP($F54,taux,21))+($E54/12-VLOOKUP($F54,taux,21))*VLOOKUP($F54,taux,22),$E54/12*VLOOKUP($F54,taux,20))),0)))))</f>
        <v>0</v>
      </c>
      <c r="AA54" s="111">
        <f ca="1">IF(C54&gt;=70,0,IF($B54=" ",0,IF(Données!$X94="non couvert"," ",Données!Y94)))</f>
        <v>0</v>
      </c>
      <c r="AB54" s="110">
        <f>IF($B54=" ",0,IF(Données!$X94="exo",0,IF($AA54="ind",VLOOKUP($F54,taux,34),IF($AA54="fam",VLOOKUP($F54,taux,35),IF($AA54="mono",VLOOKUP($F54,taux,36),IF($AA54="couple",VLOOKUP($F54,taux,37),0))))))</f>
        <v>0</v>
      </c>
      <c r="AC54" s="111">
        <f ca="1">IF(C54&gt;=70,0,IF($B54=" ",0,IF(Données!$Z94="non couvert"," ",Données!AA94)))</f>
        <v>0</v>
      </c>
      <c r="AD54" s="110">
        <f>IF($B54=" ",0,IF(Données!$Z94="exo",0,IF($AC54="ind",VLOOKUP($F54,taux,38),IF($AC54="fam",VLOOKUP($F54,taux,39),IF($AC54="mono",VLOOKUP($F54,taux,40),IF($AC54="couple",VLOOKUP($F54,taux,41),0))))))</f>
        <v>0</v>
      </c>
      <c r="AE54" s="112">
        <f>IF($B54=" ",0,IF(Données!$AB94="non couvert"," ",Données!AC94))</f>
        <v>0</v>
      </c>
      <c r="AF54" s="113">
        <f>IF($B54=" ",0,IF(Données!$AB94="exo",0,IF($AE54="ind",VLOOKUP($F54,taux,42),IF($AE54="fam",VLOOKUP($F54,taux,43),IF($AE54="mono",VLOOKUP($F54,taux,44),IF($AE54="couple",VLOOKUP($F54,taux,45),0))))))</f>
        <v>0</v>
      </c>
      <c r="AG54" s="114">
        <f t="shared" ca="1" si="7"/>
        <v>0</v>
      </c>
      <c r="AH54" s="114">
        <f>IF($B54=" ",0,IF(Données!J94="Manitoba",(Facture!H54+Facture!J54+Facture!L54+Facture!P54+Facture!R54+Facture!T54)*0.08,(AG54-W54)*IF(Données!$J94="qc",0.09,IF(Données!$J94="on",0.08,0))+W54*VLOOKUP($F54,taux,28)))</f>
        <v>0</v>
      </c>
      <c r="AI54" s="106">
        <f t="shared" ca="1" si="4"/>
        <v>0</v>
      </c>
    </row>
    <row r="55" spans="1:35" s="64" customFormat="1">
      <c r="A55" s="89">
        <f t="shared" si="5"/>
        <v>41</v>
      </c>
      <c r="B55" s="99" t="str">
        <f>CONCATENATE(Données!B95," ",Données!C95)</f>
        <v xml:space="preserve"> </v>
      </c>
      <c r="C55" s="410">
        <f ca="1">IF(B55="",0,INT((TODAY()-Données!E95)/365.25))</f>
        <v>119</v>
      </c>
      <c r="D55" s="100">
        <f>Données!D95</f>
        <v>0</v>
      </c>
      <c r="E55" s="101">
        <f>Données!I95</f>
        <v>0</v>
      </c>
      <c r="F55" s="102" t="str">
        <f>Données!AD95</f>
        <v/>
      </c>
      <c r="G55" s="103">
        <f ca="1">INDEX({1;0.5;0},MATCH(C55,{1;65;70}))*M55</f>
        <v>0</v>
      </c>
      <c r="H55" s="104">
        <f>IF($B55=" ",0,IF(Données!$K95="exo",0,$G55/1000*VLOOKUP($F55,taux,2)))</f>
        <v>0</v>
      </c>
      <c r="I55" s="398">
        <f ca="1">IF(C55&gt;=65,0,Données!M95*5000)</f>
        <v>0</v>
      </c>
      <c r="J55" s="104">
        <f ca="1">I55/1000*(IF(I55=0,0,1)*VLOOKUP((1+(C55&gt;=20)+(C55&gt;=25)+(C55&gt;=30)+(C55&gt;=35)+(C55&gt;=40)+(C55&gt;=45)+(C55&gt;=50)+(C55&gt;=55)+(C55&gt;=60)+(C55&gt;=65)),Test,2+(IF(Données!F95="H",1,3))+(IF(Données!G95="F",1,0))))</f>
        <v>0</v>
      </c>
      <c r="K55" s="103">
        <f ca="1">INDEX({1;0.5;0},MATCH(C55,{1;65;70}))*M55</f>
        <v>0</v>
      </c>
      <c r="L55" s="104">
        <f>IF($B55=" ",0,IF(Données!$N95="exo",0,$K55/1000*VLOOKUP($F55,taux,6)))</f>
        <v>0</v>
      </c>
      <c r="M55" s="379">
        <f>IF($B55=" ",0,IF(Données!$K95="NON COUVERT",0,IF(AND(Données!$L95="oui",Données!$K95=0.5),MIN(VLOOKUP($F55,taux,5)/2,ROUNDUP(VLOOKUP($F55,taux,3)*$E55,-3)/2),IF(Données!$K95=0.5,MIN(VLOOKUP($F55,taux,4)/2,ROUNDUP(VLOOKUP($F55,taux,3)*$E55,-3)/2),ROUNDUP(IF(Données!$L95="OUI",MIN(VLOOKUP($F55,taux,3)*$E55,VLOOKUP($F55,taux,5)),MIN(VLOOKUP($F55,taux,3)*$E55,VLOOKUP($F55,taux,4))),-3)))))</f>
        <v>0</v>
      </c>
      <c r="N55" s="379">
        <f>IF($B55=" ",0,IF(Données!$N95="NON COUVERT",0,IF(AND(Données!$O95="oui",Données!$N95=0.5),MIN(VLOOKUP($F55,taux,9)/2,ROUNDUP(VLOOKUP($F55,taux,7)*$E55,-3)/2),IF(Données!$N95=0.5,MIN(VLOOKUP($F55,taux,8)/2,ROUNDUP(VLOOKUP($F55,taux,7)*$E55,-3)/2),ROUNDUP(IF(Données!$O95="OUI",MIN(VLOOKUP($F55,taux,7)*$E55,VLOOKUP($F55,taux,9)),MIN(VLOOKUP($F55,taux,7)*$E55,VLOOKUP($F55,taux,8))),-3)))))</f>
        <v>0</v>
      </c>
      <c r="O55" s="105">
        <f ca="1">IF(C55&gt;=70,0,IF($B55=" ",0,IF(Données!P95="non couvert"," ",Données!Q95)))</f>
        <v>0</v>
      </c>
      <c r="P55" s="106">
        <f>IF($B55=" ",0,IF(Données!$P95="exo",0,IF($O55="FAM",VLOOKUP($F55,taux,10),IF($O55="MONO",VLOOKUP($F55,taux,11),IF($O55="COUPLE",VLOOKUP($F55,taux,12),0)))))</f>
        <v>0</v>
      </c>
      <c r="Q55" s="107">
        <f ca="1">IF(C55&gt;=70,0,IF($B55=" ",0,IF(Données!$R95="NON COUVERT",0,ROUNDUP(IF(Données!$S95="OUI",MIN($E55*VLOOKUP($F55,taux,15)/52,VLOOKUP($F55,taux,17)),MIN($E55*VLOOKUP($F55,taux,15)/52,VLOOKUP($F55,taux,16))),0))))</f>
        <v>0</v>
      </c>
      <c r="R55" s="108">
        <f>IF($B55=" ",0,IF(Données!$R95="EXO",0,$Q55*VLOOKUP($F55,taux,13)/10))</f>
        <v>0</v>
      </c>
      <c r="S55" s="109">
        <f t="shared" ca="1" si="3"/>
        <v>0</v>
      </c>
      <c r="T55" s="110">
        <f>IF(B55=" ",0,IF(Données!$T95="exo",0,$S55*VLOOKUP($F55,taux,18)/100))</f>
        <v>0</v>
      </c>
      <c r="U55" s="109">
        <f>IF($B55=" ",0,IF(Données!$V95="non couvert",0,IF(VLOOKUP($F55,taux,29)="fixe","s/o",IF(Données!$W95="oui",MIN(ROUNDUP(VLOOKUP($F55,taux,31)*$E55,-3),VLOOKUP($F55,taux,33)),MIN(ROUNDUP(VLOOKUP($F55,taux,31)*$E55,-3),VLOOKUP($F55,taux,32))))))</f>
        <v>0</v>
      </c>
      <c r="V55" s="110">
        <f>IF(B55=" ",0,IF(Données!$V95="exo",0,IF(VLOOKUP($F55,taux,29)="fixe",VLOOKUP($F55,taux,30),$U55/1000*VLOOKUP($F55,taux,30))))</f>
        <v>0</v>
      </c>
      <c r="W55" s="110">
        <f t="shared" si="0"/>
        <v>0</v>
      </c>
      <c r="X55" s="383">
        <f>IF(B55=" ",0,EDATE((Données!E95),780))</f>
        <v>0</v>
      </c>
      <c r="Y55" s="383">
        <f t="shared" si="6"/>
        <v>0</v>
      </c>
      <c r="Z55" s="384">
        <f>IF($B55=" ",0,IF(Données!$T95="non couvert",0,IF(Données!$U95="oui",MIN(VLOOKUP($F55,taux,26),ROUNDUP(IF($E55/12&gt;VLOOKUP($F55,taux,21)+VLOOKUP($F55,taux,23),(VLOOKUP($F55,taux,20)*VLOOKUP($F55,taux,21))+(VLOOKUP($F55,taux,22)*VLOOKUP($F55,taux,23))+($E55/12-VLOOKUP($F55,taux,21)-VLOOKUP($F55,taux,23))*VLOOKUP($F55,taux,24),IF($E55/12&gt;VLOOKUP($F55,taux,21),(VLOOKUP($F55,taux,20)*VLOOKUP($F55,taux,21))+($E55/12-VLOOKUP($F55,taux,21))*VLOOKUP($F55,taux,22),$E55/12*VLOOKUP($F55,taux,20))),0)),MIN(VLOOKUP($F55,taux,25),ROUNDUP(IF($E55/12&gt;VLOOKUP($F55,taux,21)+VLOOKUP($F55,taux,23),(VLOOKUP($F55,taux,20)*VLOOKUP($F55,taux,21))+(VLOOKUP($F55,taux,22)*VLOOKUP($F55,taux,23))+($E55/12-VLOOKUP($F55,taux,21)-VLOOKUP($F55,taux,23))*VLOOKUP($F55,taux,24),IF($E55/12&gt;VLOOKUP($F55,taux,21),(VLOOKUP($F55,taux,20)*VLOOKUP($F55,taux,21))+($E55/12-VLOOKUP($F55,taux,21))*VLOOKUP($F55,taux,22),$E55/12*VLOOKUP($F55,taux,20))),0)))))</f>
        <v>0</v>
      </c>
      <c r="AA55" s="111">
        <f ca="1">IF(C55&gt;=70,0,IF($B55=" ",0,IF(Données!$X95="non couvert"," ",Données!Y95)))</f>
        <v>0</v>
      </c>
      <c r="AB55" s="110">
        <f>IF($B55=" ",0,IF(Données!$X95="exo",0,IF($AA55="ind",VLOOKUP($F55,taux,34),IF($AA55="fam",VLOOKUP($F55,taux,35),IF($AA55="mono",VLOOKUP($F55,taux,36),IF($AA55="couple",VLOOKUP($F55,taux,37),0))))))</f>
        <v>0</v>
      </c>
      <c r="AC55" s="111">
        <f ca="1">IF(C55&gt;=70,0,IF($B55=" ",0,IF(Données!$Z95="non couvert"," ",Données!AA95)))</f>
        <v>0</v>
      </c>
      <c r="AD55" s="110">
        <f>IF($B55=" ",0,IF(Données!$Z95="exo",0,IF($AC55="ind",VLOOKUP($F55,taux,38),IF($AC55="fam",VLOOKUP($F55,taux,39),IF($AC55="mono",VLOOKUP($F55,taux,40),IF($AC55="couple",VLOOKUP($F55,taux,41),0))))))</f>
        <v>0</v>
      </c>
      <c r="AE55" s="112">
        <f>IF($B55=" ",0,IF(Données!$AB95="non couvert"," ",Données!AC95))</f>
        <v>0</v>
      </c>
      <c r="AF55" s="113">
        <f>IF($B55=" ",0,IF(Données!$AB95="exo",0,IF($AE55="ind",VLOOKUP($F55,taux,42),IF($AE55="fam",VLOOKUP($F55,taux,43),IF($AE55="mono",VLOOKUP($F55,taux,44),IF($AE55="couple",VLOOKUP($F55,taux,45),0))))))</f>
        <v>0</v>
      </c>
      <c r="AG55" s="114">
        <f t="shared" ca="1" si="7"/>
        <v>0</v>
      </c>
      <c r="AH55" s="114">
        <f>IF($B55=" ",0,IF(Données!J95="Manitoba",(Facture!H55+Facture!J55+Facture!L55+Facture!P55+Facture!R55+Facture!T55)*0.08,(AG55-W55)*IF(Données!$J95="qc",0.09,IF(Données!$J95="on",0.08,0))+W55*VLOOKUP($F55,taux,28)))</f>
        <v>0</v>
      </c>
      <c r="AI55" s="106">
        <f t="shared" ca="1" si="4"/>
        <v>0</v>
      </c>
    </row>
    <row r="56" spans="1:35" s="64" customFormat="1">
      <c r="A56" s="89">
        <f t="shared" si="5"/>
        <v>42</v>
      </c>
      <c r="B56" s="99" t="str">
        <f>CONCATENATE(Données!B96," ",Données!C96)</f>
        <v xml:space="preserve"> </v>
      </c>
      <c r="C56" s="410">
        <f ca="1">IF(B56="",0,INT((TODAY()-Données!E96)/365.25))</f>
        <v>119</v>
      </c>
      <c r="D56" s="100">
        <f>Données!D96</f>
        <v>0</v>
      </c>
      <c r="E56" s="101">
        <f>Données!I96</f>
        <v>0</v>
      </c>
      <c r="F56" s="102" t="str">
        <f>Données!AD96</f>
        <v/>
      </c>
      <c r="G56" s="103">
        <f ca="1">INDEX({1;0.5;0},MATCH(C56,{1;65;70}))*M56</f>
        <v>0</v>
      </c>
      <c r="H56" s="104">
        <f>IF($B56=" ",0,IF(Données!$K96="exo",0,$G56/1000*VLOOKUP($F56,taux,2)))</f>
        <v>0</v>
      </c>
      <c r="I56" s="398">
        <f ca="1">IF(C56&gt;=65,0,Données!M96*5000)</f>
        <v>0</v>
      </c>
      <c r="J56" s="104">
        <f ca="1">I56/1000*(IF(I56=0,0,1)*VLOOKUP((1+(C56&gt;=20)+(C56&gt;=25)+(C56&gt;=30)+(C56&gt;=35)+(C56&gt;=40)+(C56&gt;=45)+(C56&gt;=50)+(C56&gt;=55)+(C56&gt;=60)+(C56&gt;=65)),Test,2+(IF(Données!F96="H",1,3))+(IF(Données!G96="F",1,0))))</f>
        <v>0</v>
      </c>
      <c r="K56" s="103">
        <f ca="1">INDEX({1;0.5;0},MATCH(C56,{1;65;70}))*M56</f>
        <v>0</v>
      </c>
      <c r="L56" s="104">
        <f>IF($B56=" ",0,IF(Données!$N96="exo",0,$K56/1000*VLOOKUP($F56,taux,6)))</f>
        <v>0</v>
      </c>
      <c r="M56" s="379">
        <f>IF($B56=" ",0,IF(Données!$K96="NON COUVERT",0,IF(AND(Données!$L96="oui",Données!$K96=0.5),MIN(VLOOKUP($F56,taux,5)/2,ROUNDUP(VLOOKUP($F56,taux,3)*$E56,-3)/2),IF(Données!$K96=0.5,MIN(VLOOKUP($F56,taux,4)/2,ROUNDUP(VLOOKUP($F56,taux,3)*$E56,-3)/2),ROUNDUP(IF(Données!$L96="OUI",MIN(VLOOKUP($F56,taux,3)*$E56,VLOOKUP($F56,taux,5)),MIN(VLOOKUP($F56,taux,3)*$E56,VLOOKUP($F56,taux,4))),-3)))))</f>
        <v>0</v>
      </c>
      <c r="N56" s="379">
        <f>IF($B56=" ",0,IF(Données!$N96="NON COUVERT",0,IF(AND(Données!$O96="oui",Données!$N96=0.5),MIN(VLOOKUP($F56,taux,9)/2,ROUNDUP(VLOOKUP($F56,taux,7)*$E56,-3)/2),IF(Données!$N96=0.5,MIN(VLOOKUP($F56,taux,8)/2,ROUNDUP(VLOOKUP($F56,taux,7)*$E56,-3)/2),ROUNDUP(IF(Données!$O96="OUI",MIN(VLOOKUP($F56,taux,7)*$E56,VLOOKUP($F56,taux,9)),MIN(VLOOKUP($F56,taux,7)*$E56,VLOOKUP($F56,taux,8))),-3)))))</f>
        <v>0</v>
      </c>
      <c r="O56" s="105">
        <f ca="1">IF(C56&gt;=70,0,IF($B56=" ",0,IF(Données!P96="non couvert"," ",Données!Q96)))</f>
        <v>0</v>
      </c>
      <c r="P56" s="106">
        <f>IF($B56=" ",0,IF(Données!$P96="exo",0,IF($O56="FAM",VLOOKUP($F56,taux,10),IF($O56="MONO",VLOOKUP($F56,taux,11),IF($O56="COUPLE",VLOOKUP($F56,taux,12),0)))))</f>
        <v>0</v>
      </c>
      <c r="Q56" s="107">
        <f ca="1">IF(C56&gt;=70,0,IF($B56=" ",0,IF(Données!$R96="NON COUVERT",0,ROUNDUP(IF(Données!$S96="OUI",MIN($E56*VLOOKUP($F56,taux,15)/52,VLOOKUP($F56,taux,17)),MIN($E56*VLOOKUP($F56,taux,15)/52,VLOOKUP($F56,taux,16))),0))))</f>
        <v>0</v>
      </c>
      <c r="R56" s="108">
        <f>IF($B56=" ",0,IF(Données!$R96="EXO",0,$Q56*VLOOKUP($F56,taux,13)/10))</f>
        <v>0</v>
      </c>
      <c r="S56" s="109">
        <f t="shared" ca="1" si="3"/>
        <v>0</v>
      </c>
      <c r="T56" s="110">
        <f>IF(B56=" ",0,IF(Données!$T96="exo",0,$S56*VLOOKUP($F56,taux,18)/100))</f>
        <v>0</v>
      </c>
      <c r="U56" s="109">
        <f>IF($B56=" ",0,IF(Données!$V96="non couvert",0,IF(VLOOKUP($F56,taux,29)="fixe","s/o",IF(Données!$W96="oui",MIN(ROUNDUP(VLOOKUP($F56,taux,31)*$E56,-3),VLOOKUP($F56,taux,33)),MIN(ROUNDUP(VLOOKUP($F56,taux,31)*$E56,-3),VLOOKUP($F56,taux,32))))))</f>
        <v>0</v>
      </c>
      <c r="V56" s="110">
        <f>IF(B56=" ",0,IF(Données!$V96="exo",0,IF(VLOOKUP($F56,taux,29)="fixe",VLOOKUP($F56,taux,30),$U56/1000*VLOOKUP($F56,taux,30))))</f>
        <v>0</v>
      </c>
      <c r="W56" s="110">
        <f t="shared" si="0"/>
        <v>0</v>
      </c>
      <c r="X56" s="383">
        <f>IF(B56=" ",0,EDATE((Données!E96),780))</f>
        <v>0</v>
      </c>
      <c r="Y56" s="383">
        <f t="shared" si="6"/>
        <v>0</v>
      </c>
      <c r="Z56" s="384">
        <f>IF($B56=" ",0,IF(Données!$T96="non couvert",0,IF(Données!$U96="oui",MIN(VLOOKUP($F56,taux,26),ROUNDUP(IF($E56/12&gt;VLOOKUP($F56,taux,21)+VLOOKUP($F56,taux,23),(VLOOKUP($F56,taux,20)*VLOOKUP($F56,taux,21))+(VLOOKUP($F56,taux,22)*VLOOKUP($F56,taux,23))+($E56/12-VLOOKUP($F56,taux,21)-VLOOKUP($F56,taux,23))*VLOOKUP($F56,taux,24),IF($E56/12&gt;VLOOKUP($F56,taux,21),(VLOOKUP($F56,taux,20)*VLOOKUP($F56,taux,21))+($E56/12-VLOOKUP($F56,taux,21))*VLOOKUP($F56,taux,22),$E56/12*VLOOKUP($F56,taux,20))),0)),MIN(VLOOKUP($F56,taux,25),ROUNDUP(IF($E56/12&gt;VLOOKUP($F56,taux,21)+VLOOKUP($F56,taux,23),(VLOOKUP($F56,taux,20)*VLOOKUP($F56,taux,21))+(VLOOKUP($F56,taux,22)*VLOOKUP($F56,taux,23))+($E56/12-VLOOKUP($F56,taux,21)-VLOOKUP($F56,taux,23))*VLOOKUP($F56,taux,24),IF($E56/12&gt;VLOOKUP($F56,taux,21),(VLOOKUP($F56,taux,20)*VLOOKUP($F56,taux,21))+($E56/12-VLOOKUP($F56,taux,21))*VLOOKUP($F56,taux,22),$E56/12*VLOOKUP($F56,taux,20))),0)))))</f>
        <v>0</v>
      </c>
      <c r="AA56" s="111">
        <f ca="1">IF(C56&gt;=70,0,IF($B56=" ",0,IF(Données!$X96="non couvert"," ",Données!Y96)))</f>
        <v>0</v>
      </c>
      <c r="AB56" s="110">
        <f>IF($B56=" ",0,IF(Données!$X96="exo",0,IF($AA56="ind",VLOOKUP($F56,taux,34),IF($AA56="fam",VLOOKUP($F56,taux,35),IF($AA56="mono",VLOOKUP($F56,taux,36),IF($AA56="couple",VLOOKUP($F56,taux,37),0))))))</f>
        <v>0</v>
      </c>
      <c r="AC56" s="111">
        <f ca="1">IF(C56&gt;=70,0,IF($B56=" ",0,IF(Données!$Z96="non couvert"," ",Données!AA96)))</f>
        <v>0</v>
      </c>
      <c r="AD56" s="110">
        <f>IF($B56=" ",0,IF(Données!$Z96="exo",0,IF($AC56="ind",VLOOKUP($F56,taux,38),IF($AC56="fam",VLOOKUP($F56,taux,39),IF($AC56="mono",VLOOKUP($F56,taux,40),IF($AC56="couple",VLOOKUP($F56,taux,41),0))))))</f>
        <v>0</v>
      </c>
      <c r="AE56" s="112">
        <f>IF($B56=" ",0,IF(Données!$AB96="non couvert"," ",Données!AC96))</f>
        <v>0</v>
      </c>
      <c r="AF56" s="113">
        <f>IF($B56=" ",0,IF(Données!$AB96="exo",0,IF($AE56="ind",VLOOKUP($F56,taux,42),IF($AE56="fam",VLOOKUP($F56,taux,43),IF($AE56="mono",VLOOKUP($F56,taux,44),IF($AE56="couple",VLOOKUP($F56,taux,45),0))))))</f>
        <v>0</v>
      </c>
      <c r="AG56" s="114">
        <f t="shared" ca="1" si="7"/>
        <v>0</v>
      </c>
      <c r="AH56" s="114">
        <f>IF($B56=" ",0,IF(Données!J96="Manitoba",(Facture!H56+Facture!J56+Facture!L56+Facture!P56+Facture!R56+Facture!T56)*0.08,(AG56-W56)*IF(Données!$J96="qc",0.09,IF(Données!$J96="on",0.08,0))+W56*VLOOKUP($F56,taux,28)))</f>
        <v>0</v>
      </c>
      <c r="AI56" s="106">
        <f t="shared" ca="1" si="4"/>
        <v>0</v>
      </c>
    </row>
    <row r="57" spans="1:35" s="64" customFormat="1">
      <c r="A57" s="89">
        <f t="shared" si="5"/>
        <v>43</v>
      </c>
      <c r="B57" s="99" t="str">
        <f>CONCATENATE(Données!B97," ",Données!C97)</f>
        <v xml:space="preserve"> </v>
      </c>
      <c r="C57" s="410">
        <f ca="1">IF(B57="",0,INT((TODAY()-Données!E97)/365.25))</f>
        <v>119</v>
      </c>
      <c r="D57" s="100">
        <f>Données!D97</f>
        <v>0</v>
      </c>
      <c r="E57" s="101">
        <f>Données!I97</f>
        <v>0</v>
      </c>
      <c r="F57" s="102" t="str">
        <f>Données!AD97</f>
        <v/>
      </c>
      <c r="G57" s="103">
        <f ca="1">INDEX({1;0.5;0},MATCH(C57,{1;65;70}))*M57</f>
        <v>0</v>
      </c>
      <c r="H57" s="104">
        <f>IF($B57=" ",0,IF(Données!$K97="exo",0,$G57/1000*VLOOKUP($F57,taux,2)))</f>
        <v>0</v>
      </c>
      <c r="I57" s="398">
        <f ca="1">IF(C57&gt;=65,0,Données!M97*5000)</f>
        <v>0</v>
      </c>
      <c r="J57" s="104">
        <f ca="1">I57/1000*(IF(I57=0,0,1)*VLOOKUP((1+(C57&gt;=20)+(C57&gt;=25)+(C57&gt;=30)+(C57&gt;=35)+(C57&gt;=40)+(C57&gt;=45)+(C57&gt;=50)+(C57&gt;=55)+(C57&gt;=60)+(C57&gt;=65)),Test,2+(IF(Données!F97="H",1,3))+(IF(Données!G97="F",1,0))))</f>
        <v>0</v>
      </c>
      <c r="K57" s="103">
        <f ca="1">INDEX({1;0.5;0},MATCH(C57,{1;65;70}))*M57</f>
        <v>0</v>
      </c>
      <c r="L57" s="104">
        <f>IF($B57=" ",0,IF(Données!$N97="exo",0,$K57/1000*VLOOKUP($F57,taux,6)))</f>
        <v>0</v>
      </c>
      <c r="M57" s="379">
        <f>IF($B57=" ",0,IF(Données!$K97="NON COUVERT",0,IF(AND(Données!$L97="oui",Données!$K97=0.5),MIN(VLOOKUP($F57,taux,5)/2,ROUNDUP(VLOOKUP($F57,taux,3)*$E57,-3)/2),IF(Données!$K97=0.5,MIN(VLOOKUP($F57,taux,4)/2,ROUNDUP(VLOOKUP($F57,taux,3)*$E57,-3)/2),ROUNDUP(IF(Données!$L97="OUI",MIN(VLOOKUP($F57,taux,3)*$E57,VLOOKUP($F57,taux,5)),MIN(VLOOKUP($F57,taux,3)*$E57,VLOOKUP($F57,taux,4))),-3)))))</f>
        <v>0</v>
      </c>
      <c r="N57" s="379">
        <f>IF($B57=" ",0,IF(Données!$N97="NON COUVERT",0,IF(AND(Données!$O97="oui",Données!$N97=0.5),MIN(VLOOKUP($F57,taux,9)/2,ROUNDUP(VLOOKUP($F57,taux,7)*$E57,-3)/2),IF(Données!$N97=0.5,MIN(VLOOKUP($F57,taux,8)/2,ROUNDUP(VLOOKUP($F57,taux,7)*$E57,-3)/2),ROUNDUP(IF(Données!$O97="OUI",MIN(VLOOKUP($F57,taux,7)*$E57,VLOOKUP($F57,taux,9)),MIN(VLOOKUP($F57,taux,7)*$E57,VLOOKUP($F57,taux,8))),-3)))))</f>
        <v>0</v>
      </c>
      <c r="O57" s="105">
        <f ca="1">IF(C57&gt;=70,0,IF($B57=" ",0,IF(Données!P97="non couvert"," ",Données!Q97)))</f>
        <v>0</v>
      </c>
      <c r="P57" s="106">
        <f>IF($B57=" ",0,IF(Données!$P97="exo",0,IF($O57="FAM",VLOOKUP($F57,taux,10),IF($O57="MONO",VLOOKUP($F57,taux,11),IF($O57="COUPLE",VLOOKUP($F57,taux,12),0)))))</f>
        <v>0</v>
      </c>
      <c r="Q57" s="107">
        <f ca="1">IF(C57&gt;=70,0,IF($B57=" ",0,IF(Données!$R97="NON COUVERT",0,ROUNDUP(IF(Données!$S97="OUI",MIN($E57*VLOOKUP($F57,taux,15)/52,VLOOKUP($F57,taux,17)),MIN($E57*VLOOKUP($F57,taux,15)/52,VLOOKUP($F57,taux,16))),0))))</f>
        <v>0</v>
      </c>
      <c r="R57" s="108">
        <f>IF($B57=" ",0,IF(Données!$R97="EXO",0,$Q57*VLOOKUP($F57,taux,13)/10))</f>
        <v>0</v>
      </c>
      <c r="S57" s="109">
        <f t="shared" ca="1" si="3"/>
        <v>0</v>
      </c>
      <c r="T57" s="110">
        <f>IF(B57=" ",0,IF(Données!$T97="exo",0,$S57*VLOOKUP($F57,taux,18)/100))</f>
        <v>0</v>
      </c>
      <c r="U57" s="109">
        <f>IF($B57=" ",0,IF(Données!$V97="non couvert",0,IF(VLOOKUP($F57,taux,29)="fixe","s/o",IF(Données!$W97="oui",MIN(ROUNDUP(VLOOKUP($F57,taux,31)*$E57,-3),VLOOKUP($F57,taux,33)),MIN(ROUNDUP(VLOOKUP($F57,taux,31)*$E57,-3),VLOOKUP($F57,taux,32))))))</f>
        <v>0</v>
      </c>
      <c r="V57" s="110">
        <f>IF(B57=" ",0,IF(Données!$V97="exo",0,IF(VLOOKUP($F57,taux,29)="fixe",VLOOKUP($F57,taux,30),$U57/1000*VLOOKUP($F57,taux,30))))</f>
        <v>0</v>
      </c>
      <c r="W57" s="110">
        <f t="shared" si="0"/>
        <v>0</v>
      </c>
      <c r="X57" s="383">
        <f>IF(B57=" ",0,EDATE((Données!E97),780))</f>
        <v>0</v>
      </c>
      <c r="Y57" s="383">
        <f t="shared" si="6"/>
        <v>0</v>
      </c>
      <c r="Z57" s="384">
        <f>IF($B57=" ",0,IF(Données!$T97="non couvert",0,IF(Données!$U97="oui",MIN(VLOOKUP($F57,taux,26),ROUNDUP(IF($E57/12&gt;VLOOKUP($F57,taux,21)+VLOOKUP($F57,taux,23),(VLOOKUP($F57,taux,20)*VLOOKUP($F57,taux,21))+(VLOOKUP($F57,taux,22)*VLOOKUP($F57,taux,23))+($E57/12-VLOOKUP($F57,taux,21)-VLOOKUP($F57,taux,23))*VLOOKUP($F57,taux,24),IF($E57/12&gt;VLOOKUP($F57,taux,21),(VLOOKUP($F57,taux,20)*VLOOKUP($F57,taux,21))+($E57/12-VLOOKUP($F57,taux,21))*VLOOKUP($F57,taux,22),$E57/12*VLOOKUP($F57,taux,20))),0)),MIN(VLOOKUP($F57,taux,25),ROUNDUP(IF($E57/12&gt;VLOOKUP($F57,taux,21)+VLOOKUP($F57,taux,23),(VLOOKUP($F57,taux,20)*VLOOKUP($F57,taux,21))+(VLOOKUP($F57,taux,22)*VLOOKUP($F57,taux,23))+($E57/12-VLOOKUP($F57,taux,21)-VLOOKUP($F57,taux,23))*VLOOKUP($F57,taux,24),IF($E57/12&gt;VLOOKUP($F57,taux,21),(VLOOKUP($F57,taux,20)*VLOOKUP($F57,taux,21))+($E57/12-VLOOKUP($F57,taux,21))*VLOOKUP($F57,taux,22),$E57/12*VLOOKUP($F57,taux,20))),0)))))</f>
        <v>0</v>
      </c>
      <c r="AA57" s="111">
        <f ca="1">IF(C57&gt;=70,0,IF($B57=" ",0,IF(Données!$X97="non couvert"," ",Données!Y97)))</f>
        <v>0</v>
      </c>
      <c r="AB57" s="110">
        <f>IF($B57=" ",0,IF(Données!$X97="exo",0,IF($AA57="ind",VLOOKUP($F57,taux,34),IF($AA57="fam",VLOOKUP($F57,taux,35),IF($AA57="mono",VLOOKUP($F57,taux,36),IF($AA57="couple",VLOOKUP($F57,taux,37),0))))))</f>
        <v>0</v>
      </c>
      <c r="AC57" s="111">
        <f ca="1">IF(C57&gt;=70,0,IF($B57=" ",0,IF(Données!$Z97="non couvert"," ",Données!AA97)))</f>
        <v>0</v>
      </c>
      <c r="AD57" s="110">
        <f>IF($B57=" ",0,IF(Données!$Z97="exo",0,IF($AC57="ind",VLOOKUP($F57,taux,38),IF($AC57="fam",VLOOKUP($F57,taux,39),IF($AC57="mono",VLOOKUP($F57,taux,40),IF($AC57="couple",VLOOKUP($F57,taux,41),0))))))</f>
        <v>0</v>
      </c>
      <c r="AE57" s="112">
        <f>IF($B57=" ",0,IF(Données!$AB97="non couvert"," ",Données!AC97))</f>
        <v>0</v>
      </c>
      <c r="AF57" s="113">
        <f>IF($B57=" ",0,IF(Données!$AB97="exo",0,IF($AE57="ind",VLOOKUP($F57,taux,42),IF($AE57="fam",VLOOKUP($F57,taux,43),IF($AE57="mono",VLOOKUP($F57,taux,44),IF($AE57="couple",VLOOKUP($F57,taux,45),0))))))</f>
        <v>0</v>
      </c>
      <c r="AG57" s="114">
        <f t="shared" ca="1" si="7"/>
        <v>0</v>
      </c>
      <c r="AH57" s="114">
        <f>IF($B57=" ",0,IF(Données!J97="Manitoba",(Facture!H57+Facture!J57+Facture!L57+Facture!P57+Facture!R57+Facture!T57)*0.08,(AG57-W57)*IF(Données!$J97="qc",0.09,IF(Données!$J97="on",0.08,0))+W57*VLOOKUP($F57,taux,28)))</f>
        <v>0</v>
      </c>
      <c r="AI57" s="106">
        <f t="shared" ca="1" si="4"/>
        <v>0</v>
      </c>
    </row>
    <row r="58" spans="1:35" s="64" customFormat="1">
      <c r="A58" s="89">
        <f t="shared" si="5"/>
        <v>44</v>
      </c>
      <c r="B58" s="99" t="str">
        <f>CONCATENATE(Données!B98," ",Données!C98)</f>
        <v xml:space="preserve"> </v>
      </c>
      <c r="C58" s="410">
        <f ca="1">IF(B58="",0,INT((TODAY()-Données!E98)/365.25))</f>
        <v>119</v>
      </c>
      <c r="D58" s="100">
        <f>Données!D98</f>
        <v>0</v>
      </c>
      <c r="E58" s="101">
        <f>Données!I98</f>
        <v>0</v>
      </c>
      <c r="F58" s="102" t="str">
        <f>Données!AD98</f>
        <v/>
      </c>
      <c r="G58" s="103">
        <f ca="1">INDEX({1;0.5;0},MATCH(C58,{1;65;70}))*M58</f>
        <v>0</v>
      </c>
      <c r="H58" s="104">
        <f>IF($B58=" ",0,IF(Données!$K98="exo",0,$G58/1000*VLOOKUP($F58,taux,2)))</f>
        <v>0</v>
      </c>
      <c r="I58" s="398">
        <f ca="1">IF(C58&gt;=65,0,Données!M98*5000)</f>
        <v>0</v>
      </c>
      <c r="J58" s="104">
        <f ca="1">I58/1000*(IF(I58=0,0,1)*VLOOKUP((1+(C58&gt;=20)+(C58&gt;=25)+(C58&gt;=30)+(C58&gt;=35)+(C58&gt;=40)+(C58&gt;=45)+(C58&gt;=50)+(C58&gt;=55)+(C58&gt;=60)+(C58&gt;=65)),Test,2+(IF(Données!F98="H",1,3))+(IF(Données!G98="F",1,0))))</f>
        <v>0</v>
      </c>
      <c r="K58" s="103">
        <f ca="1">INDEX({1;0.5;0},MATCH(C58,{1;65;70}))*M58</f>
        <v>0</v>
      </c>
      <c r="L58" s="104">
        <f>IF($B58=" ",0,IF(Données!$N98="exo",0,$K58/1000*VLOOKUP($F58,taux,6)))</f>
        <v>0</v>
      </c>
      <c r="M58" s="379">
        <f>IF($B58=" ",0,IF(Données!$K98="NON COUVERT",0,IF(AND(Données!$L98="oui",Données!$K98=0.5),MIN(VLOOKUP($F58,taux,5)/2,ROUNDUP(VLOOKUP($F58,taux,3)*$E58,-3)/2),IF(Données!$K98=0.5,MIN(VLOOKUP($F58,taux,4)/2,ROUNDUP(VLOOKUP($F58,taux,3)*$E58,-3)/2),ROUNDUP(IF(Données!$L98="OUI",MIN(VLOOKUP($F58,taux,3)*$E58,VLOOKUP($F58,taux,5)),MIN(VLOOKUP($F58,taux,3)*$E58,VLOOKUP($F58,taux,4))),-3)))))</f>
        <v>0</v>
      </c>
      <c r="N58" s="379">
        <f>IF($B58=" ",0,IF(Données!$N98="NON COUVERT",0,IF(AND(Données!$O98="oui",Données!$N98=0.5),MIN(VLOOKUP($F58,taux,9)/2,ROUNDUP(VLOOKUP($F58,taux,7)*$E58,-3)/2),IF(Données!$N98=0.5,MIN(VLOOKUP($F58,taux,8)/2,ROUNDUP(VLOOKUP($F58,taux,7)*$E58,-3)/2),ROUNDUP(IF(Données!$O98="OUI",MIN(VLOOKUP($F58,taux,7)*$E58,VLOOKUP($F58,taux,9)),MIN(VLOOKUP($F58,taux,7)*$E58,VLOOKUP($F58,taux,8))),-3)))))</f>
        <v>0</v>
      </c>
      <c r="O58" s="105">
        <f ca="1">IF(C58&gt;=70,0,IF($B58=" ",0,IF(Données!P98="non couvert"," ",Données!Q98)))</f>
        <v>0</v>
      </c>
      <c r="P58" s="106">
        <f>IF($B58=" ",0,IF(Données!$P98="exo",0,IF($O58="FAM",VLOOKUP($F58,taux,10),IF($O58="MONO",VLOOKUP($F58,taux,11),IF($O58="COUPLE",VLOOKUP($F58,taux,12),0)))))</f>
        <v>0</v>
      </c>
      <c r="Q58" s="107">
        <f ca="1">IF(C58&gt;=70,0,IF($B58=" ",0,IF(Données!$R98="NON COUVERT",0,ROUNDUP(IF(Données!$S98="OUI",MIN($E58*VLOOKUP($F58,taux,15)/52,VLOOKUP($F58,taux,17)),MIN($E58*VLOOKUP($F58,taux,15)/52,VLOOKUP($F58,taux,16))),0))))</f>
        <v>0</v>
      </c>
      <c r="R58" s="108">
        <f>IF($B58=" ",0,IF(Données!$R98="EXO",0,$Q58*VLOOKUP($F58,taux,13)/10))</f>
        <v>0</v>
      </c>
      <c r="S58" s="109">
        <f t="shared" ca="1" si="3"/>
        <v>0</v>
      </c>
      <c r="T58" s="110">
        <f>IF(B58=" ",0,IF(Données!$T98="exo",0,$S58*VLOOKUP($F58,taux,18)/100))</f>
        <v>0</v>
      </c>
      <c r="U58" s="109">
        <f>IF($B58=" ",0,IF(Données!$V98="non couvert",0,IF(VLOOKUP($F58,taux,29)="fixe","s/o",IF(Données!$W98="oui",MIN(ROUNDUP(VLOOKUP($F58,taux,31)*$E58,-3),VLOOKUP($F58,taux,33)),MIN(ROUNDUP(VLOOKUP($F58,taux,31)*$E58,-3),VLOOKUP($F58,taux,32))))))</f>
        <v>0</v>
      </c>
      <c r="V58" s="110">
        <f>IF(B58=" ",0,IF(Données!$V98="exo",0,IF(VLOOKUP($F58,taux,29)="fixe",VLOOKUP($F58,taux,30),$U58/1000*VLOOKUP($F58,taux,30))))</f>
        <v>0</v>
      </c>
      <c r="W58" s="110">
        <f t="shared" si="0"/>
        <v>0</v>
      </c>
      <c r="X58" s="383">
        <f>IF(B58=" ",0,EDATE((Données!E98),780))</f>
        <v>0</v>
      </c>
      <c r="Y58" s="383">
        <f t="shared" si="6"/>
        <v>0</v>
      </c>
      <c r="Z58" s="384">
        <f>IF($B58=" ",0,IF(Données!$T98="non couvert",0,IF(Données!$U98="oui",MIN(VLOOKUP($F58,taux,26),ROUNDUP(IF($E58/12&gt;VLOOKUP($F58,taux,21)+VLOOKUP($F58,taux,23),(VLOOKUP($F58,taux,20)*VLOOKUP($F58,taux,21))+(VLOOKUP($F58,taux,22)*VLOOKUP($F58,taux,23))+($E58/12-VLOOKUP($F58,taux,21)-VLOOKUP($F58,taux,23))*VLOOKUP($F58,taux,24),IF($E58/12&gt;VLOOKUP($F58,taux,21),(VLOOKUP($F58,taux,20)*VLOOKUP($F58,taux,21))+($E58/12-VLOOKUP($F58,taux,21))*VLOOKUP($F58,taux,22),$E58/12*VLOOKUP($F58,taux,20))),0)),MIN(VLOOKUP($F58,taux,25),ROUNDUP(IF($E58/12&gt;VLOOKUP($F58,taux,21)+VLOOKUP($F58,taux,23),(VLOOKUP($F58,taux,20)*VLOOKUP($F58,taux,21))+(VLOOKUP($F58,taux,22)*VLOOKUP($F58,taux,23))+($E58/12-VLOOKUP($F58,taux,21)-VLOOKUP($F58,taux,23))*VLOOKUP($F58,taux,24),IF($E58/12&gt;VLOOKUP($F58,taux,21),(VLOOKUP($F58,taux,20)*VLOOKUP($F58,taux,21))+($E58/12-VLOOKUP($F58,taux,21))*VLOOKUP($F58,taux,22),$E58/12*VLOOKUP($F58,taux,20))),0)))))</f>
        <v>0</v>
      </c>
      <c r="AA58" s="111">
        <f ca="1">IF(C58&gt;=70,0,IF($B58=" ",0,IF(Données!$X98="non couvert"," ",Données!Y98)))</f>
        <v>0</v>
      </c>
      <c r="AB58" s="110">
        <f>IF($B58=" ",0,IF(Données!$X98="exo",0,IF($AA58="ind",VLOOKUP($F58,taux,34),IF($AA58="fam",VLOOKUP($F58,taux,35),IF($AA58="mono",VLOOKUP($F58,taux,36),IF($AA58="couple",VLOOKUP($F58,taux,37),0))))))</f>
        <v>0</v>
      </c>
      <c r="AC58" s="111">
        <f ca="1">IF(C58&gt;=70,0,IF($B58=" ",0,IF(Données!$Z98="non couvert"," ",Données!AA98)))</f>
        <v>0</v>
      </c>
      <c r="AD58" s="110">
        <f>IF($B58=" ",0,IF(Données!$Z98="exo",0,IF($AC58="ind",VLOOKUP($F58,taux,38),IF($AC58="fam",VLOOKUP($F58,taux,39),IF($AC58="mono",VLOOKUP($F58,taux,40),IF($AC58="couple",VLOOKUP($F58,taux,41),0))))))</f>
        <v>0</v>
      </c>
      <c r="AE58" s="112">
        <f>IF($B58=" ",0,IF(Données!$AB98="non couvert"," ",Données!AC98))</f>
        <v>0</v>
      </c>
      <c r="AF58" s="113">
        <f>IF($B58=" ",0,IF(Données!$AB98="exo",0,IF($AE58="ind",VLOOKUP($F58,taux,42),IF($AE58="fam",VLOOKUP($F58,taux,43),IF($AE58="mono",VLOOKUP($F58,taux,44),IF($AE58="couple",VLOOKUP($F58,taux,45),0))))))</f>
        <v>0</v>
      </c>
      <c r="AG58" s="114">
        <f t="shared" ca="1" si="7"/>
        <v>0</v>
      </c>
      <c r="AH58" s="114">
        <f>IF($B58=" ",0,IF(Données!J98="Manitoba",(Facture!H58+Facture!J58+Facture!L58+Facture!P58+Facture!R58+Facture!T58)*0.08,(AG58-W58)*IF(Données!$J98="qc",0.09,IF(Données!$J98="on",0.08,0))+W58*VLOOKUP($F58,taux,28)))</f>
        <v>0</v>
      </c>
      <c r="AI58" s="106">
        <f t="shared" ca="1" si="4"/>
        <v>0</v>
      </c>
    </row>
    <row r="59" spans="1:35" s="64" customFormat="1">
      <c r="A59" s="89">
        <f t="shared" si="5"/>
        <v>45</v>
      </c>
      <c r="B59" s="99" t="str">
        <f>CONCATENATE(Données!B99," ",Données!C99)</f>
        <v xml:space="preserve"> </v>
      </c>
      <c r="C59" s="410">
        <f ca="1">IF(B59="",0,INT((TODAY()-Données!E99)/365.25))</f>
        <v>119</v>
      </c>
      <c r="D59" s="100">
        <f>Données!D99</f>
        <v>0</v>
      </c>
      <c r="E59" s="101">
        <f>Données!I99</f>
        <v>0</v>
      </c>
      <c r="F59" s="102" t="str">
        <f>Données!AD99</f>
        <v/>
      </c>
      <c r="G59" s="103">
        <f ca="1">INDEX({1;0.5;0},MATCH(C59,{1;65;70}))*M59</f>
        <v>0</v>
      </c>
      <c r="H59" s="104">
        <f>IF($B59=" ",0,IF(Données!$K99="exo",0,$G59/1000*VLOOKUP($F59,taux,2)))</f>
        <v>0</v>
      </c>
      <c r="I59" s="398">
        <f ca="1">IF(C59&gt;=65,0,Données!M99*5000)</f>
        <v>0</v>
      </c>
      <c r="J59" s="104">
        <f ca="1">I59/1000*(IF(I59=0,0,1)*VLOOKUP((1+(C59&gt;=20)+(C59&gt;=25)+(C59&gt;=30)+(C59&gt;=35)+(C59&gt;=40)+(C59&gt;=45)+(C59&gt;=50)+(C59&gt;=55)+(C59&gt;=60)+(C59&gt;=65)),Test,2+(IF(Données!F99="H",1,3))+(IF(Données!G99="F",1,0))))</f>
        <v>0</v>
      </c>
      <c r="K59" s="103">
        <f ca="1">INDEX({1;0.5;0},MATCH(C59,{1;65;70}))*M59</f>
        <v>0</v>
      </c>
      <c r="L59" s="104">
        <f>IF($B59=" ",0,IF(Données!$N99="exo",0,$K59/1000*VLOOKUP($F59,taux,6)))</f>
        <v>0</v>
      </c>
      <c r="M59" s="379">
        <f>IF($B59=" ",0,IF(Données!$K99="NON COUVERT",0,IF(AND(Données!$L99="oui",Données!$K99=0.5),MIN(VLOOKUP($F59,taux,5)/2,ROUNDUP(VLOOKUP($F59,taux,3)*$E59,-3)/2),IF(Données!$K99=0.5,MIN(VLOOKUP($F59,taux,4)/2,ROUNDUP(VLOOKUP($F59,taux,3)*$E59,-3)/2),ROUNDUP(IF(Données!$L99="OUI",MIN(VLOOKUP($F59,taux,3)*$E59,VLOOKUP($F59,taux,5)),MIN(VLOOKUP($F59,taux,3)*$E59,VLOOKUP($F59,taux,4))),-3)))))</f>
        <v>0</v>
      </c>
      <c r="N59" s="379">
        <f>IF($B59=" ",0,IF(Données!$N99="NON COUVERT",0,IF(AND(Données!$O99="oui",Données!$N99=0.5),MIN(VLOOKUP($F59,taux,9)/2,ROUNDUP(VLOOKUP($F59,taux,7)*$E59,-3)/2),IF(Données!$N99=0.5,MIN(VLOOKUP($F59,taux,8)/2,ROUNDUP(VLOOKUP($F59,taux,7)*$E59,-3)/2),ROUNDUP(IF(Données!$O99="OUI",MIN(VLOOKUP($F59,taux,7)*$E59,VLOOKUP($F59,taux,9)),MIN(VLOOKUP($F59,taux,7)*$E59,VLOOKUP($F59,taux,8))),-3)))))</f>
        <v>0</v>
      </c>
      <c r="O59" s="105">
        <f ca="1">IF(C59&gt;=70,0,IF($B59=" ",0,IF(Données!P99="non couvert"," ",Données!Q99)))</f>
        <v>0</v>
      </c>
      <c r="P59" s="106">
        <f>IF($B59=" ",0,IF(Données!$P99="exo",0,IF($O59="FAM",VLOOKUP($F59,taux,10),IF($O59="MONO",VLOOKUP($F59,taux,11),IF($O59="COUPLE",VLOOKUP($F59,taux,12),0)))))</f>
        <v>0</v>
      </c>
      <c r="Q59" s="107">
        <f ca="1">IF(C59&gt;=70,0,IF($B59=" ",0,IF(Données!$R99="NON COUVERT",0,ROUNDUP(IF(Données!$S99="OUI",MIN($E59*VLOOKUP($F59,taux,15)/52,VLOOKUP($F59,taux,17)),MIN($E59*VLOOKUP($F59,taux,15)/52,VLOOKUP($F59,taux,16))),0))))</f>
        <v>0</v>
      </c>
      <c r="R59" s="108">
        <f>IF($B59=" ",0,IF(Données!$R99="EXO",0,$Q59*VLOOKUP($F59,taux,13)/10))</f>
        <v>0</v>
      </c>
      <c r="S59" s="109">
        <f t="shared" ca="1" si="3"/>
        <v>0</v>
      </c>
      <c r="T59" s="110">
        <f>IF(B59=" ",0,IF(Données!$T99="exo",0,$S59*VLOOKUP($F59,taux,18)/100))</f>
        <v>0</v>
      </c>
      <c r="U59" s="109">
        <f>IF($B59=" ",0,IF(Données!$V99="non couvert",0,IF(VLOOKUP($F59,taux,29)="fixe","s/o",IF(Données!$W99="oui",MIN(ROUNDUP(VLOOKUP($F59,taux,31)*$E59,-3),VLOOKUP($F59,taux,33)),MIN(ROUNDUP(VLOOKUP($F59,taux,31)*$E59,-3),VLOOKUP($F59,taux,32))))))</f>
        <v>0</v>
      </c>
      <c r="V59" s="110">
        <f>IF(B59=" ",0,IF(Données!$V99="exo",0,IF(VLOOKUP($F59,taux,29)="fixe",VLOOKUP($F59,taux,30),$U59/1000*VLOOKUP($F59,taux,30))))</f>
        <v>0</v>
      </c>
      <c r="W59" s="110">
        <f t="shared" si="0"/>
        <v>0</v>
      </c>
      <c r="X59" s="383">
        <f>IF(B59=" ",0,EDATE((Données!E99),780))</f>
        <v>0</v>
      </c>
      <c r="Y59" s="383">
        <f t="shared" si="6"/>
        <v>0</v>
      </c>
      <c r="Z59" s="384">
        <f>IF($B59=" ",0,IF(Données!$T99="non couvert",0,IF(Données!$U99="oui",MIN(VLOOKUP($F59,taux,26),ROUNDUP(IF($E59/12&gt;VLOOKUP($F59,taux,21)+VLOOKUP($F59,taux,23),(VLOOKUP($F59,taux,20)*VLOOKUP($F59,taux,21))+(VLOOKUP($F59,taux,22)*VLOOKUP($F59,taux,23))+($E59/12-VLOOKUP($F59,taux,21)-VLOOKUP($F59,taux,23))*VLOOKUP($F59,taux,24),IF($E59/12&gt;VLOOKUP($F59,taux,21),(VLOOKUP($F59,taux,20)*VLOOKUP($F59,taux,21))+($E59/12-VLOOKUP($F59,taux,21))*VLOOKUP($F59,taux,22),$E59/12*VLOOKUP($F59,taux,20))),0)),MIN(VLOOKUP($F59,taux,25),ROUNDUP(IF($E59/12&gt;VLOOKUP($F59,taux,21)+VLOOKUP($F59,taux,23),(VLOOKUP($F59,taux,20)*VLOOKUP($F59,taux,21))+(VLOOKUP($F59,taux,22)*VLOOKUP($F59,taux,23))+($E59/12-VLOOKUP($F59,taux,21)-VLOOKUP($F59,taux,23))*VLOOKUP($F59,taux,24),IF($E59/12&gt;VLOOKUP($F59,taux,21),(VLOOKUP($F59,taux,20)*VLOOKUP($F59,taux,21))+($E59/12-VLOOKUP($F59,taux,21))*VLOOKUP($F59,taux,22),$E59/12*VLOOKUP($F59,taux,20))),0)))))</f>
        <v>0</v>
      </c>
      <c r="AA59" s="111">
        <f ca="1">IF(C59&gt;=70,0,IF($B59=" ",0,IF(Données!$X99="non couvert"," ",Données!Y99)))</f>
        <v>0</v>
      </c>
      <c r="AB59" s="110">
        <f>IF($B59=" ",0,IF(Données!$X99="exo",0,IF($AA59="ind",VLOOKUP($F59,taux,34),IF($AA59="fam",VLOOKUP($F59,taux,35),IF($AA59="mono",VLOOKUP($F59,taux,36),IF($AA59="couple",VLOOKUP($F59,taux,37),0))))))</f>
        <v>0</v>
      </c>
      <c r="AC59" s="111">
        <f ca="1">IF(C59&gt;=70,0,IF($B59=" ",0,IF(Données!$Z99="non couvert"," ",Données!AA99)))</f>
        <v>0</v>
      </c>
      <c r="AD59" s="110">
        <f>IF($B59=" ",0,IF(Données!$Z99="exo",0,IF($AC59="ind",VLOOKUP($F59,taux,38),IF($AC59="fam",VLOOKUP($F59,taux,39),IF($AC59="mono",VLOOKUP($F59,taux,40),IF($AC59="couple",VLOOKUP($F59,taux,41),0))))))</f>
        <v>0</v>
      </c>
      <c r="AE59" s="112">
        <f>IF($B59=" ",0,IF(Données!$AB99="non couvert"," ",Données!AC99))</f>
        <v>0</v>
      </c>
      <c r="AF59" s="113">
        <f>IF($B59=" ",0,IF(Données!$AB99="exo",0,IF($AE59="ind",VLOOKUP($F59,taux,42),IF($AE59="fam",VLOOKUP($F59,taux,43),IF($AE59="mono",VLOOKUP($F59,taux,44),IF($AE59="couple",VLOOKUP($F59,taux,45),0))))))</f>
        <v>0</v>
      </c>
      <c r="AG59" s="114">
        <f t="shared" ca="1" si="7"/>
        <v>0</v>
      </c>
      <c r="AH59" s="114">
        <f>IF($B59=" ",0,IF(Données!J99="Manitoba",(Facture!H59+Facture!J59+Facture!L59+Facture!P59+Facture!R59+Facture!T59)*0.08,(AG59-W59)*IF(Données!$J99="qc",0.09,IF(Données!$J99="on",0.08,0))+W59*VLOOKUP($F59,taux,28)))</f>
        <v>0</v>
      </c>
      <c r="AI59" s="106">
        <f t="shared" ca="1" si="4"/>
        <v>0</v>
      </c>
    </row>
    <row r="60" spans="1:35" s="64" customFormat="1">
      <c r="A60" s="89">
        <f t="shared" si="5"/>
        <v>46</v>
      </c>
      <c r="B60" s="99" t="str">
        <f>CONCATENATE(Données!B100," ",Données!C100)</f>
        <v xml:space="preserve"> </v>
      </c>
      <c r="C60" s="410">
        <f ca="1">IF(B60="",0,INT((TODAY()-Données!E100)/365.25))</f>
        <v>119</v>
      </c>
      <c r="D60" s="100">
        <f>Données!D100</f>
        <v>0</v>
      </c>
      <c r="E60" s="101">
        <f>Données!I100</f>
        <v>0</v>
      </c>
      <c r="F60" s="102" t="str">
        <f>Données!AD100</f>
        <v/>
      </c>
      <c r="G60" s="103">
        <f ca="1">INDEX({1;0.5;0},MATCH(C60,{1;65;70}))*M60</f>
        <v>0</v>
      </c>
      <c r="H60" s="104">
        <f>IF($B60=" ",0,IF(Données!$K100="exo",0,$G60/1000*VLOOKUP($F60,taux,2)))</f>
        <v>0</v>
      </c>
      <c r="I60" s="398">
        <f ca="1">IF(C60&gt;=65,0,Données!M100*5000)</f>
        <v>0</v>
      </c>
      <c r="J60" s="104">
        <f ca="1">I60/1000*(IF(I60=0,0,1)*VLOOKUP((1+(C60&gt;=20)+(C60&gt;=25)+(C60&gt;=30)+(C60&gt;=35)+(C60&gt;=40)+(C60&gt;=45)+(C60&gt;=50)+(C60&gt;=55)+(C60&gt;=60)+(C60&gt;=65)),Test,2+(IF(Données!F100="H",1,3))+(IF(Données!G100="F",1,0))))</f>
        <v>0</v>
      </c>
      <c r="K60" s="103">
        <f ca="1">INDEX({1;0.5;0},MATCH(C60,{1;65;70}))*M60</f>
        <v>0</v>
      </c>
      <c r="L60" s="104">
        <f>IF($B60=" ",0,IF(Données!$N100="exo",0,$K60/1000*VLOOKUP($F60,taux,6)))</f>
        <v>0</v>
      </c>
      <c r="M60" s="379">
        <f>IF($B60=" ",0,IF(Données!$K100="NON COUVERT",0,IF(AND(Données!$L100="oui",Données!$K100=0.5),MIN(VLOOKUP($F60,taux,5)/2,ROUNDUP(VLOOKUP($F60,taux,3)*$E60,-3)/2),IF(Données!$K100=0.5,MIN(VLOOKUP($F60,taux,4)/2,ROUNDUP(VLOOKUP($F60,taux,3)*$E60,-3)/2),ROUNDUP(IF(Données!$L100="OUI",MIN(VLOOKUP($F60,taux,3)*$E60,VLOOKUP($F60,taux,5)),MIN(VLOOKUP($F60,taux,3)*$E60,VLOOKUP($F60,taux,4))),-3)))))</f>
        <v>0</v>
      </c>
      <c r="N60" s="379">
        <f>IF($B60=" ",0,IF(Données!$N100="NON COUVERT",0,IF(AND(Données!$O100="oui",Données!$N100=0.5),MIN(VLOOKUP($F60,taux,9)/2,ROUNDUP(VLOOKUP($F60,taux,7)*$E60,-3)/2),IF(Données!$N100=0.5,MIN(VLOOKUP($F60,taux,8)/2,ROUNDUP(VLOOKUP($F60,taux,7)*$E60,-3)/2),ROUNDUP(IF(Données!$O100="OUI",MIN(VLOOKUP($F60,taux,7)*$E60,VLOOKUP($F60,taux,9)),MIN(VLOOKUP($F60,taux,7)*$E60,VLOOKUP($F60,taux,8))),-3)))))</f>
        <v>0</v>
      </c>
      <c r="O60" s="105">
        <f ca="1">IF(C60&gt;=70,0,IF($B60=" ",0,IF(Données!P100="non couvert"," ",Données!Q100)))</f>
        <v>0</v>
      </c>
      <c r="P60" s="106">
        <f>IF($B60=" ",0,IF(Données!$P100="exo",0,IF($O60="FAM",VLOOKUP($F60,taux,10),IF($O60="MONO",VLOOKUP($F60,taux,11),IF($O60="COUPLE",VLOOKUP($F60,taux,12),0)))))</f>
        <v>0</v>
      </c>
      <c r="Q60" s="107">
        <f ca="1">IF(C60&gt;=70,0,IF($B60=" ",0,IF(Données!$R100="NON COUVERT",0,ROUNDUP(IF(Données!$S100="OUI",MIN($E60*VLOOKUP($F60,taux,15)/52,VLOOKUP($F60,taux,17)),MIN($E60*VLOOKUP($F60,taux,15)/52,VLOOKUP($F60,taux,16))),0))))</f>
        <v>0</v>
      </c>
      <c r="R60" s="108">
        <f>IF($B60=" ",0,IF(Données!$R100="EXO",0,$Q60*VLOOKUP($F60,taux,13)/10))</f>
        <v>0</v>
      </c>
      <c r="S60" s="109">
        <f t="shared" ca="1" si="3"/>
        <v>0</v>
      </c>
      <c r="T60" s="110">
        <f>IF(B60=" ",0,IF(Données!$T100="exo",0,$S60*VLOOKUP($F60,taux,18)/100))</f>
        <v>0</v>
      </c>
      <c r="U60" s="109">
        <f>IF($B60=" ",0,IF(Données!$V100="non couvert",0,IF(VLOOKUP($F60,taux,29)="fixe","s/o",IF(Données!$W100="oui",MIN(ROUNDUP(VLOOKUP($F60,taux,31)*$E60,-3),VLOOKUP($F60,taux,33)),MIN(ROUNDUP(VLOOKUP($F60,taux,31)*$E60,-3),VLOOKUP($F60,taux,32))))))</f>
        <v>0</v>
      </c>
      <c r="V60" s="110">
        <f>IF(B60=" ",0,IF(Données!$V100="exo",0,IF(VLOOKUP($F60,taux,29)="fixe",VLOOKUP($F60,taux,30),$U60/1000*VLOOKUP($F60,taux,30))))</f>
        <v>0</v>
      </c>
      <c r="W60" s="110">
        <f t="shared" si="0"/>
        <v>0</v>
      </c>
      <c r="X60" s="383">
        <f>IF(B60=" ",0,EDATE((Données!E100),780))</f>
        <v>0</v>
      </c>
      <c r="Y60" s="383">
        <f t="shared" si="6"/>
        <v>0</v>
      </c>
      <c r="Z60" s="384">
        <f>IF($B60=" ",0,IF(Données!$T100="non couvert",0,IF(Données!$U100="oui",MIN(VLOOKUP($F60,taux,26),ROUNDUP(IF($E60/12&gt;VLOOKUP($F60,taux,21)+VLOOKUP($F60,taux,23),(VLOOKUP($F60,taux,20)*VLOOKUP($F60,taux,21))+(VLOOKUP($F60,taux,22)*VLOOKUP($F60,taux,23))+($E60/12-VLOOKUP($F60,taux,21)-VLOOKUP($F60,taux,23))*VLOOKUP($F60,taux,24),IF($E60/12&gt;VLOOKUP($F60,taux,21),(VLOOKUP($F60,taux,20)*VLOOKUP($F60,taux,21))+($E60/12-VLOOKUP($F60,taux,21))*VLOOKUP($F60,taux,22),$E60/12*VLOOKUP($F60,taux,20))),0)),MIN(VLOOKUP($F60,taux,25),ROUNDUP(IF($E60/12&gt;VLOOKUP($F60,taux,21)+VLOOKUP($F60,taux,23),(VLOOKUP($F60,taux,20)*VLOOKUP($F60,taux,21))+(VLOOKUP($F60,taux,22)*VLOOKUP($F60,taux,23))+($E60/12-VLOOKUP($F60,taux,21)-VLOOKUP($F60,taux,23))*VLOOKUP($F60,taux,24),IF($E60/12&gt;VLOOKUP($F60,taux,21),(VLOOKUP($F60,taux,20)*VLOOKUP($F60,taux,21))+($E60/12-VLOOKUP($F60,taux,21))*VLOOKUP($F60,taux,22),$E60/12*VLOOKUP($F60,taux,20))),0)))))</f>
        <v>0</v>
      </c>
      <c r="AA60" s="111">
        <f ca="1">IF(C60&gt;=70,0,IF($B60=" ",0,IF(Données!$X100="non couvert"," ",Données!Y100)))</f>
        <v>0</v>
      </c>
      <c r="AB60" s="110">
        <f>IF($B60=" ",0,IF(Données!$X100="exo",0,IF($AA60="ind",VLOOKUP($F60,taux,34),IF($AA60="fam",VLOOKUP($F60,taux,35),IF($AA60="mono",VLOOKUP($F60,taux,36),IF($AA60="couple",VLOOKUP($F60,taux,37),0))))))</f>
        <v>0</v>
      </c>
      <c r="AC60" s="111">
        <f ca="1">IF(C60&gt;=70,0,IF($B60=" ",0,IF(Données!$Z100="non couvert"," ",Données!AA100)))</f>
        <v>0</v>
      </c>
      <c r="AD60" s="110">
        <f>IF($B60=" ",0,IF(Données!$Z100="exo",0,IF($AC60="ind",VLOOKUP($F60,taux,38),IF($AC60="fam",VLOOKUP($F60,taux,39),IF($AC60="mono",VLOOKUP($F60,taux,40),IF($AC60="couple",VLOOKUP($F60,taux,41),0))))))</f>
        <v>0</v>
      </c>
      <c r="AE60" s="112">
        <f>IF($B60=" ",0,IF(Données!$AB100="non couvert"," ",Données!AC100))</f>
        <v>0</v>
      </c>
      <c r="AF60" s="113">
        <f>IF($B60=" ",0,IF(Données!$AB100="exo",0,IF($AE60="ind",VLOOKUP($F60,taux,42),IF($AE60="fam",VLOOKUP($F60,taux,43),IF($AE60="mono",VLOOKUP($F60,taux,44),IF($AE60="couple",VLOOKUP($F60,taux,45),0))))))</f>
        <v>0</v>
      </c>
      <c r="AG60" s="114">
        <f t="shared" ca="1" si="7"/>
        <v>0</v>
      </c>
      <c r="AH60" s="114">
        <f>IF($B60=" ",0,IF(Données!J100="Manitoba",(Facture!H60+Facture!J60+Facture!L60+Facture!P60+Facture!R60+Facture!T60)*0.08,(AG60-W60)*IF(Données!$J100="qc",0.09,IF(Données!$J100="on",0.08,0))+W60*VLOOKUP($F60,taux,28)))</f>
        <v>0</v>
      </c>
      <c r="AI60" s="106">
        <f t="shared" ca="1" si="4"/>
        <v>0</v>
      </c>
    </row>
    <row r="61" spans="1:35" s="64" customFormat="1">
      <c r="A61" s="89">
        <f t="shared" si="5"/>
        <v>47</v>
      </c>
      <c r="B61" s="99" t="str">
        <f>CONCATENATE(Données!B101," ",Données!C101)</f>
        <v xml:space="preserve"> </v>
      </c>
      <c r="C61" s="410">
        <f ca="1">IF(B61="",0,INT((TODAY()-Données!E101)/365.25))</f>
        <v>119</v>
      </c>
      <c r="D61" s="100">
        <f>Données!D101</f>
        <v>0</v>
      </c>
      <c r="E61" s="101">
        <f>Données!I101</f>
        <v>0</v>
      </c>
      <c r="F61" s="102" t="str">
        <f>Données!AD101</f>
        <v/>
      </c>
      <c r="G61" s="103">
        <f ca="1">INDEX({1;0.5;0},MATCH(C61,{1;65;70}))*M61</f>
        <v>0</v>
      </c>
      <c r="H61" s="104">
        <f>IF($B61=" ",0,IF(Données!$K101="exo",0,$G61/1000*VLOOKUP($F61,taux,2)))</f>
        <v>0</v>
      </c>
      <c r="I61" s="398">
        <f ca="1">IF(C61&gt;=65,0,Données!M101*5000)</f>
        <v>0</v>
      </c>
      <c r="J61" s="104">
        <f ca="1">I61/1000*(IF(I61=0,0,1)*VLOOKUP((1+(C61&gt;=20)+(C61&gt;=25)+(C61&gt;=30)+(C61&gt;=35)+(C61&gt;=40)+(C61&gt;=45)+(C61&gt;=50)+(C61&gt;=55)+(C61&gt;=60)+(C61&gt;=65)),Test,2+(IF(Données!F101="H",1,3))+(IF(Données!G101="F",1,0))))</f>
        <v>0</v>
      </c>
      <c r="K61" s="103">
        <f ca="1">INDEX({1;0.5;0},MATCH(C61,{1;65;70}))*M61</f>
        <v>0</v>
      </c>
      <c r="L61" s="104">
        <f>IF($B61=" ",0,IF(Données!$N101="exo",0,$K61/1000*VLOOKUP($F61,taux,6)))</f>
        <v>0</v>
      </c>
      <c r="M61" s="379">
        <f>IF($B61=" ",0,IF(Données!$K101="NON COUVERT",0,IF(AND(Données!$L101="oui",Données!$K101=0.5),MIN(VLOOKUP($F61,taux,5)/2,ROUNDUP(VLOOKUP($F61,taux,3)*$E61,-3)/2),IF(Données!$K101=0.5,MIN(VLOOKUP($F61,taux,4)/2,ROUNDUP(VLOOKUP($F61,taux,3)*$E61,-3)/2),ROUNDUP(IF(Données!$L101="OUI",MIN(VLOOKUP($F61,taux,3)*$E61,VLOOKUP($F61,taux,5)),MIN(VLOOKUP($F61,taux,3)*$E61,VLOOKUP($F61,taux,4))),-3)))))</f>
        <v>0</v>
      </c>
      <c r="N61" s="379">
        <f>IF($B61=" ",0,IF(Données!$N101="NON COUVERT",0,IF(AND(Données!$O101="oui",Données!$N101=0.5),MIN(VLOOKUP($F61,taux,9)/2,ROUNDUP(VLOOKUP($F61,taux,7)*$E61,-3)/2),IF(Données!$N101=0.5,MIN(VLOOKUP($F61,taux,8)/2,ROUNDUP(VLOOKUP($F61,taux,7)*$E61,-3)/2),ROUNDUP(IF(Données!$O101="OUI",MIN(VLOOKUP($F61,taux,7)*$E61,VLOOKUP($F61,taux,9)),MIN(VLOOKUP($F61,taux,7)*$E61,VLOOKUP($F61,taux,8))),-3)))))</f>
        <v>0</v>
      </c>
      <c r="O61" s="105">
        <f ca="1">IF(C61&gt;=70,0,IF($B61=" ",0,IF(Données!P101="non couvert"," ",Données!Q101)))</f>
        <v>0</v>
      </c>
      <c r="P61" s="106">
        <f>IF($B61=" ",0,IF(Données!$P101="exo",0,IF($O61="FAM",VLOOKUP($F61,taux,10),IF($O61="MONO",VLOOKUP($F61,taux,11),IF($O61="COUPLE",VLOOKUP($F61,taux,12),0)))))</f>
        <v>0</v>
      </c>
      <c r="Q61" s="107">
        <f ca="1">IF(C61&gt;=70,0,IF($B61=" ",0,IF(Données!$R101="NON COUVERT",0,ROUNDUP(IF(Données!$S101="OUI",MIN($E61*VLOOKUP($F61,taux,15)/52,VLOOKUP($F61,taux,17)),MIN($E61*VLOOKUP($F61,taux,15)/52,VLOOKUP($F61,taux,16))),0))))</f>
        <v>0</v>
      </c>
      <c r="R61" s="108">
        <f>IF($B61=" ",0,IF(Données!$R101="EXO",0,$Q61*VLOOKUP($F61,taux,13)/10))</f>
        <v>0</v>
      </c>
      <c r="S61" s="109">
        <f t="shared" ca="1" si="3"/>
        <v>0</v>
      </c>
      <c r="T61" s="110">
        <f>IF(B61=" ",0,IF(Données!$T101="exo",0,$S61*VLOOKUP($F61,taux,18)/100))</f>
        <v>0</v>
      </c>
      <c r="U61" s="109">
        <f>IF($B61=" ",0,IF(Données!$V101="non couvert",0,IF(VLOOKUP($F61,taux,29)="fixe","s/o",IF(Données!$W101="oui",MIN(ROUNDUP(VLOOKUP($F61,taux,31)*$E61,-3),VLOOKUP($F61,taux,33)),MIN(ROUNDUP(VLOOKUP($F61,taux,31)*$E61,-3),VLOOKUP($F61,taux,32))))))</f>
        <v>0</v>
      </c>
      <c r="V61" s="110">
        <f>IF(B61=" ",0,IF(Données!$V101="exo",0,IF(VLOOKUP($F61,taux,29)="fixe",VLOOKUP($F61,taux,30),$U61/1000*VLOOKUP($F61,taux,30))))</f>
        <v>0</v>
      </c>
      <c r="W61" s="110">
        <f t="shared" si="0"/>
        <v>0</v>
      </c>
      <c r="X61" s="383">
        <f>IF(B61=" ",0,EDATE((Données!E101),780))</f>
        <v>0</v>
      </c>
      <c r="Y61" s="383">
        <f t="shared" si="6"/>
        <v>0</v>
      </c>
      <c r="Z61" s="384">
        <f>IF($B61=" ",0,IF(Données!$T101="non couvert",0,IF(Données!$U101="oui",MIN(VLOOKUP($F61,taux,26),ROUNDUP(IF($E61/12&gt;VLOOKUP($F61,taux,21)+VLOOKUP($F61,taux,23),(VLOOKUP($F61,taux,20)*VLOOKUP($F61,taux,21))+(VLOOKUP($F61,taux,22)*VLOOKUP($F61,taux,23))+($E61/12-VLOOKUP($F61,taux,21)-VLOOKUP($F61,taux,23))*VLOOKUP($F61,taux,24),IF($E61/12&gt;VLOOKUP($F61,taux,21),(VLOOKUP($F61,taux,20)*VLOOKUP($F61,taux,21))+($E61/12-VLOOKUP($F61,taux,21))*VLOOKUP($F61,taux,22),$E61/12*VLOOKUP($F61,taux,20))),0)),MIN(VLOOKUP($F61,taux,25),ROUNDUP(IF($E61/12&gt;VLOOKUP($F61,taux,21)+VLOOKUP($F61,taux,23),(VLOOKUP($F61,taux,20)*VLOOKUP($F61,taux,21))+(VLOOKUP($F61,taux,22)*VLOOKUP($F61,taux,23))+($E61/12-VLOOKUP($F61,taux,21)-VLOOKUP($F61,taux,23))*VLOOKUP($F61,taux,24),IF($E61/12&gt;VLOOKUP($F61,taux,21),(VLOOKUP($F61,taux,20)*VLOOKUP($F61,taux,21))+($E61/12-VLOOKUP($F61,taux,21))*VLOOKUP($F61,taux,22),$E61/12*VLOOKUP($F61,taux,20))),0)))))</f>
        <v>0</v>
      </c>
      <c r="AA61" s="111">
        <f ca="1">IF(C61&gt;=70,0,IF($B61=" ",0,IF(Données!$X101="non couvert"," ",Données!Y101)))</f>
        <v>0</v>
      </c>
      <c r="AB61" s="110">
        <f>IF($B61=" ",0,IF(Données!$X101="exo",0,IF($AA61="ind",VLOOKUP($F61,taux,34),IF($AA61="fam",VLOOKUP($F61,taux,35),IF($AA61="mono",VLOOKUP($F61,taux,36),IF($AA61="couple",VLOOKUP($F61,taux,37),0))))))</f>
        <v>0</v>
      </c>
      <c r="AC61" s="111">
        <f ca="1">IF(C61&gt;=70,0,IF($B61=" ",0,IF(Données!$Z101="non couvert"," ",Données!AA101)))</f>
        <v>0</v>
      </c>
      <c r="AD61" s="110">
        <f>IF($B61=" ",0,IF(Données!$Z101="exo",0,IF($AC61="ind",VLOOKUP($F61,taux,38),IF($AC61="fam",VLOOKUP($F61,taux,39),IF($AC61="mono",VLOOKUP($F61,taux,40),IF($AC61="couple",VLOOKUP($F61,taux,41),0))))))</f>
        <v>0</v>
      </c>
      <c r="AE61" s="112">
        <f>IF($B61=" ",0,IF(Données!$AB101="non couvert"," ",Données!AC101))</f>
        <v>0</v>
      </c>
      <c r="AF61" s="113">
        <f>IF($B61=" ",0,IF(Données!$AB101="exo",0,IF($AE61="ind",VLOOKUP($F61,taux,42),IF($AE61="fam",VLOOKUP($F61,taux,43),IF($AE61="mono",VLOOKUP($F61,taux,44),IF($AE61="couple",VLOOKUP($F61,taux,45),0))))))</f>
        <v>0</v>
      </c>
      <c r="AG61" s="114">
        <f t="shared" ca="1" si="7"/>
        <v>0</v>
      </c>
      <c r="AH61" s="114">
        <f>IF($B61=" ",0,IF(Données!J101="Manitoba",(Facture!H61+Facture!J61+Facture!L61+Facture!P61+Facture!R61+Facture!T61)*0.08,(AG61-W61)*IF(Données!$J101="qc",0.09,IF(Données!$J101="on",0.08,0))+W61*VLOOKUP($F61,taux,28)))</f>
        <v>0</v>
      </c>
      <c r="AI61" s="106">
        <f t="shared" ca="1" si="4"/>
        <v>0</v>
      </c>
    </row>
    <row r="62" spans="1:35" s="64" customFormat="1">
      <c r="A62" s="89">
        <f t="shared" si="5"/>
        <v>48</v>
      </c>
      <c r="B62" s="99" t="str">
        <f>CONCATENATE(Données!B102," ",Données!C102)</f>
        <v xml:space="preserve"> </v>
      </c>
      <c r="C62" s="410">
        <f ca="1">IF(B62="",0,INT((TODAY()-Données!E102)/365.25))</f>
        <v>119</v>
      </c>
      <c r="D62" s="100">
        <f>Données!D102</f>
        <v>0</v>
      </c>
      <c r="E62" s="101">
        <f>Données!I102</f>
        <v>0</v>
      </c>
      <c r="F62" s="102" t="str">
        <f>Données!AD102</f>
        <v/>
      </c>
      <c r="G62" s="103">
        <f ca="1">INDEX({1;0.5;0},MATCH(C62,{1;65;70}))*M62</f>
        <v>0</v>
      </c>
      <c r="H62" s="104">
        <f>IF($B62=" ",0,IF(Données!$K102="exo",0,$G62/1000*VLOOKUP($F62,taux,2)))</f>
        <v>0</v>
      </c>
      <c r="I62" s="398">
        <f ca="1">IF(C62&gt;=65,0,Données!M102*5000)</f>
        <v>0</v>
      </c>
      <c r="J62" s="104">
        <f ca="1">I62/1000*(IF(I62=0,0,1)*VLOOKUP((1+(C62&gt;=20)+(C62&gt;=25)+(C62&gt;=30)+(C62&gt;=35)+(C62&gt;=40)+(C62&gt;=45)+(C62&gt;=50)+(C62&gt;=55)+(C62&gt;=60)+(C62&gt;=65)),Test,2+(IF(Données!F102="H",1,3))+(IF(Données!G102="F",1,0))))</f>
        <v>0</v>
      </c>
      <c r="K62" s="103">
        <f ca="1">INDEX({1;0.5;0},MATCH(C62,{1;65;70}))*M62</f>
        <v>0</v>
      </c>
      <c r="L62" s="104">
        <f>IF($B62=" ",0,IF(Données!$N102="exo",0,$K62/1000*VLOOKUP($F62,taux,6)))</f>
        <v>0</v>
      </c>
      <c r="M62" s="379">
        <f>IF($B62=" ",0,IF(Données!$K102="NON COUVERT",0,IF(AND(Données!$L102="oui",Données!$K102=0.5),MIN(VLOOKUP($F62,taux,5)/2,ROUNDUP(VLOOKUP($F62,taux,3)*$E62,-3)/2),IF(Données!$K102=0.5,MIN(VLOOKUP($F62,taux,4)/2,ROUNDUP(VLOOKUP($F62,taux,3)*$E62,-3)/2),ROUNDUP(IF(Données!$L102="OUI",MIN(VLOOKUP($F62,taux,3)*$E62,VLOOKUP($F62,taux,5)),MIN(VLOOKUP($F62,taux,3)*$E62,VLOOKUP($F62,taux,4))),-3)))))</f>
        <v>0</v>
      </c>
      <c r="N62" s="379">
        <f>IF($B62=" ",0,IF(Données!$N102="NON COUVERT",0,IF(AND(Données!$O102="oui",Données!$N102=0.5),MIN(VLOOKUP($F62,taux,9)/2,ROUNDUP(VLOOKUP($F62,taux,7)*$E62,-3)/2),IF(Données!$N102=0.5,MIN(VLOOKUP($F62,taux,8)/2,ROUNDUP(VLOOKUP($F62,taux,7)*$E62,-3)/2),ROUNDUP(IF(Données!$O102="OUI",MIN(VLOOKUP($F62,taux,7)*$E62,VLOOKUP($F62,taux,9)),MIN(VLOOKUP($F62,taux,7)*$E62,VLOOKUP($F62,taux,8))),-3)))))</f>
        <v>0</v>
      </c>
      <c r="O62" s="105">
        <f ca="1">IF(C62&gt;=70,0,IF($B62=" ",0,IF(Données!P102="non couvert"," ",Données!Q102)))</f>
        <v>0</v>
      </c>
      <c r="P62" s="106">
        <f>IF($B62=" ",0,IF(Données!$P102="exo",0,IF($O62="FAM",VLOOKUP($F62,taux,10),IF($O62="MONO",VLOOKUP($F62,taux,11),IF($O62="COUPLE",VLOOKUP($F62,taux,12),0)))))</f>
        <v>0</v>
      </c>
      <c r="Q62" s="107">
        <f ca="1">IF(C62&gt;=70,0,IF($B62=" ",0,IF(Données!$R102="NON COUVERT",0,ROUNDUP(IF(Données!$S102="OUI",MIN($E62*VLOOKUP($F62,taux,15)/52,VLOOKUP($F62,taux,17)),MIN($E62*VLOOKUP($F62,taux,15)/52,VLOOKUP($F62,taux,16))),0))))</f>
        <v>0</v>
      </c>
      <c r="R62" s="108">
        <f>IF($B62=" ",0,IF(Données!$R102="EXO",0,$Q62*VLOOKUP($F62,taux,13)/10))</f>
        <v>0</v>
      </c>
      <c r="S62" s="109">
        <f t="shared" ca="1" si="3"/>
        <v>0</v>
      </c>
      <c r="T62" s="110">
        <f>IF(B62=" ",0,IF(Données!$T102="exo",0,$S62*VLOOKUP($F62,taux,18)/100))</f>
        <v>0</v>
      </c>
      <c r="U62" s="109">
        <f>IF($B62=" ",0,IF(Données!$V102="non couvert",0,IF(VLOOKUP($F62,taux,29)="fixe","s/o",IF(Données!$W102="oui",MIN(ROUNDUP(VLOOKUP($F62,taux,31)*$E62,-3),VLOOKUP($F62,taux,33)),MIN(ROUNDUP(VLOOKUP($F62,taux,31)*$E62,-3),VLOOKUP($F62,taux,32))))))</f>
        <v>0</v>
      </c>
      <c r="V62" s="110">
        <f>IF(B62=" ",0,IF(Données!$V102="exo",0,IF(VLOOKUP($F62,taux,29)="fixe",VLOOKUP($F62,taux,30),$U62/1000*VLOOKUP($F62,taux,30))))</f>
        <v>0</v>
      </c>
      <c r="W62" s="110">
        <f t="shared" si="0"/>
        <v>0</v>
      </c>
      <c r="X62" s="383">
        <f>IF(B62=" ",0,EDATE((Données!E102),780))</f>
        <v>0</v>
      </c>
      <c r="Y62" s="383">
        <f t="shared" si="6"/>
        <v>0</v>
      </c>
      <c r="Z62" s="384">
        <f>IF($B62=" ",0,IF(Données!$T102="non couvert",0,IF(Données!$U102="oui",MIN(VLOOKUP($F62,taux,26),ROUNDUP(IF($E62/12&gt;VLOOKUP($F62,taux,21)+VLOOKUP($F62,taux,23),(VLOOKUP($F62,taux,20)*VLOOKUP($F62,taux,21))+(VLOOKUP($F62,taux,22)*VLOOKUP($F62,taux,23))+($E62/12-VLOOKUP($F62,taux,21)-VLOOKUP($F62,taux,23))*VLOOKUP($F62,taux,24),IF($E62/12&gt;VLOOKUP($F62,taux,21),(VLOOKUP($F62,taux,20)*VLOOKUP($F62,taux,21))+($E62/12-VLOOKUP($F62,taux,21))*VLOOKUP($F62,taux,22),$E62/12*VLOOKUP($F62,taux,20))),0)),MIN(VLOOKUP($F62,taux,25),ROUNDUP(IF($E62/12&gt;VLOOKUP($F62,taux,21)+VLOOKUP($F62,taux,23),(VLOOKUP($F62,taux,20)*VLOOKUP($F62,taux,21))+(VLOOKUP($F62,taux,22)*VLOOKUP($F62,taux,23))+($E62/12-VLOOKUP($F62,taux,21)-VLOOKUP($F62,taux,23))*VLOOKUP($F62,taux,24),IF($E62/12&gt;VLOOKUP($F62,taux,21),(VLOOKUP($F62,taux,20)*VLOOKUP($F62,taux,21))+($E62/12-VLOOKUP($F62,taux,21))*VLOOKUP($F62,taux,22),$E62/12*VLOOKUP($F62,taux,20))),0)))))</f>
        <v>0</v>
      </c>
      <c r="AA62" s="111">
        <f ca="1">IF(C62&gt;=70,0,IF($B62=" ",0,IF(Données!$X102="non couvert"," ",Données!Y102)))</f>
        <v>0</v>
      </c>
      <c r="AB62" s="110">
        <f>IF($B62=" ",0,IF(Données!$X102="exo",0,IF($AA62="ind",VLOOKUP($F62,taux,34),IF($AA62="fam",VLOOKUP($F62,taux,35),IF($AA62="mono",VLOOKUP($F62,taux,36),IF($AA62="couple",VLOOKUP($F62,taux,37),0))))))</f>
        <v>0</v>
      </c>
      <c r="AC62" s="111">
        <f ca="1">IF(C62&gt;=70,0,IF($B62=" ",0,IF(Données!$Z102="non couvert"," ",Données!AA102)))</f>
        <v>0</v>
      </c>
      <c r="AD62" s="110">
        <f>IF($B62=" ",0,IF(Données!$Z102="exo",0,IF($AC62="ind",VLOOKUP($F62,taux,38),IF($AC62="fam",VLOOKUP($F62,taux,39),IF($AC62="mono",VLOOKUP($F62,taux,40),IF($AC62="couple",VLOOKUP($F62,taux,41),0))))))</f>
        <v>0</v>
      </c>
      <c r="AE62" s="112">
        <f>IF($B62=" ",0,IF(Données!$AB102="non couvert"," ",Données!AC102))</f>
        <v>0</v>
      </c>
      <c r="AF62" s="113">
        <f>IF($B62=" ",0,IF(Données!$AB102="exo",0,IF($AE62="ind",VLOOKUP($F62,taux,42),IF($AE62="fam",VLOOKUP($F62,taux,43),IF($AE62="mono",VLOOKUP($F62,taux,44),IF($AE62="couple",VLOOKUP($F62,taux,45),0))))))</f>
        <v>0</v>
      </c>
      <c r="AG62" s="114">
        <f t="shared" ca="1" si="7"/>
        <v>0</v>
      </c>
      <c r="AH62" s="114">
        <f>IF($B62=" ",0,IF(Données!J102="Manitoba",(Facture!H62+Facture!J62+Facture!L62+Facture!P62+Facture!R62+Facture!T62)*0.08,(AG62-W62)*IF(Données!$J102="qc",0.09,IF(Données!$J102="on",0.08,0))+W62*VLOOKUP($F62,taux,28)))</f>
        <v>0</v>
      </c>
      <c r="AI62" s="106">
        <f t="shared" ca="1" si="4"/>
        <v>0</v>
      </c>
    </row>
    <row r="63" spans="1:35" s="64" customFormat="1">
      <c r="A63" s="89">
        <f t="shared" si="5"/>
        <v>49</v>
      </c>
      <c r="B63" s="99" t="str">
        <f>CONCATENATE(Données!B103," ",Données!C103)</f>
        <v xml:space="preserve"> </v>
      </c>
      <c r="C63" s="410">
        <f ca="1">IF(B63="",0,INT((TODAY()-Données!E103)/365.25))</f>
        <v>119</v>
      </c>
      <c r="D63" s="100">
        <f>Données!D103</f>
        <v>0</v>
      </c>
      <c r="E63" s="101">
        <f>Données!I103</f>
        <v>0</v>
      </c>
      <c r="F63" s="102" t="str">
        <f>Données!AD103</f>
        <v/>
      </c>
      <c r="G63" s="103">
        <f ca="1">INDEX({1;0.5;0},MATCH(C63,{1;65;70}))*M63</f>
        <v>0</v>
      </c>
      <c r="H63" s="104">
        <f>IF($B63=" ",0,IF(Données!$K103="exo",0,$G63/1000*VLOOKUP($F63,taux,2)))</f>
        <v>0</v>
      </c>
      <c r="I63" s="398">
        <f ca="1">IF(C63&gt;=65,0,Données!M103*5000)</f>
        <v>0</v>
      </c>
      <c r="J63" s="104">
        <f ca="1">I63/1000*(IF(I63=0,0,1)*VLOOKUP((1+(C63&gt;=20)+(C63&gt;=25)+(C63&gt;=30)+(C63&gt;=35)+(C63&gt;=40)+(C63&gt;=45)+(C63&gt;=50)+(C63&gt;=55)+(C63&gt;=60)+(C63&gt;=65)),Test,2+(IF(Données!F103="H",1,3))+(IF(Données!G103="F",1,0))))</f>
        <v>0</v>
      </c>
      <c r="K63" s="103">
        <f ca="1">INDEX({1;0.5;0},MATCH(C63,{1;65;70}))*M63</f>
        <v>0</v>
      </c>
      <c r="L63" s="104">
        <f>IF($B63=" ",0,IF(Données!$N103="exo",0,$K63/1000*VLOOKUP($F63,taux,6)))</f>
        <v>0</v>
      </c>
      <c r="M63" s="379">
        <f>IF($B63=" ",0,IF(Données!$K103="NON COUVERT",0,IF(AND(Données!$L103="oui",Données!$K103=0.5),MIN(VLOOKUP($F63,taux,5)/2,ROUNDUP(VLOOKUP($F63,taux,3)*$E63,-3)/2),IF(Données!$K103=0.5,MIN(VLOOKUP($F63,taux,4)/2,ROUNDUP(VLOOKUP($F63,taux,3)*$E63,-3)/2),ROUNDUP(IF(Données!$L103="OUI",MIN(VLOOKUP($F63,taux,3)*$E63,VLOOKUP($F63,taux,5)),MIN(VLOOKUP($F63,taux,3)*$E63,VLOOKUP($F63,taux,4))),-3)))))</f>
        <v>0</v>
      </c>
      <c r="N63" s="379">
        <f>IF($B63=" ",0,IF(Données!$N103="NON COUVERT",0,IF(AND(Données!$O103="oui",Données!$N103=0.5),MIN(VLOOKUP($F63,taux,9)/2,ROUNDUP(VLOOKUP($F63,taux,7)*$E63,-3)/2),IF(Données!$N103=0.5,MIN(VLOOKUP($F63,taux,8)/2,ROUNDUP(VLOOKUP($F63,taux,7)*$E63,-3)/2),ROUNDUP(IF(Données!$O103="OUI",MIN(VLOOKUP($F63,taux,7)*$E63,VLOOKUP($F63,taux,9)),MIN(VLOOKUP($F63,taux,7)*$E63,VLOOKUP($F63,taux,8))),-3)))))</f>
        <v>0</v>
      </c>
      <c r="O63" s="105">
        <f ca="1">IF(C63&gt;=70,0,IF($B63=" ",0,IF(Données!P103="non couvert"," ",Données!Q103)))</f>
        <v>0</v>
      </c>
      <c r="P63" s="106">
        <f>IF($B63=" ",0,IF(Données!$P103="exo",0,IF($O63="FAM",VLOOKUP($F63,taux,10),IF($O63="MONO",VLOOKUP($F63,taux,11),IF($O63="COUPLE",VLOOKUP($F63,taux,12),0)))))</f>
        <v>0</v>
      </c>
      <c r="Q63" s="107">
        <f ca="1">IF(C63&gt;=70,0,IF($B63=" ",0,IF(Données!$R103="NON COUVERT",0,ROUNDUP(IF(Données!$S103="OUI",MIN($E63*VLOOKUP($F63,taux,15)/52,VLOOKUP($F63,taux,17)),MIN($E63*VLOOKUP($F63,taux,15)/52,VLOOKUP($F63,taux,16))),0))))</f>
        <v>0</v>
      </c>
      <c r="R63" s="108">
        <f>IF($B63=" ",0,IF(Données!$R103="EXO",0,$Q63*VLOOKUP($F63,taux,13)/10))</f>
        <v>0</v>
      </c>
      <c r="S63" s="109">
        <f t="shared" ca="1" si="3"/>
        <v>0</v>
      </c>
      <c r="T63" s="110">
        <f>IF(B63=" ",0,IF(Données!$T103="exo",0,$S63*VLOOKUP($F63,taux,18)/100))</f>
        <v>0</v>
      </c>
      <c r="U63" s="109">
        <f>IF($B63=" ",0,IF(Données!$V103="non couvert",0,IF(VLOOKUP($F63,taux,29)="fixe","s/o",IF(Données!$W103="oui",MIN(ROUNDUP(VLOOKUP($F63,taux,31)*$E63,-3),VLOOKUP($F63,taux,33)),MIN(ROUNDUP(VLOOKUP($F63,taux,31)*$E63,-3),VLOOKUP($F63,taux,32))))))</f>
        <v>0</v>
      </c>
      <c r="V63" s="110">
        <f>IF(B63=" ",0,IF(Données!$V103="exo",0,IF(VLOOKUP($F63,taux,29)="fixe",VLOOKUP($F63,taux,30),$U63/1000*VLOOKUP($F63,taux,30))))</f>
        <v>0</v>
      </c>
      <c r="W63" s="110">
        <f t="shared" si="0"/>
        <v>0</v>
      </c>
      <c r="X63" s="383">
        <f>IF(B63=" ",0,EDATE((Données!E103),780))</f>
        <v>0</v>
      </c>
      <c r="Y63" s="383">
        <f t="shared" si="6"/>
        <v>0</v>
      </c>
      <c r="Z63" s="384">
        <f>IF($B63=" ",0,IF(Données!$T103="non couvert",0,IF(Données!$U103="oui",MIN(VLOOKUP($F63,taux,26),ROUNDUP(IF($E63/12&gt;VLOOKUP($F63,taux,21)+VLOOKUP($F63,taux,23),(VLOOKUP($F63,taux,20)*VLOOKUP($F63,taux,21))+(VLOOKUP($F63,taux,22)*VLOOKUP($F63,taux,23))+($E63/12-VLOOKUP($F63,taux,21)-VLOOKUP($F63,taux,23))*VLOOKUP($F63,taux,24),IF($E63/12&gt;VLOOKUP($F63,taux,21),(VLOOKUP($F63,taux,20)*VLOOKUP($F63,taux,21))+($E63/12-VLOOKUP($F63,taux,21))*VLOOKUP($F63,taux,22),$E63/12*VLOOKUP($F63,taux,20))),0)),MIN(VLOOKUP($F63,taux,25),ROUNDUP(IF($E63/12&gt;VLOOKUP($F63,taux,21)+VLOOKUP($F63,taux,23),(VLOOKUP($F63,taux,20)*VLOOKUP($F63,taux,21))+(VLOOKUP($F63,taux,22)*VLOOKUP($F63,taux,23))+($E63/12-VLOOKUP($F63,taux,21)-VLOOKUP($F63,taux,23))*VLOOKUP($F63,taux,24),IF($E63/12&gt;VLOOKUP($F63,taux,21),(VLOOKUP($F63,taux,20)*VLOOKUP($F63,taux,21))+($E63/12-VLOOKUP($F63,taux,21))*VLOOKUP($F63,taux,22),$E63/12*VLOOKUP($F63,taux,20))),0)))))</f>
        <v>0</v>
      </c>
      <c r="AA63" s="111">
        <f ca="1">IF(C63&gt;=70,0,IF($B63=" ",0,IF(Données!$X103="non couvert"," ",Données!Y103)))</f>
        <v>0</v>
      </c>
      <c r="AB63" s="110">
        <f>IF($B63=" ",0,IF(Données!$X103="exo",0,IF($AA63="ind",VLOOKUP($F63,taux,34),IF($AA63="fam",VLOOKUP($F63,taux,35),IF($AA63="mono",VLOOKUP($F63,taux,36),IF($AA63="couple",VLOOKUP($F63,taux,37),0))))))</f>
        <v>0</v>
      </c>
      <c r="AC63" s="111">
        <f ca="1">IF(C63&gt;=70,0,IF($B63=" ",0,IF(Données!$Z103="non couvert"," ",Données!AA103)))</f>
        <v>0</v>
      </c>
      <c r="AD63" s="110">
        <f>IF($B63=" ",0,IF(Données!$Z103="exo",0,IF($AC63="ind",VLOOKUP($F63,taux,38),IF($AC63="fam",VLOOKUP($F63,taux,39),IF($AC63="mono",VLOOKUP($F63,taux,40),IF($AC63="couple",VLOOKUP($F63,taux,41),0))))))</f>
        <v>0</v>
      </c>
      <c r="AE63" s="112">
        <f>IF($B63=" ",0,IF(Données!$AB103="non couvert"," ",Données!AC103))</f>
        <v>0</v>
      </c>
      <c r="AF63" s="113">
        <f>IF($B63=" ",0,IF(Données!$AB103="exo",0,IF($AE63="ind",VLOOKUP($F63,taux,42),IF($AE63="fam",VLOOKUP($F63,taux,43),IF($AE63="mono",VLOOKUP($F63,taux,44),IF($AE63="couple",VLOOKUP($F63,taux,45),0))))))</f>
        <v>0</v>
      </c>
      <c r="AG63" s="114">
        <f t="shared" ca="1" si="7"/>
        <v>0</v>
      </c>
      <c r="AH63" s="114">
        <f>IF($B63=" ",0,IF(Données!J103="Manitoba",(Facture!H63+Facture!J63+Facture!L63+Facture!P63+Facture!R63+Facture!T63)*0.08,(AG63-W63)*IF(Données!$J103="qc",0.09,IF(Données!$J103="on",0.08,0))+W63*VLOOKUP($F63,taux,28)))</f>
        <v>0</v>
      </c>
      <c r="AI63" s="106">
        <f t="shared" ca="1" si="4"/>
        <v>0</v>
      </c>
    </row>
    <row r="64" spans="1:35" s="64" customFormat="1">
      <c r="A64" s="89">
        <f t="shared" si="5"/>
        <v>50</v>
      </c>
      <c r="B64" s="99" t="str">
        <f>CONCATENATE(Données!B104," ",Données!C104)</f>
        <v xml:space="preserve"> </v>
      </c>
      <c r="C64" s="410">
        <f ca="1">IF(B64="",0,INT((TODAY()-Données!E104)/365.25))</f>
        <v>119</v>
      </c>
      <c r="D64" s="100">
        <f>Données!D104</f>
        <v>0</v>
      </c>
      <c r="E64" s="101">
        <f>Données!I104</f>
        <v>0</v>
      </c>
      <c r="F64" s="102" t="str">
        <f>Données!AD104</f>
        <v/>
      </c>
      <c r="G64" s="103">
        <f ca="1">INDEX({1;0.5;0},MATCH(C64,{1;65;70}))*M64</f>
        <v>0</v>
      </c>
      <c r="H64" s="104">
        <f>IF($B64=" ",0,IF(Données!$K104="exo",0,$G64/1000*VLOOKUP($F64,taux,2)))</f>
        <v>0</v>
      </c>
      <c r="I64" s="398">
        <f ca="1">IF(C64&gt;=65,0,Données!M104*5000)</f>
        <v>0</v>
      </c>
      <c r="J64" s="104">
        <f ca="1">I64/1000*(IF(I64=0,0,1)*VLOOKUP((1+(C64&gt;=20)+(C64&gt;=25)+(C64&gt;=30)+(C64&gt;=35)+(C64&gt;=40)+(C64&gt;=45)+(C64&gt;=50)+(C64&gt;=55)+(C64&gt;=60)+(C64&gt;=65)),Test,2+(IF(Données!F104="H",1,3))+(IF(Données!G104="F",1,0))))</f>
        <v>0</v>
      </c>
      <c r="K64" s="103">
        <f ca="1">INDEX({1;0.5;0},MATCH(C64,{1;65;70}))*M64</f>
        <v>0</v>
      </c>
      <c r="L64" s="104">
        <f>IF($B64=" ",0,IF(Données!$N104="exo",0,$K64/1000*VLOOKUP($F64,taux,6)))</f>
        <v>0</v>
      </c>
      <c r="M64" s="379">
        <f>IF($B64=" ",0,IF(Données!$K104="NON COUVERT",0,IF(AND(Données!$L104="oui",Données!$K104=0.5),MIN(VLOOKUP($F64,taux,5)/2,ROUNDUP(VLOOKUP($F64,taux,3)*$E64,-3)/2),IF(Données!$K104=0.5,MIN(VLOOKUP($F64,taux,4)/2,ROUNDUP(VLOOKUP($F64,taux,3)*$E64,-3)/2),ROUNDUP(IF(Données!$L104="OUI",MIN(VLOOKUP($F64,taux,3)*$E64,VLOOKUP($F64,taux,5)),MIN(VLOOKUP($F64,taux,3)*$E64,VLOOKUP($F64,taux,4))),-3)))))</f>
        <v>0</v>
      </c>
      <c r="N64" s="379">
        <f>IF($B64=" ",0,IF(Données!$N104="NON COUVERT",0,IF(AND(Données!$O104="oui",Données!$N104=0.5),MIN(VLOOKUP($F64,taux,9)/2,ROUNDUP(VLOOKUP($F64,taux,7)*$E64,-3)/2),IF(Données!$N104=0.5,MIN(VLOOKUP($F64,taux,8)/2,ROUNDUP(VLOOKUP($F64,taux,7)*$E64,-3)/2),ROUNDUP(IF(Données!$O104="OUI",MIN(VLOOKUP($F64,taux,7)*$E64,VLOOKUP($F64,taux,9)),MIN(VLOOKUP($F64,taux,7)*$E64,VLOOKUP($F64,taux,8))),-3)))))</f>
        <v>0</v>
      </c>
      <c r="O64" s="105">
        <f ca="1">IF(C64&gt;=70,0,IF($B64=" ",0,IF(Données!P104="non couvert"," ",Données!Q104)))</f>
        <v>0</v>
      </c>
      <c r="P64" s="106">
        <f>IF($B64=" ",0,IF(Données!$P104="exo",0,IF($O64="FAM",VLOOKUP($F64,taux,10),IF($O64="MONO",VLOOKUP($F64,taux,11),IF($O64="COUPLE",VLOOKUP($F64,taux,12),0)))))</f>
        <v>0</v>
      </c>
      <c r="Q64" s="107">
        <f ca="1">IF(C64&gt;=70,0,IF($B64=" ",0,IF(Données!$R104="NON COUVERT",0,ROUNDUP(IF(Données!$S104="OUI",MIN($E64*VLOOKUP($F64,taux,15)/52,VLOOKUP($F64,taux,17)),MIN($E64*VLOOKUP($F64,taux,15)/52,VLOOKUP($F64,taux,16))),0))))</f>
        <v>0</v>
      </c>
      <c r="R64" s="108">
        <f>IF($B64=" ",0,IF(Données!$R104="EXO",0,$Q64*VLOOKUP($F64,taux,13)/10))</f>
        <v>0</v>
      </c>
      <c r="S64" s="109">
        <f t="shared" ca="1" si="3"/>
        <v>0</v>
      </c>
      <c r="T64" s="110">
        <f>IF(B64=" ",0,IF(Données!$T104="exo",0,$S64*VLOOKUP($F64,taux,18)/100))</f>
        <v>0</v>
      </c>
      <c r="U64" s="109">
        <f>IF($B64=" ",0,IF(Données!$V104="non couvert",0,IF(VLOOKUP($F64,taux,29)="fixe","s/o",IF(Données!$W104="oui",MIN(ROUNDUP(VLOOKUP($F64,taux,31)*$E64,-3),VLOOKUP($F64,taux,33)),MIN(ROUNDUP(VLOOKUP($F64,taux,31)*$E64,-3),VLOOKUP($F64,taux,32))))))</f>
        <v>0</v>
      </c>
      <c r="V64" s="110">
        <f>IF(B64=" ",0,IF(Données!$V104="exo",0,IF(VLOOKUP($F64,taux,29)="fixe",VLOOKUP($F64,taux,30),$U64/1000*VLOOKUP($F64,taux,30))))</f>
        <v>0</v>
      </c>
      <c r="W64" s="110">
        <f t="shared" si="0"/>
        <v>0</v>
      </c>
      <c r="X64" s="383">
        <f>IF(B64=" ",0,EDATE((Données!E104),780))</f>
        <v>0</v>
      </c>
      <c r="Y64" s="383">
        <f t="shared" si="6"/>
        <v>0</v>
      </c>
      <c r="Z64" s="384">
        <f>IF($B64=" ",0,IF(Données!$T104="non couvert",0,IF(Données!$U104="oui",MIN(VLOOKUP($F64,taux,26),ROUNDUP(IF($E64/12&gt;VLOOKUP($F64,taux,21)+VLOOKUP($F64,taux,23),(VLOOKUP($F64,taux,20)*VLOOKUP($F64,taux,21))+(VLOOKUP($F64,taux,22)*VLOOKUP($F64,taux,23))+($E64/12-VLOOKUP($F64,taux,21)-VLOOKUP($F64,taux,23))*VLOOKUP($F64,taux,24),IF($E64/12&gt;VLOOKUP($F64,taux,21),(VLOOKUP($F64,taux,20)*VLOOKUP($F64,taux,21))+($E64/12-VLOOKUP($F64,taux,21))*VLOOKUP($F64,taux,22),$E64/12*VLOOKUP($F64,taux,20))),0)),MIN(VLOOKUP($F64,taux,25),ROUNDUP(IF($E64/12&gt;VLOOKUP($F64,taux,21)+VLOOKUP($F64,taux,23),(VLOOKUP($F64,taux,20)*VLOOKUP($F64,taux,21))+(VLOOKUP($F64,taux,22)*VLOOKUP($F64,taux,23))+($E64/12-VLOOKUP($F64,taux,21)-VLOOKUP($F64,taux,23))*VLOOKUP($F64,taux,24),IF($E64/12&gt;VLOOKUP($F64,taux,21),(VLOOKUP($F64,taux,20)*VLOOKUP($F64,taux,21))+($E64/12-VLOOKUP($F64,taux,21))*VLOOKUP($F64,taux,22),$E64/12*VLOOKUP($F64,taux,20))),0)))))</f>
        <v>0</v>
      </c>
      <c r="AA64" s="111">
        <f ca="1">IF(C64&gt;=70,0,IF($B64=" ",0,IF(Données!$X104="non couvert"," ",Données!Y104)))</f>
        <v>0</v>
      </c>
      <c r="AB64" s="110">
        <f>IF($B64=" ",0,IF(Données!$X104="exo",0,IF($AA64="ind",VLOOKUP($F64,taux,34),IF($AA64="fam",VLOOKUP($F64,taux,35),IF($AA64="mono",VLOOKUP($F64,taux,36),IF($AA64="couple",VLOOKUP($F64,taux,37),0))))))</f>
        <v>0</v>
      </c>
      <c r="AC64" s="111">
        <f ca="1">IF(C64&gt;=70,0,IF($B64=" ",0,IF(Données!$Z104="non couvert"," ",Données!AA104)))</f>
        <v>0</v>
      </c>
      <c r="AD64" s="110">
        <f>IF($B64=" ",0,IF(Données!$Z104="exo",0,IF($AC64="ind",VLOOKUP($F64,taux,38),IF($AC64="fam",VLOOKUP($F64,taux,39),IF($AC64="mono",VLOOKUP($F64,taux,40),IF($AC64="couple",VLOOKUP($F64,taux,41),0))))))</f>
        <v>0</v>
      </c>
      <c r="AE64" s="112">
        <f>IF($B64=" ",0,IF(Données!$AB104="non couvert"," ",Données!AC104))</f>
        <v>0</v>
      </c>
      <c r="AF64" s="113">
        <f>IF($B64=" ",0,IF(Données!$AB104="exo",0,IF($AE64="ind",VLOOKUP($F64,taux,42),IF($AE64="fam",VLOOKUP($F64,taux,43),IF($AE64="mono",VLOOKUP($F64,taux,44),IF($AE64="couple",VLOOKUP($F64,taux,45),0))))))</f>
        <v>0</v>
      </c>
      <c r="AG64" s="114">
        <f t="shared" ca="1" si="7"/>
        <v>0</v>
      </c>
      <c r="AH64" s="114">
        <f>IF($B64=" ",0,IF(Données!J104="Manitoba",(Facture!H64+Facture!J64+Facture!L64+Facture!P64+Facture!R64+Facture!T64)*0.08,(AG64-W64)*IF(Données!$J104="qc",0.09,IF(Données!$J104="on",0.08,0))+W64*VLOOKUP($F64,taux,28)))</f>
        <v>0</v>
      </c>
      <c r="AI64" s="106">
        <f t="shared" ca="1" si="4"/>
        <v>0</v>
      </c>
    </row>
    <row r="65" spans="1:35" s="64" customFormat="1">
      <c r="A65" s="89">
        <f t="shared" si="5"/>
        <v>51</v>
      </c>
      <c r="B65" s="99" t="str">
        <f>CONCATENATE(Données!B105," ",Données!C105)</f>
        <v xml:space="preserve"> </v>
      </c>
      <c r="C65" s="410">
        <f ca="1">IF(B65="",0,INT((TODAY()-Données!E105)/365.25))</f>
        <v>119</v>
      </c>
      <c r="D65" s="100">
        <f>Données!D105</f>
        <v>0</v>
      </c>
      <c r="E65" s="101">
        <f>Données!I105</f>
        <v>0</v>
      </c>
      <c r="F65" s="102" t="str">
        <f>Données!AD105</f>
        <v/>
      </c>
      <c r="G65" s="103">
        <f ca="1">INDEX({1;0.5;0},MATCH(C65,{1;65;70}))*M65</f>
        <v>0</v>
      </c>
      <c r="H65" s="104">
        <f>IF($B65=" ",0,IF(Données!$K105="exo",0,$G65/1000*VLOOKUP($F65,taux,2)))</f>
        <v>0</v>
      </c>
      <c r="I65" s="398">
        <f ca="1">IF(C65&gt;=65,0,Données!M105*5000)</f>
        <v>0</v>
      </c>
      <c r="J65" s="104">
        <f ca="1">I65/1000*(IF(I65=0,0,1)*VLOOKUP((1+(C65&gt;=20)+(C65&gt;=25)+(C65&gt;=30)+(C65&gt;=35)+(C65&gt;=40)+(C65&gt;=45)+(C65&gt;=50)+(C65&gt;=55)+(C65&gt;=60)+(C65&gt;=65)),Test,2+(IF(Données!F105="H",1,3))+(IF(Données!G105="F",1,0))))</f>
        <v>0</v>
      </c>
      <c r="K65" s="103">
        <f ca="1">INDEX({1;0.5;0},MATCH(C65,{1;65;70}))*M65</f>
        <v>0</v>
      </c>
      <c r="L65" s="104">
        <f>IF($B65=" ",0,IF(Données!$N105="exo",0,$K65/1000*VLOOKUP($F65,taux,6)))</f>
        <v>0</v>
      </c>
      <c r="M65" s="379">
        <f>IF($B65=" ",0,IF(Données!$K105="NON COUVERT",0,IF(AND(Données!$L105="oui",Données!$K105=0.5),MIN(VLOOKUP($F65,taux,5)/2,ROUNDUP(VLOOKUP($F65,taux,3)*$E65,-3)/2),IF(Données!$K105=0.5,MIN(VLOOKUP($F65,taux,4)/2,ROUNDUP(VLOOKUP($F65,taux,3)*$E65,-3)/2),ROUNDUP(IF(Données!$L105="OUI",MIN(VLOOKUP($F65,taux,3)*$E65,VLOOKUP($F65,taux,5)),MIN(VLOOKUP($F65,taux,3)*$E65,VLOOKUP($F65,taux,4))),-3)))))</f>
        <v>0</v>
      </c>
      <c r="N65" s="379">
        <f>IF($B65=" ",0,IF(Données!$N105="NON COUVERT",0,IF(AND(Données!$O105="oui",Données!$N105=0.5),MIN(VLOOKUP($F65,taux,9)/2,ROUNDUP(VLOOKUP($F65,taux,7)*$E65,-3)/2),IF(Données!$N105=0.5,MIN(VLOOKUP($F65,taux,8)/2,ROUNDUP(VLOOKUP($F65,taux,7)*$E65,-3)/2),ROUNDUP(IF(Données!$O105="OUI",MIN(VLOOKUP($F65,taux,7)*$E65,VLOOKUP($F65,taux,9)),MIN(VLOOKUP($F65,taux,7)*$E65,VLOOKUP($F65,taux,8))),-3)))))</f>
        <v>0</v>
      </c>
      <c r="O65" s="105">
        <f ca="1">IF(C65&gt;=70,0,IF($B65=" ",0,IF(Données!P105="non couvert"," ",Données!Q105)))</f>
        <v>0</v>
      </c>
      <c r="P65" s="106">
        <f>IF($B65=" ",0,IF(Données!$P105="exo",0,IF($O65="FAM",VLOOKUP($F65,taux,10),IF($O65="MONO",VLOOKUP($F65,taux,11),IF($O65="COUPLE",VLOOKUP($F65,taux,12),0)))))</f>
        <v>0</v>
      </c>
      <c r="Q65" s="107">
        <f ca="1">IF(C65&gt;=70,0,IF($B65=" ",0,IF(Données!$R105="NON COUVERT",0,ROUNDUP(IF(Données!$S105="OUI",MIN($E65*VLOOKUP($F65,taux,15)/52,VLOOKUP($F65,taux,17)),MIN($E65*VLOOKUP($F65,taux,15)/52,VLOOKUP($F65,taux,16))),0))))</f>
        <v>0</v>
      </c>
      <c r="R65" s="108">
        <f>IF($B65=" ",0,IF(Données!$R105="EXO",0,$Q65*VLOOKUP($F65,taux,13)/10))</f>
        <v>0</v>
      </c>
      <c r="S65" s="109">
        <f t="shared" ca="1" si="3"/>
        <v>0</v>
      </c>
      <c r="T65" s="110">
        <f>IF(B65=" ",0,IF(Données!$T105="exo",0,$S65*VLOOKUP($F65,taux,18)/100))</f>
        <v>0</v>
      </c>
      <c r="U65" s="109">
        <f>IF($B65=" ",0,IF(Données!$V105="non couvert",0,IF(VLOOKUP($F65,taux,29)="fixe","s/o",IF(Données!$W105="oui",MIN(ROUNDUP(VLOOKUP($F65,taux,31)*$E65,-3),VLOOKUP($F65,taux,33)),MIN(ROUNDUP(VLOOKUP($F65,taux,31)*$E65,-3),VLOOKUP($F65,taux,32))))))</f>
        <v>0</v>
      </c>
      <c r="V65" s="110">
        <f>IF(B65=" ",0,IF(Données!$V105="exo",0,IF(VLOOKUP($F65,taux,29)="fixe",VLOOKUP($F65,taux,30),$U65/1000*VLOOKUP($F65,taux,30))))</f>
        <v>0</v>
      </c>
      <c r="W65" s="110">
        <f t="shared" si="0"/>
        <v>0</v>
      </c>
      <c r="X65" s="383">
        <f>IF(B65=" ",0,EDATE((Données!E105),780))</f>
        <v>0</v>
      </c>
      <c r="Y65" s="383">
        <f t="shared" si="6"/>
        <v>0</v>
      </c>
      <c r="Z65" s="384">
        <f>IF($B65=" ",0,IF(Données!$T105="non couvert",0,IF(Données!$U105="oui",MIN(VLOOKUP($F65,taux,26),ROUNDUP(IF($E65/12&gt;VLOOKUP($F65,taux,21)+VLOOKUP($F65,taux,23),(VLOOKUP($F65,taux,20)*VLOOKUP($F65,taux,21))+(VLOOKUP($F65,taux,22)*VLOOKUP($F65,taux,23))+($E65/12-VLOOKUP($F65,taux,21)-VLOOKUP($F65,taux,23))*VLOOKUP($F65,taux,24),IF($E65/12&gt;VLOOKUP($F65,taux,21),(VLOOKUP($F65,taux,20)*VLOOKUP($F65,taux,21))+($E65/12-VLOOKUP($F65,taux,21))*VLOOKUP($F65,taux,22),$E65/12*VLOOKUP($F65,taux,20))),0)),MIN(VLOOKUP($F65,taux,25),ROUNDUP(IF($E65/12&gt;VLOOKUP($F65,taux,21)+VLOOKUP($F65,taux,23),(VLOOKUP($F65,taux,20)*VLOOKUP($F65,taux,21))+(VLOOKUP($F65,taux,22)*VLOOKUP($F65,taux,23))+($E65/12-VLOOKUP($F65,taux,21)-VLOOKUP($F65,taux,23))*VLOOKUP($F65,taux,24),IF($E65/12&gt;VLOOKUP($F65,taux,21),(VLOOKUP($F65,taux,20)*VLOOKUP($F65,taux,21))+($E65/12-VLOOKUP($F65,taux,21))*VLOOKUP($F65,taux,22),$E65/12*VLOOKUP($F65,taux,20))),0)))))</f>
        <v>0</v>
      </c>
      <c r="AA65" s="111">
        <f ca="1">IF(C65&gt;=70,0,IF($B65=" ",0,IF(Données!$X105="non couvert"," ",Données!Y105)))</f>
        <v>0</v>
      </c>
      <c r="AB65" s="110">
        <f>IF($B65=" ",0,IF(Données!$X105="exo",0,IF($AA65="ind",VLOOKUP($F65,taux,34),IF($AA65="fam",VLOOKUP($F65,taux,35),IF($AA65="mono",VLOOKUP($F65,taux,36),IF($AA65="couple",VLOOKUP($F65,taux,37),0))))))</f>
        <v>0</v>
      </c>
      <c r="AC65" s="111">
        <f ca="1">IF(C65&gt;=70,0,IF($B65=" ",0,IF(Données!$Z105="non couvert"," ",Données!AA105)))</f>
        <v>0</v>
      </c>
      <c r="AD65" s="110">
        <f>IF($B65=" ",0,IF(Données!$Z105="exo",0,IF($AC65="ind",VLOOKUP($F65,taux,38),IF($AC65="fam",VLOOKUP($F65,taux,39),IF($AC65="mono",VLOOKUP($F65,taux,40),IF($AC65="couple",VLOOKUP($F65,taux,41),0))))))</f>
        <v>0</v>
      </c>
      <c r="AE65" s="112">
        <f>IF($B65=" ",0,IF(Données!$AB105="non couvert"," ",Données!AC105))</f>
        <v>0</v>
      </c>
      <c r="AF65" s="113">
        <f>IF($B65=" ",0,IF(Données!$AB105="exo",0,IF($AE65="ind",VLOOKUP($F65,taux,42),IF($AE65="fam",VLOOKUP($F65,taux,43),IF($AE65="mono",VLOOKUP($F65,taux,44),IF($AE65="couple",VLOOKUP($F65,taux,45),0))))))</f>
        <v>0</v>
      </c>
      <c r="AG65" s="114">
        <f t="shared" ca="1" si="7"/>
        <v>0</v>
      </c>
      <c r="AH65" s="114">
        <f>IF($B65=" ",0,IF(Données!J105="Manitoba",(Facture!H65+Facture!J65+Facture!L65+Facture!P65+Facture!R65+Facture!T65)*0.08,(AG65-W65)*IF(Données!$J105="qc",0.09,IF(Données!$J105="on",0.08,0))+W65*VLOOKUP($F65,taux,28)))</f>
        <v>0</v>
      </c>
      <c r="AI65" s="106">
        <f t="shared" ca="1" si="4"/>
        <v>0</v>
      </c>
    </row>
    <row r="66" spans="1:35" s="64" customFormat="1">
      <c r="A66" s="89">
        <f t="shared" si="5"/>
        <v>52</v>
      </c>
      <c r="B66" s="99" t="str">
        <f>CONCATENATE(Données!B106," ",Données!C106)</f>
        <v xml:space="preserve"> </v>
      </c>
      <c r="C66" s="410">
        <f ca="1">IF(B66="",0,INT((TODAY()-Données!E106)/365.25))</f>
        <v>119</v>
      </c>
      <c r="D66" s="100">
        <f>Données!D106</f>
        <v>0</v>
      </c>
      <c r="E66" s="101">
        <f>Données!I106</f>
        <v>0</v>
      </c>
      <c r="F66" s="102" t="str">
        <f>Données!AD106</f>
        <v/>
      </c>
      <c r="G66" s="103">
        <f ca="1">INDEX({1;0.5;0},MATCH(C66,{1;65;70}))*M66</f>
        <v>0</v>
      </c>
      <c r="H66" s="104">
        <f>IF($B66=" ",0,IF(Données!$K106="exo",0,$G66/1000*VLOOKUP($F66,taux,2)))</f>
        <v>0</v>
      </c>
      <c r="I66" s="398">
        <f ca="1">IF(C66&gt;=65,0,Données!M106*5000)</f>
        <v>0</v>
      </c>
      <c r="J66" s="104">
        <f ca="1">I66/1000*(IF(I66=0,0,1)*VLOOKUP((1+(C66&gt;=20)+(C66&gt;=25)+(C66&gt;=30)+(C66&gt;=35)+(C66&gt;=40)+(C66&gt;=45)+(C66&gt;=50)+(C66&gt;=55)+(C66&gt;=60)+(C66&gt;=65)),Test,2+(IF(Données!F106="H",1,3))+(IF(Données!G106="F",1,0))))</f>
        <v>0</v>
      </c>
      <c r="K66" s="103">
        <f ca="1">INDEX({1;0.5;0},MATCH(C66,{1;65;70}))*M66</f>
        <v>0</v>
      </c>
      <c r="L66" s="104">
        <f>IF($B66=" ",0,IF(Données!$N106="exo",0,$K66/1000*VLOOKUP($F66,taux,6)))</f>
        <v>0</v>
      </c>
      <c r="M66" s="379">
        <f>IF($B66=" ",0,IF(Données!$K106="NON COUVERT",0,IF(AND(Données!$L106="oui",Données!$K106=0.5),MIN(VLOOKUP($F66,taux,5)/2,ROUNDUP(VLOOKUP($F66,taux,3)*$E66,-3)/2),IF(Données!$K106=0.5,MIN(VLOOKUP($F66,taux,4)/2,ROUNDUP(VLOOKUP($F66,taux,3)*$E66,-3)/2),ROUNDUP(IF(Données!$L106="OUI",MIN(VLOOKUP($F66,taux,3)*$E66,VLOOKUP($F66,taux,5)),MIN(VLOOKUP($F66,taux,3)*$E66,VLOOKUP($F66,taux,4))),-3)))))</f>
        <v>0</v>
      </c>
      <c r="N66" s="379">
        <f>IF($B66=" ",0,IF(Données!$N106="NON COUVERT",0,IF(AND(Données!$O106="oui",Données!$N106=0.5),MIN(VLOOKUP($F66,taux,9)/2,ROUNDUP(VLOOKUP($F66,taux,7)*$E66,-3)/2),IF(Données!$N106=0.5,MIN(VLOOKUP($F66,taux,8)/2,ROUNDUP(VLOOKUP($F66,taux,7)*$E66,-3)/2),ROUNDUP(IF(Données!$O106="OUI",MIN(VLOOKUP($F66,taux,7)*$E66,VLOOKUP($F66,taux,9)),MIN(VLOOKUP($F66,taux,7)*$E66,VLOOKUP($F66,taux,8))),-3)))))</f>
        <v>0</v>
      </c>
      <c r="O66" s="105">
        <f ca="1">IF(C66&gt;=70,0,IF($B66=" ",0,IF(Données!P106="non couvert"," ",Données!Q106)))</f>
        <v>0</v>
      </c>
      <c r="P66" s="106">
        <f>IF($B66=" ",0,IF(Données!$P106="exo",0,IF($O66="FAM",VLOOKUP($F66,taux,10),IF($O66="MONO",VLOOKUP($F66,taux,11),IF($O66="COUPLE",VLOOKUP($F66,taux,12),0)))))</f>
        <v>0</v>
      </c>
      <c r="Q66" s="107">
        <f ca="1">IF(C66&gt;=70,0,IF($B66=" ",0,IF(Données!$R106="NON COUVERT",0,ROUNDUP(IF(Données!$S106="OUI",MIN($E66*VLOOKUP($F66,taux,15)/52,VLOOKUP($F66,taux,17)),MIN($E66*VLOOKUP($F66,taux,15)/52,VLOOKUP($F66,taux,16))),0))))</f>
        <v>0</v>
      </c>
      <c r="R66" s="108">
        <f>IF($B66=" ",0,IF(Données!$R106="EXO",0,$Q66*VLOOKUP($F66,taux,13)/10))</f>
        <v>0</v>
      </c>
      <c r="S66" s="109">
        <f t="shared" ca="1" si="3"/>
        <v>0</v>
      </c>
      <c r="T66" s="110">
        <f>IF(B66=" ",0,IF(Données!$T106="exo",0,$S66*VLOOKUP($F66,taux,18)/100))</f>
        <v>0</v>
      </c>
      <c r="U66" s="109">
        <f>IF($B66=" ",0,IF(Données!$V106="non couvert",0,IF(VLOOKUP($F66,taux,29)="fixe","s/o",IF(Données!$W106="oui",MIN(ROUNDUP(VLOOKUP($F66,taux,31)*$E66,-3),VLOOKUP($F66,taux,33)),MIN(ROUNDUP(VLOOKUP($F66,taux,31)*$E66,-3),VLOOKUP($F66,taux,32))))))</f>
        <v>0</v>
      </c>
      <c r="V66" s="110">
        <f>IF(B66=" ",0,IF(Données!$V106="exo",0,IF(VLOOKUP($F66,taux,29)="fixe",VLOOKUP($F66,taux,30),$U66/1000*VLOOKUP($F66,taux,30))))</f>
        <v>0</v>
      </c>
      <c r="W66" s="110">
        <f t="shared" si="0"/>
        <v>0</v>
      </c>
      <c r="X66" s="383">
        <f>IF(B66=" ",0,EDATE((Données!E106),780))</f>
        <v>0</v>
      </c>
      <c r="Y66" s="383">
        <f t="shared" si="6"/>
        <v>0</v>
      </c>
      <c r="Z66" s="384">
        <f>IF($B66=" ",0,IF(Données!$T106="non couvert",0,IF(Données!$U106="oui",MIN(VLOOKUP($F66,taux,26),ROUNDUP(IF($E66/12&gt;VLOOKUP($F66,taux,21)+VLOOKUP($F66,taux,23),(VLOOKUP($F66,taux,20)*VLOOKUP($F66,taux,21))+(VLOOKUP($F66,taux,22)*VLOOKUP($F66,taux,23))+($E66/12-VLOOKUP($F66,taux,21)-VLOOKUP($F66,taux,23))*VLOOKUP($F66,taux,24),IF($E66/12&gt;VLOOKUP($F66,taux,21),(VLOOKUP($F66,taux,20)*VLOOKUP($F66,taux,21))+($E66/12-VLOOKUP($F66,taux,21))*VLOOKUP($F66,taux,22),$E66/12*VLOOKUP($F66,taux,20))),0)),MIN(VLOOKUP($F66,taux,25),ROUNDUP(IF($E66/12&gt;VLOOKUP($F66,taux,21)+VLOOKUP($F66,taux,23),(VLOOKUP($F66,taux,20)*VLOOKUP($F66,taux,21))+(VLOOKUP($F66,taux,22)*VLOOKUP($F66,taux,23))+($E66/12-VLOOKUP($F66,taux,21)-VLOOKUP($F66,taux,23))*VLOOKUP($F66,taux,24),IF($E66/12&gt;VLOOKUP($F66,taux,21),(VLOOKUP($F66,taux,20)*VLOOKUP($F66,taux,21))+($E66/12-VLOOKUP($F66,taux,21))*VLOOKUP($F66,taux,22),$E66/12*VLOOKUP($F66,taux,20))),0)))))</f>
        <v>0</v>
      </c>
      <c r="AA66" s="111">
        <f ca="1">IF(C66&gt;=70,0,IF($B66=" ",0,IF(Données!$X106="non couvert"," ",Données!Y106)))</f>
        <v>0</v>
      </c>
      <c r="AB66" s="110">
        <f>IF($B66=" ",0,IF(Données!$X106="exo",0,IF($AA66="ind",VLOOKUP($F66,taux,34),IF($AA66="fam",VLOOKUP($F66,taux,35),IF($AA66="mono",VLOOKUP($F66,taux,36),IF($AA66="couple",VLOOKUP($F66,taux,37),0))))))</f>
        <v>0</v>
      </c>
      <c r="AC66" s="111">
        <f ca="1">IF(C66&gt;=70,0,IF($B66=" ",0,IF(Données!$Z106="non couvert"," ",Données!AA106)))</f>
        <v>0</v>
      </c>
      <c r="AD66" s="110">
        <f>IF($B66=" ",0,IF(Données!$Z106="exo",0,IF($AC66="ind",VLOOKUP($F66,taux,38),IF($AC66="fam",VLOOKUP($F66,taux,39),IF($AC66="mono",VLOOKUP($F66,taux,40),IF($AC66="couple",VLOOKUP($F66,taux,41),0))))))</f>
        <v>0</v>
      </c>
      <c r="AE66" s="112">
        <f>IF($B66=" ",0,IF(Données!$AB106="non couvert"," ",Données!AC106))</f>
        <v>0</v>
      </c>
      <c r="AF66" s="113">
        <f>IF($B66=" ",0,IF(Données!$AB106="exo",0,IF($AE66="ind",VLOOKUP($F66,taux,42),IF($AE66="fam",VLOOKUP($F66,taux,43),IF($AE66="mono",VLOOKUP($F66,taux,44),IF($AE66="couple",VLOOKUP($F66,taux,45),0))))))</f>
        <v>0</v>
      </c>
      <c r="AG66" s="114">
        <f t="shared" ca="1" si="7"/>
        <v>0</v>
      </c>
      <c r="AH66" s="114">
        <f>IF($B66=" ",0,IF(Données!J106="Manitoba",(Facture!H66+Facture!J66+Facture!L66+Facture!P66+Facture!R66+Facture!T66)*0.08,(AG66-W66)*IF(Données!$J106="qc",0.09,IF(Données!$J106="on",0.08,0))+W66*VLOOKUP($F66,taux,28)))</f>
        <v>0</v>
      </c>
      <c r="AI66" s="106">
        <f t="shared" ca="1" si="4"/>
        <v>0</v>
      </c>
    </row>
    <row r="67" spans="1:35" s="64" customFormat="1">
      <c r="A67" s="89">
        <f t="shared" si="5"/>
        <v>53</v>
      </c>
      <c r="B67" s="99" t="str">
        <f>CONCATENATE(Données!B107," ",Données!C107)</f>
        <v xml:space="preserve"> </v>
      </c>
      <c r="C67" s="410">
        <f ca="1">IF(B67="",0,INT((TODAY()-Données!E107)/365.25))</f>
        <v>119</v>
      </c>
      <c r="D67" s="100">
        <f>Données!D107</f>
        <v>0</v>
      </c>
      <c r="E67" s="101">
        <f>Données!I107</f>
        <v>0</v>
      </c>
      <c r="F67" s="102" t="str">
        <f>Données!AD107</f>
        <v/>
      </c>
      <c r="G67" s="103">
        <f ca="1">INDEX({1;0.5;0},MATCH(C67,{1;65;70}))*M67</f>
        <v>0</v>
      </c>
      <c r="H67" s="104">
        <f>IF($B67=" ",0,IF(Données!$K107="exo",0,$G67/1000*VLOOKUP($F67,taux,2)))</f>
        <v>0</v>
      </c>
      <c r="I67" s="398">
        <f ca="1">IF(C67&gt;=65,0,Données!M107*5000)</f>
        <v>0</v>
      </c>
      <c r="J67" s="104">
        <f ca="1">I67/1000*(IF(I67=0,0,1)*VLOOKUP((1+(C67&gt;=20)+(C67&gt;=25)+(C67&gt;=30)+(C67&gt;=35)+(C67&gt;=40)+(C67&gt;=45)+(C67&gt;=50)+(C67&gt;=55)+(C67&gt;=60)+(C67&gt;=65)),Test,2+(IF(Données!F107="H",1,3))+(IF(Données!G107="F",1,0))))</f>
        <v>0</v>
      </c>
      <c r="K67" s="103">
        <f ca="1">INDEX({1;0.5;0},MATCH(C67,{1;65;70}))*M67</f>
        <v>0</v>
      </c>
      <c r="L67" s="104">
        <f>IF($B67=" ",0,IF(Données!$N107="exo",0,$K67/1000*VLOOKUP($F67,taux,6)))</f>
        <v>0</v>
      </c>
      <c r="M67" s="379">
        <f>IF($B67=" ",0,IF(Données!$K107="NON COUVERT",0,IF(AND(Données!$L107="oui",Données!$K107=0.5),MIN(VLOOKUP($F67,taux,5)/2,ROUNDUP(VLOOKUP($F67,taux,3)*$E67,-3)/2),IF(Données!$K107=0.5,MIN(VLOOKUP($F67,taux,4)/2,ROUNDUP(VLOOKUP($F67,taux,3)*$E67,-3)/2),ROUNDUP(IF(Données!$L107="OUI",MIN(VLOOKUP($F67,taux,3)*$E67,VLOOKUP($F67,taux,5)),MIN(VLOOKUP($F67,taux,3)*$E67,VLOOKUP($F67,taux,4))),-3)))))</f>
        <v>0</v>
      </c>
      <c r="N67" s="379">
        <f>IF($B67=" ",0,IF(Données!$N107="NON COUVERT",0,IF(AND(Données!$O107="oui",Données!$N107=0.5),MIN(VLOOKUP($F67,taux,9)/2,ROUNDUP(VLOOKUP($F67,taux,7)*$E67,-3)/2),IF(Données!$N107=0.5,MIN(VLOOKUP($F67,taux,8)/2,ROUNDUP(VLOOKUP($F67,taux,7)*$E67,-3)/2),ROUNDUP(IF(Données!$O107="OUI",MIN(VLOOKUP($F67,taux,7)*$E67,VLOOKUP($F67,taux,9)),MIN(VLOOKUP($F67,taux,7)*$E67,VLOOKUP($F67,taux,8))),-3)))))</f>
        <v>0</v>
      </c>
      <c r="O67" s="105">
        <f ca="1">IF(C67&gt;=70,0,IF($B67=" ",0,IF(Données!P107="non couvert"," ",Données!Q107)))</f>
        <v>0</v>
      </c>
      <c r="P67" s="106">
        <f>IF($B67=" ",0,IF(Données!$P107="exo",0,IF($O67="FAM",VLOOKUP($F67,taux,10),IF($O67="MONO",VLOOKUP($F67,taux,11),IF($O67="COUPLE",VLOOKUP($F67,taux,12),0)))))</f>
        <v>0</v>
      </c>
      <c r="Q67" s="107">
        <f ca="1">IF(C67&gt;=70,0,IF($B67=" ",0,IF(Données!$R107="NON COUVERT",0,ROUNDUP(IF(Données!$S107="OUI",MIN($E67*VLOOKUP($F67,taux,15)/52,VLOOKUP($F67,taux,17)),MIN($E67*VLOOKUP($F67,taux,15)/52,VLOOKUP($F67,taux,16))),0))))</f>
        <v>0</v>
      </c>
      <c r="R67" s="108">
        <f>IF($B67=" ",0,IF(Données!$R107="EXO",0,$Q67*VLOOKUP($F67,taux,13)/10))</f>
        <v>0</v>
      </c>
      <c r="S67" s="109">
        <f t="shared" ca="1" si="3"/>
        <v>0</v>
      </c>
      <c r="T67" s="110">
        <f>IF(B67=" ",0,IF(Données!$T107="exo",0,$S67*VLOOKUP($F67,taux,18)/100))</f>
        <v>0</v>
      </c>
      <c r="U67" s="109">
        <f>IF($B67=" ",0,IF(Données!$V107="non couvert",0,IF(VLOOKUP($F67,taux,29)="fixe","s/o",IF(Données!$W107="oui",MIN(ROUNDUP(VLOOKUP($F67,taux,31)*$E67,-3),VLOOKUP($F67,taux,33)),MIN(ROUNDUP(VLOOKUP($F67,taux,31)*$E67,-3),VLOOKUP($F67,taux,32))))))</f>
        <v>0</v>
      </c>
      <c r="V67" s="110">
        <f>IF(B67=" ",0,IF(Données!$V107="exo",0,IF(VLOOKUP($F67,taux,29)="fixe",VLOOKUP($F67,taux,30),$U67/1000*VLOOKUP($F67,taux,30))))</f>
        <v>0</v>
      </c>
      <c r="W67" s="110">
        <f t="shared" si="0"/>
        <v>0</v>
      </c>
      <c r="X67" s="383">
        <f>IF(B67=" ",0,EDATE((Données!E107),780))</f>
        <v>0</v>
      </c>
      <c r="Y67" s="383">
        <f t="shared" si="6"/>
        <v>0</v>
      </c>
      <c r="Z67" s="384">
        <f>IF($B67=" ",0,IF(Données!$T107="non couvert",0,IF(Données!$U107="oui",MIN(VLOOKUP($F67,taux,26),ROUNDUP(IF($E67/12&gt;VLOOKUP($F67,taux,21)+VLOOKUP($F67,taux,23),(VLOOKUP($F67,taux,20)*VLOOKUP($F67,taux,21))+(VLOOKUP($F67,taux,22)*VLOOKUP($F67,taux,23))+($E67/12-VLOOKUP($F67,taux,21)-VLOOKUP($F67,taux,23))*VLOOKUP($F67,taux,24),IF($E67/12&gt;VLOOKUP($F67,taux,21),(VLOOKUP($F67,taux,20)*VLOOKUP($F67,taux,21))+($E67/12-VLOOKUP($F67,taux,21))*VLOOKUP($F67,taux,22),$E67/12*VLOOKUP($F67,taux,20))),0)),MIN(VLOOKUP($F67,taux,25),ROUNDUP(IF($E67/12&gt;VLOOKUP($F67,taux,21)+VLOOKUP($F67,taux,23),(VLOOKUP($F67,taux,20)*VLOOKUP($F67,taux,21))+(VLOOKUP($F67,taux,22)*VLOOKUP($F67,taux,23))+($E67/12-VLOOKUP($F67,taux,21)-VLOOKUP($F67,taux,23))*VLOOKUP($F67,taux,24),IF($E67/12&gt;VLOOKUP($F67,taux,21),(VLOOKUP($F67,taux,20)*VLOOKUP($F67,taux,21))+($E67/12-VLOOKUP($F67,taux,21))*VLOOKUP($F67,taux,22),$E67/12*VLOOKUP($F67,taux,20))),0)))))</f>
        <v>0</v>
      </c>
      <c r="AA67" s="111">
        <f ca="1">IF(C67&gt;=70,0,IF($B67=" ",0,IF(Données!$X107="non couvert"," ",Données!Y107)))</f>
        <v>0</v>
      </c>
      <c r="AB67" s="110">
        <f>IF($B67=" ",0,IF(Données!$X107="exo",0,IF($AA67="ind",VLOOKUP($F67,taux,34),IF($AA67="fam",VLOOKUP($F67,taux,35),IF($AA67="mono",VLOOKUP($F67,taux,36),IF($AA67="couple",VLOOKUP($F67,taux,37),0))))))</f>
        <v>0</v>
      </c>
      <c r="AC67" s="111">
        <f ca="1">IF(C67&gt;=70,0,IF($B67=" ",0,IF(Données!$Z107="non couvert"," ",Données!AA107)))</f>
        <v>0</v>
      </c>
      <c r="AD67" s="110">
        <f>IF($B67=" ",0,IF(Données!$Z107="exo",0,IF($AC67="ind",VLOOKUP($F67,taux,38),IF($AC67="fam",VLOOKUP($F67,taux,39),IF($AC67="mono",VLOOKUP($F67,taux,40),IF($AC67="couple",VLOOKUP($F67,taux,41),0))))))</f>
        <v>0</v>
      </c>
      <c r="AE67" s="112">
        <f>IF($B67=" ",0,IF(Données!$AB107="non couvert"," ",Données!AC107))</f>
        <v>0</v>
      </c>
      <c r="AF67" s="113">
        <f>IF($B67=" ",0,IF(Données!$AB107="exo",0,IF($AE67="ind",VLOOKUP($F67,taux,42),IF($AE67="fam",VLOOKUP($F67,taux,43),IF($AE67="mono",VLOOKUP($F67,taux,44),IF($AE67="couple",VLOOKUP($F67,taux,45),0))))))</f>
        <v>0</v>
      </c>
      <c r="AG67" s="114">
        <f t="shared" ca="1" si="7"/>
        <v>0</v>
      </c>
      <c r="AH67" s="114">
        <f>IF($B67=" ",0,IF(Données!J107="Manitoba",(Facture!H67+Facture!J67+Facture!L67+Facture!P67+Facture!R67+Facture!T67)*0.08,(AG67-W67)*IF(Données!$J107="qc",0.09,IF(Données!$J107="on",0.08,0))+W67*VLOOKUP($F67,taux,28)))</f>
        <v>0</v>
      </c>
      <c r="AI67" s="106">
        <f t="shared" ca="1" si="4"/>
        <v>0</v>
      </c>
    </row>
    <row r="68" spans="1:35" s="64" customFormat="1">
      <c r="A68" s="89">
        <f t="shared" si="5"/>
        <v>54</v>
      </c>
      <c r="B68" s="99" t="str">
        <f>CONCATENATE(Données!B108," ",Données!C108)</f>
        <v xml:space="preserve"> </v>
      </c>
      <c r="C68" s="410">
        <f ca="1">IF(B68="",0,INT((TODAY()-Données!E108)/365.25))</f>
        <v>119</v>
      </c>
      <c r="D68" s="100">
        <f>Données!D108</f>
        <v>0</v>
      </c>
      <c r="E68" s="101">
        <f>Données!I108</f>
        <v>0</v>
      </c>
      <c r="F68" s="102" t="str">
        <f>Données!AD108</f>
        <v/>
      </c>
      <c r="G68" s="103">
        <f ca="1">INDEX({1;0.5;0},MATCH(C68,{1;65;70}))*M68</f>
        <v>0</v>
      </c>
      <c r="H68" s="104">
        <f>IF($B68=" ",0,IF(Données!$K108="exo",0,$G68/1000*VLOOKUP($F68,taux,2)))</f>
        <v>0</v>
      </c>
      <c r="I68" s="398">
        <f ca="1">IF(C68&gt;=65,0,Données!M108*5000)</f>
        <v>0</v>
      </c>
      <c r="J68" s="104">
        <f ca="1">I68/1000*(IF(I68=0,0,1)*VLOOKUP((1+(C68&gt;=20)+(C68&gt;=25)+(C68&gt;=30)+(C68&gt;=35)+(C68&gt;=40)+(C68&gt;=45)+(C68&gt;=50)+(C68&gt;=55)+(C68&gt;=60)+(C68&gt;=65)),Test,2+(IF(Données!F108="H",1,3))+(IF(Données!G108="F",1,0))))</f>
        <v>0</v>
      </c>
      <c r="K68" s="103">
        <f ca="1">INDEX({1;0.5;0},MATCH(C68,{1;65;70}))*M68</f>
        <v>0</v>
      </c>
      <c r="L68" s="104">
        <f>IF($B68=" ",0,IF(Données!$N108="exo",0,$K68/1000*VLOOKUP($F68,taux,6)))</f>
        <v>0</v>
      </c>
      <c r="M68" s="379">
        <f>IF($B68=" ",0,IF(Données!$K108="NON COUVERT",0,IF(AND(Données!$L108="oui",Données!$K108=0.5),MIN(VLOOKUP($F68,taux,5)/2,ROUNDUP(VLOOKUP($F68,taux,3)*$E68,-3)/2),IF(Données!$K108=0.5,MIN(VLOOKUP($F68,taux,4)/2,ROUNDUP(VLOOKUP($F68,taux,3)*$E68,-3)/2),ROUNDUP(IF(Données!$L108="OUI",MIN(VLOOKUP($F68,taux,3)*$E68,VLOOKUP($F68,taux,5)),MIN(VLOOKUP($F68,taux,3)*$E68,VLOOKUP($F68,taux,4))),-3)))))</f>
        <v>0</v>
      </c>
      <c r="N68" s="379">
        <f>IF($B68=" ",0,IF(Données!$N108="NON COUVERT",0,IF(AND(Données!$O108="oui",Données!$N108=0.5),MIN(VLOOKUP($F68,taux,9)/2,ROUNDUP(VLOOKUP($F68,taux,7)*$E68,-3)/2),IF(Données!$N108=0.5,MIN(VLOOKUP($F68,taux,8)/2,ROUNDUP(VLOOKUP($F68,taux,7)*$E68,-3)/2),ROUNDUP(IF(Données!$O108="OUI",MIN(VLOOKUP($F68,taux,7)*$E68,VLOOKUP($F68,taux,9)),MIN(VLOOKUP($F68,taux,7)*$E68,VLOOKUP($F68,taux,8))),-3)))))</f>
        <v>0</v>
      </c>
      <c r="O68" s="105">
        <f ca="1">IF(C68&gt;=70,0,IF($B68=" ",0,IF(Données!P108="non couvert"," ",Données!Q108)))</f>
        <v>0</v>
      </c>
      <c r="P68" s="106">
        <f>IF($B68=" ",0,IF(Données!$P108="exo",0,IF($O68="FAM",VLOOKUP($F68,taux,10),IF($O68="MONO",VLOOKUP($F68,taux,11),IF($O68="COUPLE",VLOOKUP($F68,taux,12),0)))))</f>
        <v>0</v>
      </c>
      <c r="Q68" s="107">
        <f ca="1">IF(C68&gt;=70,0,IF($B68=" ",0,IF(Données!$R108="NON COUVERT",0,ROUNDUP(IF(Données!$S108="OUI",MIN($E68*VLOOKUP($F68,taux,15)/52,VLOOKUP($F68,taux,17)),MIN($E68*VLOOKUP($F68,taux,15)/52,VLOOKUP($F68,taux,16))),0))))</f>
        <v>0</v>
      </c>
      <c r="R68" s="108">
        <f>IF($B68=" ",0,IF(Données!$R108="EXO",0,$Q68*VLOOKUP($F68,taux,13)/10))</f>
        <v>0</v>
      </c>
      <c r="S68" s="109">
        <f t="shared" ca="1" si="3"/>
        <v>0</v>
      </c>
      <c r="T68" s="110">
        <f>IF(B68=" ",0,IF(Données!$T108="exo",0,$S68*VLOOKUP($F68,taux,18)/100))</f>
        <v>0</v>
      </c>
      <c r="U68" s="109">
        <f>IF($B68=" ",0,IF(Données!$V108="non couvert",0,IF(VLOOKUP($F68,taux,29)="fixe","s/o",IF(Données!$W108="oui",MIN(ROUNDUP(VLOOKUP($F68,taux,31)*$E68,-3),VLOOKUP($F68,taux,33)),MIN(ROUNDUP(VLOOKUP($F68,taux,31)*$E68,-3),VLOOKUP($F68,taux,32))))))</f>
        <v>0</v>
      </c>
      <c r="V68" s="110">
        <f>IF(B68=" ",0,IF(Données!$V108="exo",0,IF(VLOOKUP($F68,taux,29)="fixe",VLOOKUP($F68,taux,30),$U68/1000*VLOOKUP($F68,taux,30))))</f>
        <v>0</v>
      </c>
      <c r="W68" s="110">
        <f t="shared" si="0"/>
        <v>0</v>
      </c>
      <c r="X68" s="383">
        <f>IF(B68=" ",0,EDATE((Données!E108),780))</f>
        <v>0</v>
      </c>
      <c r="Y68" s="383">
        <f t="shared" si="6"/>
        <v>0</v>
      </c>
      <c r="Z68" s="384">
        <f>IF($B68=" ",0,IF(Données!$T108="non couvert",0,IF(Données!$U108="oui",MIN(VLOOKUP($F68,taux,26),ROUNDUP(IF($E68/12&gt;VLOOKUP($F68,taux,21)+VLOOKUP($F68,taux,23),(VLOOKUP($F68,taux,20)*VLOOKUP($F68,taux,21))+(VLOOKUP($F68,taux,22)*VLOOKUP($F68,taux,23))+($E68/12-VLOOKUP($F68,taux,21)-VLOOKUP($F68,taux,23))*VLOOKUP($F68,taux,24),IF($E68/12&gt;VLOOKUP($F68,taux,21),(VLOOKUP($F68,taux,20)*VLOOKUP($F68,taux,21))+($E68/12-VLOOKUP($F68,taux,21))*VLOOKUP($F68,taux,22),$E68/12*VLOOKUP($F68,taux,20))),0)),MIN(VLOOKUP($F68,taux,25),ROUNDUP(IF($E68/12&gt;VLOOKUP($F68,taux,21)+VLOOKUP($F68,taux,23),(VLOOKUP($F68,taux,20)*VLOOKUP($F68,taux,21))+(VLOOKUP($F68,taux,22)*VLOOKUP($F68,taux,23))+($E68/12-VLOOKUP($F68,taux,21)-VLOOKUP($F68,taux,23))*VLOOKUP($F68,taux,24),IF($E68/12&gt;VLOOKUP($F68,taux,21),(VLOOKUP($F68,taux,20)*VLOOKUP($F68,taux,21))+($E68/12-VLOOKUP($F68,taux,21))*VLOOKUP($F68,taux,22),$E68/12*VLOOKUP($F68,taux,20))),0)))))</f>
        <v>0</v>
      </c>
      <c r="AA68" s="111">
        <f ca="1">IF(C68&gt;=70,0,IF($B68=" ",0,IF(Données!$X108="non couvert"," ",Données!Y108)))</f>
        <v>0</v>
      </c>
      <c r="AB68" s="110">
        <f>IF($B68=" ",0,IF(Données!$X108="exo",0,IF($AA68="ind",VLOOKUP($F68,taux,34),IF($AA68="fam",VLOOKUP($F68,taux,35),IF($AA68="mono",VLOOKUP($F68,taux,36),IF($AA68="couple",VLOOKUP($F68,taux,37),0))))))</f>
        <v>0</v>
      </c>
      <c r="AC68" s="111">
        <f ca="1">IF(C68&gt;=70,0,IF($B68=" ",0,IF(Données!$Z108="non couvert"," ",Données!AA108)))</f>
        <v>0</v>
      </c>
      <c r="AD68" s="110">
        <f>IF($B68=" ",0,IF(Données!$Z108="exo",0,IF($AC68="ind",VLOOKUP($F68,taux,38),IF($AC68="fam",VLOOKUP($F68,taux,39),IF($AC68="mono",VLOOKUP($F68,taux,40),IF($AC68="couple",VLOOKUP($F68,taux,41),0))))))</f>
        <v>0</v>
      </c>
      <c r="AE68" s="112">
        <f>IF($B68=" ",0,IF(Données!$AB108="non couvert"," ",Données!AC108))</f>
        <v>0</v>
      </c>
      <c r="AF68" s="113">
        <f>IF($B68=" ",0,IF(Données!$AB108="exo",0,IF($AE68="ind",VLOOKUP($F68,taux,42),IF($AE68="fam",VLOOKUP($F68,taux,43),IF($AE68="mono",VLOOKUP($F68,taux,44),IF($AE68="couple",VLOOKUP($F68,taux,45),0))))))</f>
        <v>0</v>
      </c>
      <c r="AG68" s="114">
        <f t="shared" ca="1" si="7"/>
        <v>0</v>
      </c>
      <c r="AH68" s="114">
        <f>IF($B68=" ",0,IF(Données!J108="Manitoba",(Facture!H68+Facture!J68+Facture!L68+Facture!P68+Facture!R68+Facture!T68)*0.08,(AG68-W68)*IF(Données!$J108="qc",0.09,IF(Données!$J108="on",0.08,0))+W68*VLOOKUP($F68,taux,28)))</f>
        <v>0</v>
      </c>
      <c r="AI68" s="106">
        <f t="shared" ca="1" si="4"/>
        <v>0</v>
      </c>
    </row>
    <row r="69" spans="1:35" s="64" customFormat="1">
      <c r="A69" s="89">
        <f t="shared" si="5"/>
        <v>55</v>
      </c>
      <c r="B69" s="99" t="str">
        <f>CONCATENATE(Données!B109," ",Données!C109)</f>
        <v xml:space="preserve"> </v>
      </c>
      <c r="C69" s="410">
        <f ca="1">IF(B69="",0,INT((TODAY()-Données!E109)/365.25))</f>
        <v>119</v>
      </c>
      <c r="D69" s="100">
        <f>Données!D109</f>
        <v>0</v>
      </c>
      <c r="E69" s="101">
        <f>Données!I109</f>
        <v>0</v>
      </c>
      <c r="F69" s="102" t="str">
        <f>Données!AD109</f>
        <v/>
      </c>
      <c r="G69" s="103">
        <f ca="1">INDEX({1;0.5;0},MATCH(C69,{1;65;70}))*M69</f>
        <v>0</v>
      </c>
      <c r="H69" s="104">
        <f>IF($B69=" ",0,IF(Données!$K109="exo",0,$G69/1000*VLOOKUP($F69,taux,2)))</f>
        <v>0</v>
      </c>
      <c r="I69" s="398">
        <f ca="1">IF(C69&gt;=65,0,Données!M109*5000)</f>
        <v>0</v>
      </c>
      <c r="J69" s="104">
        <f ca="1">I69/1000*(IF(I69=0,0,1)*VLOOKUP((1+(C69&gt;=20)+(C69&gt;=25)+(C69&gt;=30)+(C69&gt;=35)+(C69&gt;=40)+(C69&gt;=45)+(C69&gt;=50)+(C69&gt;=55)+(C69&gt;=60)+(C69&gt;=65)),Test,2+(IF(Données!F109="H",1,3))+(IF(Données!G109="F",1,0))))</f>
        <v>0</v>
      </c>
      <c r="K69" s="103">
        <f ca="1">INDEX({1;0.5;0},MATCH(C69,{1;65;70}))*M69</f>
        <v>0</v>
      </c>
      <c r="L69" s="104">
        <f>IF($B69=" ",0,IF(Données!$N109="exo",0,$K69/1000*VLOOKUP($F69,taux,6)))</f>
        <v>0</v>
      </c>
      <c r="M69" s="379">
        <f>IF($B69=" ",0,IF(Données!$K109="NON COUVERT",0,IF(AND(Données!$L109="oui",Données!$K109=0.5),MIN(VLOOKUP($F69,taux,5)/2,ROUNDUP(VLOOKUP($F69,taux,3)*$E69,-3)/2),IF(Données!$K109=0.5,MIN(VLOOKUP($F69,taux,4)/2,ROUNDUP(VLOOKUP($F69,taux,3)*$E69,-3)/2),ROUNDUP(IF(Données!$L109="OUI",MIN(VLOOKUP($F69,taux,3)*$E69,VLOOKUP($F69,taux,5)),MIN(VLOOKUP($F69,taux,3)*$E69,VLOOKUP($F69,taux,4))),-3)))))</f>
        <v>0</v>
      </c>
      <c r="N69" s="379">
        <f>IF($B69=" ",0,IF(Données!$N109="NON COUVERT",0,IF(AND(Données!$O109="oui",Données!$N109=0.5),MIN(VLOOKUP($F69,taux,9)/2,ROUNDUP(VLOOKUP($F69,taux,7)*$E69,-3)/2),IF(Données!$N109=0.5,MIN(VLOOKUP($F69,taux,8)/2,ROUNDUP(VLOOKUP($F69,taux,7)*$E69,-3)/2),ROUNDUP(IF(Données!$O109="OUI",MIN(VLOOKUP($F69,taux,7)*$E69,VLOOKUP($F69,taux,9)),MIN(VLOOKUP($F69,taux,7)*$E69,VLOOKUP($F69,taux,8))),-3)))))</f>
        <v>0</v>
      </c>
      <c r="O69" s="105">
        <f ca="1">IF(C69&gt;=70,0,IF($B69=" ",0,IF(Données!P109="non couvert"," ",Données!Q109)))</f>
        <v>0</v>
      </c>
      <c r="P69" s="106">
        <f>IF($B69=" ",0,IF(Données!$P109="exo",0,IF($O69="FAM",VLOOKUP($F69,taux,10),IF($O69="MONO",VLOOKUP($F69,taux,11),IF($O69="COUPLE",VLOOKUP($F69,taux,12),0)))))</f>
        <v>0</v>
      </c>
      <c r="Q69" s="107">
        <f ca="1">IF(C69&gt;=70,0,IF($B69=" ",0,IF(Données!$R109="NON COUVERT",0,ROUNDUP(IF(Données!$S109="OUI",MIN($E69*VLOOKUP($F69,taux,15)/52,VLOOKUP($F69,taux,17)),MIN($E69*VLOOKUP($F69,taux,15)/52,VLOOKUP($F69,taux,16))),0))))</f>
        <v>0</v>
      </c>
      <c r="R69" s="108">
        <f>IF($B69=" ",0,IF(Données!$R109="EXO",0,$Q69*VLOOKUP($F69,taux,13)/10))</f>
        <v>0</v>
      </c>
      <c r="S69" s="109">
        <f t="shared" ca="1" si="3"/>
        <v>0</v>
      </c>
      <c r="T69" s="110">
        <f>IF(B69=" ",0,IF(Données!$T109="exo",0,$S69*VLOOKUP($F69,taux,18)/100))</f>
        <v>0</v>
      </c>
      <c r="U69" s="109">
        <f>IF($B69=" ",0,IF(Données!$V109="non couvert",0,IF(VLOOKUP($F69,taux,29)="fixe","s/o",IF(Données!$W109="oui",MIN(ROUNDUP(VLOOKUP($F69,taux,31)*$E69,-3),VLOOKUP($F69,taux,33)),MIN(ROUNDUP(VLOOKUP($F69,taux,31)*$E69,-3),VLOOKUP($F69,taux,32))))))</f>
        <v>0</v>
      </c>
      <c r="V69" s="110">
        <f>IF(B69=" ",0,IF(Données!$V109="exo",0,IF(VLOOKUP($F69,taux,29)="fixe",VLOOKUP($F69,taux,30),$U69/1000*VLOOKUP($F69,taux,30))))</f>
        <v>0</v>
      </c>
      <c r="W69" s="110">
        <f t="shared" si="0"/>
        <v>0</v>
      </c>
      <c r="X69" s="383">
        <f>IF(B69=" ",0,EDATE((Données!E109),780))</f>
        <v>0</v>
      </c>
      <c r="Y69" s="383">
        <f t="shared" si="6"/>
        <v>0</v>
      </c>
      <c r="Z69" s="384">
        <f>IF($B69=" ",0,IF(Données!$T109="non couvert",0,IF(Données!$U109="oui",MIN(VLOOKUP($F69,taux,26),ROUNDUP(IF($E69/12&gt;VLOOKUP($F69,taux,21)+VLOOKUP($F69,taux,23),(VLOOKUP($F69,taux,20)*VLOOKUP($F69,taux,21))+(VLOOKUP($F69,taux,22)*VLOOKUP($F69,taux,23))+($E69/12-VLOOKUP($F69,taux,21)-VLOOKUP($F69,taux,23))*VLOOKUP($F69,taux,24),IF($E69/12&gt;VLOOKUP($F69,taux,21),(VLOOKUP($F69,taux,20)*VLOOKUP($F69,taux,21))+($E69/12-VLOOKUP($F69,taux,21))*VLOOKUP($F69,taux,22),$E69/12*VLOOKUP($F69,taux,20))),0)),MIN(VLOOKUP($F69,taux,25),ROUNDUP(IF($E69/12&gt;VLOOKUP($F69,taux,21)+VLOOKUP($F69,taux,23),(VLOOKUP($F69,taux,20)*VLOOKUP($F69,taux,21))+(VLOOKUP($F69,taux,22)*VLOOKUP($F69,taux,23))+($E69/12-VLOOKUP($F69,taux,21)-VLOOKUP($F69,taux,23))*VLOOKUP($F69,taux,24),IF($E69/12&gt;VLOOKUP($F69,taux,21),(VLOOKUP($F69,taux,20)*VLOOKUP($F69,taux,21))+($E69/12-VLOOKUP($F69,taux,21))*VLOOKUP($F69,taux,22),$E69/12*VLOOKUP($F69,taux,20))),0)))))</f>
        <v>0</v>
      </c>
      <c r="AA69" s="111">
        <f ca="1">IF(C69&gt;=70,0,IF($B69=" ",0,IF(Données!$X109="non couvert"," ",Données!Y109)))</f>
        <v>0</v>
      </c>
      <c r="AB69" s="110">
        <f>IF($B69=" ",0,IF(Données!$X109="exo",0,IF($AA69="ind",VLOOKUP($F69,taux,34),IF($AA69="fam",VLOOKUP($F69,taux,35),IF($AA69="mono",VLOOKUP($F69,taux,36),IF($AA69="couple",VLOOKUP($F69,taux,37),0))))))</f>
        <v>0</v>
      </c>
      <c r="AC69" s="111">
        <f ca="1">IF(C69&gt;=70,0,IF($B69=" ",0,IF(Données!$Z109="non couvert"," ",Données!AA109)))</f>
        <v>0</v>
      </c>
      <c r="AD69" s="110">
        <f>IF($B69=" ",0,IF(Données!$Z109="exo",0,IF($AC69="ind",VLOOKUP($F69,taux,38),IF($AC69="fam",VLOOKUP($F69,taux,39),IF($AC69="mono",VLOOKUP($F69,taux,40),IF($AC69="couple",VLOOKUP($F69,taux,41),0))))))</f>
        <v>0</v>
      </c>
      <c r="AE69" s="112">
        <f>IF($B69=" ",0,IF(Données!$AB109="non couvert"," ",Données!AC109))</f>
        <v>0</v>
      </c>
      <c r="AF69" s="113">
        <f>IF($B69=" ",0,IF(Données!$AB109="exo",0,IF($AE69="ind",VLOOKUP($F69,taux,42),IF($AE69="fam",VLOOKUP($F69,taux,43),IF($AE69="mono",VLOOKUP($F69,taux,44),IF($AE69="couple",VLOOKUP($F69,taux,45),0))))))</f>
        <v>0</v>
      </c>
      <c r="AG69" s="114">
        <f t="shared" ca="1" si="7"/>
        <v>0</v>
      </c>
      <c r="AH69" s="114">
        <f>IF($B69=" ",0,IF(Données!J109="Manitoba",(Facture!H69+Facture!J69+Facture!L69+Facture!P69+Facture!R69+Facture!T69)*0.08,(AG69-W69)*IF(Données!$J109="qc",0.09,IF(Données!$J109="on",0.08,0))+W69*VLOOKUP($F69,taux,28)))</f>
        <v>0</v>
      </c>
      <c r="AI69" s="106">
        <f t="shared" ca="1" si="4"/>
        <v>0</v>
      </c>
    </row>
    <row r="70" spans="1:35" s="64" customFormat="1">
      <c r="A70" s="89">
        <f t="shared" si="5"/>
        <v>56</v>
      </c>
      <c r="B70" s="99" t="str">
        <f>CONCATENATE(Données!B110," ",Données!C110)</f>
        <v xml:space="preserve"> </v>
      </c>
      <c r="C70" s="410">
        <f ca="1">IF(B70="",0,INT((TODAY()-Données!E110)/365.25))</f>
        <v>119</v>
      </c>
      <c r="D70" s="100">
        <f>Données!D110</f>
        <v>0</v>
      </c>
      <c r="E70" s="101">
        <f>Données!I110</f>
        <v>0</v>
      </c>
      <c r="F70" s="102" t="str">
        <f>Données!AD110</f>
        <v/>
      </c>
      <c r="G70" s="103">
        <f ca="1">INDEX({1;0.5;0},MATCH(C70,{1;65;70}))*M70</f>
        <v>0</v>
      </c>
      <c r="H70" s="104">
        <f>IF($B70=" ",0,IF(Données!$K110="exo",0,$G70/1000*VLOOKUP($F70,taux,2)))</f>
        <v>0</v>
      </c>
      <c r="I70" s="398">
        <f ca="1">IF(C70&gt;=65,0,Données!M110*5000)</f>
        <v>0</v>
      </c>
      <c r="J70" s="104">
        <f ca="1">I70/1000*(IF(I70=0,0,1)*VLOOKUP((1+(C70&gt;=20)+(C70&gt;=25)+(C70&gt;=30)+(C70&gt;=35)+(C70&gt;=40)+(C70&gt;=45)+(C70&gt;=50)+(C70&gt;=55)+(C70&gt;=60)+(C70&gt;=65)),Test,2+(IF(Données!F110="H",1,3))+(IF(Données!G110="F",1,0))))</f>
        <v>0</v>
      </c>
      <c r="K70" s="103">
        <f ca="1">INDEX({1;0.5;0},MATCH(C70,{1;65;70}))*M70</f>
        <v>0</v>
      </c>
      <c r="L70" s="104">
        <f>IF($B70=" ",0,IF(Données!$N110="exo",0,$K70/1000*VLOOKUP($F70,taux,6)))</f>
        <v>0</v>
      </c>
      <c r="M70" s="379">
        <f>IF($B70=" ",0,IF(Données!$K110="NON COUVERT",0,IF(AND(Données!$L110="oui",Données!$K110=0.5),MIN(VLOOKUP($F70,taux,5)/2,ROUNDUP(VLOOKUP($F70,taux,3)*$E70,-3)/2),IF(Données!$K110=0.5,MIN(VLOOKUP($F70,taux,4)/2,ROUNDUP(VLOOKUP($F70,taux,3)*$E70,-3)/2),ROUNDUP(IF(Données!$L110="OUI",MIN(VLOOKUP($F70,taux,3)*$E70,VLOOKUP($F70,taux,5)),MIN(VLOOKUP($F70,taux,3)*$E70,VLOOKUP($F70,taux,4))),-3)))))</f>
        <v>0</v>
      </c>
      <c r="N70" s="379">
        <f>IF($B70=" ",0,IF(Données!$N110="NON COUVERT",0,IF(AND(Données!$O110="oui",Données!$N110=0.5),MIN(VLOOKUP($F70,taux,9)/2,ROUNDUP(VLOOKUP($F70,taux,7)*$E70,-3)/2),IF(Données!$N110=0.5,MIN(VLOOKUP($F70,taux,8)/2,ROUNDUP(VLOOKUP($F70,taux,7)*$E70,-3)/2),ROUNDUP(IF(Données!$O110="OUI",MIN(VLOOKUP($F70,taux,7)*$E70,VLOOKUP($F70,taux,9)),MIN(VLOOKUP($F70,taux,7)*$E70,VLOOKUP($F70,taux,8))),-3)))))</f>
        <v>0</v>
      </c>
      <c r="O70" s="105">
        <f ca="1">IF(C70&gt;=70,0,IF($B70=" ",0,IF(Données!P110="non couvert"," ",Données!Q110)))</f>
        <v>0</v>
      </c>
      <c r="P70" s="106">
        <f>IF($B70=" ",0,IF(Données!$P110="exo",0,IF($O70="FAM",VLOOKUP($F70,taux,10),IF($O70="MONO",VLOOKUP($F70,taux,11),IF($O70="COUPLE",VLOOKUP($F70,taux,12),0)))))</f>
        <v>0</v>
      </c>
      <c r="Q70" s="107">
        <f ca="1">IF(C70&gt;=70,0,IF($B70=" ",0,IF(Données!$R110="NON COUVERT",0,ROUNDUP(IF(Données!$S110="OUI",MIN($E70*VLOOKUP($F70,taux,15)/52,VLOOKUP($F70,taux,17)),MIN($E70*VLOOKUP($F70,taux,15)/52,VLOOKUP($F70,taux,16))),0))))</f>
        <v>0</v>
      </c>
      <c r="R70" s="108">
        <f>IF($B70=" ",0,IF(Données!$R110="EXO",0,$Q70*VLOOKUP($F70,taux,13)/10))</f>
        <v>0</v>
      </c>
      <c r="S70" s="109">
        <f t="shared" ca="1" si="3"/>
        <v>0</v>
      </c>
      <c r="T70" s="110">
        <f>IF(B70=" ",0,IF(Données!$T110="exo",0,$S70*VLOOKUP($F70,taux,18)/100))</f>
        <v>0</v>
      </c>
      <c r="U70" s="109">
        <f>IF($B70=" ",0,IF(Données!$V110="non couvert",0,IF(VLOOKUP($F70,taux,29)="fixe","s/o",IF(Données!$W110="oui",MIN(ROUNDUP(VLOOKUP($F70,taux,31)*$E70,-3),VLOOKUP($F70,taux,33)),MIN(ROUNDUP(VLOOKUP($F70,taux,31)*$E70,-3),VLOOKUP($F70,taux,32))))))</f>
        <v>0</v>
      </c>
      <c r="V70" s="110">
        <f>IF(B70=" ",0,IF(Données!$V110="exo",0,IF(VLOOKUP($F70,taux,29)="fixe",VLOOKUP($F70,taux,30),$U70/1000*VLOOKUP($F70,taux,30))))</f>
        <v>0</v>
      </c>
      <c r="W70" s="110">
        <f t="shared" si="0"/>
        <v>0</v>
      </c>
      <c r="X70" s="383">
        <f>IF(B70=" ",0,EDATE((Données!E110),780))</f>
        <v>0</v>
      </c>
      <c r="Y70" s="383">
        <f t="shared" si="6"/>
        <v>0</v>
      </c>
      <c r="Z70" s="384">
        <f>IF($B70=" ",0,IF(Données!$T110="non couvert",0,IF(Données!$U110="oui",MIN(VLOOKUP($F70,taux,26),ROUNDUP(IF($E70/12&gt;VLOOKUP($F70,taux,21)+VLOOKUP($F70,taux,23),(VLOOKUP($F70,taux,20)*VLOOKUP($F70,taux,21))+(VLOOKUP($F70,taux,22)*VLOOKUP($F70,taux,23))+($E70/12-VLOOKUP($F70,taux,21)-VLOOKUP($F70,taux,23))*VLOOKUP($F70,taux,24),IF($E70/12&gt;VLOOKUP($F70,taux,21),(VLOOKUP($F70,taux,20)*VLOOKUP($F70,taux,21))+($E70/12-VLOOKUP($F70,taux,21))*VLOOKUP($F70,taux,22),$E70/12*VLOOKUP($F70,taux,20))),0)),MIN(VLOOKUP($F70,taux,25),ROUNDUP(IF($E70/12&gt;VLOOKUP($F70,taux,21)+VLOOKUP($F70,taux,23),(VLOOKUP($F70,taux,20)*VLOOKUP($F70,taux,21))+(VLOOKUP($F70,taux,22)*VLOOKUP($F70,taux,23))+($E70/12-VLOOKUP($F70,taux,21)-VLOOKUP($F70,taux,23))*VLOOKUP($F70,taux,24),IF($E70/12&gt;VLOOKUP($F70,taux,21),(VLOOKUP($F70,taux,20)*VLOOKUP($F70,taux,21))+($E70/12-VLOOKUP($F70,taux,21))*VLOOKUP($F70,taux,22),$E70/12*VLOOKUP($F70,taux,20))),0)))))</f>
        <v>0</v>
      </c>
      <c r="AA70" s="111">
        <f ca="1">IF(C70&gt;=70,0,IF($B70=" ",0,IF(Données!$X110="non couvert"," ",Données!Y110)))</f>
        <v>0</v>
      </c>
      <c r="AB70" s="110">
        <f>IF($B70=" ",0,IF(Données!$X110="exo",0,IF($AA70="ind",VLOOKUP($F70,taux,34),IF($AA70="fam",VLOOKUP($F70,taux,35),IF($AA70="mono",VLOOKUP($F70,taux,36),IF($AA70="couple",VLOOKUP($F70,taux,37),0))))))</f>
        <v>0</v>
      </c>
      <c r="AC70" s="111">
        <f ca="1">IF(C70&gt;=70,0,IF($B70=" ",0,IF(Données!$Z110="non couvert"," ",Données!AA110)))</f>
        <v>0</v>
      </c>
      <c r="AD70" s="110">
        <f>IF($B70=" ",0,IF(Données!$Z110="exo",0,IF($AC70="ind",VLOOKUP($F70,taux,38),IF($AC70="fam",VLOOKUP($F70,taux,39),IF($AC70="mono",VLOOKUP($F70,taux,40),IF($AC70="couple",VLOOKUP($F70,taux,41),0))))))</f>
        <v>0</v>
      </c>
      <c r="AE70" s="112">
        <f>IF($B70=" ",0,IF(Données!$AB110="non couvert"," ",Données!AC110))</f>
        <v>0</v>
      </c>
      <c r="AF70" s="113">
        <f>IF($B70=" ",0,IF(Données!$AB110="exo",0,IF($AE70="ind",VLOOKUP($F70,taux,42),IF($AE70="fam",VLOOKUP($F70,taux,43),IF($AE70="mono",VLOOKUP($F70,taux,44),IF($AE70="couple",VLOOKUP($F70,taux,45),0))))))</f>
        <v>0</v>
      </c>
      <c r="AG70" s="114">
        <f t="shared" ca="1" si="7"/>
        <v>0</v>
      </c>
      <c r="AH70" s="114">
        <f>IF($B70=" ",0,IF(Données!J110="Manitoba",(Facture!H70+Facture!J70+Facture!L70+Facture!P70+Facture!R70+Facture!T70)*0.08,(AG70-W70)*IF(Données!$J110="qc",0.09,IF(Données!$J110="on",0.08,0))+W70*VLOOKUP($F70,taux,28)))</f>
        <v>0</v>
      </c>
      <c r="AI70" s="106">
        <f t="shared" ca="1" si="4"/>
        <v>0</v>
      </c>
    </row>
    <row r="71" spans="1:35" s="64" customFormat="1">
      <c r="A71" s="89">
        <f t="shared" si="5"/>
        <v>57</v>
      </c>
      <c r="B71" s="99" t="str">
        <f>CONCATENATE(Données!B111," ",Données!C111)</f>
        <v xml:space="preserve"> </v>
      </c>
      <c r="C71" s="410">
        <f ca="1">IF(B71="",0,INT((TODAY()-Données!E111)/365.25))</f>
        <v>119</v>
      </c>
      <c r="D71" s="100">
        <f>Données!D111</f>
        <v>0</v>
      </c>
      <c r="E71" s="101">
        <f>Données!I111</f>
        <v>0</v>
      </c>
      <c r="F71" s="102" t="str">
        <f>Données!AD111</f>
        <v/>
      </c>
      <c r="G71" s="103">
        <f ca="1">INDEX({1;0.5;0},MATCH(C71,{1;65;70}))*M71</f>
        <v>0</v>
      </c>
      <c r="H71" s="104">
        <f>IF($B71=" ",0,IF(Données!$K111="exo",0,$G71/1000*VLOOKUP($F71,taux,2)))</f>
        <v>0</v>
      </c>
      <c r="I71" s="398">
        <f ca="1">IF(C71&gt;=65,0,Données!M111*5000)</f>
        <v>0</v>
      </c>
      <c r="J71" s="104">
        <f ca="1">I71/1000*(IF(I71=0,0,1)*VLOOKUP((1+(C71&gt;=20)+(C71&gt;=25)+(C71&gt;=30)+(C71&gt;=35)+(C71&gt;=40)+(C71&gt;=45)+(C71&gt;=50)+(C71&gt;=55)+(C71&gt;=60)+(C71&gt;=65)),Test,2+(IF(Données!F111="H",1,3))+(IF(Données!G111="F",1,0))))</f>
        <v>0</v>
      </c>
      <c r="K71" s="103">
        <f ca="1">INDEX({1;0.5;0},MATCH(C71,{1;65;70}))*M71</f>
        <v>0</v>
      </c>
      <c r="L71" s="104">
        <f>IF($B71=" ",0,IF(Données!$N111="exo",0,$K71/1000*VLOOKUP($F71,taux,6)))</f>
        <v>0</v>
      </c>
      <c r="M71" s="379">
        <f>IF($B71=" ",0,IF(Données!$K111="NON COUVERT",0,IF(AND(Données!$L111="oui",Données!$K111=0.5),MIN(VLOOKUP($F71,taux,5)/2,ROUNDUP(VLOOKUP($F71,taux,3)*$E71,-3)/2),IF(Données!$K111=0.5,MIN(VLOOKUP($F71,taux,4)/2,ROUNDUP(VLOOKUP($F71,taux,3)*$E71,-3)/2),ROUNDUP(IF(Données!$L111="OUI",MIN(VLOOKUP($F71,taux,3)*$E71,VLOOKUP($F71,taux,5)),MIN(VLOOKUP($F71,taux,3)*$E71,VLOOKUP($F71,taux,4))),-3)))))</f>
        <v>0</v>
      </c>
      <c r="N71" s="379">
        <f>IF($B71=" ",0,IF(Données!$N111="NON COUVERT",0,IF(AND(Données!$O111="oui",Données!$N111=0.5),MIN(VLOOKUP($F71,taux,9)/2,ROUNDUP(VLOOKUP($F71,taux,7)*$E71,-3)/2),IF(Données!$N111=0.5,MIN(VLOOKUP($F71,taux,8)/2,ROUNDUP(VLOOKUP($F71,taux,7)*$E71,-3)/2),ROUNDUP(IF(Données!$O111="OUI",MIN(VLOOKUP($F71,taux,7)*$E71,VLOOKUP($F71,taux,9)),MIN(VLOOKUP($F71,taux,7)*$E71,VLOOKUP($F71,taux,8))),-3)))))</f>
        <v>0</v>
      </c>
      <c r="O71" s="105">
        <f ca="1">IF(C71&gt;=70,0,IF($B71=" ",0,IF(Données!P111="non couvert"," ",Données!Q111)))</f>
        <v>0</v>
      </c>
      <c r="P71" s="106">
        <f>IF($B71=" ",0,IF(Données!$P111="exo",0,IF($O71="FAM",VLOOKUP($F71,taux,10),IF($O71="MONO",VLOOKUP($F71,taux,11),IF($O71="COUPLE",VLOOKUP($F71,taux,12),0)))))</f>
        <v>0</v>
      </c>
      <c r="Q71" s="107">
        <f ca="1">IF(C71&gt;=70,0,IF($B71=" ",0,IF(Données!$R111="NON COUVERT",0,ROUNDUP(IF(Données!$S111="OUI",MIN($E71*VLOOKUP($F71,taux,15)/52,VLOOKUP($F71,taux,17)),MIN($E71*VLOOKUP($F71,taux,15)/52,VLOOKUP($F71,taux,16))),0))))</f>
        <v>0</v>
      </c>
      <c r="R71" s="108">
        <f>IF($B71=" ",0,IF(Données!$R111="EXO",0,$Q71*VLOOKUP($F71,taux,13)/10))</f>
        <v>0</v>
      </c>
      <c r="S71" s="109">
        <f t="shared" ca="1" si="3"/>
        <v>0</v>
      </c>
      <c r="T71" s="110">
        <f>IF(B71=" ",0,IF(Données!$T111="exo",0,$S71*VLOOKUP($F71,taux,18)/100))</f>
        <v>0</v>
      </c>
      <c r="U71" s="109">
        <f>IF($B71=" ",0,IF(Données!$V111="non couvert",0,IF(VLOOKUP($F71,taux,29)="fixe","s/o",IF(Données!$W111="oui",MIN(ROUNDUP(VLOOKUP($F71,taux,31)*$E71,-3),VLOOKUP($F71,taux,33)),MIN(ROUNDUP(VLOOKUP($F71,taux,31)*$E71,-3),VLOOKUP($F71,taux,32))))))</f>
        <v>0</v>
      </c>
      <c r="V71" s="110">
        <f>IF(B71=" ",0,IF(Données!$V111="exo",0,IF(VLOOKUP($F71,taux,29)="fixe",VLOOKUP($F71,taux,30),$U71/1000*VLOOKUP($F71,taux,30))))</f>
        <v>0</v>
      </c>
      <c r="W71" s="110">
        <f t="shared" si="0"/>
        <v>0</v>
      </c>
      <c r="X71" s="383">
        <f>IF(B71=" ",0,EDATE((Données!E111),780))</f>
        <v>0</v>
      </c>
      <c r="Y71" s="383">
        <f t="shared" si="6"/>
        <v>0</v>
      </c>
      <c r="Z71" s="384">
        <f>IF($B71=" ",0,IF(Données!$T111="non couvert",0,IF(Données!$U111="oui",MIN(VLOOKUP($F71,taux,26),ROUNDUP(IF($E71/12&gt;VLOOKUP($F71,taux,21)+VLOOKUP($F71,taux,23),(VLOOKUP($F71,taux,20)*VLOOKUP($F71,taux,21))+(VLOOKUP($F71,taux,22)*VLOOKUP($F71,taux,23))+($E71/12-VLOOKUP($F71,taux,21)-VLOOKUP($F71,taux,23))*VLOOKUP($F71,taux,24),IF($E71/12&gt;VLOOKUP($F71,taux,21),(VLOOKUP($F71,taux,20)*VLOOKUP($F71,taux,21))+($E71/12-VLOOKUP($F71,taux,21))*VLOOKUP($F71,taux,22),$E71/12*VLOOKUP($F71,taux,20))),0)),MIN(VLOOKUP($F71,taux,25),ROUNDUP(IF($E71/12&gt;VLOOKUP($F71,taux,21)+VLOOKUP($F71,taux,23),(VLOOKUP($F71,taux,20)*VLOOKUP($F71,taux,21))+(VLOOKUP($F71,taux,22)*VLOOKUP($F71,taux,23))+($E71/12-VLOOKUP($F71,taux,21)-VLOOKUP($F71,taux,23))*VLOOKUP($F71,taux,24),IF($E71/12&gt;VLOOKUP($F71,taux,21),(VLOOKUP($F71,taux,20)*VLOOKUP($F71,taux,21))+($E71/12-VLOOKUP($F71,taux,21))*VLOOKUP($F71,taux,22),$E71/12*VLOOKUP($F71,taux,20))),0)))))</f>
        <v>0</v>
      </c>
      <c r="AA71" s="111">
        <f ca="1">IF(C71&gt;=70,0,IF($B71=" ",0,IF(Données!$X111="non couvert"," ",Données!Y111)))</f>
        <v>0</v>
      </c>
      <c r="AB71" s="110">
        <f>IF($B71=" ",0,IF(Données!$X111="exo",0,IF($AA71="ind",VLOOKUP($F71,taux,34),IF($AA71="fam",VLOOKUP($F71,taux,35),IF($AA71="mono",VLOOKUP($F71,taux,36),IF($AA71="couple",VLOOKUP($F71,taux,37),0))))))</f>
        <v>0</v>
      </c>
      <c r="AC71" s="111">
        <f ca="1">IF(C71&gt;=70,0,IF($B71=" ",0,IF(Données!$Z111="non couvert"," ",Données!AA111)))</f>
        <v>0</v>
      </c>
      <c r="AD71" s="110">
        <f>IF($B71=" ",0,IF(Données!$Z111="exo",0,IF($AC71="ind",VLOOKUP($F71,taux,38),IF($AC71="fam",VLOOKUP($F71,taux,39),IF($AC71="mono",VLOOKUP($F71,taux,40),IF($AC71="couple",VLOOKUP($F71,taux,41),0))))))</f>
        <v>0</v>
      </c>
      <c r="AE71" s="112">
        <f>IF($B71=" ",0,IF(Données!$AB111="non couvert"," ",Données!AC111))</f>
        <v>0</v>
      </c>
      <c r="AF71" s="113">
        <f>IF($B71=" ",0,IF(Données!$AB111="exo",0,IF($AE71="ind",VLOOKUP($F71,taux,42),IF($AE71="fam",VLOOKUP($F71,taux,43),IF($AE71="mono",VLOOKUP($F71,taux,44),IF($AE71="couple",VLOOKUP($F71,taux,45),0))))))</f>
        <v>0</v>
      </c>
      <c r="AG71" s="114">
        <f t="shared" ca="1" si="7"/>
        <v>0</v>
      </c>
      <c r="AH71" s="114">
        <f>IF($B71=" ",0,IF(Données!J111="Manitoba",(Facture!H71+Facture!J71+Facture!L71+Facture!P71+Facture!R71+Facture!T71)*0.08,(AG71-W71)*IF(Données!$J111="qc",0.09,IF(Données!$J111="on",0.08,0))+W71*VLOOKUP($F71,taux,28)))</f>
        <v>0</v>
      </c>
      <c r="AI71" s="106">
        <f t="shared" ca="1" si="4"/>
        <v>0</v>
      </c>
    </row>
    <row r="72" spans="1:35" s="64" customFormat="1">
      <c r="A72" s="89">
        <f t="shared" si="5"/>
        <v>58</v>
      </c>
      <c r="B72" s="99" t="str">
        <f>CONCATENATE(Données!B112," ",Données!C112)</f>
        <v xml:space="preserve"> </v>
      </c>
      <c r="C72" s="410">
        <f ca="1">IF(B72="",0,INT((TODAY()-Données!E112)/365.25))</f>
        <v>119</v>
      </c>
      <c r="D72" s="100">
        <f>Données!D112</f>
        <v>0</v>
      </c>
      <c r="E72" s="101">
        <f>Données!I112</f>
        <v>0</v>
      </c>
      <c r="F72" s="102" t="str">
        <f>Données!AD112</f>
        <v/>
      </c>
      <c r="G72" s="103">
        <f ca="1">INDEX({1;0.5;0},MATCH(C72,{1;65;70}))*M72</f>
        <v>0</v>
      </c>
      <c r="H72" s="104">
        <f>IF($B72=" ",0,IF(Données!$K112="exo",0,$G72/1000*VLOOKUP($F72,taux,2)))</f>
        <v>0</v>
      </c>
      <c r="I72" s="398">
        <f ca="1">IF(C72&gt;=65,0,Données!M112*5000)</f>
        <v>0</v>
      </c>
      <c r="J72" s="104">
        <f ca="1">I72/1000*(IF(I72=0,0,1)*VLOOKUP((1+(C72&gt;=20)+(C72&gt;=25)+(C72&gt;=30)+(C72&gt;=35)+(C72&gt;=40)+(C72&gt;=45)+(C72&gt;=50)+(C72&gt;=55)+(C72&gt;=60)+(C72&gt;=65)),Test,2+(IF(Données!F112="H",1,3))+(IF(Données!G112="F",1,0))))</f>
        <v>0</v>
      </c>
      <c r="K72" s="103">
        <f ca="1">INDEX({1;0.5;0},MATCH(C72,{1;65;70}))*M72</f>
        <v>0</v>
      </c>
      <c r="L72" s="104">
        <f>IF($B72=" ",0,IF(Données!$N112="exo",0,$K72/1000*VLOOKUP($F72,taux,6)))</f>
        <v>0</v>
      </c>
      <c r="M72" s="379">
        <f>IF($B72=" ",0,IF(Données!$K112="NON COUVERT",0,IF(AND(Données!$L112="oui",Données!$K112=0.5),MIN(VLOOKUP($F72,taux,5)/2,ROUNDUP(VLOOKUP($F72,taux,3)*$E72,-3)/2),IF(Données!$K112=0.5,MIN(VLOOKUP($F72,taux,4)/2,ROUNDUP(VLOOKUP($F72,taux,3)*$E72,-3)/2),ROUNDUP(IF(Données!$L112="OUI",MIN(VLOOKUP($F72,taux,3)*$E72,VLOOKUP($F72,taux,5)),MIN(VLOOKUP($F72,taux,3)*$E72,VLOOKUP($F72,taux,4))),-3)))))</f>
        <v>0</v>
      </c>
      <c r="N72" s="379">
        <f>IF($B72=" ",0,IF(Données!$N112="NON COUVERT",0,IF(AND(Données!$O112="oui",Données!$N112=0.5),MIN(VLOOKUP($F72,taux,9)/2,ROUNDUP(VLOOKUP($F72,taux,7)*$E72,-3)/2),IF(Données!$N112=0.5,MIN(VLOOKUP($F72,taux,8)/2,ROUNDUP(VLOOKUP($F72,taux,7)*$E72,-3)/2),ROUNDUP(IF(Données!$O112="OUI",MIN(VLOOKUP($F72,taux,7)*$E72,VLOOKUP($F72,taux,9)),MIN(VLOOKUP($F72,taux,7)*$E72,VLOOKUP($F72,taux,8))),-3)))))</f>
        <v>0</v>
      </c>
      <c r="O72" s="105">
        <f ca="1">IF(C72&gt;=70,0,IF($B72=" ",0,IF(Données!P112="non couvert"," ",Données!Q112)))</f>
        <v>0</v>
      </c>
      <c r="P72" s="106">
        <f>IF($B72=" ",0,IF(Données!$P112="exo",0,IF($O72="FAM",VLOOKUP($F72,taux,10),IF($O72="MONO",VLOOKUP($F72,taux,11),IF($O72="COUPLE",VLOOKUP($F72,taux,12),0)))))</f>
        <v>0</v>
      </c>
      <c r="Q72" s="107">
        <f ca="1">IF(C72&gt;=70,0,IF($B72=" ",0,IF(Données!$R112="NON COUVERT",0,ROUNDUP(IF(Données!$S112="OUI",MIN($E72*VLOOKUP($F72,taux,15)/52,VLOOKUP($F72,taux,17)),MIN($E72*VLOOKUP($F72,taux,15)/52,VLOOKUP($F72,taux,16))),0))))</f>
        <v>0</v>
      </c>
      <c r="R72" s="108">
        <f>IF($B72=" ",0,IF(Données!$R112="EXO",0,$Q72*VLOOKUP($F72,taux,13)/10))</f>
        <v>0</v>
      </c>
      <c r="S72" s="109">
        <f t="shared" ca="1" si="3"/>
        <v>0</v>
      </c>
      <c r="T72" s="110">
        <f>IF(B72=" ",0,IF(Données!$T112="exo",0,$S72*VLOOKUP($F72,taux,18)/100))</f>
        <v>0</v>
      </c>
      <c r="U72" s="109">
        <f>IF($B72=" ",0,IF(Données!$V112="non couvert",0,IF(VLOOKUP($F72,taux,29)="fixe","s/o",IF(Données!$W112="oui",MIN(ROUNDUP(VLOOKUP($F72,taux,31)*$E72,-3),VLOOKUP($F72,taux,33)),MIN(ROUNDUP(VLOOKUP($F72,taux,31)*$E72,-3),VLOOKUP($F72,taux,32))))))</f>
        <v>0</v>
      </c>
      <c r="V72" s="110">
        <f>IF(B72=" ",0,IF(Données!$V112="exo",0,IF(VLOOKUP($F72,taux,29)="fixe",VLOOKUP($F72,taux,30),$U72/1000*VLOOKUP($F72,taux,30))))</f>
        <v>0</v>
      </c>
      <c r="W72" s="110">
        <f t="shared" si="0"/>
        <v>0</v>
      </c>
      <c r="X72" s="383">
        <f>IF(B72=" ",0,EDATE((Données!E112),780))</f>
        <v>0</v>
      </c>
      <c r="Y72" s="383">
        <f t="shared" si="6"/>
        <v>0</v>
      </c>
      <c r="Z72" s="384">
        <f>IF($B72=" ",0,IF(Données!$T112="non couvert",0,IF(Données!$U112="oui",MIN(VLOOKUP($F72,taux,26),ROUNDUP(IF($E72/12&gt;VLOOKUP($F72,taux,21)+VLOOKUP($F72,taux,23),(VLOOKUP($F72,taux,20)*VLOOKUP($F72,taux,21))+(VLOOKUP($F72,taux,22)*VLOOKUP($F72,taux,23))+($E72/12-VLOOKUP($F72,taux,21)-VLOOKUP($F72,taux,23))*VLOOKUP($F72,taux,24),IF($E72/12&gt;VLOOKUP($F72,taux,21),(VLOOKUP($F72,taux,20)*VLOOKUP($F72,taux,21))+($E72/12-VLOOKUP($F72,taux,21))*VLOOKUP($F72,taux,22),$E72/12*VLOOKUP($F72,taux,20))),0)),MIN(VLOOKUP($F72,taux,25),ROUNDUP(IF($E72/12&gt;VLOOKUP($F72,taux,21)+VLOOKUP($F72,taux,23),(VLOOKUP($F72,taux,20)*VLOOKUP($F72,taux,21))+(VLOOKUP($F72,taux,22)*VLOOKUP($F72,taux,23))+($E72/12-VLOOKUP($F72,taux,21)-VLOOKUP($F72,taux,23))*VLOOKUP($F72,taux,24),IF($E72/12&gt;VLOOKUP($F72,taux,21),(VLOOKUP($F72,taux,20)*VLOOKUP($F72,taux,21))+($E72/12-VLOOKUP($F72,taux,21))*VLOOKUP($F72,taux,22),$E72/12*VLOOKUP($F72,taux,20))),0)))))</f>
        <v>0</v>
      </c>
      <c r="AA72" s="111">
        <f ca="1">IF(C72&gt;=70,0,IF($B72=" ",0,IF(Données!$X112="non couvert"," ",Données!Y112)))</f>
        <v>0</v>
      </c>
      <c r="AB72" s="110">
        <f>IF($B72=" ",0,IF(Données!$X112="exo",0,IF($AA72="ind",VLOOKUP($F72,taux,34),IF($AA72="fam",VLOOKUP($F72,taux,35),IF($AA72="mono",VLOOKUP($F72,taux,36),IF($AA72="couple",VLOOKUP($F72,taux,37),0))))))</f>
        <v>0</v>
      </c>
      <c r="AC72" s="111">
        <f ca="1">IF(C72&gt;=70,0,IF($B72=" ",0,IF(Données!$Z112="non couvert"," ",Données!AA112)))</f>
        <v>0</v>
      </c>
      <c r="AD72" s="110">
        <f>IF($B72=" ",0,IF(Données!$Z112="exo",0,IF($AC72="ind",VLOOKUP($F72,taux,38),IF($AC72="fam",VLOOKUP($F72,taux,39),IF($AC72="mono",VLOOKUP($F72,taux,40),IF($AC72="couple",VLOOKUP($F72,taux,41),0))))))</f>
        <v>0</v>
      </c>
      <c r="AE72" s="112">
        <f>IF($B72=" ",0,IF(Données!$AB112="non couvert"," ",Données!AC112))</f>
        <v>0</v>
      </c>
      <c r="AF72" s="113">
        <f>IF($B72=" ",0,IF(Données!$AB112="exo",0,IF($AE72="ind",VLOOKUP($F72,taux,42),IF($AE72="fam",VLOOKUP($F72,taux,43),IF($AE72="mono",VLOOKUP($F72,taux,44),IF($AE72="couple",VLOOKUP($F72,taux,45),0))))))</f>
        <v>0</v>
      </c>
      <c r="AG72" s="114">
        <f t="shared" ca="1" si="7"/>
        <v>0</v>
      </c>
      <c r="AH72" s="114">
        <f>IF($B72=" ",0,IF(Données!J112="Manitoba",(Facture!H72+Facture!J72+Facture!L72+Facture!P72+Facture!R72+Facture!T72)*0.08,(AG72-W72)*IF(Données!$J112="qc",0.09,IF(Données!$J112="on",0.08,0))+W72*VLOOKUP($F72,taux,28)))</f>
        <v>0</v>
      </c>
      <c r="AI72" s="106">
        <f t="shared" ca="1" si="4"/>
        <v>0</v>
      </c>
    </row>
    <row r="73" spans="1:35" s="64" customFormat="1">
      <c r="A73" s="89">
        <f t="shared" si="5"/>
        <v>59</v>
      </c>
      <c r="B73" s="99" t="str">
        <f>CONCATENATE(Données!B113," ",Données!C113)</f>
        <v xml:space="preserve"> </v>
      </c>
      <c r="C73" s="410">
        <f ca="1">IF(B73="",0,INT((TODAY()-Données!E113)/365.25))</f>
        <v>119</v>
      </c>
      <c r="D73" s="100">
        <f>Données!D113</f>
        <v>0</v>
      </c>
      <c r="E73" s="101">
        <f>Données!I113</f>
        <v>0</v>
      </c>
      <c r="F73" s="102" t="str">
        <f>Données!AD113</f>
        <v/>
      </c>
      <c r="G73" s="103">
        <f ca="1">INDEX({1;0.5;0},MATCH(C73,{1;65;70}))*M73</f>
        <v>0</v>
      </c>
      <c r="H73" s="104">
        <f>IF($B73=" ",0,IF(Données!$K113="exo",0,$G73/1000*VLOOKUP($F73,taux,2)))</f>
        <v>0</v>
      </c>
      <c r="I73" s="398">
        <f ca="1">IF(C73&gt;=65,0,Données!M113*5000)</f>
        <v>0</v>
      </c>
      <c r="J73" s="104">
        <f ca="1">I73/1000*(IF(I73=0,0,1)*VLOOKUP((1+(C73&gt;=20)+(C73&gt;=25)+(C73&gt;=30)+(C73&gt;=35)+(C73&gt;=40)+(C73&gt;=45)+(C73&gt;=50)+(C73&gt;=55)+(C73&gt;=60)+(C73&gt;=65)),Test,2+(IF(Données!F113="H",1,3))+(IF(Données!G113="F",1,0))))</f>
        <v>0</v>
      </c>
      <c r="K73" s="103">
        <f ca="1">INDEX({1;0.5;0},MATCH(C73,{1;65;70}))*M73</f>
        <v>0</v>
      </c>
      <c r="L73" s="104">
        <f>IF($B73=" ",0,IF(Données!$N113="exo",0,$K73/1000*VLOOKUP($F73,taux,6)))</f>
        <v>0</v>
      </c>
      <c r="M73" s="379">
        <f>IF($B73=" ",0,IF(Données!$K113="NON COUVERT",0,IF(AND(Données!$L113="oui",Données!$K113=0.5),MIN(VLOOKUP($F73,taux,5)/2,ROUNDUP(VLOOKUP($F73,taux,3)*$E73,-3)/2),IF(Données!$K113=0.5,MIN(VLOOKUP($F73,taux,4)/2,ROUNDUP(VLOOKUP($F73,taux,3)*$E73,-3)/2),ROUNDUP(IF(Données!$L113="OUI",MIN(VLOOKUP($F73,taux,3)*$E73,VLOOKUP($F73,taux,5)),MIN(VLOOKUP($F73,taux,3)*$E73,VLOOKUP($F73,taux,4))),-3)))))</f>
        <v>0</v>
      </c>
      <c r="N73" s="379">
        <f>IF($B73=" ",0,IF(Données!$N113="NON COUVERT",0,IF(AND(Données!$O113="oui",Données!$N113=0.5),MIN(VLOOKUP($F73,taux,9)/2,ROUNDUP(VLOOKUP($F73,taux,7)*$E73,-3)/2),IF(Données!$N113=0.5,MIN(VLOOKUP($F73,taux,8)/2,ROUNDUP(VLOOKUP($F73,taux,7)*$E73,-3)/2),ROUNDUP(IF(Données!$O113="OUI",MIN(VLOOKUP($F73,taux,7)*$E73,VLOOKUP($F73,taux,9)),MIN(VLOOKUP($F73,taux,7)*$E73,VLOOKUP($F73,taux,8))),-3)))))</f>
        <v>0</v>
      </c>
      <c r="O73" s="105">
        <f ca="1">IF(C73&gt;=70,0,IF($B73=" ",0,IF(Données!P113="non couvert"," ",Données!Q113)))</f>
        <v>0</v>
      </c>
      <c r="P73" s="106">
        <f>IF($B73=" ",0,IF(Données!$P113="exo",0,IF($O73="FAM",VLOOKUP($F73,taux,10),IF($O73="MONO",VLOOKUP($F73,taux,11),IF($O73="COUPLE",VLOOKUP($F73,taux,12),0)))))</f>
        <v>0</v>
      </c>
      <c r="Q73" s="107">
        <f ca="1">IF(C73&gt;=70,0,IF($B73=" ",0,IF(Données!$R113="NON COUVERT",0,ROUNDUP(IF(Données!$S113="OUI",MIN($E73*VLOOKUP($F73,taux,15)/52,VLOOKUP($F73,taux,17)),MIN($E73*VLOOKUP($F73,taux,15)/52,VLOOKUP($F73,taux,16))),0))))</f>
        <v>0</v>
      </c>
      <c r="R73" s="108">
        <f>IF($B73=" ",0,IF(Données!$R113="EXO",0,$Q73*VLOOKUP($F73,taux,13)/10))</f>
        <v>0</v>
      </c>
      <c r="S73" s="109">
        <f t="shared" ca="1" si="3"/>
        <v>0</v>
      </c>
      <c r="T73" s="110">
        <f>IF(B73=" ",0,IF(Données!$T113="exo",0,$S73*VLOOKUP($F73,taux,18)/100))</f>
        <v>0</v>
      </c>
      <c r="U73" s="109">
        <f>IF($B73=" ",0,IF(Données!$V113="non couvert",0,IF(VLOOKUP($F73,taux,29)="fixe","s/o",IF(Données!$W113="oui",MIN(ROUNDUP(VLOOKUP($F73,taux,31)*$E73,-3),VLOOKUP($F73,taux,33)),MIN(ROUNDUP(VLOOKUP($F73,taux,31)*$E73,-3),VLOOKUP($F73,taux,32))))))</f>
        <v>0</v>
      </c>
      <c r="V73" s="110">
        <f>IF(B73=" ",0,IF(Données!$V113="exo",0,IF(VLOOKUP($F73,taux,29)="fixe",VLOOKUP($F73,taux,30),$U73/1000*VLOOKUP($F73,taux,30))))</f>
        <v>0</v>
      </c>
      <c r="W73" s="110">
        <f t="shared" si="0"/>
        <v>0</v>
      </c>
      <c r="X73" s="383">
        <f>IF(B73=" ",0,EDATE((Données!E113),780))</f>
        <v>0</v>
      </c>
      <c r="Y73" s="383">
        <f t="shared" si="6"/>
        <v>0</v>
      </c>
      <c r="Z73" s="384">
        <f>IF($B73=" ",0,IF(Données!$T113="non couvert",0,IF(Données!$U113="oui",MIN(VLOOKUP($F73,taux,26),ROUNDUP(IF($E73/12&gt;VLOOKUP($F73,taux,21)+VLOOKUP($F73,taux,23),(VLOOKUP($F73,taux,20)*VLOOKUP($F73,taux,21))+(VLOOKUP($F73,taux,22)*VLOOKUP($F73,taux,23))+($E73/12-VLOOKUP($F73,taux,21)-VLOOKUP($F73,taux,23))*VLOOKUP($F73,taux,24),IF($E73/12&gt;VLOOKUP($F73,taux,21),(VLOOKUP($F73,taux,20)*VLOOKUP($F73,taux,21))+($E73/12-VLOOKUP($F73,taux,21))*VLOOKUP($F73,taux,22),$E73/12*VLOOKUP($F73,taux,20))),0)),MIN(VLOOKUP($F73,taux,25),ROUNDUP(IF($E73/12&gt;VLOOKUP($F73,taux,21)+VLOOKUP($F73,taux,23),(VLOOKUP($F73,taux,20)*VLOOKUP($F73,taux,21))+(VLOOKUP($F73,taux,22)*VLOOKUP($F73,taux,23))+($E73/12-VLOOKUP($F73,taux,21)-VLOOKUP($F73,taux,23))*VLOOKUP($F73,taux,24),IF($E73/12&gt;VLOOKUP($F73,taux,21),(VLOOKUP($F73,taux,20)*VLOOKUP($F73,taux,21))+($E73/12-VLOOKUP($F73,taux,21))*VLOOKUP($F73,taux,22),$E73/12*VLOOKUP($F73,taux,20))),0)))))</f>
        <v>0</v>
      </c>
      <c r="AA73" s="111">
        <f ca="1">IF(C73&gt;=70,0,IF($B73=" ",0,IF(Données!$X113="non couvert"," ",Données!Y113)))</f>
        <v>0</v>
      </c>
      <c r="AB73" s="110">
        <f>IF($B73=" ",0,IF(Données!$X113="exo",0,IF($AA73="ind",VLOOKUP($F73,taux,34),IF($AA73="fam",VLOOKUP($F73,taux,35),IF($AA73="mono",VLOOKUP($F73,taux,36),IF($AA73="couple",VLOOKUP($F73,taux,37),0))))))</f>
        <v>0</v>
      </c>
      <c r="AC73" s="111">
        <f ca="1">IF(C73&gt;=70,0,IF($B73=" ",0,IF(Données!$Z113="non couvert"," ",Données!AA113)))</f>
        <v>0</v>
      </c>
      <c r="AD73" s="110">
        <f>IF($B73=" ",0,IF(Données!$Z113="exo",0,IF($AC73="ind",VLOOKUP($F73,taux,38),IF($AC73="fam",VLOOKUP($F73,taux,39),IF($AC73="mono",VLOOKUP($F73,taux,40),IF($AC73="couple",VLOOKUP($F73,taux,41),0))))))</f>
        <v>0</v>
      </c>
      <c r="AE73" s="112">
        <f>IF($B73=" ",0,IF(Données!$AB113="non couvert"," ",Données!AC113))</f>
        <v>0</v>
      </c>
      <c r="AF73" s="113">
        <f>IF($B73=" ",0,IF(Données!$AB113="exo",0,IF($AE73="ind",VLOOKUP($F73,taux,42),IF($AE73="fam",VLOOKUP($F73,taux,43),IF($AE73="mono",VLOOKUP($F73,taux,44),IF($AE73="couple",VLOOKUP($F73,taux,45),0))))))</f>
        <v>0</v>
      </c>
      <c r="AG73" s="114">
        <f t="shared" ca="1" si="7"/>
        <v>0</v>
      </c>
      <c r="AH73" s="114">
        <f>IF($B73=" ",0,IF(Données!J113="Manitoba",(Facture!H73+Facture!J73+Facture!L73+Facture!P73+Facture!R73+Facture!T73)*0.08,(AG73-W73)*IF(Données!$J113="qc",0.09,IF(Données!$J113="on",0.08,0))+W73*VLOOKUP($F73,taux,28)))</f>
        <v>0</v>
      </c>
      <c r="AI73" s="106">
        <f t="shared" ca="1" si="4"/>
        <v>0</v>
      </c>
    </row>
    <row r="74" spans="1:35" s="64" customFormat="1">
      <c r="A74" s="89">
        <f t="shared" si="5"/>
        <v>60</v>
      </c>
      <c r="B74" s="99" t="str">
        <f>CONCATENATE(Données!B114," ",Données!C114)</f>
        <v xml:space="preserve"> </v>
      </c>
      <c r="C74" s="410">
        <f ca="1">IF(B74="",0,INT((TODAY()-Données!E114)/365.25))</f>
        <v>119</v>
      </c>
      <c r="D74" s="100">
        <f>Données!D114</f>
        <v>0</v>
      </c>
      <c r="E74" s="101">
        <f>Données!I114</f>
        <v>0</v>
      </c>
      <c r="F74" s="102" t="str">
        <f>Données!AD114</f>
        <v/>
      </c>
      <c r="G74" s="103">
        <f ca="1">INDEX({1;0.5;0},MATCH(C74,{1;65;70}))*M74</f>
        <v>0</v>
      </c>
      <c r="H74" s="104">
        <f>IF($B74=" ",0,IF(Données!$K114="exo",0,$G74/1000*VLOOKUP($F74,taux,2)))</f>
        <v>0</v>
      </c>
      <c r="I74" s="398">
        <f ca="1">IF(C74&gt;=65,0,Données!M114*5000)</f>
        <v>0</v>
      </c>
      <c r="J74" s="104">
        <f ca="1">I74/1000*(IF(I74=0,0,1)*VLOOKUP((1+(C74&gt;=20)+(C74&gt;=25)+(C74&gt;=30)+(C74&gt;=35)+(C74&gt;=40)+(C74&gt;=45)+(C74&gt;=50)+(C74&gt;=55)+(C74&gt;=60)+(C74&gt;=65)),Test,2+(IF(Données!F114="H",1,3))+(IF(Données!G114="F",1,0))))</f>
        <v>0</v>
      </c>
      <c r="K74" s="103">
        <f ca="1">INDEX({1;0.5;0},MATCH(C74,{1;65;70}))*M74</f>
        <v>0</v>
      </c>
      <c r="L74" s="104">
        <f>IF($B74=" ",0,IF(Données!$N114="exo",0,$K74/1000*VLOOKUP($F74,taux,6)))</f>
        <v>0</v>
      </c>
      <c r="M74" s="379">
        <f>IF($B74=" ",0,IF(Données!$K114="NON COUVERT",0,IF(AND(Données!$L114="oui",Données!$K114=0.5),MIN(VLOOKUP($F74,taux,5)/2,ROUNDUP(VLOOKUP($F74,taux,3)*$E74,-3)/2),IF(Données!$K114=0.5,MIN(VLOOKUP($F74,taux,4)/2,ROUNDUP(VLOOKUP($F74,taux,3)*$E74,-3)/2),ROUNDUP(IF(Données!$L114="OUI",MIN(VLOOKUP($F74,taux,3)*$E74,VLOOKUP($F74,taux,5)),MIN(VLOOKUP($F74,taux,3)*$E74,VLOOKUP($F74,taux,4))),-3)))))</f>
        <v>0</v>
      </c>
      <c r="N74" s="379">
        <f>IF($B74=" ",0,IF(Données!$N114="NON COUVERT",0,IF(AND(Données!$O114="oui",Données!$N114=0.5),MIN(VLOOKUP($F74,taux,9)/2,ROUNDUP(VLOOKUP($F74,taux,7)*$E74,-3)/2),IF(Données!$N114=0.5,MIN(VLOOKUP($F74,taux,8)/2,ROUNDUP(VLOOKUP($F74,taux,7)*$E74,-3)/2),ROUNDUP(IF(Données!$O114="OUI",MIN(VLOOKUP($F74,taux,7)*$E74,VLOOKUP($F74,taux,9)),MIN(VLOOKUP($F74,taux,7)*$E74,VLOOKUP($F74,taux,8))),-3)))))</f>
        <v>0</v>
      </c>
      <c r="O74" s="105">
        <f ca="1">IF(C74&gt;=70,0,IF($B74=" ",0,IF(Données!P114="non couvert"," ",Données!Q114)))</f>
        <v>0</v>
      </c>
      <c r="P74" s="106">
        <f>IF($B74=" ",0,IF(Données!$P114="exo",0,IF($O74="FAM",VLOOKUP($F74,taux,10),IF($O74="MONO",VLOOKUP($F74,taux,11),IF($O74="COUPLE",VLOOKUP($F74,taux,12),0)))))</f>
        <v>0</v>
      </c>
      <c r="Q74" s="107">
        <f ca="1">IF(C74&gt;=70,0,IF($B74=" ",0,IF(Données!$R114="NON COUVERT",0,ROUNDUP(IF(Données!$S114="OUI",MIN($E74*VLOOKUP($F74,taux,15)/52,VLOOKUP($F74,taux,17)),MIN($E74*VLOOKUP($F74,taux,15)/52,VLOOKUP($F74,taux,16))),0))))</f>
        <v>0</v>
      </c>
      <c r="R74" s="108">
        <f>IF($B74=" ",0,IF(Données!$R114="EXO",0,$Q74*VLOOKUP($F74,taux,13)/10))</f>
        <v>0</v>
      </c>
      <c r="S74" s="109">
        <f t="shared" ca="1" si="3"/>
        <v>0</v>
      </c>
      <c r="T74" s="110">
        <f>IF(B74=" ",0,IF(Données!$T114="exo",0,$S74*VLOOKUP($F74,taux,18)/100))</f>
        <v>0</v>
      </c>
      <c r="U74" s="109">
        <f>IF($B74=" ",0,IF(Données!$V114="non couvert",0,IF(VLOOKUP($F74,taux,29)="fixe","s/o",IF(Données!$W114="oui",MIN(ROUNDUP(VLOOKUP($F74,taux,31)*$E74,-3),VLOOKUP($F74,taux,33)),MIN(ROUNDUP(VLOOKUP($F74,taux,31)*$E74,-3),VLOOKUP($F74,taux,32))))))</f>
        <v>0</v>
      </c>
      <c r="V74" s="110">
        <f>IF(B74=" ",0,IF(Données!$V114="exo",0,IF(VLOOKUP($F74,taux,29)="fixe",VLOOKUP($F74,taux,30),$U74/1000*VLOOKUP($F74,taux,30))))</f>
        <v>0</v>
      </c>
      <c r="W74" s="110">
        <f t="shared" si="0"/>
        <v>0</v>
      </c>
      <c r="X74" s="383">
        <f>IF(B74=" ",0,EDATE((Données!E114),780))</f>
        <v>0</v>
      </c>
      <c r="Y74" s="383">
        <f t="shared" si="6"/>
        <v>0</v>
      </c>
      <c r="Z74" s="384">
        <f>IF($B74=" ",0,IF(Données!$T114="non couvert",0,IF(Données!$U114="oui",MIN(VLOOKUP($F74,taux,26),ROUNDUP(IF($E74/12&gt;VLOOKUP($F74,taux,21)+VLOOKUP($F74,taux,23),(VLOOKUP($F74,taux,20)*VLOOKUP($F74,taux,21))+(VLOOKUP($F74,taux,22)*VLOOKUP($F74,taux,23))+($E74/12-VLOOKUP($F74,taux,21)-VLOOKUP($F74,taux,23))*VLOOKUP($F74,taux,24),IF($E74/12&gt;VLOOKUP($F74,taux,21),(VLOOKUP($F74,taux,20)*VLOOKUP($F74,taux,21))+($E74/12-VLOOKUP($F74,taux,21))*VLOOKUP($F74,taux,22),$E74/12*VLOOKUP($F74,taux,20))),0)),MIN(VLOOKUP($F74,taux,25),ROUNDUP(IF($E74/12&gt;VLOOKUP($F74,taux,21)+VLOOKUP($F74,taux,23),(VLOOKUP($F74,taux,20)*VLOOKUP($F74,taux,21))+(VLOOKUP($F74,taux,22)*VLOOKUP($F74,taux,23))+($E74/12-VLOOKUP($F74,taux,21)-VLOOKUP($F74,taux,23))*VLOOKUP($F74,taux,24),IF($E74/12&gt;VLOOKUP($F74,taux,21),(VLOOKUP($F74,taux,20)*VLOOKUP($F74,taux,21))+($E74/12-VLOOKUP($F74,taux,21))*VLOOKUP($F74,taux,22),$E74/12*VLOOKUP($F74,taux,20))),0)))))</f>
        <v>0</v>
      </c>
      <c r="AA74" s="111">
        <f ca="1">IF(C74&gt;=70,0,IF($B74=" ",0,IF(Données!$X114="non couvert"," ",Données!Y114)))</f>
        <v>0</v>
      </c>
      <c r="AB74" s="110">
        <f>IF($B74=" ",0,IF(Données!$X114="exo",0,IF($AA74="ind",VLOOKUP($F74,taux,34),IF($AA74="fam",VLOOKUP($F74,taux,35),IF($AA74="mono",VLOOKUP($F74,taux,36),IF($AA74="couple",VLOOKUP($F74,taux,37),0))))))</f>
        <v>0</v>
      </c>
      <c r="AC74" s="111">
        <f ca="1">IF(C74&gt;=70,0,IF($B74=" ",0,IF(Données!$Z114="non couvert"," ",Données!AA114)))</f>
        <v>0</v>
      </c>
      <c r="AD74" s="110">
        <f>IF($B74=" ",0,IF(Données!$Z114="exo",0,IF($AC74="ind",VLOOKUP($F74,taux,38),IF($AC74="fam",VLOOKUP($F74,taux,39),IF($AC74="mono",VLOOKUP($F74,taux,40),IF($AC74="couple",VLOOKUP($F74,taux,41),0))))))</f>
        <v>0</v>
      </c>
      <c r="AE74" s="112">
        <f>IF($B74=" ",0,IF(Données!$AB114="non couvert"," ",Données!AC114))</f>
        <v>0</v>
      </c>
      <c r="AF74" s="113">
        <f>IF($B74=" ",0,IF(Données!$AB114="exo",0,IF($AE74="ind",VLOOKUP($F74,taux,42),IF($AE74="fam",VLOOKUP($F74,taux,43),IF($AE74="mono",VLOOKUP($F74,taux,44),IF($AE74="couple",VLOOKUP($F74,taux,45),0))))))</f>
        <v>0</v>
      </c>
      <c r="AG74" s="114">
        <f t="shared" ca="1" si="7"/>
        <v>0</v>
      </c>
      <c r="AH74" s="114">
        <f>IF($B74=" ",0,IF(Données!J114="Manitoba",(Facture!H74+Facture!J74+Facture!L74+Facture!P74+Facture!R74+Facture!T74)*0.08,(AG74-W74)*IF(Données!$J114="qc",0.09,IF(Données!$J114="on",0.08,0))+W74*VLOOKUP($F74,taux,28)))</f>
        <v>0</v>
      </c>
      <c r="AI74" s="106">
        <f t="shared" ca="1" si="4"/>
        <v>0</v>
      </c>
    </row>
    <row r="75" spans="1:35" s="64" customFormat="1">
      <c r="A75" s="89">
        <f t="shared" si="5"/>
        <v>61</v>
      </c>
      <c r="B75" s="99" t="str">
        <f>CONCATENATE(Données!B115," ",Données!C115)</f>
        <v xml:space="preserve"> </v>
      </c>
      <c r="C75" s="410">
        <f ca="1">IF(B75="",0,INT((TODAY()-Données!E115)/365.25))</f>
        <v>119</v>
      </c>
      <c r="D75" s="100">
        <f>Données!D115</f>
        <v>0</v>
      </c>
      <c r="E75" s="101">
        <f>Données!I115</f>
        <v>0</v>
      </c>
      <c r="F75" s="102" t="str">
        <f>Données!AD115</f>
        <v/>
      </c>
      <c r="G75" s="103">
        <f ca="1">INDEX({1;0.5;0},MATCH(C75,{1;65;70}))*M75</f>
        <v>0</v>
      </c>
      <c r="H75" s="104">
        <f>IF($B75=" ",0,IF(Données!$K115="exo",0,$G75/1000*VLOOKUP($F75,taux,2)))</f>
        <v>0</v>
      </c>
      <c r="I75" s="398">
        <f ca="1">IF(C75&gt;=65,0,Données!M115*5000)</f>
        <v>0</v>
      </c>
      <c r="J75" s="104">
        <f ca="1">I75/1000*(IF(I75=0,0,1)*VLOOKUP((1+(C75&gt;=20)+(C75&gt;=25)+(C75&gt;=30)+(C75&gt;=35)+(C75&gt;=40)+(C75&gt;=45)+(C75&gt;=50)+(C75&gt;=55)+(C75&gt;=60)+(C75&gt;=65)),Test,2+(IF(Données!F115="H",1,3))+(IF(Données!G115="F",1,0))))</f>
        <v>0</v>
      </c>
      <c r="K75" s="103">
        <f ca="1">INDEX({1;0.5;0},MATCH(C75,{1;65;70}))*M75</f>
        <v>0</v>
      </c>
      <c r="L75" s="104">
        <f>IF($B75=" ",0,IF(Données!$N115="exo",0,$K75/1000*VLOOKUP($F75,taux,6)))</f>
        <v>0</v>
      </c>
      <c r="M75" s="379">
        <f>IF($B75=" ",0,IF(Données!$K115="NON COUVERT",0,IF(AND(Données!$L115="oui",Données!$K115=0.5),MIN(VLOOKUP($F75,taux,5)/2,ROUNDUP(VLOOKUP($F75,taux,3)*$E75,-3)/2),IF(Données!$K115=0.5,MIN(VLOOKUP($F75,taux,4)/2,ROUNDUP(VLOOKUP($F75,taux,3)*$E75,-3)/2),ROUNDUP(IF(Données!$L115="OUI",MIN(VLOOKUP($F75,taux,3)*$E75,VLOOKUP($F75,taux,5)),MIN(VLOOKUP($F75,taux,3)*$E75,VLOOKUP($F75,taux,4))),-3)))))</f>
        <v>0</v>
      </c>
      <c r="N75" s="379">
        <f>IF($B75=" ",0,IF(Données!$N115="NON COUVERT",0,IF(AND(Données!$O115="oui",Données!$N115=0.5),MIN(VLOOKUP($F75,taux,9)/2,ROUNDUP(VLOOKUP($F75,taux,7)*$E75,-3)/2),IF(Données!$N115=0.5,MIN(VLOOKUP($F75,taux,8)/2,ROUNDUP(VLOOKUP($F75,taux,7)*$E75,-3)/2),ROUNDUP(IF(Données!$O115="OUI",MIN(VLOOKUP($F75,taux,7)*$E75,VLOOKUP($F75,taux,9)),MIN(VLOOKUP($F75,taux,7)*$E75,VLOOKUP($F75,taux,8))),-3)))))</f>
        <v>0</v>
      </c>
      <c r="O75" s="105">
        <f ca="1">IF(C75&gt;=70,0,IF($B75=" ",0,IF(Données!P115="non couvert"," ",Données!Q115)))</f>
        <v>0</v>
      </c>
      <c r="P75" s="106">
        <f>IF($B75=" ",0,IF(Données!$P115="exo",0,IF($O75="FAM",VLOOKUP($F75,taux,10),IF($O75="MONO",VLOOKUP($F75,taux,11),IF($O75="COUPLE",VLOOKUP($F75,taux,12),0)))))</f>
        <v>0</v>
      </c>
      <c r="Q75" s="107">
        <f ca="1">IF(C75&gt;=70,0,IF($B75=" ",0,IF(Données!$R115="NON COUVERT",0,ROUNDUP(IF(Données!$S115="OUI",MIN($E75*VLOOKUP($F75,taux,15)/52,VLOOKUP($F75,taux,17)),MIN($E75*VLOOKUP($F75,taux,15)/52,VLOOKUP($F75,taux,16))),0))))</f>
        <v>0</v>
      </c>
      <c r="R75" s="108">
        <f>IF($B75=" ",0,IF(Données!$R115="EXO",0,$Q75*VLOOKUP($F75,taux,13)/10))</f>
        <v>0</v>
      </c>
      <c r="S75" s="109">
        <f t="shared" ca="1" si="3"/>
        <v>0</v>
      </c>
      <c r="T75" s="110">
        <f>IF(B75=" ",0,IF(Données!$T115="exo",0,$S75*VLOOKUP($F75,taux,18)/100))</f>
        <v>0</v>
      </c>
      <c r="U75" s="109">
        <f>IF($B75=" ",0,IF(Données!$V115="non couvert",0,IF(VLOOKUP($F75,taux,29)="fixe","s/o",IF(Données!$W115="oui",MIN(ROUNDUP(VLOOKUP($F75,taux,31)*$E75,-3),VLOOKUP($F75,taux,33)),MIN(ROUNDUP(VLOOKUP($F75,taux,31)*$E75,-3),VLOOKUP($F75,taux,32))))))</f>
        <v>0</v>
      </c>
      <c r="V75" s="110">
        <f>IF(B75=" ",0,IF(Données!$V115="exo",0,IF(VLOOKUP($F75,taux,29)="fixe",VLOOKUP($F75,taux,30),$U75/1000*VLOOKUP($F75,taux,30))))</f>
        <v>0</v>
      </c>
      <c r="W75" s="110">
        <f t="shared" si="0"/>
        <v>0</v>
      </c>
      <c r="X75" s="383">
        <f>IF(B75=" ",0,EDATE((Données!E115),780))</f>
        <v>0</v>
      </c>
      <c r="Y75" s="383">
        <f t="shared" si="6"/>
        <v>0</v>
      </c>
      <c r="Z75" s="384">
        <f>IF($B75=" ",0,IF(Données!$T115="non couvert",0,IF(Données!$U115="oui",MIN(VLOOKUP($F75,taux,26),ROUNDUP(IF($E75/12&gt;VLOOKUP($F75,taux,21)+VLOOKUP($F75,taux,23),(VLOOKUP($F75,taux,20)*VLOOKUP($F75,taux,21))+(VLOOKUP($F75,taux,22)*VLOOKUP($F75,taux,23))+($E75/12-VLOOKUP($F75,taux,21)-VLOOKUP($F75,taux,23))*VLOOKUP($F75,taux,24),IF($E75/12&gt;VLOOKUP($F75,taux,21),(VLOOKUP($F75,taux,20)*VLOOKUP($F75,taux,21))+($E75/12-VLOOKUP($F75,taux,21))*VLOOKUP($F75,taux,22),$E75/12*VLOOKUP($F75,taux,20))),0)),MIN(VLOOKUP($F75,taux,25),ROUNDUP(IF($E75/12&gt;VLOOKUP($F75,taux,21)+VLOOKUP($F75,taux,23),(VLOOKUP($F75,taux,20)*VLOOKUP($F75,taux,21))+(VLOOKUP($F75,taux,22)*VLOOKUP($F75,taux,23))+($E75/12-VLOOKUP($F75,taux,21)-VLOOKUP($F75,taux,23))*VLOOKUP($F75,taux,24),IF($E75/12&gt;VLOOKUP($F75,taux,21),(VLOOKUP($F75,taux,20)*VLOOKUP($F75,taux,21))+($E75/12-VLOOKUP($F75,taux,21))*VLOOKUP($F75,taux,22),$E75/12*VLOOKUP($F75,taux,20))),0)))))</f>
        <v>0</v>
      </c>
      <c r="AA75" s="111">
        <f ca="1">IF(C75&gt;=70,0,IF($B75=" ",0,IF(Données!$X115="non couvert"," ",Données!Y115)))</f>
        <v>0</v>
      </c>
      <c r="AB75" s="110">
        <f>IF($B75=" ",0,IF(Données!$X115="exo",0,IF($AA75="ind",VLOOKUP($F75,taux,34),IF($AA75="fam",VLOOKUP($F75,taux,35),IF($AA75="mono",VLOOKUP($F75,taux,36),IF($AA75="couple",VLOOKUP($F75,taux,37),0))))))</f>
        <v>0</v>
      </c>
      <c r="AC75" s="111">
        <f ca="1">IF(C75&gt;=70,0,IF($B75=" ",0,IF(Données!$Z115="non couvert"," ",Données!AA115)))</f>
        <v>0</v>
      </c>
      <c r="AD75" s="110">
        <f>IF($B75=" ",0,IF(Données!$Z115="exo",0,IF($AC75="ind",VLOOKUP($F75,taux,38),IF($AC75="fam",VLOOKUP($F75,taux,39),IF($AC75="mono",VLOOKUP($F75,taux,40),IF($AC75="couple",VLOOKUP($F75,taux,41),0))))))</f>
        <v>0</v>
      </c>
      <c r="AE75" s="112">
        <f>IF($B75=" ",0,IF(Données!$AB115="non couvert"," ",Données!AC115))</f>
        <v>0</v>
      </c>
      <c r="AF75" s="113">
        <f>IF($B75=" ",0,IF(Données!$AB115="exo",0,IF($AE75="ind",VLOOKUP($F75,taux,42),IF($AE75="fam",VLOOKUP($F75,taux,43),IF($AE75="mono",VLOOKUP($F75,taux,44),IF($AE75="couple",VLOOKUP($F75,taux,45),0))))))</f>
        <v>0</v>
      </c>
      <c r="AG75" s="114">
        <f t="shared" ca="1" si="7"/>
        <v>0</v>
      </c>
      <c r="AH75" s="114">
        <f>IF($B75=" ",0,IF(Données!J115="Manitoba",(Facture!H75+Facture!J75+Facture!L75+Facture!P75+Facture!R75+Facture!T75)*0.08,(AG75-W75)*IF(Données!$J115="qc",0.09,IF(Données!$J115="on",0.08,0))+W75*VLOOKUP($F75,taux,28)))</f>
        <v>0</v>
      </c>
      <c r="AI75" s="106">
        <f t="shared" ca="1" si="4"/>
        <v>0</v>
      </c>
    </row>
    <row r="76" spans="1:35" s="64" customFormat="1">
      <c r="A76" s="89">
        <f t="shared" si="5"/>
        <v>62</v>
      </c>
      <c r="B76" s="99" t="str">
        <f>CONCATENATE(Données!B116," ",Données!C116)</f>
        <v xml:space="preserve"> </v>
      </c>
      <c r="C76" s="410">
        <f ca="1">IF(B76="",0,INT((TODAY()-Données!E116)/365.25))</f>
        <v>119</v>
      </c>
      <c r="D76" s="100">
        <f>Données!D116</f>
        <v>0</v>
      </c>
      <c r="E76" s="101">
        <f>Données!I116</f>
        <v>0</v>
      </c>
      <c r="F76" s="102" t="str">
        <f>Données!AD116</f>
        <v/>
      </c>
      <c r="G76" s="103">
        <f ca="1">INDEX({1;0.5;0},MATCH(C76,{1;65;70}))*M76</f>
        <v>0</v>
      </c>
      <c r="H76" s="104">
        <f>IF($B76=" ",0,IF(Données!$K116="exo",0,$G76/1000*VLOOKUP($F76,taux,2)))</f>
        <v>0</v>
      </c>
      <c r="I76" s="398">
        <f ca="1">IF(C76&gt;=65,0,Données!M116*5000)</f>
        <v>0</v>
      </c>
      <c r="J76" s="104">
        <f ca="1">I76/1000*(IF(I76=0,0,1)*VLOOKUP((1+(C76&gt;=20)+(C76&gt;=25)+(C76&gt;=30)+(C76&gt;=35)+(C76&gt;=40)+(C76&gt;=45)+(C76&gt;=50)+(C76&gt;=55)+(C76&gt;=60)+(C76&gt;=65)),Test,2+(IF(Données!F116="H",1,3))+(IF(Données!G116="F",1,0))))</f>
        <v>0</v>
      </c>
      <c r="K76" s="103">
        <f ca="1">INDEX({1;0.5;0},MATCH(C76,{1;65;70}))*M76</f>
        <v>0</v>
      </c>
      <c r="L76" s="104">
        <f>IF($B76=" ",0,IF(Données!$N116="exo",0,$K76/1000*VLOOKUP($F76,taux,6)))</f>
        <v>0</v>
      </c>
      <c r="M76" s="379">
        <f>IF($B76=" ",0,IF(Données!$K116="NON COUVERT",0,IF(AND(Données!$L116="oui",Données!$K116=0.5),MIN(VLOOKUP($F76,taux,5)/2,ROUNDUP(VLOOKUP($F76,taux,3)*$E76,-3)/2),IF(Données!$K116=0.5,MIN(VLOOKUP($F76,taux,4)/2,ROUNDUP(VLOOKUP($F76,taux,3)*$E76,-3)/2),ROUNDUP(IF(Données!$L116="OUI",MIN(VLOOKUP($F76,taux,3)*$E76,VLOOKUP($F76,taux,5)),MIN(VLOOKUP($F76,taux,3)*$E76,VLOOKUP($F76,taux,4))),-3)))))</f>
        <v>0</v>
      </c>
      <c r="N76" s="379">
        <f>IF($B76=" ",0,IF(Données!$N116="NON COUVERT",0,IF(AND(Données!$O116="oui",Données!$N116=0.5),MIN(VLOOKUP($F76,taux,9)/2,ROUNDUP(VLOOKUP($F76,taux,7)*$E76,-3)/2),IF(Données!$N116=0.5,MIN(VLOOKUP($F76,taux,8)/2,ROUNDUP(VLOOKUP($F76,taux,7)*$E76,-3)/2),ROUNDUP(IF(Données!$O116="OUI",MIN(VLOOKUP($F76,taux,7)*$E76,VLOOKUP($F76,taux,9)),MIN(VLOOKUP($F76,taux,7)*$E76,VLOOKUP($F76,taux,8))),-3)))))</f>
        <v>0</v>
      </c>
      <c r="O76" s="105">
        <f ca="1">IF(C76&gt;=70,0,IF($B76=" ",0,IF(Données!P116="non couvert"," ",Données!Q116)))</f>
        <v>0</v>
      </c>
      <c r="P76" s="106">
        <f>IF($B76=" ",0,IF(Données!$P116="exo",0,IF($O76="FAM",VLOOKUP($F76,taux,10),IF($O76="MONO",VLOOKUP($F76,taux,11),IF($O76="COUPLE",VLOOKUP($F76,taux,12),0)))))</f>
        <v>0</v>
      </c>
      <c r="Q76" s="107">
        <f ca="1">IF(C76&gt;=70,0,IF($B76=" ",0,IF(Données!$R116="NON COUVERT",0,ROUNDUP(IF(Données!$S116="OUI",MIN($E76*VLOOKUP($F76,taux,15)/52,VLOOKUP($F76,taux,17)),MIN($E76*VLOOKUP($F76,taux,15)/52,VLOOKUP($F76,taux,16))),0))))</f>
        <v>0</v>
      </c>
      <c r="R76" s="108">
        <f>IF($B76=" ",0,IF(Données!$R116="EXO",0,$Q76*VLOOKUP($F76,taux,13)/10))</f>
        <v>0</v>
      </c>
      <c r="S76" s="109">
        <f t="shared" ca="1" si="3"/>
        <v>0</v>
      </c>
      <c r="T76" s="110">
        <f>IF(B76=" ",0,IF(Données!$T116="exo",0,$S76*VLOOKUP($F76,taux,18)/100))</f>
        <v>0</v>
      </c>
      <c r="U76" s="109">
        <f>IF($B76=" ",0,IF(Données!$V116="non couvert",0,IF(VLOOKUP($F76,taux,29)="fixe","s/o",IF(Données!$W116="oui",MIN(ROUNDUP(VLOOKUP($F76,taux,31)*$E76,-3),VLOOKUP($F76,taux,33)),MIN(ROUNDUP(VLOOKUP($F76,taux,31)*$E76,-3),VLOOKUP($F76,taux,32))))))</f>
        <v>0</v>
      </c>
      <c r="V76" s="110">
        <f>IF(B76=" ",0,IF(Données!$V116="exo",0,IF(VLOOKUP($F76,taux,29)="fixe",VLOOKUP($F76,taux,30),$U76/1000*VLOOKUP($F76,taux,30))))</f>
        <v>0</v>
      </c>
      <c r="W76" s="110">
        <f t="shared" si="0"/>
        <v>0</v>
      </c>
      <c r="X76" s="383">
        <f>IF(B76=" ",0,EDATE((Données!E116),780))</f>
        <v>0</v>
      </c>
      <c r="Y76" s="383">
        <f t="shared" si="6"/>
        <v>0</v>
      </c>
      <c r="Z76" s="384">
        <f>IF($B76=" ",0,IF(Données!$T116="non couvert",0,IF(Données!$U116="oui",MIN(VLOOKUP($F76,taux,26),ROUNDUP(IF($E76/12&gt;VLOOKUP($F76,taux,21)+VLOOKUP($F76,taux,23),(VLOOKUP($F76,taux,20)*VLOOKUP($F76,taux,21))+(VLOOKUP($F76,taux,22)*VLOOKUP($F76,taux,23))+($E76/12-VLOOKUP($F76,taux,21)-VLOOKUP($F76,taux,23))*VLOOKUP($F76,taux,24),IF($E76/12&gt;VLOOKUP($F76,taux,21),(VLOOKUP($F76,taux,20)*VLOOKUP($F76,taux,21))+($E76/12-VLOOKUP($F76,taux,21))*VLOOKUP($F76,taux,22),$E76/12*VLOOKUP($F76,taux,20))),0)),MIN(VLOOKUP($F76,taux,25),ROUNDUP(IF($E76/12&gt;VLOOKUP($F76,taux,21)+VLOOKUP($F76,taux,23),(VLOOKUP($F76,taux,20)*VLOOKUP($F76,taux,21))+(VLOOKUP($F76,taux,22)*VLOOKUP($F76,taux,23))+($E76/12-VLOOKUP($F76,taux,21)-VLOOKUP($F76,taux,23))*VLOOKUP($F76,taux,24),IF($E76/12&gt;VLOOKUP($F76,taux,21),(VLOOKUP($F76,taux,20)*VLOOKUP($F76,taux,21))+($E76/12-VLOOKUP($F76,taux,21))*VLOOKUP($F76,taux,22),$E76/12*VLOOKUP($F76,taux,20))),0)))))</f>
        <v>0</v>
      </c>
      <c r="AA76" s="111">
        <f ca="1">IF(C76&gt;=70,0,IF($B76=" ",0,IF(Données!$X116="non couvert"," ",Données!Y116)))</f>
        <v>0</v>
      </c>
      <c r="AB76" s="110">
        <f>IF($B76=" ",0,IF(Données!$X116="exo",0,IF($AA76="ind",VLOOKUP($F76,taux,34),IF($AA76="fam",VLOOKUP($F76,taux,35),IF($AA76="mono",VLOOKUP($F76,taux,36),IF($AA76="couple",VLOOKUP($F76,taux,37),0))))))</f>
        <v>0</v>
      </c>
      <c r="AC76" s="111">
        <f ca="1">IF(C76&gt;=70,0,IF($B76=" ",0,IF(Données!$Z116="non couvert"," ",Données!AA116)))</f>
        <v>0</v>
      </c>
      <c r="AD76" s="110">
        <f>IF($B76=" ",0,IF(Données!$Z116="exo",0,IF($AC76="ind",VLOOKUP($F76,taux,38),IF($AC76="fam",VLOOKUP($F76,taux,39),IF($AC76="mono",VLOOKUP($F76,taux,40),IF($AC76="couple",VLOOKUP($F76,taux,41),0))))))</f>
        <v>0</v>
      </c>
      <c r="AE76" s="112">
        <f>IF($B76=" ",0,IF(Données!$AB116="non couvert"," ",Données!AC116))</f>
        <v>0</v>
      </c>
      <c r="AF76" s="113">
        <f>IF($B76=" ",0,IF(Données!$AB116="exo",0,IF($AE76="ind",VLOOKUP($F76,taux,42),IF($AE76="fam",VLOOKUP($F76,taux,43),IF($AE76="mono",VLOOKUP($F76,taux,44),IF($AE76="couple",VLOOKUP($F76,taux,45),0))))))</f>
        <v>0</v>
      </c>
      <c r="AG76" s="114">
        <f t="shared" ca="1" si="7"/>
        <v>0</v>
      </c>
      <c r="AH76" s="114">
        <f>IF($B76=" ",0,IF(Données!J116="Manitoba",(Facture!H76+Facture!J76+Facture!L76+Facture!P76+Facture!R76+Facture!T76)*0.08,(AG76-W76)*IF(Données!$J116="qc",0.09,IF(Données!$J116="on",0.08,0))+W76*VLOOKUP($F76,taux,28)))</f>
        <v>0</v>
      </c>
      <c r="AI76" s="106">
        <f t="shared" ca="1" si="4"/>
        <v>0</v>
      </c>
    </row>
    <row r="77" spans="1:35" s="64" customFormat="1">
      <c r="A77" s="89">
        <f t="shared" si="5"/>
        <v>63</v>
      </c>
      <c r="B77" s="99" t="str">
        <f>CONCATENATE(Données!B117," ",Données!C117)</f>
        <v xml:space="preserve"> </v>
      </c>
      <c r="C77" s="410">
        <f ca="1">IF(B77="",0,INT((TODAY()-Données!E117)/365.25))</f>
        <v>119</v>
      </c>
      <c r="D77" s="100">
        <f>Données!D117</f>
        <v>0</v>
      </c>
      <c r="E77" s="101">
        <f>Données!I117</f>
        <v>0</v>
      </c>
      <c r="F77" s="102" t="str">
        <f>Données!AD117</f>
        <v/>
      </c>
      <c r="G77" s="103">
        <f ca="1">INDEX({1;0.5;0},MATCH(C77,{1;65;70}))*M77</f>
        <v>0</v>
      </c>
      <c r="H77" s="104">
        <f>IF($B77=" ",0,IF(Données!$K117="exo",0,$G77/1000*VLOOKUP($F77,taux,2)))</f>
        <v>0</v>
      </c>
      <c r="I77" s="398">
        <f ca="1">IF(C77&gt;=65,0,Données!M117*5000)</f>
        <v>0</v>
      </c>
      <c r="J77" s="104">
        <f ca="1">I77/1000*(IF(I77=0,0,1)*VLOOKUP((1+(C77&gt;=20)+(C77&gt;=25)+(C77&gt;=30)+(C77&gt;=35)+(C77&gt;=40)+(C77&gt;=45)+(C77&gt;=50)+(C77&gt;=55)+(C77&gt;=60)+(C77&gt;=65)),Test,2+(IF(Données!F117="H",1,3))+(IF(Données!G117="F",1,0))))</f>
        <v>0</v>
      </c>
      <c r="K77" s="103">
        <f ca="1">INDEX({1;0.5;0},MATCH(C77,{1;65;70}))*M77</f>
        <v>0</v>
      </c>
      <c r="L77" s="104">
        <f>IF($B77=" ",0,IF(Données!$N117="exo",0,$K77/1000*VLOOKUP($F77,taux,6)))</f>
        <v>0</v>
      </c>
      <c r="M77" s="379">
        <f>IF($B77=" ",0,IF(Données!$K117="NON COUVERT",0,IF(AND(Données!$L117="oui",Données!$K117=0.5),MIN(VLOOKUP($F77,taux,5)/2,ROUNDUP(VLOOKUP($F77,taux,3)*$E77,-3)/2),IF(Données!$K117=0.5,MIN(VLOOKUP($F77,taux,4)/2,ROUNDUP(VLOOKUP($F77,taux,3)*$E77,-3)/2),ROUNDUP(IF(Données!$L117="OUI",MIN(VLOOKUP($F77,taux,3)*$E77,VLOOKUP($F77,taux,5)),MIN(VLOOKUP($F77,taux,3)*$E77,VLOOKUP($F77,taux,4))),-3)))))</f>
        <v>0</v>
      </c>
      <c r="N77" s="379">
        <f>IF($B77=" ",0,IF(Données!$N117="NON COUVERT",0,IF(AND(Données!$O117="oui",Données!$N117=0.5),MIN(VLOOKUP($F77,taux,9)/2,ROUNDUP(VLOOKUP($F77,taux,7)*$E77,-3)/2),IF(Données!$N117=0.5,MIN(VLOOKUP($F77,taux,8)/2,ROUNDUP(VLOOKUP($F77,taux,7)*$E77,-3)/2),ROUNDUP(IF(Données!$O117="OUI",MIN(VLOOKUP($F77,taux,7)*$E77,VLOOKUP($F77,taux,9)),MIN(VLOOKUP($F77,taux,7)*$E77,VLOOKUP($F77,taux,8))),-3)))))</f>
        <v>0</v>
      </c>
      <c r="O77" s="105">
        <f ca="1">IF(C77&gt;=70,0,IF($B77=" ",0,IF(Données!P117="non couvert"," ",Données!Q117)))</f>
        <v>0</v>
      </c>
      <c r="P77" s="106">
        <f>IF($B77=" ",0,IF(Données!$P117="exo",0,IF($O77="FAM",VLOOKUP($F77,taux,10),IF($O77="MONO",VLOOKUP($F77,taux,11),IF($O77="COUPLE",VLOOKUP($F77,taux,12),0)))))</f>
        <v>0</v>
      </c>
      <c r="Q77" s="107">
        <f ca="1">IF(C77&gt;=70,0,IF($B77=" ",0,IF(Données!$R117="NON COUVERT",0,ROUNDUP(IF(Données!$S117="OUI",MIN($E77*VLOOKUP($F77,taux,15)/52,VLOOKUP($F77,taux,17)),MIN($E77*VLOOKUP($F77,taux,15)/52,VLOOKUP($F77,taux,16))),0))))</f>
        <v>0</v>
      </c>
      <c r="R77" s="108">
        <f>IF($B77=" ",0,IF(Données!$R117="EXO",0,$Q77*VLOOKUP($F77,taux,13)/10))</f>
        <v>0</v>
      </c>
      <c r="S77" s="109">
        <f t="shared" ca="1" si="3"/>
        <v>0</v>
      </c>
      <c r="T77" s="110">
        <f>IF(B77=" ",0,IF(Données!$T117="exo",0,$S77*VLOOKUP($F77,taux,18)/100))</f>
        <v>0</v>
      </c>
      <c r="U77" s="109">
        <f>IF($B77=" ",0,IF(Données!$V117="non couvert",0,IF(VLOOKUP($F77,taux,29)="fixe","s/o",IF(Données!$W117="oui",MIN(ROUNDUP(VLOOKUP($F77,taux,31)*$E77,-3),VLOOKUP($F77,taux,33)),MIN(ROUNDUP(VLOOKUP($F77,taux,31)*$E77,-3),VLOOKUP($F77,taux,32))))))</f>
        <v>0</v>
      </c>
      <c r="V77" s="110">
        <f>IF(B77=" ",0,IF(Données!$V117="exo",0,IF(VLOOKUP($F77,taux,29)="fixe",VLOOKUP($F77,taux,30),$U77/1000*VLOOKUP($F77,taux,30))))</f>
        <v>0</v>
      </c>
      <c r="W77" s="110">
        <f t="shared" si="0"/>
        <v>0</v>
      </c>
      <c r="X77" s="383">
        <f>IF(B77=" ",0,EDATE((Données!E117),780))</f>
        <v>0</v>
      </c>
      <c r="Y77" s="383">
        <f t="shared" si="6"/>
        <v>0</v>
      </c>
      <c r="Z77" s="384">
        <f>IF($B77=" ",0,IF(Données!$T117="non couvert",0,IF(Données!$U117="oui",MIN(VLOOKUP($F77,taux,26),ROUNDUP(IF($E77/12&gt;VLOOKUP($F77,taux,21)+VLOOKUP($F77,taux,23),(VLOOKUP($F77,taux,20)*VLOOKUP($F77,taux,21))+(VLOOKUP($F77,taux,22)*VLOOKUP($F77,taux,23))+($E77/12-VLOOKUP($F77,taux,21)-VLOOKUP($F77,taux,23))*VLOOKUP($F77,taux,24),IF($E77/12&gt;VLOOKUP($F77,taux,21),(VLOOKUP($F77,taux,20)*VLOOKUP($F77,taux,21))+($E77/12-VLOOKUP($F77,taux,21))*VLOOKUP($F77,taux,22),$E77/12*VLOOKUP($F77,taux,20))),0)),MIN(VLOOKUP($F77,taux,25),ROUNDUP(IF($E77/12&gt;VLOOKUP($F77,taux,21)+VLOOKUP($F77,taux,23),(VLOOKUP($F77,taux,20)*VLOOKUP($F77,taux,21))+(VLOOKUP($F77,taux,22)*VLOOKUP($F77,taux,23))+($E77/12-VLOOKUP($F77,taux,21)-VLOOKUP($F77,taux,23))*VLOOKUP($F77,taux,24),IF($E77/12&gt;VLOOKUP($F77,taux,21),(VLOOKUP($F77,taux,20)*VLOOKUP($F77,taux,21))+($E77/12-VLOOKUP($F77,taux,21))*VLOOKUP($F77,taux,22),$E77/12*VLOOKUP($F77,taux,20))),0)))))</f>
        <v>0</v>
      </c>
      <c r="AA77" s="111">
        <f ca="1">IF(C77&gt;=70,0,IF($B77=" ",0,IF(Données!$X117="non couvert"," ",Données!Y117)))</f>
        <v>0</v>
      </c>
      <c r="AB77" s="110">
        <f>IF($B77=" ",0,IF(Données!$X117="exo",0,IF($AA77="ind",VLOOKUP($F77,taux,34),IF($AA77="fam",VLOOKUP($F77,taux,35),IF($AA77="mono",VLOOKUP($F77,taux,36),IF($AA77="couple",VLOOKUP($F77,taux,37),0))))))</f>
        <v>0</v>
      </c>
      <c r="AC77" s="111">
        <f ca="1">IF(C77&gt;=70,0,IF($B77=" ",0,IF(Données!$Z117="non couvert"," ",Données!AA117)))</f>
        <v>0</v>
      </c>
      <c r="AD77" s="110">
        <f>IF($B77=" ",0,IF(Données!$Z117="exo",0,IF($AC77="ind",VLOOKUP($F77,taux,38),IF($AC77="fam",VLOOKUP($F77,taux,39),IF($AC77="mono",VLOOKUP($F77,taux,40),IF($AC77="couple",VLOOKUP($F77,taux,41),0))))))</f>
        <v>0</v>
      </c>
      <c r="AE77" s="112">
        <f>IF($B77=" ",0,IF(Données!$AB117="non couvert"," ",Données!AC117))</f>
        <v>0</v>
      </c>
      <c r="AF77" s="113">
        <f>IF($B77=" ",0,IF(Données!$AB117="exo",0,IF($AE77="ind",VLOOKUP($F77,taux,42),IF($AE77="fam",VLOOKUP($F77,taux,43),IF($AE77="mono",VLOOKUP($F77,taux,44),IF($AE77="couple",VLOOKUP($F77,taux,45),0))))))</f>
        <v>0</v>
      </c>
      <c r="AG77" s="114">
        <f t="shared" ca="1" si="7"/>
        <v>0</v>
      </c>
      <c r="AH77" s="114">
        <f>IF($B77=" ",0,IF(Données!J117="Manitoba",(Facture!H77+Facture!J77+Facture!L77+Facture!P77+Facture!R77+Facture!T77)*0.08,(AG77-W77)*IF(Données!$J117="qc",0.09,IF(Données!$J117="on",0.08,0))+W77*VLOOKUP($F77,taux,28)))</f>
        <v>0</v>
      </c>
      <c r="AI77" s="106">
        <f t="shared" ca="1" si="4"/>
        <v>0</v>
      </c>
    </row>
    <row r="78" spans="1:35" s="64" customFormat="1">
      <c r="A78" s="89">
        <f t="shared" si="5"/>
        <v>64</v>
      </c>
      <c r="B78" s="99" t="str">
        <f>CONCATENATE(Données!B118," ",Données!C118)</f>
        <v xml:space="preserve"> </v>
      </c>
      <c r="C78" s="410">
        <f ca="1">IF(B78="",0,INT((TODAY()-Données!E118)/365.25))</f>
        <v>119</v>
      </c>
      <c r="D78" s="100">
        <f>Données!D118</f>
        <v>0</v>
      </c>
      <c r="E78" s="101">
        <f>Données!I118</f>
        <v>0</v>
      </c>
      <c r="F78" s="102" t="str">
        <f>Données!AD118</f>
        <v/>
      </c>
      <c r="G78" s="103">
        <f ca="1">INDEX({1;0.5;0},MATCH(C78,{1;65;70}))*M78</f>
        <v>0</v>
      </c>
      <c r="H78" s="104">
        <f>IF($B78=" ",0,IF(Données!$K118="exo",0,$G78/1000*VLOOKUP($F78,taux,2)))</f>
        <v>0</v>
      </c>
      <c r="I78" s="398">
        <f ca="1">IF(C78&gt;=65,0,Données!M118*5000)</f>
        <v>0</v>
      </c>
      <c r="J78" s="104">
        <f ca="1">I78/1000*(IF(I78=0,0,1)*VLOOKUP((1+(C78&gt;=20)+(C78&gt;=25)+(C78&gt;=30)+(C78&gt;=35)+(C78&gt;=40)+(C78&gt;=45)+(C78&gt;=50)+(C78&gt;=55)+(C78&gt;=60)+(C78&gt;=65)),Test,2+(IF(Données!F118="H",1,3))+(IF(Données!G118="F",1,0))))</f>
        <v>0</v>
      </c>
      <c r="K78" s="103">
        <f ca="1">INDEX({1;0.5;0},MATCH(C78,{1;65;70}))*M78</f>
        <v>0</v>
      </c>
      <c r="L78" s="104">
        <f>IF($B78=" ",0,IF(Données!$N118="exo",0,$K78/1000*VLOOKUP($F78,taux,6)))</f>
        <v>0</v>
      </c>
      <c r="M78" s="379">
        <f>IF($B78=" ",0,IF(Données!$K118="NON COUVERT",0,IF(AND(Données!$L118="oui",Données!$K118=0.5),MIN(VLOOKUP($F78,taux,5)/2,ROUNDUP(VLOOKUP($F78,taux,3)*$E78,-3)/2),IF(Données!$K118=0.5,MIN(VLOOKUP($F78,taux,4)/2,ROUNDUP(VLOOKUP($F78,taux,3)*$E78,-3)/2),ROUNDUP(IF(Données!$L118="OUI",MIN(VLOOKUP($F78,taux,3)*$E78,VLOOKUP($F78,taux,5)),MIN(VLOOKUP($F78,taux,3)*$E78,VLOOKUP($F78,taux,4))),-3)))))</f>
        <v>0</v>
      </c>
      <c r="N78" s="379">
        <f>IF($B78=" ",0,IF(Données!$N118="NON COUVERT",0,IF(AND(Données!$O118="oui",Données!$N118=0.5),MIN(VLOOKUP($F78,taux,9)/2,ROUNDUP(VLOOKUP($F78,taux,7)*$E78,-3)/2),IF(Données!$N118=0.5,MIN(VLOOKUP($F78,taux,8)/2,ROUNDUP(VLOOKUP($F78,taux,7)*$E78,-3)/2),ROUNDUP(IF(Données!$O118="OUI",MIN(VLOOKUP($F78,taux,7)*$E78,VLOOKUP($F78,taux,9)),MIN(VLOOKUP($F78,taux,7)*$E78,VLOOKUP($F78,taux,8))),-3)))))</f>
        <v>0</v>
      </c>
      <c r="O78" s="105">
        <f ca="1">IF(C78&gt;=70,0,IF($B78=" ",0,IF(Données!P118="non couvert"," ",Données!Q118)))</f>
        <v>0</v>
      </c>
      <c r="P78" s="106">
        <f>IF($B78=" ",0,IF(Données!$P118="exo",0,IF($O78="FAM",VLOOKUP($F78,taux,10),IF($O78="MONO",VLOOKUP($F78,taux,11),IF($O78="COUPLE",VLOOKUP($F78,taux,12),0)))))</f>
        <v>0</v>
      </c>
      <c r="Q78" s="107">
        <f ca="1">IF(C78&gt;=70,0,IF($B78=" ",0,IF(Données!$R118="NON COUVERT",0,ROUNDUP(IF(Données!$S118="OUI",MIN($E78*VLOOKUP($F78,taux,15)/52,VLOOKUP($F78,taux,17)),MIN($E78*VLOOKUP($F78,taux,15)/52,VLOOKUP($F78,taux,16))),0))))</f>
        <v>0</v>
      </c>
      <c r="R78" s="108">
        <f>IF($B78=" ",0,IF(Données!$R118="EXO",0,$Q78*VLOOKUP($F78,taux,13)/10))</f>
        <v>0</v>
      </c>
      <c r="S78" s="109">
        <f t="shared" ca="1" si="3"/>
        <v>0</v>
      </c>
      <c r="T78" s="110">
        <f>IF(B78=" ",0,IF(Données!$T118="exo",0,$S78*VLOOKUP($F78,taux,18)/100))</f>
        <v>0</v>
      </c>
      <c r="U78" s="109">
        <f>IF($B78=" ",0,IF(Données!$V118="non couvert",0,IF(VLOOKUP($F78,taux,29)="fixe","s/o",IF(Données!$W118="oui",MIN(ROUNDUP(VLOOKUP($F78,taux,31)*$E78,-3),VLOOKUP($F78,taux,33)),MIN(ROUNDUP(VLOOKUP($F78,taux,31)*$E78,-3),VLOOKUP($F78,taux,32))))))</f>
        <v>0</v>
      </c>
      <c r="V78" s="110">
        <f>IF(B78=" ",0,IF(Données!$V118="exo",0,IF(VLOOKUP($F78,taux,29)="fixe",VLOOKUP($F78,taux,30),$U78/1000*VLOOKUP($F78,taux,30))))</f>
        <v>0</v>
      </c>
      <c r="W78" s="110">
        <f t="shared" si="0"/>
        <v>0</v>
      </c>
      <c r="X78" s="383">
        <f>IF(B78=" ",0,EDATE((Données!E118),780))</f>
        <v>0</v>
      </c>
      <c r="Y78" s="383">
        <f t="shared" si="6"/>
        <v>0</v>
      </c>
      <c r="Z78" s="384">
        <f>IF($B78=" ",0,IF(Données!$T118="non couvert",0,IF(Données!$U118="oui",MIN(VLOOKUP($F78,taux,26),ROUNDUP(IF($E78/12&gt;VLOOKUP($F78,taux,21)+VLOOKUP($F78,taux,23),(VLOOKUP($F78,taux,20)*VLOOKUP($F78,taux,21))+(VLOOKUP($F78,taux,22)*VLOOKUP($F78,taux,23))+($E78/12-VLOOKUP($F78,taux,21)-VLOOKUP($F78,taux,23))*VLOOKUP($F78,taux,24),IF($E78/12&gt;VLOOKUP($F78,taux,21),(VLOOKUP($F78,taux,20)*VLOOKUP($F78,taux,21))+($E78/12-VLOOKUP($F78,taux,21))*VLOOKUP($F78,taux,22),$E78/12*VLOOKUP($F78,taux,20))),0)),MIN(VLOOKUP($F78,taux,25),ROUNDUP(IF($E78/12&gt;VLOOKUP($F78,taux,21)+VLOOKUP($F78,taux,23),(VLOOKUP($F78,taux,20)*VLOOKUP($F78,taux,21))+(VLOOKUP($F78,taux,22)*VLOOKUP($F78,taux,23))+($E78/12-VLOOKUP($F78,taux,21)-VLOOKUP($F78,taux,23))*VLOOKUP($F78,taux,24),IF($E78/12&gt;VLOOKUP($F78,taux,21),(VLOOKUP($F78,taux,20)*VLOOKUP($F78,taux,21))+($E78/12-VLOOKUP($F78,taux,21))*VLOOKUP($F78,taux,22),$E78/12*VLOOKUP($F78,taux,20))),0)))))</f>
        <v>0</v>
      </c>
      <c r="AA78" s="111">
        <f ca="1">IF(C78&gt;=70,0,IF($B78=" ",0,IF(Données!$X118="non couvert"," ",Données!Y118)))</f>
        <v>0</v>
      </c>
      <c r="AB78" s="110">
        <f>IF($B78=" ",0,IF(Données!$X118="exo",0,IF($AA78="ind",VLOOKUP($F78,taux,34),IF($AA78="fam",VLOOKUP($F78,taux,35),IF($AA78="mono",VLOOKUP($F78,taux,36),IF($AA78="couple",VLOOKUP($F78,taux,37),0))))))</f>
        <v>0</v>
      </c>
      <c r="AC78" s="111">
        <f ca="1">IF(C78&gt;=70,0,IF($B78=" ",0,IF(Données!$Z118="non couvert"," ",Données!AA118)))</f>
        <v>0</v>
      </c>
      <c r="AD78" s="110">
        <f>IF($B78=" ",0,IF(Données!$Z118="exo",0,IF($AC78="ind",VLOOKUP($F78,taux,38),IF($AC78="fam",VLOOKUP($F78,taux,39),IF($AC78="mono",VLOOKUP($F78,taux,40),IF($AC78="couple",VLOOKUP($F78,taux,41),0))))))</f>
        <v>0</v>
      </c>
      <c r="AE78" s="112">
        <f>IF($B78=" ",0,IF(Données!$AB118="non couvert"," ",Données!AC118))</f>
        <v>0</v>
      </c>
      <c r="AF78" s="113">
        <f>IF($B78=" ",0,IF(Données!$AB118="exo",0,IF($AE78="ind",VLOOKUP($F78,taux,42),IF($AE78="fam",VLOOKUP($F78,taux,43),IF($AE78="mono",VLOOKUP($F78,taux,44),IF($AE78="couple",VLOOKUP($F78,taux,45),0))))))</f>
        <v>0</v>
      </c>
      <c r="AG78" s="114">
        <f t="shared" ca="1" si="7"/>
        <v>0</v>
      </c>
      <c r="AH78" s="114">
        <f>IF($B78=" ",0,IF(Données!J118="Manitoba",(Facture!H78+Facture!J78+Facture!L78+Facture!P78+Facture!R78+Facture!T78)*0.08,(AG78-W78)*IF(Données!$J118="qc",0.09,IF(Données!$J118="on",0.08,0))+W78*VLOOKUP($F78,taux,28)))</f>
        <v>0</v>
      </c>
      <c r="AI78" s="106">
        <f t="shared" ca="1" si="4"/>
        <v>0</v>
      </c>
    </row>
    <row r="79" spans="1:35" s="64" customFormat="1">
      <c r="A79" s="89">
        <f t="shared" si="5"/>
        <v>65</v>
      </c>
      <c r="B79" s="99" t="str">
        <f>CONCATENATE(Données!B119," ",Données!C119)</f>
        <v xml:space="preserve"> </v>
      </c>
      <c r="C79" s="410">
        <f ca="1">IF(B79="",0,INT((TODAY()-Données!E119)/365.25))</f>
        <v>119</v>
      </c>
      <c r="D79" s="100">
        <f>Données!D119</f>
        <v>0</v>
      </c>
      <c r="E79" s="101">
        <f>Données!I119</f>
        <v>0</v>
      </c>
      <c r="F79" s="102" t="str">
        <f>Données!AD119</f>
        <v/>
      </c>
      <c r="G79" s="103">
        <f ca="1">INDEX({1;0.5;0},MATCH(C79,{1;65;70}))*M79</f>
        <v>0</v>
      </c>
      <c r="H79" s="104">
        <f>IF($B79=" ",0,IF(Données!$K119="exo",0,$G79/1000*VLOOKUP($F79,taux,2)))</f>
        <v>0</v>
      </c>
      <c r="I79" s="398">
        <f ca="1">IF(C79&gt;=65,0,Données!M119*5000)</f>
        <v>0</v>
      </c>
      <c r="J79" s="104">
        <f ca="1">I79/1000*(IF(I79=0,0,1)*VLOOKUP((1+(C79&gt;=20)+(C79&gt;=25)+(C79&gt;=30)+(C79&gt;=35)+(C79&gt;=40)+(C79&gt;=45)+(C79&gt;=50)+(C79&gt;=55)+(C79&gt;=60)+(C79&gt;=65)),Test,2+(IF(Données!F119="H",1,3))+(IF(Données!G119="F",1,0))))</f>
        <v>0</v>
      </c>
      <c r="K79" s="103">
        <f ca="1">INDEX({1;0.5;0},MATCH(C79,{1;65;70}))*M79</f>
        <v>0</v>
      </c>
      <c r="L79" s="104">
        <f>IF($B79=" ",0,IF(Données!$N119="exo",0,$K79/1000*VLOOKUP($F79,taux,6)))</f>
        <v>0</v>
      </c>
      <c r="M79" s="379">
        <f>IF($B79=" ",0,IF(Données!$K119="NON COUVERT",0,IF(AND(Données!$L119="oui",Données!$K119=0.5),MIN(VLOOKUP($F79,taux,5)/2,ROUNDUP(VLOOKUP($F79,taux,3)*$E79,-3)/2),IF(Données!$K119=0.5,MIN(VLOOKUP($F79,taux,4)/2,ROUNDUP(VLOOKUP($F79,taux,3)*$E79,-3)/2),ROUNDUP(IF(Données!$L119="OUI",MIN(VLOOKUP($F79,taux,3)*$E79,VLOOKUP($F79,taux,5)),MIN(VLOOKUP($F79,taux,3)*$E79,VLOOKUP($F79,taux,4))),-3)))))</f>
        <v>0</v>
      </c>
      <c r="N79" s="379">
        <f>IF($B79=" ",0,IF(Données!$N119="NON COUVERT",0,IF(AND(Données!$O119="oui",Données!$N119=0.5),MIN(VLOOKUP($F79,taux,9)/2,ROUNDUP(VLOOKUP($F79,taux,7)*$E79,-3)/2),IF(Données!$N119=0.5,MIN(VLOOKUP($F79,taux,8)/2,ROUNDUP(VLOOKUP($F79,taux,7)*$E79,-3)/2),ROUNDUP(IF(Données!$O119="OUI",MIN(VLOOKUP($F79,taux,7)*$E79,VLOOKUP($F79,taux,9)),MIN(VLOOKUP($F79,taux,7)*$E79,VLOOKUP($F79,taux,8))),-3)))))</f>
        <v>0</v>
      </c>
      <c r="O79" s="105">
        <f ca="1">IF(C79&gt;=70,0,IF($B79=" ",0,IF(Données!P119="non couvert"," ",Données!Q119)))</f>
        <v>0</v>
      </c>
      <c r="P79" s="106">
        <f>IF($B79=" ",0,IF(Données!$P119="exo",0,IF($O79="FAM",VLOOKUP($F79,taux,10),IF($O79="MONO",VLOOKUP($F79,taux,11),IF($O79="COUPLE",VLOOKUP($F79,taux,12),0)))))</f>
        <v>0</v>
      </c>
      <c r="Q79" s="107">
        <f ca="1">IF(C79&gt;=70,0,IF($B79=" ",0,IF(Données!$R119="NON COUVERT",0,ROUNDUP(IF(Données!$S119="OUI",MIN($E79*VLOOKUP($F79,taux,15)/52,VLOOKUP($F79,taux,17)),MIN($E79*VLOOKUP($F79,taux,15)/52,VLOOKUP($F79,taux,16))),0))))</f>
        <v>0</v>
      </c>
      <c r="R79" s="108">
        <f>IF($B79=" ",0,IF(Données!$R119="EXO",0,$Q79*VLOOKUP($F79,taux,13)/10))</f>
        <v>0</v>
      </c>
      <c r="S79" s="109">
        <f t="shared" ca="1" si="3"/>
        <v>0</v>
      </c>
      <c r="T79" s="110">
        <f>IF(B79=" ",0,IF(Données!$T119="exo",0,$S79*VLOOKUP($F79,taux,18)/100))</f>
        <v>0</v>
      </c>
      <c r="U79" s="109">
        <f>IF($B79=" ",0,IF(Données!$V119="non couvert",0,IF(VLOOKUP($F79,taux,29)="fixe","s/o",IF(Données!$W119="oui",MIN(ROUNDUP(VLOOKUP($F79,taux,31)*$E79,-3),VLOOKUP($F79,taux,33)),MIN(ROUNDUP(VLOOKUP($F79,taux,31)*$E79,-3),VLOOKUP($F79,taux,32))))))</f>
        <v>0</v>
      </c>
      <c r="V79" s="110">
        <f>IF(B79=" ",0,IF(Données!$V119="exo",0,IF(VLOOKUP($F79,taux,29)="fixe",VLOOKUP($F79,taux,30),$U79/1000*VLOOKUP($F79,taux,30))))</f>
        <v>0</v>
      </c>
      <c r="W79" s="110">
        <f t="shared" ref="W79:W142" si="8">IF($B79=" ",0,VLOOKUP($F79,taux,27))</f>
        <v>0</v>
      </c>
      <c r="X79" s="383">
        <f>IF(B79=" ",0,EDATE((Données!E119),780))</f>
        <v>0</v>
      </c>
      <c r="Y79" s="383">
        <f t="shared" ref="Y79:Y110" si="9">IF(B79=" ",0,DATE(YEAR(X79)+0,MONTH(X79)+0,DAY(X79)-Y$7))</f>
        <v>0</v>
      </c>
      <c r="Z79" s="384">
        <f>IF($B79=" ",0,IF(Données!$T119="non couvert",0,IF(Données!$U119="oui",MIN(VLOOKUP($F79,taux,26),ROUNDUP(IF($E79/12&gt;VLOOKUP($F79,taux,21)+VLOOKUP($F79,taux,23),(VLOOKUP($F79,taux,20)*VLOOKUP($F79,taux,21))+(VLOOKUP($F79,taux,22)*VLOOKUP($F79,taux,23))+($E79/12-VLOOKUP($F79,taux,21)-VLOOKUP($F79,taux,23))*VLOOKUP($F79,taux,24),IF($E79/12&gt;VLOOKUP($F79,taux,21),(VLOOKUP($F79,taux,20)*VLOOKUP($F79,taux,21))+($E79/12-VLOOKUP($F79,taux,21))*VLOOKUP($F79,taux,22),$E79/12*VLOOKUP($F79,taux,20))),0)),MIN(VLOOKUP($F79,taux,25),ROUNDUP(IF($E79/12&gt;VLOOKUP($F79,taux,21)+VLOOKUP($F79,taux,23),(VLOOKUP($F79,taux,20)*VLOOKUP($F79,taux,21))+(VLOOKUP($F79,taux,22)*VLOOKUP($F79,taux,23))+($E79/12-VLOOKUP($F79,taux,21)-VLOOKUP($F79,taux,23))*VLOOKUP($F79,taux,24),IF($E79/12&gt;VLOOKUP($F79,taux,21),(VLOOKUP($F79,taux,20)*VLOOKUP($F79,taux,21))+($E79/12-VLOOKUP($F79,taux,21))*VLOOKUP($F79,taux,22),$E79/12*VLOOKUP($F79,taux,20))),0)))))</f>
        <v>0</v>
      </c>
      <c r="AA79" s="111">
        <f ca="1">IF(C79&gt;=70,0,IF($B79=" ",0,IF(Données!$X119="non couvert"," ",Données!Y119)))</f>
        <v>0</v>
      </c>
      <c r="AB79" s="110">
        <f>IF($B79=" ",0,IF(Données!$X119="exo",0,IF($AA79="ind",VLOOKUP($F79,taux,34),IF($AA79="fam",VLOOKUP($F79,taux,35),IF($AA79="mono",VLOOKUP($F79,taux,36),IF($AA79="couple",VLOOKUP($F79,taux,37),0))))))</f>
        <v>0</v>
      </c>
      <c r="AC79" s="111">
        <f ca="1">IF(C79&gt;=70,0,IF($B79=" ",0,IF(Données!$Z119="non couvert"," ",Données!AA119)))</f>
        <v>0</v>
      </c>
      <c r="AD79" s="110">
        <f>IF($B79=" ",0,IF(Données!$Z119="exo",0,IF($AC79="ind",VLOOKUP($F79,taux,38),IF($AC79="fam",VLOOKUP($F79,taux,39),IF($AC79="mono",VLOOKUP($F79,taux,40),IF($AC79="couple",VLOOKUP($F79,taux,41),0))))))</f>
        <v>0</v>
      </c>
      <c r="AE79" s="112">
        <f>IF($B79=" ",0,IF(Données!$AB119="non couvert"," ",Données!AC119))</f>
        <v>0</v>
      </c>
      <c r="AF79" s="113">
        <f>IF($B79=" ",0,IF(Données!$AB119="exo",0,IF($AE79="ind",VLOOKUP($F79,taux,42),IF($AE79="fam",VLOOKUP($F79,taux,43),IF($AE79="mono",VLOOKUP($F79,taux,44),IF($AE79="couple",VLOOKUP($F79,taux,45),0))))))</f>
        <v>0</v>
      </c>
      <c r="AG79" s="114">
        <f t="shared" ref="AG79:AG110" ca="1" si="10">H79+J79+L79+P79+R79+T79+V79+W79+AB79+AD79+AF79</f>
        <v>0</v>
      </c>
      <c r="AH79" s="114">
        <f>IF($B79=" ",0,IF(Données!J119="Manitoba",(Facture!H79+Facture!J79+Facture!L79+Facture!P79+Facture!R79+Facture!T79)*0.08,(AG79-W79)*IF(Données!$J119="qc",0.09,IF(Données!$J119="on",0.08,0))+W79*VLOOKUP($F79,taux,28)))</f>
        <v>0</v>
      </c>
      <c r="AI79" s="106">
        <f t="shared" ca="1" si="4"/>
        <v>0</v>
      </c>
    </row>
    <row r="80" spans="1:35" s="64" customFormat="1">
      <c r="A80" s="89">
        <f t="shared" si="5"/>
        <v>66</v>
      </c>
      <c r="B80" s="99" t="str">
        <f>CONCATENATE(Données!B120," ",Données!C120)</f>
        <v xml:space="preserve"> </v>
      </c>
      <c r="C80" s="410">
        <f ca="1">IF(B80="",0,INT((TODAY()-Données!E120)/365.25))</f>
        <v>119</v>
      </c>
      <c r="D80" s="100">
        <f>Données!D120</f>
        <v>0</v>
      </c>
      <c r="E80" s="101">
        <f>Données!I120</f>
        <v>0</v>
      </c>
      <c r="F80" s="102" t="str">
        <f>Données!AD120</f>
        <v/>
      </c>
      <c r="G80" s="103">
        <f ca="1">INDEX({1;0.5;0},MATCH(C80,{1;65;70}))*M80</f>
        <v>0</v>
      </c>
      <c r="H80" s="104">
        <f>IF($B80=" ",0,IF(Données!$K120="exo",0,$G80/1000*VLOOKUP($F80,taux,2)))</f>
        <v>0</v>
      </c>
      <c r="I80" s="398">
        <f ca="1">IF(C80&gt;=65,0,Données!M120*5000)</f>
        <v>0</v>
      </c>
      <c r="J80" s="104">
        <f ca="1">I80/1000*(IF(I80=0,0,1)*VLOOKUP((1+(C80&gt;=20)+(C80&gt;=25)+(C80&gt;=30)+(C80&gt;=35)+(C80&gt;=40)+(C80&gt;=45)+(C80&gt;=50)+(C80&gt;=55)+(C80&gt;=60)+(C80&gt;=65)),Test,2+(IF(Données!F120="H",1,3))+(IF(Données!G120="F",1,0))))</f>
        <v>0</v>
      </c>
      <c r="K80" s="103">
        <f ca="1">INDEX({1;0.5;0},MATCH(C80,{1;65;70}))*M80</f>
        <v>0</v>
      </c>
      <c r="L80" s="104">
        <f>IF($B80=" ",0,IF(Données!$N120="exo",0,$K80/1000*VLOOKUP($F80,taux,6)))</f>
        <v>0</v>
      </c>
      <c r="M80" s="379">
        <f>IF($B80=" ",0,IF(Données!$K120="NON COUVERT",0,IF(AND(Données!$L120="oui",Données!$K120=0.5),MIN(VLOOKUP($F80,taux,5)/2,ROUNDUP(VLOOKUP($F80,taux,3)*$E80,-3)/2),IF(Données!$K120=0.5,MIN(VLOOKUP($F80,taux,4)/2,ROUNDUP(VLOOKUP($F80,taux,3)*$E80,-3)/2),ROUNDUP(IF(Données!$L120="OUI",MIN(VLOOKUP($F80,taux,3)*$E80,VLOOKUP($F80,taux,5)),MIN(VLOOKUP($F80,taux,3)*$E80,VLOOKUP($F80,taux,4))),-3)))))</f>
        <v>0</v>
      </c>
      <c r="N80" s="379">
        <f>IF($B80=" ",0,IF(Données!$N120="NON COUVERT",0,IF(AND(Données!$O120="oui",Données!$N120=0.5),MIN(VLOOKUP($F80,taux,9)/2,ROUNDUP(VLOOKUP($F80,taux,7)*$E80,-3)/2),IF(Données!$N120=0.5,MIN(VLOOKUP($F80,taux,8)/2,ROUNDUP(VLOOKUP($F80,taux,7)*$E80,-3)/2),ROUNDUP(IF(Données!$O120="OUI",MIN(VLOOKUP($F80,taux,7)*$E80,VLOOKUP($F80,taux,9)),MIN(VLOOKUP($F80,taux,7)*$E80,VLOOKUP($F80,taux,8))),-3)))))</f>
        <v>0</v>
      </c>
      <c r="O80" s="105">
        <f ca="1">IF(C80&gt;=70,0,IF($B80=" ",0,IF(Données!P120="non couvert"," ",Données!Q120)))</f>
        <v>0</v>
      </c>
      <c r="P80" s="106">
        <f>IF($B80=" ",0,IF(Données!$P120="exo",0,IF($O80="FAM",VLOOKUP($F80,taux,10),IF($O80="MONO",VLOOKUP($F80,taux,11),IF($O80="COUPLE",VLOOKUP($F80,taux,12),0)))))</f>
        <v>0</v>
      </c>
      <c r="Q80" s="107">
        <f ca="1">IF(C80&gt;=70,0,IF($B80=" ",0,IF(Données!$R120="NON COUVERT",0,ROUNDUP(IF(Données!$S120="OUI",MIN($E80*VLOOKUP($F80,taux,15)/52,VLOOKUP($F80,taux,17)),MIN($E80*VLOOKUP($F80,taux,15)/52,VLOOKUP($F80,taux,16))),0))))</f>
        <v>0</v>
      </c>
      <c r="R80" s="108">
        <f>IF($B80=" ",0,IF(Données!$R120="EXO",0,$Q80*VLOOKUP($F80,taux,13)/10))</f>
        <v>0</v>
      </c>
      <c r="S80" s="109">
        <f t="shared" ref="S80:S143" ca="1" si="11">IF(C80&gt;=65,0,IF(B80=" ",0,IF(TODAY()&gt;=Y80,0,Z80)))</f>
        <v>0</v>
      </c>
      <c r="T80" s="110">
        <f>IF(B80=" ",0,IF(Données!$T120="exo",0,$S80*VLOOKUP($F80,taux,18)/100))</f>
        <v>0</v>
      </c>
      <c r="U80" s="109">
        <f>IF($B80=" ",0,IF(Données!$V120="non couvert",0,IF(VLOOKUP($F80,taux,29)="fixe","s/o",IF(Données!$W120="oui",MIN(ROUNDUP(VLOOKUP($F80,taux,31)*$E80,-3),VLOOKUP($F80,taux,33)),MIN(ROUNDUP(VLOOKUP($F80,taux,31)*$E80,-3),VLOOKUP($F80,taux,32))))))</f>
        <v>0</v>
      </c>
      <c r="V80" s="110">
        <f>IF(B80=" ",0,IF(Données!$V120="exo",0,IF(VLOOKUP($F80,taux,29)="fixe",VLOOKUP($F80,taux,30),$U80/1000*VLOOKUP($F80,taux,30))))</f>
        <v>0</v>
      </c>
      <c r="W80" s="110">
        <f t="shared" si="8"/>
        <v>0</v>
      </c>
      <c r="X80" s="383">
        <f>IF(B80=" ",0,EDATE((Données!E120),780))</f>
        <v>0</v>
      </c>
      <c r="Y80" s="383">
        <f t="shared" si="9"/>
        <v>0</v>
      </c>
      <c r="Z80" s="384">
        <f>IF($B80=" ",0,IF(Données!$T120="non couvert",0,IF(Données!$U120="oui",MIN(VLOOKUP($F80,taux,26),ROUNDUP(IF($E80/12&gt;VLOOKUP($F80,taux,21)+VLOOKUP($F80,taux,23),(VLOOKUP($F80,taux,20)*VLOOKUP($F80,taux,21))+(VLOOKUP($F80,taux,22)*VLOOKUP($F80,taux,23))+($E80/12-VLOOKUP($F80,taux,21)-VLOOKUP($F80,taux,23))*VLOOKUP($F80,taux,24),IF($E80/12&gt;VLOOKUP($F80,taux,21),(VLOOKUP($F80,taux,20)*VLOOKUP($F80,taux,21))+($E80/12-VLOOKUP($F80,taux,21))*VLOOKUP($F80,taux,22),$E80/12*VLOOKUP($F80,taux,20))),0)),MIN(VLOOKUP($F80,taux,25),ROUNDUP(IF($E80/12&gt;VLOOKUP($F80,taux,21)+VLOOKUP($F80,taux,23),(VLOOKUP($F80,taux,20)*VLOOKUP($F80,taux,21))+(VLOOKUP($F80,taux,22)*VLOOKUP($F80,taux,23))+($E80/12-VLOOKUP($F80,taux,21)-VLOOKUP($F80,taux,23))*VLOOKUP($F80,taux,24),IF($E80/12&gt;VLOOKUP($F80,taux,21),(VLOOKUP($F80,taux,20)*VLOOKUP($F80,taux,21))+($E80/12-VLOOKUP($F80,taux,21))*VLOOKUP($F80,taux,22),$E80/12*VLOOKUP($F80,taux,20))),0)))))</f>
        <v>0</v>
      </c>
      <c r="AA80" s="111">
        <f ca="1">IF(C80&gt;=70,0,IF($B80=" ",0,IF(Données!$X120="non couvert"," ",Données!Y120)))</f>
        <v>0</v>
      </c>
      <c r="AB80" s="110">
        <f>IF($B80=" ",0,IF(Données!$X120="exo",0,IF($AA80="ind",VLOOKUP($F80,taux,34),IF($AA80="fam",VLOOKUP($F80,taux,35),IF($AA80="mono",VLOOKUP($F80,taux,36),IF($AA80="couple",VLOOKUP($F80,taux,37),0))))))</f>
        <v>0</v>
      </c>
      <c r="AC80" s="111">
        <f ca="1">IF(C80&gt;=70,0,IF($B80=" ",0,IF(Données!$Z120="non couvert"," ",Données!AA120)))</f>
        <v>0</v>
      </c>
      <c r="AD80" s="110">
        <f>IF($B80=" ",0,IF(Données!$Z120="exo",0,IF($AC80="ind",VLOOKUP($F80,taux,38),IF($AC80="fam",VLOOKUP($F80,taux,39),IF($AC80="mono",VLOOKUP($F80,taux,40),IF($AC80="couple",VLOOKUP($F80,taux,41),0))))))</f>
        <v>0</v>
      </c>
      <c r="AE80" s="112">
        <f>IF($B80=" ",0,IF(Données!$AB120="non couvert"," ",Données!AC120))</f>
        <v>0</v>
      </c>
      <c r="AF80" s="113">
        <f>IF($B80=" ",0,IF(Données!$AB120="exo",0,IF($AE80="ind",VLOOKUP($F80,taux,42),IF($AE80="fam",VLOOKUP($F80,taux,43),IF($AE80="mono",VLOOKUP($F80,taux,44),IF($AE80="couple",VLOOKUP($F80,taux,45),0))))))</f>
        <v>0</v>
      </c>
      <c r="AG80" s="114">
        <f t="shared" ca="1" si="10"/>
        <v>0</v>
      </c>
      <c r="AH80" s="114">
        <f>IF($B80=" ",0,IF(Données!J120="Manitoba",(Facture!H80+Facture!J80+Facture!L80+Facture!P80+Facture!R80+Facture!T80)*0.08,(AG80-W80)*IF(Données!$J120="qc",0.09,IF(Données!$J120="on",0.08,0))+W80*VLOOKUP($F80,taux,28)))</f>
        <v>0</v>
      </c>
      <c r="AI80" s="106">
        <f t="shared" ref="AI80:AI114" ca="1" si="12">AH80+AG80</f>
        <v>0</v>
      </c>
    </row>
    <row r="81" spans="1:35" s="64" customFormat="1">
      <c r="A81" s="89">
        <f t="shared" ref="A81:A144" si="13">A80+1</f>
        <v>67</v>
      </c>
      <c r="B81" s="99" t="str">
        <f>CONCATENATE(Données!B121," ",Données!C121)</f>
        <v xml:space="preserve"> </v>
      </c>
      <c r="C81" s="410">
        <f ca="1">IF(B81="",0,INT((TODAY()-Données!E121)/365.25))</f>
        <v>119</v>
      </c>
      <c r="D81" s="100">
        <f>Données!D121</f>
        <v>0</v>
      </c>
      <c r="E81" s="101">
        <f>Données!I121</f>
        <v>0</v>
      </c>
      <c r="F81" s="102" t="str">
        <f>Données!AD121</f>
        <v/>
      </c>
      <c r="G81" s="103">
        <f ca="1">INDEX({1;0.5;0},MATCH(C81,{1;65;70}))*M81</f>
        <v>0</v>
      </c>
      <c r="H81" s="104">
        <f>IF($B81=" ",0,IF(Données!$K121="exo",0,$G81/1000*VLOOKUP($F81,taux,2)))</f>
        <v>0</v>
      </c>
      <c r="I81" s="398">
        <f ca="1">IF(C81&gt;=65,0,Données!M121*5000)</f>
        <v>0</v>
      </c>
      <c r="J81" s="104">
        <f ca="1">I81/1000*(IF(I81=0,0,1)*VLOOKUP((1+(C81&gt;=20)+(C81&gt;=25)+(C81&gt;=30)+(C81&gt;=35)+(C81&gt;=40)+(C81&gt;=45)+(C81&gt;=50)+(C81&gt;=55)+(C81&gt;=60)+(C81&gt;=65)),Test,2+(IF(Données!F121="H",1,3))+(IF(Données!G121="F",1,0))))</f>
        <v>0</v>
      </c>
      <c r="K81" s="103">
        <f ca="1">INDEX({1;0.5;0},MATCH(C81,{1;65;70}))*M81</f>
        <v>0</v>
      </c>
      <c r="L81" s="104">
        <f>IF($B81=" ",0,IF(Données!$N121="exo",0,$K81/1000*VLOOKUP($F81,taux,6)))</f>
        <v>0</v>
      </c>
      <c r="M81" s="379">
        <f>IF($B81=" ",0,IF(Données!$K121="NON COUVERT",0,IF(AND(Données!$L121="oui",Données!$K121=0.5),MIN(VLOOKUP($F81,taux,5)/2,ROUNDUP(VLOOKUP($F81,taux,3)*$E81,-3)/2),IF(Données!$K121=0.5,MIN(VLOOKUP($F81,taux,4)/2,ROUNDUP(VLOOKUP($F81,taux,3)*$E81,-3)/2),ROUNDUP(IF(Données!$L121="OUI",MIN(VLOOKUP($F81,taux,3)*$E81,VLOOKUP($F81,taux,5)),MIN(VLOOKUP($F81,taux,3)*$E81,VLOOKUP($F81,taux,4))),-3)))))</f>
        <v>0</v>
      </c>
      <c r="N81" s="379">
        <f>IF($B81=" ",0,IF(Données!$N121="NON COUVERT",0,IF(AND(Données!$O121="oui",Données!$N121=0.5),MIN(VLOOKUP($F81,taux,9)/2,ROUNDUP(VLOOKUP($F81,taux,7)*$E81,-3)/2),IF(Données!$N121=0.5,MIN(VLOOKUP($F81,taux,8)/2,ROUNDUP(VLOOKUP($F81,taux,7)*$E81,-3)/2),ROUNDUP(IF(Données!$O121="OUI",MIN(VLOOKUP($F81,taux,7)*$E81,VLOOKUP($F81,taux,9)),MIN(VLOOKUP($F81,taux,7)*$E81,VLOOKUP($F81,taux,8))),-3)))))</f>
        <v>0</v>
      </c>
      <c r="O81" s="105">
        <f ca="1">IF(C81&gt;=70,0,IF($B81=" ",0,IF(Données!P121="non couvert"," ",Données!Q121)))</f>
        <v>0</v>
      </c>
      <c r="P81" s="106">
        <f>IF($B81=" ",0,IF(Données!$P121="exo",0,IF($O81="FAM",VLOOKUP($F81,taux,10),IF($O81="MONO",VLOOKUP($F81,taux,11),IF($O81="COUPLE",VLOOKUP($F81,taux,12),0)))))</f>
        <v>0</v>
      </c>
      <c r="Q81" s="107">
        <f ca="1">IF(C81&gt;=70,0,IF($B81=" ",0,IF(Données!$R121="NON COUVERT",0,ROUNDUP(IF(Données!$S121="OUI",MIN($E81*VLOOKUP($F81,taux,15)/52,VLOOKUP($F81,taux,17)),MIN($E81*VLOOKUP($F81,taux,15)/52,VLOOKUP($F81,taux,16))),0))))</f>
        <v>0</v>
      </c>
      <c r="R81" s="108">
        <f>IF($B81=" ",0,IF(Données!$R121="EXO",0,$Q81*VLOOKUP($F81,taux,13)/10))</f>
        <v>0</v>
      </c>
      <c r="S81" s="109">
        <f t="shared" ca="1" si="11"/>
        <v>0</v>
      </c>
      <c r="T81" s="110">
        <f>IF(B81=" ",0,IF(Données!$T121="exo",0,$S81*VLOOKUP($F81,taux,18)/100))</f>
        <v>0</v>
      </c>
      <c r="U81" s="109">
        <f>IF($B81=" ",0,IF(Données!$V121="non couvert",0,IF(VLOOKUP($F81,taux,29)="fixe","s/o",IF(Données!$W121="oui",MIN(ROUNDUP(VLOOKUP($F81,taux,31)*$E81,-3),VLOOKUP($F81,taux,33)),MIN(ROUNDUP(VLOOKUP($F81,taux,31)*$E81,-3),VLOOKUP($F81,taux,32))))))</f>
        <v>0</v>
      </c>
      <c r="V81" s="110">
        <f>IF(B81=" ",0,IF(Données!$V121="exo",0,IF(VLOOKUP($F81,taux,29)="fixe",VLOOKUP($F81,taux,30),$U81/1000*VLOOKUP($F81,taux,30))))</f>
        <v>0</v>
      </c>
      <c r="W81" s="110">
        <f t="shared" si="8"/>
        <v>0</v>
      </c>
      <c r="X81" s="383">
        <f>IF(B81=" ",0,EDATE((Données!E121),780))</f>
        <v>0</v>
      </c>
      <c r="Y81" s="383">
        <f t="shared" si="9"/>
        <v>0</v>
      </c>
      <c r="Z81" s="384">
        <f>IF($B81=" ",0,IF(Données!$T121="non couvert",0,IF(Données!$U121="oui",MIN(VLOOKUP($F81,taux,26),ROUNDUP(IF($E81/12&gt;VLOOKUP($F81,taux,21)+VLOOKUP($F81,taux,23),(VLOOKUP($F81,taux,20)*VLOOKUP($F81,taux,21))+(VLOOKUP($F81,taux,22)*VLOOKUP($F81,taux,23))+($E81/12-VLOOKUP($F81,taux,21)-VLOOKUP($F81,taux,23))*VLOOKUP($F81,taux,24),IF($E81/12&gt;VLOOKUP($F81,taux,21),(VLOOKUP($F81,taux,20)*VLOOKUP($F81,taux,21))+($E81/12-VLOOKUP($F81,taux,21))*VLOOKUP($F81,taux,22),$E81/12*VLOOKUP($F81,taux,20))),0)),MIN(VLOOKUP($F81,taux,25),ROUNDUP(IF($E81/12&gt;VLOOKUP($F81,taux,21)+VLOOKUP($F81,taux,23),(VLOOKUP($F81,taux,20)*VLOOKUP($F81,taux,21))+(VLOOKUP($F81,taux,22)*VLOOKUP($F81,taux,23))+($E81/12-VLOOKUP($F81,taux,21)-VLOOKUP($F81,taux,23))*VLOOKUP($F81,taux,24),IF($E81/12&gt;VLOOKUP($F81,taux,21),(VLOOKUP($F81,taux,20)*VLOOKUP($F81,taux,21))+($E81/12-VLOOKUP($F81,taux,21))*VLOOKUP($F81,taux,22),$E81/12*VLOOKUP($F81,taux,20))),0)))))</f>
        <v>0</v>
      </c>
      <c r="AA81" s="111">
        <f ca="1">IF(C81&gt;=70,0,IF($B81=" ",0,IF(Données!$X121="non couvert"," ",Données!Y121)))</f>
        <v>0</v>
      </c>
      <c r="AB81" s="110">
        <f>IF($B81=" ",0,IF(Données!$X121="exo",0,IF($AA81="ind",VLOOKUP($F81,taux,34),IF($AA81="fam",VLOOKUP($F81,taux,35),IF($AA81="mono",VLOOKUP($F81,taux,36),IF($AA81="couple",VLOOKUP($F81,taux,37),0))))))</f>
        <v>0</v>
      </c>
      <c r="AC81" s="111">
        <f ca="1">IF(C81&gt;=70,0,IF($B81=" ",0,IF(Données!$Z121="non couvert"," ",Données!AA121)))</f>
        <v>0</v>
      </c>
      <c r="AD81" s="110">
        <f>IF($B81=" ",0,IF(Données!$Z121="exo",0,IF($AC81="ind",VLOOKUP($F81,taux,38),IF($AC81="fam",VLOOKUP($F81,taux,39),IF($AC81="mono",VLOOKUP($F81,taux,40),IF($AC81="couple",VLOOKUP($F81,taux,41),0))))))</f>
        <v>0</v>
      </c>
      <c r="AE81" s="112">
        <f>IF($B81=" ",0,IF(Données!$AB121="non couvert"," ",Données!AC121))</f>
        <v>0</v>
      </c>
      <c r="AF81" s="113">
        <f>IF($B81=" ",0,IF(Données!$AB121="exo",0,IF($AE81="ind",VLOOKUP($F81,taux,42),IF($AE81="fam",VLOOKUP($F81,taux,43),IF($AE81="mono",VLOOKUP($F81,taux,44),IF($AE81="couple",VLOOKUP($F81,taux,45),0))))))</f>
        <v>0</v>
      </c>
      <c r="AG81" s="114">
        <f t="shared" ca="1" si="10"/>
        <v>0</v>
      </c>
      <c r="AH81" s="114">
        <f>IF($B81=" ",0,IF(Données!J121="Manitoba",(Facture!H81+Facture!J81+Facture!L81+Facture!P81+Facture!R81+Facture!T81)*0.08,(AG81-W81)*IF(Données!$J121="qc",0.09,IF(Données!$J121="on",0.08,0))+W81*VLOOKUP($F81,taux,28)))</f>
        <v>0</v>
      </c>
      <c r="AI81" s="106">
        <f t="shared" ca="1" si="12"/>
        <v>0</v>
      </c>
    </row>
    <row r="82" spans="1:35" s="64" customFormat="1">
      <c r="A82" s="89">
        <f t="shared" si="13"/>
        <v>68</v>
      </c>
      <c r="B82" s="99" t="str">
        <f>CONCATENATE(Données!B122," ",Données!C122)</f>
        <v xml:space="preserve"> </v>
      </c>
      <c r="C82" s="410">
        <f ca="1">IF(B82="",0,INT((TODAY()-Données!E122)/365.25))</f>
        <v>119</v>
      </c>
      <c r="D82" s="100">
        <f>Données!D122</f>
        <v>0</v>
      </c>
      <c r="E82" s="101">
        <f>Données!I122</f>
        <v>0</v>
      </c>
      <c r="F82" s="102" t="str">
        <f>Données!AD122</f>
        <v/>
      </c>
      <c r="G82" s="103">
        <f ca="1">INDEX({1;0.5;0},MATCH(C82,{1;65;70}))*M82</f>
        <v>0</v>
      </c>
      <c r="H82" s="104">
        <f>IF($B82=" ",0,IF(Données!$K122="exo",0,$G82/1000*VLOOKUP($F82,taux,2)))</f>
        <v>0</v>
      </c>
      <c r="I82" s="398">
        <f ca="1">IF(C82&gt;=65,0,Données!M122*5000)</f>
        <v>0</v>
      </c>
      <c r="J82" s="104">
        <f ca="1">I82/1000*(IF(I82=0,0,1)*VLOOKUP((1+(C82&gt;=20)+(C82&gt;=25)+(C82&gt;=30)+(C82&gt;=35)+(C82&gt;=40)+(C82&gt;=45)+(C82&gt;=50)+(C82&gt;=55)+(C82&gt;=60)+(C82&gt;=65)),Test,2+(IF(Données!F122="H",1,3))+(IF(Données!G122="F",1,0))))</f>
        <v>0</v>
      </c>
      <c r="K82" s="103">
        <f ca="1">INDEX({1;0.5;0},MATCH(C82,{1;65;70}))*M82</f>
        <v>0</v>
      </c>
      <c r="L82" s="104">
        <f>IF($B82=" ",0,IF(Données!$N122="exo",0,$K82/1000*VLOOKUP($F82,taux,6)))</f>
        <v>0</v>
      </c>
      <c r="M82" s="379">
        <f>IF($B82=" ",0,IF(Données!$K122="NON COUVERT",0,IF(AND(Données!$L122="oui",Données!$K122=0.5),MIN(VLOOKUP($F82,taux,5)/2,ROUNDUP(VLOOKUP($F82,taux,3)*$E82,-3)/2),IF(Données!$K122=0.5,MIN(VLOOKUP($F82,taux,4)/2,ROUNDUP(VLOOKUP($F82,taux,3)*$E82,-3)/2),ROUNDUP(IF(Données!$L122="OUI",MIN(VLOOKUP($F82,taux,3)*$E82,VLOOKUP($F82,taux,5)),MIN(VLOOKUP($F82,taux,3)*$E82,VLOOKUP($F82,taux,4))),-3)))))</f>
        <v>0</v>
      </c>
      <c r="N82" s="379">
        <f>IF($B82=" ",0,IF(Données!$N122="NON COUVERT",0,IF(AND(Données!$O122="oui",Données!$N122=0.5),MIN(VLOOKUP($F82,taux,9)/2,ROUNDUP(VLOOKUP($F82,taux,7)*$E82,-3)/2),IF(Données!$N122=0.5,MIN(VLOOKUP($F82,taux,8)/2,ROUNDUP(VLOOKUP($F82,taux,7)*$E82,-3)/2),ROUNDUP(IF(Données!$O122="OUI",MIN(VLOOKUP($F82,taux,7)*$E82,VLOOKUP($F82,taux,9)),MIN(VLOOKUP($F82,taux,7)*$E82,VLOOKUP($F82,taux,8))),-3)))))</f>
        <v>0</v>
      </c>
      <c r="O82" s="105">
        <f ca="1">IF(C82&gt;=70,0,IF($B82=" ",0,IF(Données!P122="non couvert"," ",Données!Q122)))</f>
        <v>0</v>
      </c>
      <c r="P82" s="106">
        <f>IF($B82=" ",0,IF(Données!$P122="exo",0,IF($O82="FAM",VLOOKUP($F82,taux,10),IF($O82="MONO",VLOOKUP($F82,taux,11),IF($O82="COUPLE",VLOOKUP($F82,taux,12),0)))))</f>
        <v>0</v>
      </c>
      <c r="Q82" s="107">
        <f ca="1">IF(C82&gt;=70,0,IF($B82=" ",0,IF(Données!$R122="NON COUVERT",0,ROUNDUP(IF(Données!$S122="OUI",MIN($E82*VLOOKUP($F82,taux,15)/52,VLOOKUP($F82,taux,17)),MIN($E82*VLOOKUP($F82,taux,15)/52,VLOOKUP($F82,taux,16))),0))))</f>
        <v>0</v>
      </c>
      <c r="R82" s="108">
        <f>IF($B82=" ",0,IF(Données!$R122="EXO",0,$Q82*VLOOKUP($F82,taux,13)/10))</f>
        <v>0</v>
      </c>
      <c r="S82" s="109">
        <f t="shared" ca="1" si="11"/>
        <v>0</v>
      </c>
      <c r="T82" s="110">
        <f>IF(B82=" ",0,IF(Données!$T122="exo",0,$S82*VLOOKUP($F82,taux,18)/100))</f>
        <v>0</v>
      </c>
      <c r="U82" s="109">
        <f>IF($B82=" ",0,IF(Données!$V122="non couvert",0,IF(VLOOKUP($F82,taux,29)="fixe","s/o",IF(Données!$W122="oui",MIN(ROUNDUP(VLOOKUP($F82,taux,31)*$E82,-3),VLOOKUP($F82,taux,33)),MIN(ROUNDUP(VLOOKUP($F82,taux,31)*$E82,-3),VLOOKUP($F82,taux,32))))))</f>
        <v>0</v>
      </c>
      <c r="V82" s="110">
        <f>IF(B82=" ",0,IF(Données!$V122="exo",0,IF(VLOOKUP($F82,taux,29)="fixe",VLOOKUP($F82,taux,30),$U82/1000*VLOOKUP($F82,taux,30))))</f>
        <v>0</v>
      </c>
      <c r="W82" s="110">
        <f t="shared" si="8"/>
        <v>0</v>
      </c>
      <c r="X82" s="383">
        <f>IF(B82=" ",0,EDATE((Données!E122),780))</f>
        <v>0</v>
      </c>
      <c r="Y82" s="383">
        <f t="shared" si="9"/>
        <v>0</v>
      </c>
      <c r="Z82" s="384">
        <f>IF($B82=" ",0,IF(Données!$T122="non couvert",0,IF(Données!$U122="oui",MIN(VLOOKUP($F82,taux,26),ROUNDUP(IF($E82/12&gt;VLOOKUP($F82,taux,21)+VLOOKUP($F82,taux,23),(VLOOKUP($F82,taux,20)*VLOOKUP($F82,taux,21))+(VLOOKUP($F82,taux,22)*VLOOKUP($F82,taux,23))+($E82/12-VLOOKUP($F82,taux,21)-VLOOKUP($F82,taux,23))*VLOOKUP($F82,taux,24),IF($E82/12&gt;VLOOKUP($F82,taux,21),(VLOOKUP($F82,taux,20)*VLOOKUP($F82,taux,21))+($E82/12-VLOOKUP($F82,taux,21))*VLOOKUP($F82,taux,22),$E82/12*VLOOKUP($F82,taux,20))),0)),MIN(VLOOKUP($F82,taux,25),ROUNDUP(IF($E82/12&gt;VLOOKUP($F82,taux,21)+VLOOKUP($F82,taux,23),(VLOOKUP($F82,taux,20)*VLOOKUP($F82,taux,21))+(VLOOKUP($F82,taux,22)*VLOOKUP($F82,taux,23))+($E82/12-VLOOKUP($F82,taux,21)-VLOOKUP($F82,taux,23))*VLOOKUP($F82,taux,24),IF($E82/12&gt;VLOOKUP($F82,taux,21),(VLOOKUP($F82,taux,20)*VLOOKUP($F82,taux,21))+($E82/12-VLOOKUP($F82,taux,21))*VLOOKUP($F82,taux,22),$E82/12*VLOOKUP($F82,taux,20))),0)))))</f>
        <v>0</v>
      </c>
      <c r="AA82" s="111">
        <f ca="1">IF(C82&gt;=70,0,IF($B82=" ",0,IF(Données!$X122="non couvert"," ",Données!Y122)))</f>
        <v>0</v>
      </c>
      <c r="AB82" s="110">
        <f>IF($B82=" ",0,IF(Données!$X122="exo",0,IF($AA82="ind",VLOOKUP($F82,taux,34),IF($AA82="fam",VLOOKUP($F82,taux,35),IF($AA82="mono",VLOOKUP($F82,taux,36),IF($AA82="couple",VLOOKUP($F82,taux,37),0))))))</f>
        <v>0</v>
      </c>
      <c r="AC82" s="111">
        <f ca="1">IF(C82&gt;=70,0,IF($B82=" ",0,IF(Données!$Z122="non couvert"," ",Données!AA122)))</f>
        <v>0</v>
      </c>
      <c r="AD82" s="110">
        <f>IF($B82=" ",0,IF(Données!$Z122="exo",0,IF($AC82="ind",VLOOKUP($F82,taux,38),IF($AC82="fam",VLOOKUP($F82,taux,39),IF($AC82="mono",VLOOKUP($F82,taux,40),IF($AC82="couple",VLOOKUP($F82,taux,41),0))))))</f>
        <v>0</v>
      </c>
      <c r="AE82" s="112">
        <f>IF($B82=" ",0,IF(Données!$AB122="non couvert"," ",Données!AC122))</f>
        <v>0</v>
      </c>
      <c r="AF82" s="113">
        <f>IF($B82=" ",0,IF(Données!$AB122="exo",0,IF($AE82="ind",VLOOKUP($F82,taux,42),IF($AE82="fam",VLOOKUP($F82,taux,43),IF($AE82="mono",VLOOKUP($F82,taux,44),IF($AE82="couple",VLOOKUP($F82,taux,45),0))))))</f>
        <v>0</v>
      </c>
      <c r="AG82" s="114">
        <f t="shared" ca="1" si="10"/>
        <v>0</v>
      </c>
      <c r="AH82" s="114">
        <f>IF($B82=" ",0,IF(Données!J122="Manitoba",(Facture!H82+Facture!J82+Facture!L82+Facture!P82+Facture!R82+Facture!T82)*0.08,(AG82-W82)*IF(Données!$J122="qc",0.09,IF(Données!$J122="on",0.08,0))+W82*VLOOKUP($F82,taux,28)))</f>
        <v>0</v>
      </c>
      <c r="AI82" s="106">
        <f t="shared" ca="1" si="12"/>
        <v>0</v>
      </c>
    </row>
    <row r="83" spans="1:35" s="64" customFormat="1">
      <c r="A83" s="89">
        <f t="shared" si="13"/>
        <v>69</v>
      </c>
      <c r="B83" s="99" t="str">
        <f>CONCATENATE(Données!B123," ",Données!C123)</f>
        <v xml:space="preserve"> </v>
      </c>
      <c r="C83" s="410">
        <f ca="1">IF(B83="",0,INT((TODAY()-Données!E123)/365.25))</f>
        <v>119</v>
      </c>
      <c r="D83" s="100">
        <f>Données!D123</f>
        <v>0</v>
      </c>
      <c r="E83" s="101">
        <f>Données!I123</f>
        <v>0</v>
      </c>
      <c r="F83" s="102" t="str">
        <f>Données!AD123</f>
        <v/>
      </c>
      <c r="G83" s="103">
        <f ca="1">INDEX({1;0.5;0},MATCH(C83,{1;65;70}))*M83</f>
        <v>0</v>
      </c>
      <c r="H83" s="104">
        <f>IF($B83=" ",0,IF(Données!$K123="exo",0,$G83/1000*VLOOKUP($F83,taux,2)))</f>
        <v>0</v>
      </c>
      <c r="I83" s="398">
        <f ca="1">IF(C83&gt;=65,0,Données!M123*5000)</f>
        <v>0</v>
      </c>
      <c r="J83" s="104">
        <f ca="1">I83/1000*(IF(I83=0,0,1)*VLOOKUP((1+(C83&gt;=20)+(C83&gt;=25)+(C83&gt;=30)+(C83&gt;=35)+(C83&gt;=40)+(C83&gt;=45)+(C83&gt;=50)+(C83&gt;=55)+(C83&gt;=60)+(C83&gt;=65)),Test,2+(IF(Données!F123="H",1,3))+(IF(Données!G123="F",1,0))))</f>
        <v>0</v>
      </c>
      <c r="K83" s="103">
        <f ca="1">INDEX({1;0.5;0},MATCH(C83,{1;65;70}))*M83</f>
        <v>0</v>
      </c>
      <c r="L83" s="104">
        <f>IF($B83=" ",0,IF(Données!$N123="exo",0,$K83/1000*VLOOKUP($F83,taux,6)))</f>
        <v>0</v>
      </c>
      <c r="M83" s="379">
        <f>IF($B83=" ",0,IF(Données!$K123="NON COUVERT",0,IF(AND(Données!$L123="oui",Données!$K123=0.5),MIN(VLOOKUP($F83,taux,5)/2,ROUNDUP(VLOOKUP($F83,taux,3)*$E83,-3)/2),IF(Données!$K123=0.5,MIN(VLOOKUP($F83,taux,4)/2,ROUNDUP(VLOOKUP($F83,taux,3)*$E83,-3)/2),ROUNDUP(IF(Données!$L123="OUI",MIN(VLOOKUP($F83,taux,3)*$E83,VLOOKUP($F83,taux,5)),MIN(VLOOKUP($F83,taux,3)*$E83,VLOOKUP($F83,taux,4))),-3)))))</f>
        <v>0</v>
      </c>
      <c r="N83" s="379">
        <f>IF($B83=" ",0,IF(Données!$N123="NON COUVERT",0,IF(AND(Données!$O123="oui",Données!$N123=0.5),MIN(VLOOKUP($F83,taux,9)/2,ROUNDUP(VLOOKUP($F83,taux,7)*$E83,-3)/2),IF(Données!$N123=0.5,MIN(VLOOKUP($F83,taux,8)/2,ROUNDUP(VLOOKUP($F83,taux,7)*$E83,-3)/2),ROUNDUP(IF(Données!$O123="OUI",MIN(VLOOKUP($F83,taux,7)*$E83,VLOOKUP($F83,taux,9)),MIN(VLOOKUP($F83,taux,7)*$E83,VLOOKUP($F83,taux,8))),-3)))))</f>
        <v>0</v>
      </c>
      <c r="O83" s="105">
        <f ca="1">IF(C83&gt;=70,0,IF($B83=" ",0,IF(Données!P123="non couvert"," ",Données!Q123)))</f>
        <v>0</v>
      </c>
      <c r="P83" s="106">
        <f>IF($B83=" ",0,IF(Données!$P123="exo",0,IF($O83="FAM",VLOOKUP($F83,taux,10),IF($O83="MONO",VLOOKUP($F83,taux,11),IF($O83="COUPLE",VLOOKUP($F83,taux,12),0)))))</f>
        <v>0</v>
      </c>
      <c r="Q83" s="107">
        <f ca="1">IF(C83&gt;=70,0,IF($B83=" ",0,IF(Données!$R123="NON COUVERT",0,ROUNDUP(IF(Données!$S123="OUI",MIN($E83*VLOOKUP($F83,taux,15)/52,VLOOKUP($F83,taux,17)),MIN($E83*VLOOKUP($F83,taux,15)/52,VLOOKUP($F83,taux,16))),0))))</f>
        <v>0</v>
      </c>
      <c r="R83" s="108">
        <f>IF($B83=" ",0,IF(Données!$R123="EXO",0,$Q83*VLOOKUP($F83,taux,13)/10))</f>
        <v>0</v>
      </c>
      <c r="S83" s="109">
        <f t="shared" ca="1" si="11"/>
        <v>0</v>
      </c>
      <c r="T83" s="110">
        <f>IF(B83=" ",0,IF(Données!$T123="exo",0,$S83*VLOOKUP($F83,taux,18)/100))</f>
        <v>0</v>
      </c>
      <c r="U83" s="109">
        <f>IF($B83=" ",0,IF(Données!$V123="non couvert",0,IF(VLOOKUP($F83,taux,29)="fixe","s/o",IF(Données!$W123="oui",MIN(ROUNDUP(VLOOKUP($F83,taux,31)*$E83,-3),VLOOKUP($F83,taux,33)),MIN(ROUNDUP(VLOOKUP($F83,taux,31)*$E83,-3),VLOOKUP($F83,taux,32))))))</f>
        <v>0</v>
      </c>
      <c r="V83" s="110">
        <f>IF(B83=" ",0,IF(Données!$V123="exo",0,IF(VLOOKUP($F83,taux,29)="fixe",VLOOKUP($F83,taux,30),$U83/1000*VLOOKUP($F83,taux,30))))</f>
        <v>0</v>
      </c>
      <c r="W83" s="110">
        <f t="shared" si="8"/>
        <v>0</v>
      </c>
      <c r="X83" s="383">
        <f>IF(B83=" ",0,EDATE((Données!E123),780))</f>
        <v>0</v>
      </c>
      <c r="Y83" s="383">
        <f t="shared" si="9"/>
        <v>0</v>
      </c>
      <c r="Z83" s="384">
        <f>IF($B83=" ",0,IF(Données!$T123="non couvert",0,IF(Données!$U123="oui",MIN(VLOOKUP($F83,taux,26),ROUNDUP(IF($E83/12&gt;VLOOKUP($F83,taux,21)+VLOOKUP($F83,taux,23),(VLOOKUP($F83,taux,20)*VLOOKUP($F83,taux,21))+(VLOOKUP($F83,taux,22)*VLOOKUP($F83,taux,23))+($E83/12-VLOOKUP($F83,taux,21)-VLOOKUP($F83,taux,23))*VLOOKUP($F83,taux,24),IF($E83/12&gt;VLOOKUP($F83,taux,21),(VLOOKUP($F83,taux,20)*VLOOKUP($F83,taux,21))+($E83/12-VLOOKUP($F83,taux,21))*VLOOKUP($F83,taux,22),$E83/12*VLOOKUP($F83,taux,20))),0)),MIN(VLOOKUP($F83,taux,25),ROUNDUP(IF($E83/12&gt;VLOOKUP($F83,taux,21)+VLOOKUP($F83,taux,23),(VLOOKUP($F83,taux,20)*VLOOKUP($F83,taux,21))+(VLOOKUP($F83,taux,22)*VLOOKUP($F83,taux,23))+($E83/12-VLOOKUP($F83,taux,21)-VLOOKUP($F83,taux,23))*VLOOKUP($F83,taux,24),IF($E83/12&gt;VLOOKUP($F83,taux,21),(VLOOKUP($F83,taux,20)*VLOOKUP($F83,taux,21))+($E83/12-VLOOKUP($F83,taux,21))*VLOOKUP($F83,taux,22),$E83/12*VLOOKUP($F83,taux,20))),0)))))</f>
        <v>0</v>
      </c>
      <c r="AA83" s="111">
        <f ca="1">IF(C83&gt;=70,0,IF($B83=" ",0,IF(Données!$X123="non couvert"," ",Données!Y123)))</f>
        <v>0</v>
      </c>
      <c r="AB83" s="110">
        <f>IF($B83=" ",0,IF(Données!$X123="exo",0,IF($AA83="ind",VLOOKUP($F83,taux,34),IF($AA83="fam",VLOOKUP($F83,taux,35),IF($AA83="mono",VLOOKUP($F83,taux,36),IF($AA83="couple",VLOOKUP($F83,taux,37),0))))))</f>
        <v>0</v>
      </c>
      <c r="AC83" s="111">
        <f ca="1">IF(C83&gt;=70,0,IF($B83=" ",0,IF(Données!$Z123="non couvert"," ",Données!AA123)))</f>
        <v>0</v>
      </c>
      <c r="AD83" s="110">
        <f>IF($B83=" ",0,IF(Données!$Z123="exo",0,IF($AC83="ind",VLOOKUP($F83,taux,38),IF($AC83="fam",VLOOKUP($F83,taux,39),IF($AC83="mono",VLOOKUP($F83,taux,40),IF($AC83="couple",VLOOKUP($F83,taux,41),0))))))</f>
        <v>0</v>
      </c>
      <c r="AE83" s="112">
        <f>IF($B83=" ",0,IF(Données!$AB123="non couvert"," ",Données!AC123))</f>
        <v>0</v>
      </c>
      <c r="AF83" s="113">
        <f>IF($B83=" ",0,IF(Données!$AB123="exo",0,IF($AE83="ind",VLOOKUP($F83,taux,42),IF($AE83="fam",VLOOKUP($F83,taux,43),IF($AE83="mono",VLOOKUP($F83,taux,44),IF($AE83="couple",VLOOKUP($F83,taux,45),0))))))</f>
        <v>0</v>
      </c>
      <c r="AG83" s="114">
        <f t="shared" ca="1" si="10"/>
        <v>0</v>
      </c>
      <c r="AH83" s="114">
        <f>IF($B83=" ",0,IF(Données!J123="Manitoba",(Facture!H83+Facture!J83+Facture!L83+Facture!P83+Facture!R83+Facture!T83)*0.08,(AG83-W83)*IF(Données!$J123="qc",0.09,IF(Données!$J123="on",0.08,0))+W83*VLOOKUP($F83,taux,28)))</f>
        <v>0</v>
      </c>
      <c r="AI83" s="106">
        <f t="shared" ca="1" si="12"/>
        <v>0</v>
      </c>
    </row>
    <row r="84" spans="1:35" s="64" customFormat="1">
      <c r="A84" s="89">
        <f t="shared" si="13"/>
        <v>70</v>
      </c>
      <c r="B84" s="99" t="str">
        <f>CONCATENATE(Données!B124," ",Données!C124)</f>
        <v xml:space="preserve"> </v>
      </c>
      <c r="C84" s="410">
        <f ca="1">IF(B84="",0,INT((TODAY()-Données!E124)/365.25))</f>
        <v>119</v>
      </c>
      <c r="D84" s="100">
        <f>Données!D124</f>
        <v>0</v>
      </c>
      <c r="E84" s="101">
        <f>Données!I124</f>
        <v>0</v>
      </c>
      <c r="F84" s="102" t="str">
        <f>Données!AD124</f>
        <v/>
      </c>
      <c r="G84" s="103">
        <f ca="1">INDEX({1;0.5;0},MATCH(C84,{1;65;70}))*M84</f>
        <v>0</v>
      </c>
      <c r="H84" s="104">
        <f>IF($B84=" ",0,IF(Données!$K124="exo",0,$G84/1000*VLOOKUP($F84,taux,2)))</f>
        <v>0</v>
      </c>
      <c r="I84" s="398">
        <f ca="1">IF(C84&gt;=65,0,Données!M124*5000)</f>
        <v>0</v>
      </c>
      <c r="J84" s="104">
        <f ca="1">I84/1000*(IF(I84=0,0,1)*VLOOKUP((1+(C84&gt;=20)+(C84&gt;=25)+(C84&gt;=30)+(C84&gt;=35)+(C84&gt;=40)+(C84&gt;=45)+(C84&gt;=50)+(C84&gt;=55)+(C84&gt;=60)+(C84&gt;=65)),Test,2+(IF(Données!F124="H",1,3))+(IF(Données!G124="F",1,0))))</f>
        <v>0</v>
      </c>
      <c r="K84" s="103">
        <f ca="1">INDEX({1;0.5;0},MATCH(C84,{1;65;70}))*M84</f>
        <v>0</v>
      </c>
      <c r="L84" s="104">
        <f>IF($B84=" ",0,IF(Données!$N124="exo",0,$K84/1000*VLOOKUP($F84,taux,6)))</f>
        <v>0</v>
      </c>
      <c r="M84" s="379">
        <f>IF($B84=" ",0,IF(Données!$K124="NON COUVERT",0,IF(AND(Données!$L124="oui",Données!$K124=0.5),MIN(VLOOKUP($F84,taux,5)/2,ROUNDUP(VLOOKUP($F84,taux,3)*$E84,-3)/2),IF(Données!$K124=0.5,MIN(VLOOKUP($F84,taux,4)/2,ROUNDUP(VLOOKUP($F84,taux,3)*$E84,-3)/2),ROUNDUP(IF(Données!$L124="OUI",MIN(VLOOKUP($F84,taux,3)*$E84,VLOOKUP($F84,taux,5)),MIN(VLOOKUP($F84,taux,3)*$E84,VLOOKUP($F84,taux,4))),-3)))))</f>
        <v>0</v>
      </c>
      <c r="N84" s="379">
        <f>IF($B84=" ",0,IF(Données!$N124="NON COUVERT",0,IF(AND(Données!$O124="oui",Données!$N124=0.5),MIN(VLOOKUP($F84,taux,9)/2,ROUNDUP(VLOOKUP($F84,taux,7)*$E84,-3)/2),IF(Données!$N124=0.5,MIN(VLOOKUP($F84,taux,8)/2,ROUNDUP(VLOOKUP($F84,taux,7)*$E84,-3)/2),ROUNDUP(IF(Données!$O124="OUI",MIN(VLOOKUP($F84,taux,7)*$E84,VLOOKUP($F84,taux,9)),MIN(VLOOKUP($F84,taux,7)*$E84,VLOOKUP($F84,taux,8))),-3)))))</f>
        <v>0</v>
      </c>
      <c r="O84" s="105">
        <f ca="1">IF(C84&gt;=70,0,IF($B84=" ",0,IF(Données!P124="non couvert"," ",Données!Q124)))</f>
        <v>0</v>
      </c>
      <c r="P84" s="106">
        <f>IF($B84=" ",0,IF(Données!$P124="exo",0,IF($O84="FAM",VLOOKUP($F84,taux,10),IF($O84="MONO",VLOOKUP($F84,taux,11),IF($O84="COUPLE",VLOOKUP($F84,taux,12),0)))))</f>
        <v>0</v>
      </c>
      <c r="Q84" s="107">
        <f ca="1">IF(C84&gt;=70,0,IF($B84=" ",0,IF(Données!$R124="NON COUVERT",0,ROUNDUP(IF(Données!$S124="OUI",MIN($E84*VLOOKUP($F84,taux,15)/52,VLOOKUP($F84,taux,17)),MIN($E84*VLOOKUP($F84,taux,15)/52,VLOOKUP($F84,taux,16))),0))))</f>
        <v>0</v>
      </c>
      <c r="R84" s="108">
        <f>IF($B84=" ",0,IF(Données!$R124="EXO",0,$Q84*VLOOKUP($F84,taux,13)/10))</f>
        <v>0</v>
      </c>
      <c r="S84" s="109">
        <f t="shared" ca="1" si="11"/>
        <v>0</v>
      </c>
      <c r="T84" s="110">
        <f>IF(B84=" ",0,IF(Données!$T124="exo",0,$S84*VLOOKUP($F84,taux,18)/100))</f>
        <v>0</v>
      </c>
      <c r="U84" s="109">
        <f>IF($B84=" ",0,IF(Données!$V124="non couvert",0,IF(VLOOKUP($F84,taux,29)="fixe","s/o",IF(Données!$W124="oui",MIN(ROUNDUP(VLOOKUP($F84,taux,31)*$E84,-3),VLOOKUP($F84,taux,33)),MIN(ROUNDUP(VLOOKUP($F84,taux,31)*$E84,-3),VLOOKUP($F84,taux,32))))))</f>
        <v>0</v>
      </c>
      <c r="V84" s="110">
        <f>IF(B84=" ",0,IF(Données!$V124="exo",0,IF(VLOOKUP($F84,taux,29)="fixe",VLOOKUP($F84,taux,30),$U84/1000*VLOOKUP($F84,taux,30))))</f>
        <v>0</v>
      </c>
      <c r="W84" s="110">
        <f t="shared" si="8"/>
        <v>0</v>
      </c>
      <c r="X84" s="383">
        <f>IF(B84=" ",0,EDATE((Données!E124),780))</f>
        <v>0</v>
      </c>
      <c r="Y84" s="383">
        <f t="shared" si="9"/>
        <v>0</v>
      </c>
      <c r="Z84" s="384">
        <f>IF($B84=" ",0,IF(Données!$T124="non couvert",0,IF(Données!$U124="oui",MIN(VLOOKUP($F84,taux,26),ROUNDUP(IF($E84/12&gt;VLOOKUP($F84,taux,21)+VLOOKUP($F84,taux,23),(VLOOKUP($F84,taux,20)*VLOOKUP($F84,taux,21))+(VLOOKUP($F84,taux,22)*VLOOKUP($F84,taux,23))+($E84/12-VLOOKUP($F84,taux,21)-VLOOKUP($F84,taux,23))*VLOOKUP($F84,taux,24),IF($E84/12&gt;VLOOKUP($F84,taux,21),(VLOOKUP($F84,taux,20)*VLOOKUP($F84,taux,21))+($E84/12-VLOOKUP($F84,taux,21))*VLOOKUP($F84,taux,22),$E84/12*VLOOKUP($F84,taux,20))),0)),MIN(VLOOKUP($F84,taux,25),ROUNDUP(IF($E84/12&gt;VLOOKUP($F84,taux,21)+VLOOKUP($F84,taux,23),(VLOOKUP($F84,taux,20)*VLOOKUP($F84,taux,21))+(VLOOKUP($F84,taux,22)*VLOOKUP($F84,taux,23))+($E84/12-VLOOKUP($F84,taux,21)-VLOOKUP($F84,taux,23))*VLOOKUP($F84,taux,24),IF($E84/12&gt;VLOOKUP($F84,taux,21),(VLOOKUP($F84,taux,20)*VLOOKUP($F84,taux,21))+($E84/12-VLOOKUP($F84,taux,21))*VLOOKUP($F84,taux,22),$E84/12*VLOOKUP($F84,taux,20))),0)))))</f>
        <v>0</v>
      </c>
      <c r="AA84" s="111">
        <f ca="1">IF(C84&gt;=70,0,IF($B84=" ",0,IF(Données!$X124="non couvert"," ",Données!Y124)))</f>
        <v>0</v>
      </c>
      <c r="AB84" s="110">
        <f>IF($B84=" ",0,IF(Données!$X124="exo",0,IF($AA84="ind",VLOOKUP($F84,taux,34),IF($AA84="fam",VLOOKUP($F84,taux,35),IF($AA84="mono",VLOOKUP($F84,taux,36),IF($AA84="couple",VLOOKUP($F84,taux,37),0))))))</f>
        <v>0</v>
      </c>
      <c r="AC84" s="111">
        <f ca="1">IF(C84&gt;=70,0,IF($B84=" ",0,IF(Données!$Z124="non couvert"," ",Données!AA124)))</f>
        <v>0</v>
      </c>
      <c r="AD84" s="110">
        <f>IF($B84=" ",0,IF(Données!$Z124="exo",0,IF($AC84="ind",VLOOKUP($F84,taux,38),IF($AC84="fam",VLOOKUP($F84,taux,39),IF($AC84="mono",VLOOKUP($F84,taux,40),IF($AC84="couple",VLOOKUP($F84,taux,41),0))))))</f>
        <v>0</v>
      </c>
      <c r="AE84" s="112">
        <f>IF($B84=" ",0,IF(Données!$AB124="non couvert"," ",Données!AC124))</f>
        <v>0</v>
      </c>
      <c r="AF84" s="113">
        <f>IF($B84=" ",0,IF(Données!$AB124="exo",0,IF($AE84="ind",VLOOKUP($F84,taux,42),IF($AE84="fam",VLOOKUP($F84,taux,43),IF($AE84="mono",VLOOKUP($F84,taux,44),IF($AE84="couple",VLOOKUP($F84,taux,45),0))))))</f>
        <v>0</v>
      </c>
      <c r="AG84" s="114">
        <f t="shared" ca="1" si="10"/>
        <v>0</v>
      </c>
      <c r="AH84" s="114">
        <f>IF($B84=" ",0,IF(Données!J124="Manitoba",(Facture!H84+Facture!J84+Facture!L84+Facture!P84+Facture!R84+Facture!T84)*0.08,(AG84-W84)*IF(Données!$J124="qc",0.09,IF(Données!$J124="on",0.08,0))+W84*VLOOKUP($F84,taux,28)))</f>
        <v>0</v>
      </c>
      <c r="AI84" s="106">
        <f t="shared" ca="1" si="12"/>
        <v>0</v>
      </c>
    </row>
    <row r="85" spans="1:35" s="64" customFormat="1">
      <c r="A85" s="89">
        <f t="shared" si="13"/>
        <v>71</v>
      </c>
      <c r="B85" s="99" t="str">
        <f>CONCATENATE(Données!B125," ",Données!C125)</f>
        <v xml:space="preserve"> </v>
      </c>
      <c r="C85" s="410">
        <f ca="1">IF(B85="",0,INT((TODAY()-Données!E125)/365.25))</f>
        <v>119</v>
      </c>
      <c r="D85" s="100">
        <f>Données!D125</f>
        <v>0</v>
      </c>
      <c r="E85" s="101">
        <f>Données!I125</f>
        <v>0</v>
      </c>
      <c r="F85" s="102" t="str">
        <f>Données!AD125</f>
        <v/>
      </c>
      <c r="G85" s="103">
        <f ca="1">INDEX({1;0.5;0},MATCH(C85,{1;65;70}))*M85</f>
        <v>0</v>
      </c>
      <c r="H85" s="104">
        <f>IF($B85=" ",0,IF(Données!$K125="exo",0,$G85/1000*VLOOKUP($F85,taux,2)))</f>
        <v>0</v>
      </c>
      <c r="I85" s="398">
        <f ca="1">IF(C85&gt;=65,0,Données!M125*5000)</f>
        <v>0</v>
      </c>
      <c r="J85" s="104">
        <f ca="1">I85/1000*(IF(I85=0,0,1)*VLOOKUP((1+(C85&gt;=20)+(C85&gt;=25)+(C85&gt;=30)+(C85&gt;=35)+(C85&gt;=40)+(C85&gt;=45)+(C85&gt;=50)+(C85&gt;=55)+(C85&gt;=60)+(C85&gt;=65)),Test,2+(IF(Données!F125="H",1,3))+(IF(Données!G125="F",1,0))))</f>
        <v>0</v>
      </c>
      <c r="K85" s="103">
        <f ca="1">INDEX({1;0.5;0},MATCH(C85,{1;65;70}))*M85</f>
        <v>0</v>
      </c>
      <c r="L85" s="104">
        <f>IF($B85=" ",0,IF(Données!$N125="exo",0,$K85/1000*VLOOKUP($F85,taux,6)))</f>
        <v>0</v>
      </c>
      <c r="M85" s="379">
        <f>IF($B85=" ",0,IF(Données!$K125="NON COUVERT",0,IF(AND(Données!$L125="oui",Données!$K125=0.5),MIN(VLOOKUP($F85,taux,5)/2,ROUNDUP(VLOOKUP($F85,taux,3)*$E85,-3)/2),IF(Données!$K125=0.5,MIN(VLOOKUP($F85,taux,4)/2,ROUNDUP(VLOOKUP($F85,taux,3)*$E85,-3)/2),ROUNDUP(IF(Données!$L125="OUI",MIN(VLOOKUP($F85,taux,3)*$E85,VLOOKUP($F85,taux,5)),MIN(VLOOKUP($F85,taux,3)*$E85,VLOOKUP($F85,taux,4))),-3)))))</f>
        <v>0</v>
      </c>
      <c r="N85" s="379">
        <f>IF($B85=" ",0,IF(Données!$N125="NON COUVERT",0,IF(AND(Données!$O125="oui",Données!$N125=0.5),MIN(VLOOKUP($F85,taux,9)/2,ROUNDUP(VLOOKUP($F85,taux,7)*$E85,-3)/2),IF(Données!$N125=0.5,MIN(VLOOKUP($F85,taux,8)/2,ROUNDUP(VLOOKUP($F85,taux,7)*$E85,-3)/2),ROUNDUP(IF(Données!$O125="OUI",MIN(VLOOKUP($F85,taux,7)*$E85,VLOOKUP($F85,taux,9)),MIN(VLOOKUP($F85,taux,7)*$E85,VLOOKUP($F85,taux,8))),-3)))))</f>
        <v>0</v>
      </c>
      <c r="O85" s="105">
        <f ca="1">IF(C85&gt;=70,0,IF($B85=" ",0,IF(Données!P125="non couvert"," ",Données!Q125)))</f>
        <v>0</v>
      </c>
      <c r="P85" s="106">
        <f>IF($B85=" ",0,IF(Données!$P125="exo",0,IF($O85="FAM",VLOOKUP($F85,taux,10),IF($O85="MONO",VLOOKUP($F85,taux,11),IF($O85="COUPLE",VLOOKUP($F85,taux,12),0)))))</f>
        <v>0</v>
      </c>
      <c r="Q85" s="107">
        <f ca="1">IF(C85&gt;=70,0,IF($B85=" ",0,IF(Données!$R125="NON COUVERT",0,ROUNDUP(IF(Données!$S125="OUI",MIN($E85*VLOOKUP($F85,taux,15)/52,VLOOKUP($F85,taux,17)),MIN($E85*VLOOKUP($F85,taux,15)/52,VLOOKUP($F85,taux,16))),0))))</f>
        <v>0</v>
      </c>
      <c r="R85" s="108">
        <f>IF($B85=" ",0,IF(Données!$R125="EXO",0,$Q85*VLOOKUP($F85,taux,13)/10))</f>
        <v>0</v>
      </c>
      <c r="S85" s="109">
        <f t="shared" ca="1" si="11"/>
        <v>0</v>
      </c>
      <c r="T85" s="110">
        <f>IF(B85=" ",0,IF(Données!$T125="exo",0,$S85*VLOOKUP($F85,taux,18)/100))</f>
        <v>0</v>
      </c>
      <c r="U85" s="109">
        <f>IF($B85=" ",0,IF(Données!$V125="non couvert",0,IF(VLOOKUP($F85,taux,29)="fixe","s/o",IF(Données!$W125="oui",MIN(ROUNDUP(VLOOKUP($F85,taux,31)*$E85,-3),VLOOKUP($F85,taux,33)),MIN(ROUNDUP(VLOOKUP($F85,taux,31)*$E85,-3),VLOOKUP($F85,taux,32))))))</f>
        <v>0</v>
      </c>
      <c r="V85" s="110">
        <f>IF(B85=" ",0,IF(Données!$V125="exo",0,IF(VLOOKUP($F85,taux,29)="fixe",VLOOKUP($F85,taux,30),$U85/1000*VLOOKUP($F85,taux,30))))</f>
        <v>0</v>
      </c>
      <c r="W85" s="110">
        <f t="shared" si="8"/>
        <v>0</v>
      </c>
      <c r="X85" s="383">
        <f>IF(B85=" ",0,EDATE((Données!E125),780))</f>
        <v>0</v>
      </c>
      <c r="Y85" s="383">
        <f t="shared" si="9"/>
        <v>0</v>
      </c>
      <c r="Z85" s="384">
        <f>IF($B85=" ",0,IF(Données!$T125="non couvert",0,IF(Données!$U125="oui",MIN(VLOOKUP($F85,taux,26),ROUNDUP(IF($E85/12&gt;VLOOKUP($F85,taux,21)+VLOOKUP($F85,taux,23),(VLOOKUP($F85,taux,20)*VLOOKUP($F85,taux,21))+(VLOOKUP($F85,taux,22)*VLOOKUP($F85,taux,23))+($E85/12-VLOOKUP($F85,taux,21)-VLOOKUP($F85,taux,23))*VLOOKUP($F85,taux,24),IF($E85/12&gt;VLOOKUP($F85,taux,21),(VLOOKUP($F85,taux,20)*VLOOKUP($F85,taux,21))+($E85/12-VLOOKUP($F85,taux,21))*VLOOKUP($F85,taux,22),$E85/12*VLOOKUP($F85,taux,20))),0)),MIN(VLOOKUP($F85,taux,25),ROUNDUP(IF($E85/12&gt;VLOOKUP($F85,taux,21)+VLOOKUP($F85,taux,23),(VLOOKUP($F85,taux,20)*VLOOKUP($F85,taux,21))+(VLOOKUP($F85,taux,22)*VLOOKUP($F85,taux,23))+($E85/12-VLOOKUP($F85,taux,21)-VLOOKUP($F85,taux,23))*VLOOKUP($F85,taux,24),IF($E85/12&gt;VLOOKUP($F85,taux,21),(VLOOKUP($F85,taux,20)*VLOOKUP($F85,taux,21))+($E85/12-VLOOKUP($F85,taux,21))*VLOOKUP($F85,taux,22),$E85/12*VLOOKUP($F85,taux,20))),0)))))</f>
        <v>0</v>
      </c>
      <c r="AA85" s="111">
        <f ca="1">IF(C85&gt;=70,0,IF($B85=" ",0,IF(Données!$X125="non couvert"," ",Données!Y125)))</f>
        <v>0</v>
      </c>
      <c r="AB85" s="110">
        <f>IF($B85=" ",0,IF(Données!$X125="exo",0,IF($AA85="ind",VLOOKUP($F85,taux,34),IF($AA85="fam",VLOOKUP($F85,taux,35),IF($AA85="mono",VLOOKUP($F85,taux,36),IF($AA85="couple",VLOOKUP($F85,taux,37),0))))))</f>
        <v>0</v>
      </c>
      <c r="AC85" s="111">
        <f ca="1">IF(C85&gt;=70,0,IF($B85=" ",0,IF(Données!$Z125="non couvert"," ",Données!AA125)))</f>
        <v>0</v>
      </c>
      <c r="AD85" s="110">
        <f>IF($B85=" ",0,IF(Données!$Z125="exo",0,IF($AC85="ind",VLOOKUP($F85,taux,38),IF($AC85="fam",VLOOKUP($F85,taux,39),IF($AC85="mono",VLOOKUP($F85,taux,40),IF($AC85="couple",VLOOKUP($F85,taux,41),0))))))</f>
        <v>0</v>
      </c>
      <c r="AE85" s="112">
        <f>IF($B85=" ",0,IF(Données!$AB125="non couvert"," ",Données!AC125))</f>
        <v>0</v>
      </c>
      <c r="AF85" s="113">
        <f>IF($B85=" ",0,IF(Données!$AB125="exo",0,IF($AE85="ind",VLOOKUP($F85,taux,42),IF($AE85="fam",VLOOKUP($F85,taux,43),IF($AE85="mono",VLOOKUP($F85,taux,44),IF($AE85="couple",VLOOKUP($F85,taux,45),0))))))</f>
        <v>0</v>
      </c>
      <c r="AG85" s="114">
        <f t="shared" ca="1" si="10"/>
        <v>0</v>
      </c>
      <c r="AH85" s="114">
        <f>IF($B85=" ",0,IF(Données!J125="Manitoba",(Facture!H85+Facture!J85+Facture!L85+Facture!P85+Facture!R85+Facture!T85)*0.08,(AG85-W85)*IF(Données!$J125="qc",0.09,IF(Données!$J125="on",0.08,0))+W85*VLOOKUP($F85,taux,28)))</f>
        <v>0</v>
      </c>
      <c r="AI85" s="106">
        <f t="shared" ca="1" si="12"/>
        <v>0</v>
      </c>
    </row>
    <row r="86" spans="1:35" s="64" customFormat="1">
      <c r="A86" s="89">
        <f t="shared" si="13"/>
        <v>72</v>
      </c>
      <c r="B86" s="99" t="str">
        <f>CONCATENATE(Données!B126," ",Données!C126)</f>
        <v xml:space="preserve"> </v>
      </c>
      <c r="C86" s="410">
        <f ca="1">IF(B86="",0,INT((TODAY()-Données!E126)/365.25))</f>
        <v>119</v>
      </c>
      <c r="D86" s="100">
        <f>Données!D126</f>
        <v>0</v>
      </c>
      <c r="E86" s="101">
        <f>Données!I126</f>
        <v>0</v>
      </c>
      <c r="F86" s="102" t="str">
        <f>Données!AD126</f>
        <v/>
      </c>
      <c r="G86" s="103">
        <f ca="1">INDEX({1;0.5;0},MATCH(C86,{1;65;70}))*M86</f>
        <v>0</v>
      </c>
      <c r="H86" s="104">
        <f>IF($B86=" ",0,IF(Données!$K126="exo",0,$G86/1000*VLOOKUP($F86,taux,2)))</f>
        <v>0</v>
      </c>
      <c r="I86" s="398">
        <f ca="1">IF(C86&gt;=65,0,Données!M126*5000)</f>
        <v>0</v>
      </c>
      <c r="J86" s="104">
        <f ca="1">I86/1000*(IF(I86=0,0,1)*VLOOKUP((1+(C86&gt;=20)+(C86&gt;=25)+(C86&gt;=30)+(C86&gt;=35)+(C86&gt;=40)+(C86&gt;=45)+(C86&gt;=50)+(C86&gt;=55)+(C86&gt;=60)+(C86&gt;=65)),Test,2+(IF(Données!F126="H",1,3))+(IF(Données!G126="F",1,0))))</f>
        <v>0</v>
      </c>
      <c r="K86" s="103">
        <f ca="1">INDEX({1;0.5;0},MATCH(C86,{1;65;70}))*M86</f>
        <v>0</v>
      </c>
      <c r="L86" s="104">
        <f>IF($B86=" ",0,IF(Données!$N126="exo",0,$K86/1000*VLOOKUP($F86,taux,6)))</f>
        <v>0</v>
      </c>
      <c r="M86" s="379">
        <f>IF($B86=" ",0,IF(Données!$K126="NON COUVERT",0,IF(AND(Données!$L126="oui",Données!$K126=0.5),MIN(VLOOKUP($F86,taux,5)/2,ROUNDUP(VLOOKUP($F86,taux,3)*$E86,-3)/2),IF(Données!$K126=0.5,MIN(VLOOKUP($F86,taux,4)/2,ROUNDUP(VLOOKUP($F86,taux,3)*$E86,-3)/2),ROUNDUP(IF(Données!$L126="OUI",MIN(VLOOKUP($F86,taux,3)*$E86,VLOOKUP($F86,taux,5)),MIN(VLOOKUP($F86,taux,3)*$E86,VLOOKUP($F86,taux,4))),-3)))))</f>
        <v>0</v>
      </c>
      <c r="N86" s="379">
        <f>IF($B86=" ",0,IF(Données!$N126="NON COUVERT",0,IF(AND(Données!$O126="oui",Données!$N126=0.5),MIN(VLOOKUP($F86,taux,9)/2,ROUNDUP(VLOOKUP($F86,taux,7)*$E86,-3)/2),IF(Données!$N126=0.5,MIN(VLOOKUP($F86,taux,8)/2,ROUNDUP(VLOOKUP($F86,taux,7)*$E86,-3)/2),ROUNDUP(IF(Données!$O126="OUI",MIN(VLOOKUP($F86,taux,7)*$E86,VLOOKUP($F86,taux,9)),MIN(VLOOKUP($F86,taux,7)*$E86,VLOOKUP($F86,taux,8))),-3)))))</f>
        <v>0</v>
      </c>
      <c r="O86" s="105">
        <f ca="1">IF(C86&gt;=70,0,IF($B86=" ",0,IF(Données!P126="non couvert"," ",Données!Q126)))</f>
        <v>0</v>
      </c>
      <c r="P86" s="106">
        <f>IF($B86=" ",0,IF(Données!$P126="exo",0,IF($O86="FAM",VLOOKUP($F86,taux,10),IF($O86="MONO",VLOOKUP($F86,taux,11),IF($O86="COUPLE",VLOOKUP($F86,taux,12),0)))))</f>
        <v>0</v>
      </c>
      <c r="Q86" s="107">
        <f ca="1">IF(C86&gt;=70,0,IF($B86=" ",0,IF(Données!$R126="NON COUVERT",0,ROUNDUP(IF(Données!$S126="OUI",MIN($E86*VLOOKUP($F86,taux,15)/52,VLOOKUP($F86,taux,17)),MIN($E86*VLOOKUP($F86,taux,15)/52,VLOOKUP($F86,taux,16))),0))))</f>
        <v>0</v>
      </c>
      <c r="R86" s="108">
        <f>IF($B86=" ",0,IF(Données!$R126="EXO",0,$Q86*VLOOKUP($F86,taux,13)/10))</f>
        <v>0</v>
      </c>
      <c r="S86" s="109">
        <f t="shared" ca="1" si="11"/>
        <v>0</v>
      </c>
      <c r="T86" s="110">
        <f>IF(B86=" ",0,IF(Données!$T126="exo",0,$S86*VLOOKUP($F86,taux,18)/100))</f>
        <v>0</v>
      </c>
      <c r="U86" s="109">
        <f>IF($B86=" ",0,IF(Données!$V126="non couvert",0,IF(VLOOKUP($F86,taux,29)="fixe","s/o",IF(Données!$W126="oui",MIN(ROUNDUP(VLOOKUP($F86,taux,31)*$E86,-3),VLOOKUP($F86,taux,33)),MIN(ROUNDUP(VLOOKUP($F86,taux,31)*$E86,-3),VLOOKUP($F86,taux,32))))))</f>
        <v>0</v>
      </c>
      <c r="V86" s="110">
        <f>IF(B86=" ",0,IF(Données!$V126="exo",0,IF(VLOOKUP($F86,taux,29)="fixe",VLOOKUP($F86,taux,30),$U86/1000*VLOOKUP($F86,taux,30))))</f>
        <v>0</v>
      </c>
      <c r="W86" s="110">
        <f t="shared" si="8"/>
        <v>0</v>
      </c>
      <c r="X86" s="383">
        <f>IF(B86=" ",0,EDATE((Données!E126),780))</f>
        <v>0</v>
      </c>
      <c r="Y86" s="383">
        <f t="shared" si="9"/>
        <v>0</v>
      </c>
      <c r="Z86" s="384">
        <f>IF($B86=" ",0,IF(Données!$T126="non couvert",0,IF(Données!$U126="oui",MIN(VLOOKUP($F86,taux,26),ROUNDUP(IF($E86/12&gt;VLOOKUP($F86,taux,21)+VLOOKUP($F86,taux,23),(VLOOKUP($F86,taux,20)*VLOOKUP($F86,taux,21))+(VLOOKUP($F86,taux,22)*VLOOKUP($F86,taux,23))+($E86/12-VLOOKUP($F86,taux,21)-VLOOKUP($F86,taux,23))*VLOOKUP($F86,taux,24),IF($E86/12&gt;VLOOKUP($F86,taux,21),(VLOOKUP($F86,taux,20)*VLOOKUP($F86,taux,21))+($E86/12-VLOOKUP($F86,taux,21))*VLOOKUP($F86,taux,22),$E86/12*VLOOKUP($F86,taux,20))),0)),MIN(VLOOKUP($F86,taux,25),ROUNDUP(IF($E86/12&gt;VLOOKUP($F86,taux,21)+VLOOKUP($F86,taux,23),(VLOOKUP($F86,taux,20)*VLOOKUP($F86,taux,21))+(VLOOKUP($F86,taux,22)*VLOOKUP($F86,taux,23))+($E86/12-VLOOKUP($F86,taux,21)-VLOOKUP($F86,taux,23))*VLOOKUP($F86,taux,24),IF($E86/12&gt;VLOOKUP($F86,taux,21),(VLOOKUP($F86,taux,20)*VLOOKUP($F86,taux,21))+($E86/12-VLOOKUP($F86,taux,21))*VLOOKUP($F86,taux,22),$E86/12*VLOOKUP($F86,taux,20))),0)))))</f>
        <v>0</v>
      </c>
      <c r="AA86" s="111">
        <f ca="1">IF(C86&gt;=70,0,IF($B86=" ",0,IF(Données!$X126="non couvert"," ",Données!Y126)))</f>
        <v>0</v>
      </c>
      <c r="AB86" s="110">
        <f>IF($B86=" ",0,IF(Données!$X126="exo",0,IF($AA86="ind",VLOOKUP($F86,taux,34),IF($AA86="fam",VLOOKUP($F86,taux,35),IF($AA86="mono",VLOOKUP($F86,taux,36),IF($AA86="couple",VLOOKUP($F86,taux,37),0))))))</f>
        <v>0</v>
      </c>
      <c r="AC86" s="111">
        <f ca="1">IF(C86&gt;=70,0,IF($B86=" ",0,IF(Données!$Z126="non couvert"," ",Données!AA126)))</f>
        <v>0</v>
      </c>
      <c r="AD86" s="110">
        <f>IF($B86=" ",0,IF(Données!$Z126="exo",0,IF($AC86="ind",VLOOKUP($F86,taux,38),IF($AC86="fam",VLOOKUP($F86,taux,39),IF($AC86="mono",VLOOKUP($F86,taux,40),IF($AC86="couple",VLOOKUP($F86,taux,41),0))))))</f>
        <v>0</v>
      </c>
      <c r="AE86" s="112">
        <f>IF($B86=" ",0,IF(Données!$AB126="non couvert"," ",Données!AC126))</f>
        <v>0</v>
      </c>
      <c r="AF86" s="113">
        <f>IF($B86=" ",0,IF(Données!$AB126="exo",0,IF($AE86="ind",VLOOKUP($F86,taux,42),IF($AE86="fam",VLOOKUP($F86,taux,43),IF($AE86="mono",VLOOKUP($F86,taux,44),IF($AE86="couple",VLOOKUP($F86,taux,45),0))))))</f>
        <v>0</v>
      </c>
      <c r="AG86" s="114">
        <f t="shared" ca="1" si="10"/>
        <v>0</v>
      </c>
      <c r="AH86" s="114">
        <f>IF($B86=" ",0,IF(Données!J126="Manitoba",(Facture!H86+Facture!J86+Facture!L86+Facture!P86+Facture!R86+Facture!T86)*0.08,(AG86-W86)*IF(Données!$J126="qc",0.09,IF(Données!$J126="on",0.08,0))+W86*VLOOKUP($F86,taux,28)))</f>
        <v>0</v>
      </c>
      <c r="AI86" s="106">
        <f t="shared" ca="1" si="12"/>
        <v>0</v>
      </c>
    </row>
    <row r="87" spans="1:35" s="64" customFormat="1">
      <c r="A87" s="89">
        <f t="shared" si="13"/>
        <v>73</v>
      </c>
      <c r="B87" s="99" t="str">
        <f>CONCATENATE(Données!B127," ",Données!C127)</f>
        <v xml:space="preserve"> </v>
      </c>
      <c r="C87" s="410">
        <f ca="1">IF(B87="",0,INT((TODAY()-Données!E127)/365.25))</f>
        <v>119</v>
      </c>
      <c r="D87" s="100">
        <f>Données!D127</f>
        <v>0</v>
      </c>
      <c r="E87" s="101">
        <f>Données!I127</f>
        <v>0</v>
      </c>
      <c r="F87" s="102" t="str">
        <f>Données!AD127</f>
        <v/>
      </c>
      <c r="G87" s="103">
        <f ca="1">INDEX({1;0.5;0},MATCH(C87,{1;65;70}))*M87</f>
        <v>0</v>
      </c>
      <c r="H87" s="104">
        <f>IF($B87=" ",0,IF(Données!$K127="exo",0,$G87/1000*VLOOKUP($F87,taux,2)))</f>
        <v>0</v>
      </c>
      <c r="I87" s="398">
        <f ca="1">IF(C87&gt;=65,0,Données!M127*5000)</f>
        <v>0</v>
      </c>
      <c r="J87" s="104">
        <f ca="1">I87/1000*(IF(I87=0,0,1)*VLOOKUP((1+(C87&gt;=20)+(C87&gt;=25)+(C87&gt;=30)+(C87&gt;=35)+(C87&gt;=40)+(C87&gt;=45)+(C87&gt;=50)+(C87&gt;=55)+(C87&gt;=60)+(C87&gt;=65)),Test,2+(IF(Données!F127="H",1,3))+(IF(Données!G127="F",1,0))))</f>
        <v>0</v>
      </c>
      <c r="K87" s="103">
        <f ca="1">INDEX({1;0.5;0},MATCH(C87,{1;65;70}))*M87</f>
        <v>0</v>
      </c>
      <c r="L87" s="104">
        <f>IF($B87=" ",0,IF(Données!$N127="exo",0,$K87/1000*VLOOKUP($F87,taux,6)))</f>
        <v>0</v>
      </c>
      <c r="M87" s="379">
        <f>IF($B87=" ",0,IF(Données!$K127="NON COUVERT",0,IF(AND(Données!$L127="oui",Données!$K127=0.5),MIN(VLOOKUP($F87,taux,5)/2,ROUNDUP(VLOOKUP($F87,taux,3)*$E87,-3)/2),IF(Données!$K127=0.5,MIN(VLOOKUP($F87,taux,4)/2,ROUNDUP(VLOOKUP($F87,taux,3)*$E87,-3)/2),ROUNDUP(IF(Données!$L127="OUI",MIN(VLOOKUP($F87,taux,3)*$E87,VLOOKUP($F87,taux,5)),MIN(VLOOKUP($F87,taux,3)*$E87,VLOOKUP($F87,taux,4))),-3)))))</f>
        <v>0</v>
      </c>
      <c r="N87" s="379">
        <f>IF($B87=" ",0,IF(Données!$N127="NON COUVERT",0,IF(AND(Données!$O127="oui",Données!$N127=0.5),MIN(VLOOKUP($F87,taux,9)/2,ROUNDUP(VLOOKUP($F87,taux,7)*$E87,-3)/2),IF(Données!$N127=0.5,MIN(VLOOKUP($F87,taux,8)/2,ROUNDUP(VLOOKUP($F87,taux,7)*$E87,-3)/2),ROUNDUP(IF(Données!$O127="OUI",MIN(VLOOKUP($F87,taux,7)*$E87,VLOOKUP($F87,taux,9)),MIN(VLOOKUP($F87,taux,7)*$E87,VLOOKUP($F87,taux,8))),-3)))))</f>
        <v>0</v>
      </c>
      <c r="O87" s="105">
        <f ca="1">IF(C87&gt;=70,0,IF($B87=" ",0,IF(Données!P127="non couvert"," ",Données!Q127)))</f>
        <v>0</v>
      </c>
      <c r="P87" s="106">
        <f>IF($B87=" ",0,IF(Données!$P127="exo",0,IF($O87="FAM",VLOOKUP($F87,taux,10),IF($O87="MONO",VLOOKUP($F87,taux,11),IF($O87="COUPLE",VLOOKUP($F87,taux,12),0)))))</f>
        <v>0</v>
      </c>
      <c r="Q87" s="107">
        <f ca="1">IF(C87&gt;=70,0,IF($B87=" ",0,IF(Données!$R127="NON COUVERT",0,ROUNDUP(IF(Données!$S127="OUI",MIN($E87*VLOOKUP($F87,taux,15)/52,VLOOKUP($F87,taux,17)),MIN($E87*VLOOKUP($F87,taux,15)/52,VLOOKUP($F87,taux,16))),0))))</f>
        <v>0</v>
      </c>
      <c r="R87" s="108">
        <f>IF($B87=" ",0,IF(Données!$R127="EXO",0,$Q87*VLOOKUP($F87,taux,13)/10))</f>
        <v>0</v>
      </c>
      <c r="S87" s="109">
        <f t="shared" ca="1" si="11"/>
        <v>0</v>
      </c>
      <c r="T87" s="110">
        <f>IF(B87=" ",0,IF(Données!$T127="exo",0,$S87*VLOOKUP($F87,taux,18)/100))</f>
        <v>0</v>
      </c>
      <c r="U87" s="109">
        <f>IF($B87=" ",0,IF(Données!$V127="non couvert",0,IF(VLOOKUP($F87,taux,29)="fixe","s/o",IF(Données!$W127="oui",MIN(ROUNDUP(VLOOKUP($F87,taux,31)*$E87,-3),VLOOKUP($F87,taux,33)),MIN(ROUNDUP(VLOOKUP($F87,taux,31)*$E87,-3),VLOOKUP($F87,taux,32))))))</f>
        <v>0</v>
      </c>
      <c r="V87" s="110">
        <f>IF(B87=" ",0,IF(Données!$V127="exo",0,IF(VLOOKUP($F87,taux,29)="fixe",VLOOKUP($F87,taux,30),$U87/1000*VLOOKUP($F87,taux,30))))</f>
        <v>0</v>
      </c>
      <c r="W87" s="110">
        <f t="shared" si="8"/>
        <v>0</v>
      </c>
      <c r="X87" s="383">
        <f>IF(B87=" ",0,EDATE((Données!E127),780))</f>
        <v>0</v>
      </c>
      <c r="Y87" s="383">
        <f t="shared" si="9"/>
        <v>0</v>
      </c>
      <c r="Z87" s="384">
        <f>IF($B87=" ",0,IF(Données!$T127="non couvert",0,IF(Données!$U127="oui",MIN(VLOOKUP($F87,taux,26),ROUNDUP(IF($E87/12&gt;VLOOKUP($F87,taux,21)+VLOOKUP($F87,taux,23),(VLOOKUP($F87,taux,20)*VLOOKUP($F87,taux,21))+(VLOOKUP($F87,taux,22)*VLOOKUP($F87,taux,23))+($E87/12-VLOOKUP($F87,taux,21)-VLOOKUP($F87,taux,23))*VLOOKUP($F87,taux,24),IF($E87/12&gt;VLOOKUP($F87,taux,21),(VLOOKUP($F87,taux,20)*VLOOKUP($F87,taux,21))+($E87/12-VLOOKUP($F87,taux,21))*VLOOKUP($F87,taux,22),$E87/12*VLOOKUP($F87,taux,20))),0)),MIN(VLOOKUP($F87,taux,25),ROUNDUP(IF($E87/12&gt;VLOOKUP($F87,taux,21)+VLOOKUP($F87,taux,23),(VLOOKUP($F87,taux,20)*VLOOKUP($F87,taux,21))+(VLOOKUP($F87,taux,22)*VLOOKUP($F87,taux,23))+($E87/12-VLOOKUP($F87,taux,21)-VLOOKUP($F87,taux,23))*VLOOKUP($F87,taux,24),IF($E87/12&gt;VLOOKUP($F87,taux,21),(VLOOKUP($F87,taux,20)*VLOOKUP($F87,taux,21))+($E87/12-VLOOKUP($F87,taux,21))*VLOOKUP($F87,taux,22),$E87/12*VLOOKUP($F87,taux,20))),0)))))</f>
        <v>0</v>
      </c>
      <c r="AA87" s="111">
        <f ca="1">IF(C87&gt;=70,0,IF($B87=" ",0,IF(Données!$X127="non couvert"," ",Données!Y127)))</f>
        <v>0</v>
      </c>
      <c r="AB87" s="110">
        <f>IF($B87=" ",0,IF(Données!$X127="exo",0,IF($AA87="ind",VLOOKUP($F87,taux,34),IF($AA87="fam",VLOOKUP($F87,taux,35),IF($AA87="mono",VLOOKUP($F87,taux,36),IF($AA87="couple",VLOOKUP($F87,taux,37),0))))))</f>
        <v>0</v>
      </c>
      <c r="AC87" s="111">
        <f ca="1">IF(C87&gt;=70,0,IF($B87=" ",0,IF(Données!$Z127="non couvert"," ",Données!AA127)))</f>
        <v>0</v>
      </c>
      <c r="AD87" s="110">
        <f>IF($B87=" ",0,IF(Données!$Z127="exo",0,IF($AC87="ind",VLOOKUP($F87,taux,38),IF($AC87="fam",VLOOKUP($F87,taux,39),IF($AC87="mono",VLOOKUP($F87,taux,40),IF($AC87="couple",VLOOKUP($F87,taux,41),0))))))</f>
        <v>0</v>
      </c>
      <c r="AE87" s="112">
        <f>IF($B87=" ",0,IF(Données!$AB127="non couvert"," ",Données!AC127))</f>
        <v>0</v>
      </c>
      <c r="AF87" s="113">
        <f>IF($B87=" ",0,IF(Données!$AB127="exo",0,IF($AE87="ind",VLOOKUP($F87,taux,42),IF($AE87="fam",VLOOKUP($F87,taux,43),IF($AE87="mono",VLOOKUP($F87,taux,44),IF($AE87="couple",VLOOKUP($F87,taux,45),0))))))</f>
        <v>0</v>
      </c>
      <c r="AG87" s="114">
        <f t="shared" ca="1" si="10"/>
        <v>0</v>
      </c>
      <c r="AH87" s="114">
        <f>IF($B87=" ",0,IF(Données!J127="Manitoba",(Facture!H87+Facture!J87+Facture!L87+Facture!P87+Facture!R87+Facture!T87)*0.08,(AG87-W87)*IF(Données!$J127="qc",0.09,IF(Données!$J127="on",0.08,0))+W87*VLOOKUP($F87,taux,28)))</f>
        <v>0</v>
      </c>
      <c r="AI87" s="106">
        <f t="shared" ca="1" si="12"/>
        <v>0</v>
      </c>
    </row>
    <row r="88" spans="1:35" s="64" customFormat="1">
      <c r="A88" s="89">
        <f t="shared" si="13"/>
        <v>74</v>
      </c>
      <c r="B88" s="99" t="str">
        <f>CONCATENATE(Données!B128," ",Données!C128)</f>
        <v xml:space="preserve"> </v>
      </c>
      <c r="C88" s="410">
        <f ca="1">IF(B88="",0,INT((TODAY()-Données!E128)/365.25))</f>
        <v>119</v>
      </c>
      <c r="D88" s="100">
        <f>Données!D128</f>
        <v>0</v>
      </c>
      <c r="E88" s="101">
        <f>Données!I128</f>
        <v>0</v>
      </c>
      <c r="F88" s="102" t="str">
        <f>Données!AD128</f>
        <v/>
      </c>
      <c r="G88" s="103">
        <f ca="1">INDEX({1;0.5;0},MATCH(C88,{1;65;70}))*M88</f>
        <v>0</v>
      </c>
      <c r="H88" s="104">
        <f>IF($B88=" ",0,IF(Données!$K128="exo",0,$G88/1000*VLOOKUP($F88,taux,2)))</f>
        <v>0</v>
      </c>
      <c r="I88" s="398">
        <f ca="1">IF(C88&gt;=65,0,Données!M128*5000)</f>
        <v>0</v>
      </c>
      <c r="J88" s="104">
        <f ca="1">I88/1000*(IF(I88=0,0,1)*VLOOKUP((1+(C88&gt;=20)+(C88&gt;=25)+(C88&gt;=30)+(C88&gt;=35)+(C88&gt;=40)+(C88&gt;=45)+(C88&gt;=50)+(C88&gt;=55)+(C88&gt;=60)+(C88&gt;=65)),Test,2+(IF(Données!F128="H",1,3))+(IF(Données!G128="F",1,0))))</f>
        <v>0</v>
      </c>
      <c r="K88" s="103">
        <f ca="1">INDEX({1;0.5;0},MATCH(C88,{1;65;70}))*M88</f>
        <v>0</v>
      </c>
      <c r="L88" s="104">
        <f>IF($B88=" ",0,IF(Données!$N128="exo",0,$K88/1000*VLOOKUP($F88,taux,6)))</f>
        <v>0</v>
      </c>
      <c r="M88" s="379">
        <f>IF($B88=" ",0,IF(Données!$K128="NON COUVERT",0,IF(AND(Données!$L128="oui",Données!$K128=0.5),MIN(VLOOKUP($F88,taux,5)/2,ROUNDUP(VLOOKUP($F88,taux,3)*$E88,-3)/2),IF(Données!$K128=0.5,MIN(VLOOKUP($F88,taux,4)/2,ROUNDUP(VLOOKUP($F88,taux,3)*$E88,-3)/2),ROUNDUP(IF(Données!$L128="OUI",MIN(VLOOKUP($F88,taux,3)*$E88,VLOOKUP($F88,taux,5)),MIN(VLOOKUP($F88,taux,3)*$E88,VLOOKUP($F88,taux,4))),-3)))))</f>
        <v>0</v>
      </c>
      <c r="N88" s="379">
        <f>IF($B88=" ",0,IF(Données!$N128="NON COUVERT",0,IF(AND(Données!$O128="oui",Données!$N128=0.5),MIN(VLOOKUP($F88,taux,9)/2,ROUNDUP(VLOOKUP($F88,taux,7)*$E88,-3)/2),IF(Données!$N128=0.5,MIN(VLOOKUP($F88,taux,8)/2,ROUNDUP(VLOOKUP($F88,taux,7)*$E88,-3)/2),ROUNDUP(IF(Données!$O128="OUI",MIN(VLOOKUP($F88,taux,7)*$E88,VLOOKUP($F88,taux,9)),MIN(VLOOKUP($F88,taux,7)*$E88,VLOOKUP($F88,taux,8))),-3)))))</f>
        <v>0</v>
      </c>
      <c r="O88" s="105">
        <f ca="1">IF(C88&gt;=70,0,IF($B88=" ",0,IF(Données!P128="non couvert"," ",Données!Q128)))</f>
        <v>0</v>
      </c>
      <c r="P88" s="106">
        <f>IF($B88=" ",0,IF(Données!$P128="exo",0,IF($O88="FAM",VLOOKUP($F88,taux,10),IF($O88="MONO",VLOOKUP($F88,taux,11),IF($O88="COUPLE",VLOOKUP($F88,taux,12),0)))))</f>
        <v>0</v>
      </c>
      <c r="Q88" s="107">
        <f ca="1">IF(C88&gt;=70,0,IF($B88=" ",0,IF(Données!$R128="NON COUVERT",0,ROUNDUP(IF(Données!$S128="OUI",MIN($E88*VLOOKUP($F88,taux,15)/52,VLOOKUP($F88,taux,17)),MIN($E88*VLOOKUP($F88,taux,15)/52,VLOOKUP($F88,taux,16))),0))))</f>
        <v>0</v>
      </c>
      <c r="R88" s="108">
        <f>IF($B88=" ",0,IF(Données!$R128="EXO",0,$Q88*VLOOKUP($F88,taux,13)/10))</f>
        <v>0</v>
      </c>
      <c r="S88" s="109">
        <f t="shared" ca="1" si="11"/>
        <v>0</v>
      </c>
      <c r="T88" s="110">
        <f>IF(B88=" ",0,IF(Données!$T128="exo",0,$S88*VLOOKUP($F88,taux,18)/100))</f>
        <v>0</v>
      </c>
      <c r="U88" s="109">
        <f>IF($B88=" ",0,IF(Données!$V128="non couvert",0,IF(VLOOKUP($F88,taux,29)="fixe","s/o",IF(Données!$W128="oui",MIN(ROUNDUP(VLOOKUP($F88,taux,31)*$E88,-3),VLOOKUP($F88,taux,33)),MIN(ROUNDUP(VLOOKUP($F88,taux,31)*$E88,-3),VLOOKUP($F88,taux,32))))))</f>
        <v>0</v>
      </c>
      <c r="V88" s="110">
        <f>IF(B88=" ",0,IF(Données!$V128="exo",0,IF(VLOOKUP($F88,taux,29)="fixe",VLOOKUP($F88,taux,30),$U88/1000*VLOOKUP($F88,taux,30))))</f>
        <v>0</v>
      </c>
      <c r="W88" s="110">
        <f t="shared" si="8"/>
        <v>0</v>
      </c>
      <c r="X88" s="383">
        <f>IF(B88=" ",0,EDATE((Données!E128),780))</f>
        <v>0</v>
      </c>
      <c r="Y88" s="383">
        <f t="shared" si="9"/>
        <v>0</v>
      </c>
      <c r="Z88" s="384">
        <f>IF($B88=" ",0,IF(Données!$T128="non couvert",0,IF(Données!$U128="oui",MIN(VLOOKUP($F88,taux,26),ROUNDUP(IF($E88/12&gt;VLOOKUP($F88,taux,21)+VLOOKUP($F88,taux,23),(VLOOKUP($F88,taux,20)*VLOOKUP($F88,taux,21))+(VLOOKUP($F88,taux,22)*VLOOKUP($F88,taux,23))+($E88/12-VLOOKUP($F88,taux,21)-VLOOKUP($F88,taux,23))*VLOOKUP($F88,taux,24),IF($E88/12&gt;VLOOKUP($F88,taux,21),(VLOOKUP($F88,taux,20)*VLOOKUP($F88,taux,21))+($E88/12-VLOOKUP($F88,taux,21))*VLOOKUP($F88,taux,22),$E88/12*VLOOKUP($F88,taux,20))),0)),MIN(VLOOKUP($F88,taux,25),ROUNDUP(IF($E88/12&gt;VLOOKUP($F88,taux,21)+VLOOKUP($F88,taux,23),(VLOOKUP($F88,taux,20)*VLOOKUP($F88,taux,21))+(VLOOKUP($F88,taux,22)*VLOOKUP($F88,taux,23))+($E88/12-VLOOKUP($F88,taux,21)-VLOOKUP($F88,taux,23))*VLOOKUP($F88,taux,24),IF($E88/12&gt;VLOOKUP($F88,taux,21),(VLOOKUP($F88,taux,20)*VLOOKUP($F88,taux,21))+($E88/12-VLOOKUP($F88,taux,21))*VLOOKUP($F88,taux,22),$E88/12*VLOOKUP($F88,taux,20))),0)))))</f>
        <v>0</v>
      </c>
      <c r="AA88" s="111">
        <f ca="1">IF(C88&gt;=70,0,IF($B88=" ",0,IF(Données!$X128="non couvert"," ",Données!Y128)))</f>
        <v>0</v>
      </c>
      <c r="AB88" s="110">
        <f>IF($B88=" ",0,IF(Données!$X128="exo",0,IF($AA88="ind",VLOOKUP($F88,taux,34),IF($AA88="fam",VLOOKUP($F88,taux,35),IF($AA88="mono",VLOOKUP($F88,taux,36),IF($AA88="couple",VLOOKUP($F88,taux,37),0))))))</f>
        <v>0</v>
      </c>
      <c r="AC88" s="111">
        <f ca="1">IF(C88&gt;=70,0,IF($B88=" ",0,IF(Données!$Z128="non couvert"," ",Données!AA128)))</f>
        <v>0</v>
      </c>
      <c r="AD88" s="110">
        <f>IF($B88=" ",0,IF(Données!$Z128="exo",0,IF($AC88="ind",VLOOKUP($F88,taux,38),IF($AC88="fam",VLOOKUP($F88,taux,39),IF($AC88="mono",VLOOKUP($F88,taux,40),IF($AC88="couple",VLOOKUP($F88,taux,41),0))))))</f>
        <v>0</v>
      </c>
      <c r="AE88" s="112">
        <f>IF($B88=" ",0,IF(Données!$AB128="non couvert"," ",Données!AC128))</f>
        <v>0</v>
      </c>
      <c r="AF88" s="113">
        <f>IF($B88=" ",0,IF(Données!$AB128="exo",0,IF($AE88="ind",VLOOKUP($F88,taux,42),IF($AE88="fam",VLOOKUP($F88,taux,43),IF($AE88="mono",VLOOKUP($F88,taux,44),IF($AE88="couple",VLOOKUP($F88,taux,45),0))))))</f>
        <v>0</v>
      </c>
      <c r="AG88" s="114">
        <f t="shared" ca="1" si="10"/>
        <v>0</v>
      </c>
      <c r="AH88" s="114">
        <f>IF($B88=" ",0,IF(Données!J128="Manitoba",(Facture!H88+Facture!J88+Facture!L88+Facture!P88+Facture!R88+Facture!T88)*0.08,(AG88-W88)*IF(Données!$J128="qc",0.09,IF(Données!$J128="on",0.08,0))+W88*VLOOKUP($F88,taux,28)))</f>
        <v>0</v>
      </c>
      <c r="AI88" s="106">
        <f t="shared" ca="1" si="12"/>
        <v>0</v>
      </c>
    </row>
    <row r="89" spans="1:35" s="64" customFormat="1">
      <c r="A89" s="89">
        <f t="shared" si="13"/>
        <v>75</v>
      </c>
      <c r="B89" s="99" t="str">
        <f>CONCATENATE(Données!B129," ",Données!C129)</f>
        <v xml:space="preserve"> </v>
      </c>
      <c r="C89" s="410">
        <f ca="1">IF(B89="",0,INT((TODAY()-Données!E129)/365.25))</f>
        <v>119</v>
      </c>
      <c r="D89" s="100">
        <f>Données!D129</f>
        <v>0</v>
      </c>
      <c r="E89" s="101">
        <f>Données!I129</f>
        <v>0</v>
      </c>
      <c r="F89" s="102" t="str">
        <f>Données!AD129</f>
        <v/>
      </c>
      <c r="G89" s="103">
        <f ca="1">INDEX({1;0.5;0},MATCH(C89,{1;65;70}))*M89</f>
        <v>0</v>
      </c>
      <c r="H89" s="104">
        <f>IF($B89=" ",0,IF(Données!$K129="exo",0,$G89/1000*VLOOKUP($F89,taux,2)))</f>
        <v>0</v>
      </c>
      <c r="I89" s="398">
        <f ca="1">IF(C89&gt;=65,0,Données!M129*5000)</f>
        <v>0</v>
      </c>
      <c r="J89" s="104">
        <f ca="1">I89/1000*(IF(I89=0,0,1)*VLOOKUP((1+(C89&gt;=20)+(C89&gt;=25)+(C89&gt;=30)+(C89&gt;=35)+(C89&gt;=40)+(C89&gt;=45)+(C89&gt;=50)+(C89&gt;=55)+(C89&gt;=60)+(C89&gt;=65)),Test,2+(IF(Données!F129="H",1,3))+(IF(Données!G129="F",1,0))))</f>
        <v>0</v>
      </c>
      <c r="K89" s="103">
        <f ca="1">INDEX({1;0.5;0},MATCH(C89,{1;65;70}))*M89</f>
        <v>0</v>
      </c>
      <c r="L89" s="104">
        <f>IF($B89=" ",0,IF(Données!$N129="exo",0,$K89/1000*VLOOKUP($F89,taux,6)))</f>
        <v>0</v>
      </c>
      <c r="M89" s="379">
        <f>IF($B89=" ",0,IF(Données!$K129="NON COUVERT",0,IF(AND(Données!$L129="oui",Données!$K129=0.5),MIN(VLOOKUP($F89,taux,5)/2,ROUNDUP(VLOOKUP($F89,taux,3)*$E89,-3)/2),IF(Données!$K129=0.5,MIN(VLOOKUP($F89,taux,4)/2,ROUNDUP(VLOOKUP($F89,taux,3)*$E89,-3)/2),ROUNDUP(IF(Données!$L129="OUI",MIN(VLOOKUP($F89,taux,3)*$E89,VLOOKUP($F89,taux,5)),MIN(VLOOKUP($F89,taux,3)*$E89,VLOOKUP($F89,taux,4))),-3)))))</f>
        <v>0</v>
      </c>
      <c r="N89" s="379">
        <f>IF($B89=" ",0,IF(Données!$N129="NON COUVERT",0,IF(AND(Données!$O129="oui",Données!$N129=0.5),MIN(VLOOKUP($F89,taux,9)/2,ROUNDUP(VLOOKUP($F89,taux,7)*$E89,-3)/2),IF(Données!$N129=0.5,MIN(VLOOKUP($F89,taux,8)/2,ROUNDUP(VLOOKUP($F89,taux,7)*$E89,-3)/2),ROUNDUP(IF(Données!$O129="OUI",MIN(VLOOKUP($F89,taux,7)*$E89,VLOOKUP($F89,taux,9)),MIN(VLOOKUP($F89,taux,7)*$E89,VLOOKUP($F89,taux,8))),-3)))))</f>
        <v>0</v>
      </c>
      <c r="O89" s="105">
        <f ca="1">IF(C89&gt;=70,0,IF($B89=" ",0,IF(Données!P129="non couvert"," ",Données!Q129)))</f>
        <v>0</v>
      </c>
      <c r="P89" s="106">
        <f>IF($B89=" ",0,IF(Données!$P129="exo",0,IF($O89="FAM",VLOOKUP($F89,taux,10),IF($O89="MONO",VLOOKUP($F89,taux,11),IF($O89="COUPLE",VLOOKUP($F89,taux,12),0)))))</f>
        <v>0</v>
      </c>
      <c r="Q89" s="107">
        <f ca="1">IF(C89&gt;=70,0,IF($B89=" ",0,IF(Données!$R129="NON COUVERT",0,ROUNDUP(IF(Données!$S129="OUI",MIN($E89*VLOOKUP($F89,taux,15)/52,VLOOKUP($F89,taux,17)),MIN($E89*VLOOKUP($F89,taux,15)/52,VLOOKUP($F89,taux,16))),0))))</f>
        <v>0</v>
      </c>
      <c r="R89" s="108">
        <f>IF($B89=" ",0,IF(Données!$R129="EXO",0,$Q89*VLOOKUP($F89,taux,13)/10))</f>
        <v>0</v>
      </c>
      <c r="S89" s="109">
        <f t="shared" ca="1" si="11"/>
        <v>0</v>
      </c>
      <c r="T89" s="110">
        <f>IF(B89=" ",0,IF(Données!$T129="exo",0,$S89*VLOOKUP($F89,taux,18)/100))</f>
        <v>0</v>
      </c>
      <c r="U89" s="109">
        <f>IF($B89=" ",0,IF(Données!$V129="non couvert",0,IF(VLOOKUP($F89,taux,29)="fixe","s/o",IF(Données!$W129="oui",MIN(ROUNDUP(VLOOKUP($F89,taux,31)*$E89,-3),VLOOKUP($F89,taux,33)),MIN(ROUNDUP(VLOOKUP($F89,taux,31)*$E89,-3),VLOOKUP($F89,taux,32))))))</f>
        <v>0</v>
      </c>
      <c r="V89" s="110">
        <f>IF(B89=" ",0,IF(Données!$V129="exo",0,IF(VLOOKUP($F89,taux,29)="fixe",VLOOKUP($F89,taux,30),$U89/1000*VLOOKUP($F89,taux,30))))</f>
        <v>0</v>
      </c>
      <c r="W89" s="110">
        <f t="shared" si="8"/>
        <v>0</v>
      </c>
      <c r="X89" s="383">
        <f>IF(B89=" ",0,EDATE((Données!E129),780))</f>
        <v>0</v>
      </c>
      <c r="Y89" s="383">
        <f t="shared" si="9"/>
        <v>0</v>
      </c>
      <c r="Z89" s="384">
        <f>IF($B89=" ",0,IF(Données!$T129="non couvert",0,IF(Données!$U129="oui",MIN(VLOOKUP($F89,taux,26),ROUNDUP(IF($E89/12&gt;VLOOKUP($F89,taux,21)+VLOOKUP($F89,taux,23),(VLOOKUP($F89,taux,20)*VLOOKUP($F89,taux,21))+(VLOOKUP($F89,taux,22)*VLOOKUP($F89,taux,23))+($E89/12-VLOOKUP($F89,taux,21)-VLOOKUP($F89,taux,23))*VLOOKUP($F89,taux,24),IF($E89/12&gt;VLOOKUP($F89,taux,21),(VLOOKUP($F89,taux,20)*VLOOKUP($F89,taux,21))+($E89/12-VLOOKUP($F89,taux,21))*VLOOKUP($F89,taux,22),$E89/12*VLOOKUP($F89,taux,20))),0)),MIN(VLOOKUP($F89,taux,25),ROUNDUP(IF($E89/12&gt;VLOOKUP($F89,taux,21)+VLOOKUP($F89,taux,23),(VLOOKUP($F89,taux,20)*VLOOKUP($F89,taux,21))+(VLOOKUP($F89,taux,22)*VLOOKUP($F89,taux,23))+($E89/12-VLOOKUP($F89,taux,21)-VLOOKUP($F89,taux,23))*VLOOKUP($F89,taux,24),IF($E89/12&gt;VLOOKUP($F89,taux,21),(VLOOKUP($F89,taux,20)*VLOOKUP($F89,taux,21))+($E89/12-VLOOKUP($F89,taux,21))*VLOOKUP($F89,taux,22),$E89/12*VLOOKUP($F89,taux,20))),0)))))</f>
        <v>0</v>
      </c>
      <c r="AA89" s="111">
        <f ca="1">IF(C89&gt;=70,0,IF($B89=" ",0,IF(Données!$X129="non couvert"," ",Données!Y129)))</f>
        <v>0</v>
      </c>
      <c r="AB89" s="110">
        <f>IF($B89=" ",0,IF(Données!$X129="exo",0,IF($AA89="ind",VLOOKUP($F89,taux,34),IF($AA89="fam",VLOOKUP($F89,taux,35),IF($AA89="mono",VLOOKUP($F89,taux,36),IF($AA89="couple",VLOOKUP($F89,taux,37),0))))))</f>
        <v>0</v>
      </c>
      <c r="AC89" s="111">
        <f ca="1">IF(C89&gt;=70,0,IF($B89=" ",0,IF(Données!$Z129="non couvert"," ",Données!AA129)))</f>
        <v>0</v>
      </c>
      <c r="AD89" s="110">
        <f>IF($B89=" ",0,IF(Données!$Z129="exo",0,IF($AC89="ind",VLOOKUP($F89,taux,38),IF($AC89="fam",VLOOKUP($F89,taux,39),IF($AC89="mono",VLOOKUP($F89,taux,40),IF($AC89="couple",VLOOKUP($F89,taux,41),0))))))</f>
        <v>0</v>
      </c>
      <c r="AE89" s="112">
        <f>IF($B89=" ",0,IF(Données!$AB129="non couvert"," ",Données!AC129))</f>
        <v>0</v>
      </c>
      <c r="AF89" s="113">
        <f>IF($B89=" ",0,IF(Données!$AB129="exo",0,IF($AE89="ind",VLOOKUP($F89,taux,42),IF($AE89="fam",VLOOKUP($F89,taux,43),IF($AE89="mono",VLOOKUP($F89,taux,44),IF($AE89="couple",VLOOKUP($F89,taux,45),0))))))</f>
        <v>0</v>
      </c>
      <c r="AG89" s="114">
        <f t="shared" ca="1" si="10"/>
        <v>0</v>
      </c>
      <c r="AH89" s="114">
        <f>IF($B89=" ",0,IF(Données!J129="Manitoba",(Facture!H89+Facture!J89+Facture!L89+Facture!P89+Facture!R89+Facture!T89)*0.08,(AG89-W89)*IF(Données!$J129="qc",0.09,IF(Données!$J129="on",0.08,0))+W89*VLOOKUP($F89,taux,28)))</f>
        <v>0</v>
      </c>
      <c r="AI89" s="106">
        <f t="shared" ca="1" si="12"/>
        <v>0</v>
      </c>
    </row>
    <row r="90" spans="1:35" s="64" customFormat="1">
      <c r="A90" s="89">
        <f t="shared" si="13"/>
        <v>76</v>
      </c>
      <c r="B90" s="99" t="str">
        <f>CONCATENATE(Données!B130," ",Données!C130)</f>
        <v xml:space="preserve"> </v>
      </c>
      <c r="C90" s="410">
        <f ca="1">IF(B90="",0,INT((TODAY()-Données!E130)/365.25))</f>
        <v>119</v>
      </c>
      <c r="D90" s="100">
        <f>Données!D130</f>
        <v>0</v>
      </c>
      <c r="E90" s="101">
        <f>Données!I130</f>
        <v>0</v>
      </c>
      <c r="F90" s="102" t="str">
        <f>Données!AD130</f>
        <v/>
      </c>
      <c r="G90" s="103">
        <f ca="1">INDEX({1;0.5;0},MATCH(C90,{1;65;70}))*M90</f>
        <v>0</v>
      </c>
      <c r="H90" s="104">
        <f>IF($B90=" ",0,IF(Données!$K130="exo",0,$G90/1000*VLOOKUP($F90,taux,2)))</f>
        <v>0</v>
      </c>
      <c r="I90" s="398">
        <f ca="1">IF(C90&gt;=65,0,Données!M130*5000)</f>
        <v>0</v>
      </c>
      <c r="J90" s="104">
        <f ca="1">I90/1000*(IF(I90=0,0,1)*VLOOKUP((1+(C90&gt;=20)+(C90&gt;=25)+(C90&gt;=30)+(C90&gt;=35)+(C90&gt;=40)+(C90&gt;=45)+(C90&gt;=50)+(C90&gt;=55)+(C90&gt;=60)+(C90&gt;=65)),Test,2+(IF(Données!F130="H",1,3))+(IF(Données!G130="F",1,0))))</f>
        <v>0</v>
      </c>
      <c r="K90" s="103">
        <f ca="1">INDEX({1;0.5;0},MATCH(C90,{1;65;70}))*M90</f>
        <v>0</v>
      </c>
      <c r="L90" s="104">
        <f>IF($B90=" ",0,IF(Données!$N130="exo",0,$K90/1000*VLOOKUP($F90,taux,6)))</f>
        <v>0</v>
      </c>
      <c r="M90" s="379">
        <f>IF($B90=" ",0,IF(Données!$K130="NON COUVERT",0,IF(AND(Données!$L130="oui",Données!$K130=0.5),MIN(VLOOKUP($F90,taux,5)/2,ROUNDUP(VLOOKUP($F90,taux,3)*$E90,-3)/2),IF(Données!$K130=0.5,MIN(VLOOKUP($F90,taux,4)/2,ROUNDUP(VLOOKUP($F90,taux,3)*$E90,-3)/2),ROUNDUP(IF(Données!$L130="OUI",MIN(VLOOKUP($F90,taux,3)*$E90,VLOOKUP($F90,taux,5)),MIN(VLOOKUP($F90,taux,3)*$E90,VLOOKUP($F90,taux,4))),-3)))))</f>
        <v>0</v>
      </c>
      <c r="N90" s="379">
        <f>IF($B90=" ",0,IF(Données!$N130="NON COUVERT",0,IF(AND(Données!$O130="oui",Données!$N130=0.5),MIN(VLOOKUP($F90,taux,9)/2,ROUNDUP(VLOOKUP($F90,taux,7)*$E90,-3)/2),IF(Données!$N130=0.5,MIN(VLOOKUP($F90,taux,8)/2,ROUNDUP(VLOOKUP($F90,taux,7)*$E90,-3)/2),ROUNDUP(IF(Données!$O130="OUI",MIN(VLOOKUP($F90,taux,7)*$E90,VLOOKUP($F90,taux,9)),MIN(VLOOKUP($F90,taux,7)*$E90,VLOOKUP($F90,taux,8))),-3)))))</f>
        <v>0</v>
      </c>
      <c r="O90" s="105">
        <f ca="1">IF(C90&gt;=70,0,IF($B90=" ",0,IF(Données!P130="non couvert"," ",Données!Q130)))</f>
        <v>0</v>
      </c>
      <c r="P90" s="106">
        <f>IF($B90=" ",0,IF(Données!$P130="exo",0,IF($O90="FAM",VLOOKUP($F90,taux,10),IF($O90="MONO",VLOOKUP($F90,taux,11),IF($O90="COUPLE",VLOOKUP($F90,taux,12),0)))))</f>
        <v>0</v>
      </c>
      <c r="Q90" s="107">
        <f ca="1">IF(C90&gt;=70,0,IF($B90=" ",0,IF(Données!$R130="NON COUVERT",0,ROUNDUP(IF(Données!$S130="OUI",MIN($E90*VLOOKUP($F90,taux,15)/52,VLOOKUP($F90,taux,17)),MIN($E90*VLOOKUP($F90,taux,15)/52,VLOOKUP($F90,taux,16))),0))))</f>
        <v>0</v>
      </c>
      <c r="R90" s="108">
        <f>IF($B90=" ",0,IF(Données!$R130="EXO",0,$Q90*VLOOKUP($F90,taux,13)/10))</f>
        <v>0</v>
      </c>
      <c r="S90" s="109">
        <f t="shared" ca="1" si="11"/>
        <v>0</v>
      </c>
      <c r="T90" s="110">
        <f>IF(B90=" ",0,IF(Données!$T130="exo",0,$S90*VLOOKUP($F90,taux,18)/100))</f>
        <v>0</v>
      </c>
      <c r="U90" s="109">
        <f>IF($B90=" ",0,IF(Données!$V130="non couvert",0,IF(VLOOKUP($F90,taux,29)="fixe","s/o",IF(Données!$W130="oui",MIN(ROUNDUP(VLOOKUP($F90,taux,31)*$E90,-3),VLOOKUP($F90,taux,33)),MIN(ROUNDUP(VLOOKUP($F90,taux,31)*$E90,-3),VLOOKUP($F90,taux,32))))))</f>
        <v>0</v>
      </c>
      <c r="V90" s="110">
        <f>IF(B90=" ",0,IF(Données!$V130="exo",0,IF(VLOOKUP($F90,taux,29)="fixe",VLOOKUP($F90,taux,30),$U90/1000*VLOOKUP($F90,taux,30))))</f>
        <v>0</v>
      </c>
      <c r="W90" s="110">
        <f t="shared" si="8"/>
        <v>0</v>
      </c>
      <c r="X90" s="383">
        <f>IF(B90=" ",0,EDATE((Données!E130),780))</f>
        <v>0</v>
      </c>
      <c r="Y90" s="383">
        <f t="shared" si="9"/>
        <v>0</v>
      </c>
      <c r="Z90" s="384">
        <f>IF($B90=" ",0,IF(Données!$T130="non couvert",0,IF(Données!$U130="oui",MIN(VLOOKUP($F90,taux,26),ROUNDUP(IF($E90/12&gt;VLOOKUP($F90,taux,21)+VLOOKUP($F90,taux,23),(VLOOKUP($F90,taux,20)*VLOOKUP($F90,taux,21))+(VLOOKUP($F90,taux,22)*VLOOKUP($F90,taux,23))+($E90/12-VLOOKUP($F90,taux,21)-VLOOKUP($F90,taux,23))*VLOOKUP($F90,taux,24),IF($E90/12&gt;VLOOKUP($F90,taux,21),(VLOOKUP($F90,taux,20)*VLOOKUP($F90,taux,21))+($E90/12-VLOOKUP($F90,taux,21))*VLOOKUP($F90,taux,22),$E90/12*VLOOKUP($F90,taux,20))),0)),MIN(VLOOKUP($F90,taux,25),ROUNDUP(IF($E90/12&gt;VLOOKUP($F90,taux,21)+VLOOKUP($F90,taux,23),(VLOOKUP($F90,taux,20)*VLOOKUP($F90,taux,21))+(VLOOKUP($F90,taux,22)*VLOOKUP($F90,taux,23))+($E90/12-VLOOKUP($F90,taux,21)-VLOOKUP($F90,taux,23))*VLOOKUP($F90,taux,24),IF($E90/12&gt;VLOOKUP($F90,taux,21),(VLOOKUP($F90,taux,20)*VLOOKUP($F90,taux,21))+($E90/12-VLOOKUP($F90,taux,21))*VLOOKUP($F90,taux,22),$E90/12*VLOOKUP($F90,taux,20))),0)))))</f>
        <v>0</v>
      </c>
      <c r="AA90" s="111">
        <f ca="1">IF(C90&gt;=70,0,IF($B90=" ",0,IF(Données!$X130="non couvert"," ",Données!Y130)))</f>
        <v>0</v>
      </c>
      <c r="AB90" s="110">
        <f>IF($B90=" ",0,IF(Données!$X130="exo",0,IF($AA90="ind",VLOOKUP($F90,taux,34),IF($AA90="fam",VLOOKUP($F90,taux,35),IF($AA90="mono",VLOOKUP($F90,taux,36),IF($AA90="couple",VLOOKUP($F90,taux,37),0))))))</f>
        <v>0</v>
      </c>
      <c r="AC90" s="111">
        <f ca="1">IF(C90&gt;=70,0,IF($B90=" ",0,IF(Données!$Z130="non couvert"," ",Données!AA130)))</f>
        <v>0</v>
      </c>
      <c r="AD90" s="110">
        <f>IF($B90=" ",0,IF(Données!$Z130="exo",0,IF($AC90="ind",VLOOKUP($F90,taux,38),IF($AC90="fam",VLOOKUP($F90,taux,39),IF($AC90="mono",VLOOKUP($F90,taux,40),IF($AC90="couple",VLOOKUP($F90,taux,41),0))))))</f>
        <v>0</v>
      </c>
      <c r="AE90" s="112">
        <f>IF($B90=" ",0,IF(Données!$AB130="non couvert"," ",Données!AC130))</f>
        <v>0</v>
      </c>
      <c r="AF90" s="113">
        <f>IF($B90=" ",0,IF(Données!$AB130="exo",0,IF($AE90="ind",VLOOKUP($F90,taux,42),IF($AE90="fam",VLOOKUP($F90,taux,43),IF($AE90="mono",VLOOKUP($F90,taux,44),IF($AE90="couple",VLOOKUP($F90,taux,45),0))))))</f>
        <v>0</v>
      </c>
      <c r="AG90" s="114">
        <f t="shared" ca="1" si="10"/>
        <v>0</v>
      </c>
      <c r="AH90" s="114">
        <f>IF($B90=" ",0,IF(Données!J130="Manitoba",(Facture!H90+Facture!J90+Facture!L90+Facture!P90+Facture!R90+Facture!T90)*0.08,(AG90-W90)*IF(Données!$J130="qc",0.09,IF(Données!$J130="on",0.08,0))+W90*VLOOKUP($F90,taux,28)))</f>
        <v>0</v>
      </c>
      <c r="AI90" s="106">
        <f t="shared" ca="1" si="12"/>
        <v>0</v>
      </c>
    </row>
    <row r="91" spans="1:35" s="64" customFormat="1">
      <c r="A91" s="89">
        <f t="shared" si="13"/>
        <v>77</v>
      </c>
      <c r="B91" s="99" t="str">
        <f>CONCATENATE(Données!B131," ",Données!C131)</f>
        <v xml:space="preserve"> </v>
      </c>
      <c r="C91" s="410">
        <f ca="1">IF(B91="",0,INT((TODAY()-Données!E131)/365.25))</f>
        <v>119</v>
      </c>
      <c r="D91" s="100">
        <f>Données!D131</f>
        <v>0</v>
      </c>
      <c r="E91" s="101">
        <f>Données!I131</f>
        <v>0</v>
      </c>
      <c r="F91" s="102" t="str">
        <f>Données!AD131</f>
        <v/>
      </c>
      <c r="G91" s="103">
        <f ca="1">INDEX({1;0.5;0},MATCH(C91,{1;65;70}))*M91</f>
        <v>0</v>
      </c>
      <c r="H91" s="104">
        <f>IF($B91=" ",0,IF(Données!$K131="exo",0,$G91/1000*VLOOKUP($F91,taux,2)))</f>
        <v>0</v>
      </c>
      <c r="I91" s="398">
        <f ca="1">IF(C91&gt;=65,0,Données!M131*5000)</f>
        <v>0</v>
      </c>
      <c r="J91" s="104">
        <f ca="1">I91/1000*(IF(I91=0,0,1)*VLOOKUP((1+(C91&gt;=20)+(C91&gt;=25)+(C91&gt;=30)+(C91&gt;=35)+(C91&gt;=40)+(C91&gt;=45)+(C91&gt;=50)+(C91&gt;=55)+(C91&gt;=60)+(C91&gt;=65)),Test,2+(IF(Données!F131="H",1,3))+(IF(Données!G131="F",1,0))))</f>
        <v>0</v>
      </c>
      <c r="K91" s="103">
        <f ca="1">INDEX({1;0.5;0},MATCH(C91,{1;65;70}))*M91</f>
        <v>0</v>
      </c>
      <c r="L91" s="104">
        <f>IF($B91=" ",0,IF(Données!$N131="exo",0,$K91/1000*VLOOKUP($F91,taux,6)))</f>
        <v>0</v>
      </c>
      <c r="M91" s="379">
        <f>IF($B91=" ",0,IF(Données!$K131="NON COUVERT",0,IF(AND(Données!$L131="oui",Données!$K131=0.5),MIN(VLOOKUP($F91,taux,5)/2,ROUNDUP(VLOOKUP($F91,taux,3)*$E91,-3)/2),IF(Données!$K131=0.5,MIN(VLOOKUP($F91,taux,4)/2,ROUNDUP(VLOOKUP($F91,taux,3)*$E91,-3)/2),ROUNDUP(IF(Données!$L131="OUI",MIN(VLOOKUP($F91,taux,3)*$E91,VLOOKUP($F91,taux,5)),MIN(VLOOKUP($F91,taux,3)*$E91,VLOOKUP($F91,taux,4))),-3)))))</f>
        <v>0</v>
      </c>
      <c r="N91" s="379">
        <f>IF($B91=" ",0,IF(Données!$N131="NON COUVERT",0,IF(AND(Données!$O131="oui",Données!$N131=0.5),MIN(VLOOKUP($F91,taux,9)/2,ROUNDUP(VLOOKUP($F91,taux,7)*$E91,-3)/2),IF(Données!$N131=0.5,MIN(VLOOKUP($F91,taux,8)/2,ROUNDUP(VLOOKUP($F91,taux,7)*$E91,-3)/2),ROUNDUP(IF(Données!$O131="OUI",MIN(VLOOKUP($F91,taux,7)*$E91,VLOOKUP($F91,taux,9)),MIN(VLOOKUP($F91,taux,7)*$E91,VLOOKUP($F91,taux,8))),-3)))))</f>
        <v>0</v>
      </c>
      <c r="O91" s="105">
        <f ca="1">IF(C91&gt;=70,0,IF($B91=" ",0,IF(Données!P131="non couvert"," ",Données!Q131)))</f>
        <v>0</v>
      </c>
      <c r="P91" s="106">
        <f>IF($B91=" ",0,IF(Données!$P131="exo",0,IF($O91="FAM",VLOOKUP($F91,taux,10),IF($O91="MONO",VLOOKUP($F91,taux,11),IF($O91="COUPLE",VLOOKUP($F91,taux,12),0)))))</f>
        <v>0</v>
      </c>
      <c r="Q91" s="107">
        <f ca="1">IF(C91&gt;=70,0,IF($B91=" ",0,IF(Données!$R131="NON COUVERT",0,ROUNDUP(IF(Données!$S131="OUI",MIN($E91*VLOOKUP($F91,taux,15)/52,VLOOKUP($F91,taux,17)),MIN($E91*VLOOKUP($F91,taux,15)/52,VLOOKUP($F91,taux,16))),0))))</f>
        <v>0</v>
      </c>
      <c r="R91" s="108">
        <f>IF($B91=" ",0,IF(Données!$R131="EXO",0,$Q91*VLOOKUP($F91,taux,13)/10))</f>
        <v>0</v>
      </c>
      <c r="S91" s="109">
        <f t="shared" ca="1" si="11"/>
        <v>0</v>
      </c>
      <c r="T91" s="110">
        <f>IF(B91=" ",0,IF(Données!$T131="exo",0,$S91*VLOOKUP($F91,taux,18)/100))</f>
        <v>0</v>
      </c>
      <c r="U91" s="109">
        <f>IF($B91=" ",0,IF(Données!$V131="non couvert",0,IF(VLOOKUP($F91,taux,29)="fixe","s/o",IF(Données!$W131="oui",MIN(ROUNDUP(VLOOKUP($F91,taux,31)*$E91,-3),VLOOKUP($F91,taux,33)),MIN(ROUNDUP(VLOOKUP($F91,taux,31)*$E91,-3),VLOOKUP($F91,taux,32))))))</f>
        <v>0</v>
      </c>
      <c r="V91" s="110">
        <f>IF(B91=" ",0,IF(Données!$V131="exo",0,IF(VLOOKUP($F91,taux,29)="fixe",VLOOKUP($F91,taux,30),$U91/1000*VLOOKUP($F91,taux,30))))</f>
        <v>0</v>
      </c>
      <c r="W91" s="110">
        <f t="shared" si="8"/>
        <v>0</v>
      </c>
      <c r="X91" s="383">
        <f>IF(B91=" ",0,EDATE((Données!E131),780))</f>
        <v>0</v>
      </c>
      <c r="Y91" s="383">
        <f t="shared" si="9"/>
        <v>0</v>
      </c>
      <c r="Z91" s="384">
        <f>IF($B91=" ",0,IF(Données!$T131="non couvert",0,IF(Données!$U131="oui",MIN(VLOOKUP($F91,taux,26),ROUNDUP(IF($E91/12&gt;VLOOKUP($F91,taux,21)+VLOOKUP($F91,taux,23),(VLOOKUP($F91,taux,20)*VLOOKUP($F91,taux,21))+(VLOOKUP($F91,taux,22)*VLOOKUP($F91,taux,23))+($E91/12-VLOOKUP($F91,taux,21)-VLOOKUP($F91,taux,23))*VLOOKUP($F91,taux,24),IF($E91/12&gt;VLOOKUP($F91,taux,21),(VLOOKUP($F91,taux,20)*VLOOKUP($F91,taux,21))+($E91/12-VLOOKUP($F91,taux,21))*VLOOKUP($F91,taux,22),$E91/12*VLOOKUP($F91,taux,20))),0)),MIN(VLOOKUP($F91,taux,25),ROUNDUP(IF($E91/12&gt;VLOOKUP($F91,taux,21)+VLOOKUP($F91,taux,23),(VLOOKUP($F91,taux,20)*VLOOKUP($F91,taux,21))+(VLOOKUP($F91,taux,22)*VLOOKUP($F91,taux,23))+($E91/12-VLOOKUP($F91,taux,21)-VLOOKUP($F91,taux,23))*VLOOKUP($F91,taux,24),IF($E91/12&gt;VLOOKUP($F91,taux,21),(VLOOKUP($F91,taux,20)*VLOOKUP($F91,taux,21))+($E91/12-VLOOKUP($F91,taux,21))*VLOOKUP($F91,taux,22),$E91/12*VLOOKUP($F91,taux,20))),0)))))</f>
        <v>0</v>
      </c>
      <c r="AA91" s="111">
        <f ca="1">IF(C91&gt;=70,0,IF($B91=" ",0,IF(Données!$X131="non couvert"," ",Données!Y131)))</f>
        <v>0</v>
      </c>
      <c r="AB91" s="110">
        <f>IF($B91=" ",0,IF(Données!$X131="exo",0,IF($AA91="ind",VLOOKUP($F91,taux,34),IF($AA91="fam",VLOOKUP($F91,taux,35),IF($AA91="mono",VLOOKUP($F91,taux,36),IF($AA91="couple",VLOOKUP($F91,taux,37),0))))))</f>
        <v>0</v>
      </c>
      <c r="AC91" s="111">
        <f ca="1">IF(C91&gt;=70,0,IF($B91=" ",0,IF(Données!$Z131="non couvert"," ",Données!AA131)))</f>
        <v>0</v>
      </c>
      <c r="AD91" s="110">
        <f>IF($B91=" ",0,IF(Données!$Z131="exo",0,IF($AC91="ind",VLOOKUP($F91,taux,38),IF($AC91="fam",VLOOKUP($F91,taux,39),IF($AC91="mono",VLOOKUP($F91,taux,40),IF($AC91="couple",VLOOKUP($F91,taux,41),0))))))</f>
        <v>0</v>
      </c>
      <c r="AE91" s="112">
        <f>IF($B91=" ",0,IF(Données!$AB131="non couvert"," ",Données!AC131))</f>
        <v>0</v>
      </c>
      <c r="AF91" s="113">
        <f>IF($B91=" ",0,IF(Données!$AB131="exo",0,IF($AE91="ind",VLOOKUP($F91,taux,42),IF($AE91="fam",VLOOKUP($F91,taux,43),IF($AE91="mono",VLOOKUP($F91,taux,44),IF($AE91="couple",VLOOKUP($F91,taux,45),0))))))</f>
        <v>0</v>
      </c>
      <c r="AG91" s="114">
        <f t="shared" ca="1" si="10"/>
        <v>0</v>
      </c>
      <c r="AH91" s="114">
        <f>IF($B91=" ",0,IF(Données!J131="Manitoba",(Facture!H91+Facture!J91+Facture!L91+Facture!P91+Facture!R91+Facture!T91)*0.08,(AG91-W91)*IF(Données!$J131="qc",0.09,IF(Données!$J131="on",0.08,0))+W91*VLOOKUP($F91,taux,28)))</f>
        <v>0</v>
      </c>
      <c r="AI91" s="106">
        <f t="shared" ca="1" si="12"/>
        <v>0</v>
      </c>
    </row>
    <row r="92" spans="1:35" s="64" customFormat="1">
      <c r="A92" s="89">
        <f t="shared" si="13"/>
        <v>78</v>
      </c>
      <c r="B92" s="99" t="str">
        <f>CONCATENATE(Données!B132," ",Données!C132)</f>
        <v xml:space="preserve"> </v>
      </c>
      <c r="C92" s="410">
        <f ca="1">IF(B92="",0,INT((TODAY()-Données!E132)/365.25))</f>
        <v>119</v>
      </c>
      <c r="D92" s="100">
        <f>Données!D132</f>
        <v>0</v>
      </c>
      <c r="E92" s="101">
        <f>Données!I132</f>
        <v>0</v>
      </c>
      <c r="F92" s="102" t="str">
        <f>Données!AD132</f>
        <v/>
      </c>
      <c r="G92" s="103">
        <f ca="1">INDEX({1;0.5;0},MATCH(C92,{1;65;70}))*M92</f>
        <v>0</v>
      </c>
      <c r="H92" s="104">
        <f>IF($B92=" ",0,IF(Données!$K132="exo",0,$G92/1000*VLOOKUP($F92,taux,2)))</f>
        <v>0</v>
      </c>
      <c r="I92" s="398">
        <f ca="1">IF(C92&gt;=65,0,Données!M132*5000)</f>
        <v>0</v>
      </c>
      <c r="J92" s="104">
        <f ca="1">I92/1000*(IF(I92=0,0,1)*VLOOKUP((1+(C92&gt;=20)+(C92&gt;=25)+(C92&gt;=30)+(C92&gt;=35)+(C92&gt;=40)+(C92&gt;=45)+(C92&gt;=50)+(C92&gt;=55)+(C92&gt;=60)+(C92&gt;=65)),Test,2+(IF(Données!F132="H",1,3))+(IF(Données!G132="F",1,0))))</f>
        <v>0</v>
      </c>
      <c r="K92" s="103">
        <f ca="1">INDEX({1;0.5;0},MATCH(C92,{1;65;70}))*M92</f>
        <v>0</v>
      </c>
      <c r="L92" s="104">
        <f>IF($B92=" ",0,IF(Données!$N132="exo",0,$K92/1000*VLOOKUP($F92,taux,6)))</f>
        <v>0</v>
      </c>
      <c r="M92" s="379">
        <f>IF($B92=" ",0,IF(Données!$K132="NON COUVERT",0,IF(AND(Données!$L132="oui",Données!$K132=0.5),MIN(VLOOKUP($F92,taux,5)/2,ROUNDUP(VLOOKUP($F92,taux,3)*$E92,-3)/2),IF(Données!$K132=0.5,MIN(VLOOKUP($F92,taux,4)/2,ROUNDUP(VLOOKUP($F92,taux,3)*$E92,-3)/2),ROUNDUP(IF(Données!$L132="OUI",MIN(VLOOKUP($F92,taux,3)*$E92,VLOOKUP($F92,taux,5)),MIN(VLOOKUP($F92,taux,3)*$E92,VLOOKUP($F92,taux,4))),-3)))))</f>
        <v>0</v>
      </c>
      <c r="N92" s="379">
        <f>IF($B92=" ",0,IF(Données!$N132="NON COUVERT",0,IF(AND(Données!$O132="oui",Données!$N132=0.5),MIN(VLOOKUP($F92,taux,9)/2,ROUNDUP(VLOOKUP($F92,taux,7)*$E92,-3)/2),IF(Données!$N132=0.5,MIN(VLOOKUP($F92,taux,8)/2,ROUNDUP(VLOOKUP($F92,taux,7)*$E92,-3)/2),ROUNDUP(IF(Données!$O132="OUI",MIN(VLOOKUP($F92,taux,7)*$E92,VLOOKUP($F92,taux,9)),MIN(VLOOKUP($F92,taux,7)*$E92,VLOOKUP($F92,taux,8))),-3)))))</f>
        <v>0</v>
      </c>
      <c r="O92" s="105">
        <f ca="1">IF(C92&gt;=70,0,IF($B92=" ",0,IF(Données!P132="non couvert"," ",Données!Q132)))</f>
        <v>0</v>
      </c>
      <c r="P92" s="106">
        <f>IF($B92=" ",0,IF(Données!$P132="exo",0,IF($O92="FAM",VLOOKUP($F92,taux,10),IF($O92="MONO",VLOOKUP($F92,taux,11),IF($O92="COUPLE",VLOOKUP($F92,taux,12),0)))))</f>
        <v>0</v>
      </c>
      <c r="Q92" s="107">
        <f ca="1">IF(C92&gt;=70,0,IF($B92=" ",0,IF(Données!$R132="NON COUVERT",0,ROUNDUP(IF(Données!$S132="OUI",MIN($E92*VLOOKUP($F92,taux,15)/52,VLOOKUP($F92,taux,17)),MIN($E92*VLOOKUP($F92,taux,15)/52,VLOOKUP($F92,taux,16))),0))))</f>
        <v>0</v>
      </c>
      <c r="R92" s="108">
        <f>IF($B92=" ",0,IF(Données!$R132="EXO",0,$Q92*VLOOKUP($F92,taux,13)/10))</f>
        <v>0</v>
      </c>
      <c r="S92" s="109">
        <f t="shared" ca="1" si="11"/>
        <v>0</v>
      </c>
      <c r="T92" s="110">
        <f>IF(B92=" ",0,IF(Données!$T132="exo",0,$S92*VLOOKUP($F92,taux,18)/100))</f>
        <v>0</v>
      </c>
      <c r="U92" s="109">
        <f>IF($B92=" ",0,IF(Données!$V132="non couvert",0,IF(VLOOKUP($F92,taux,29)="fixe","s/o",IF(Données!$W132="oui",MIN(ROUNDUP(VLOOKUP($F92,taux,31)*$E92,-3),VLOOKUP($F92,taux,33)),MIN(ROUNDUP(VLOOKUP($F92,taux,31)*$E92,-3),VLOOKUP($F92,taux,32))))))</f>
        <v>0</v>
      </c>
      <c r="V92" s="110">
        <f>IF(B92=" ",0,IF(Données!$V132="exo",0,IF(VLOOKUP($F92,taux,29)="fixe",VLOOKUP($F92,taux,30),$U92/1000*VLOOKUP($F92,taux,30))))</f>
        <v>0</v>
      </c>
      <c r="W92" s="110">
        <f t="shared" si="8"/>
        <v>0</v>
      </c>
      <c r="X92" s="383">
        <f>IF(B92=" ",0,EDATE((Données!E132),780))</f>
        <v>0</v>
      </c>
      <c r="Y92" s="383">
        <f t="shared" si="9"/>
        <v>0</v>
      </c>
      <c r="Z92" s="384">
        <f>IF($B92=" ",0,IF(Données!$T132="non couvert",0,IF(Données!$U132="oui",MIN(VLOOKUP($F92,taux,26),ROUNDUP(IF($E92/12&gt;VLOOKUP($F92,taux,21)+VLOOKUP($F92,taux,23),(VLOOKUP($F92,taux,20)*VLOOKUP($F92,taux,21))+(VLOOKUP($F92,taux,22)*VLOOKUP($F92,taux,23))+($E92/12-VLOOKUP($F92,taux,21)-VLOOKUP($F92,taux,23))*VLOOKUP($F92,taux,24),IF($E92/12&gt;VLOOKUP($F92,taux,21),(VLOOKUP($F92,taux,20)*VLOOKUP($F92,taux,21))+($E92/12-VLOOKUP($F92,taux,21))*VLOOKUP($F92,taux,22),$E92/12*VLOOKUP($F92,taux,20))),0)),MIN(VLOOKUP($F92,taux,25),ROUNDUP(IF($E92/12&gt;VLOOKUP($F92,taux,21)+VLOOKUP($F92,taux,23),(VLOOKUP($F92,taux,20)*VLOOKUP($F92,taux,21))+(VLOOKUP($F92,taux,22)*VLOOKUP($F92,taux,23))+($E92/12-VLOOKUP($F92,taux,21)-VLOOKUP($F92,taux,23))*VLOOKUP($F92,taux,24),IF($E92/12&gt;VLOOKUP($F92,taux,21),(VLOOKUP($F92,taux,20)*VLOOKUP($F92,taux,21))+($E92/12-VLOOKUP($F92,taux,21))*VLOOKUP($F92,taux,22),$E92/12*VLOOKUP($F92,taux,20))),0)))))</f>
        <v>0</v>
      </c>
      <c r="AA92" s="111">
        <f ca="1">IF(C92&gt;=70,0,IF($B92=" ",0,IF(Données!$X132="non couvert"," ",Données!Y132)))</f>
        <v>0</v>
      </c>
      <c r="AB92" s="110">
        <f>IF($B92=" ",0,IF(Données!$X132="exo",0,IF($AA92="ind",VLOOKUP($F92,taux,34),IF($AA92="fam",VLOOKUP($F92,taux,35),IF($AA92="mono",VLOOKUP($F92,taux,36),IF($AA92="couple",VLOOKUP($F92,taux,37),0))))))</f>
        <v>0</v>
      </c>
      <c r="AC92" s="111">
        <f ca="1">IF(C92&gt;=70,0,IF($B92=" ",0,IF(Données!$Z132="non couvert"," ",Données!AA132)))</f>
        <v>0</v>
      </c>
      <c r="AD92" s="110">
        <f>IF($B92=" ",0,IF(Données!$Z132="exo",0,IF($AC92="ind",VLOOKUP($F92,taux,38),IF($AC92="fam",VLOOKUP($F92,taux,39),IF($AC92="mono",VLOOKUP($F92,taux,40),IF($AC92="couple",VLOOKUP($F92,taux,41),0))))))</f>
        <v>0</v>
      </c>
      <c r="AE92" s="112">
        <f>IF($B92=" ",0,IF(Données!$AB132="non couvert"," ",Données!AC132))</f>
        <v>0</v>
      </c>
      <c r="AF92" s="113">
        <f>IF($B92=" ",0,IF(Données!$AB132="exo",0,IF($AE92="ind",VLOOKUP($F92,taux,42),IF($AE92="fam",VLOOKUP($F92,taux,43),IF($AE92="mono",VLOOKUP($F92,taux,44),IF($AE92="couple",VLOOKUP($F92,taux,45),0))))))</f>
        <v>0</v>
      </c>
      <c r="AG92" s="114">
        <f t="shared" ca="1" si="10"/>
        <v>0</v>
      </c>
      <c r="AH92" s="114">
        <f>IF($B92=" ",0,IF(Données!J132="Manitoba",(Facture!H92+Facture!J92+Facture!L92+Facture!P92+Facture!R92+Facture!T92)*0.08,(AG92-W92)*IF(Données!$J132="qc",0.09,IF(Données!$J132="on",0.08,0))+W92*VLOOKUP($F92,taux,28)))</f>
        <v>0</v>
      </c>
      <c r="AI92" s="106">
        <f t="shared" ca="1" si="12"/>
        <v>0</v>
      </c>
    </row>
    <row r="93" spans="1:35" s="64" customFormat="1">
      <c r="A93" s="89">
        <f t="shared" si="13"/>
        <v>79</v>
      </c>
      <c r="B93" s="99" t="str">
        <f>CONCATENATE(Données!B133," ",Données!C133)</f>
        <v xml:space="preserve"> </v>
      </c>
      <c r="C93" s="410">
        <f ca="1">IF(B93="",0,INT((TODAY()-Données!E133)/365.25))</f>
        <v>119</v>
      </c>
      <c r="D93" s="100">
        <f>Données!D133</f>
        <v>0</v>
      </c>
      <c r="E93" s="101">
        <f>Données!I133</f>
        <v>0</v>
      </c>
      <c r="F93" s="102" t="str">
        <f>Données!AD133</f>
        <v/>
      </c>
      <c r="G93" s="103">
        <f ca="1">INDEX({1;0.5;0},MATCH(C93,{1;65;70}))*M93</f>
        <v>0</v>
      </c>
      <c r="H93" s="104">
        <f>IF($B93=" ",0,IF(Données!$K133="exo",0,$G93/1000*VLOOKUP($F93,taux,2)))</f>
        <v>0</v>
      </c>
      <c r="I93" s="398">
        <f ca="1">IF(C93&gt;=65,0,Données!M133*5000)</f>
        <v>0</v>
      </c>
      <c r="J93" s="104">
        <f ca="1">I93/1000*(IF(I93=0,0,1)*VLOOKUP((1+(C93&gt;=20)+(C93&gt;=25)+(C93&gt;=30)+(C93&gt;=35)+(C93&gt;=40)+(C93&gt;=45)+(C93&gt;=50)+(C93&gt;=55)+(C93&gt;=60)+(C93&gt;=65)),Test,2+(IF(Données!F133="H",1,3))+(IF(Données!G133="F",1,0))))</f>
        <v>0</v>
      </c>
      <c r="K93" s="103">
        <f ca="1">INDEX({1;0.5;0},MATCH(C93,{1;65;70}))*M93</f>
        <v>0</v>
      </c>
      <c r="L93" s="104">
        <f>IF($B93=" ",0,IF(Données!$N133="exo",0,$K93/1000*VLOOKUP($F93,taux,6)))</f>
        <v>0</v>
      </c>
      <c r="M93" s="379">
        <f>IF($B93=" ",0,IF(Données!$K133="NON COUVERT",0,IF(AND(Données!$L133="oui",Données!$K133=0.5),MIN(VLOOKUP($F93,taux,5)/2,ROUNDUP(VLOOKUP($F93,taux,3)*$E93,-3)/2),IF(Données!$K133=0.5,MIN(VLOOKUP($F93,taux,4)/2,ROUNDUP(VLOOKUP($F93,taux,3)*$E93,-3)/2),ROUNDUP(IF(Données!$L133="OUI",MIN(VLOOKUP($F93,taux,3)*$E93,VLOOKUP($F93,taux,5)),MIN(VLOOKUP($F93,taux,3)*$E93,VLOOKUP($F93,taux,4))),-3)))))</f>
        <v>0</v>
      </c>
      <c r="N93" s="379">
        <f>IF($B93=" ",0,IF(Données!$N133="NON COUVERT",0,IF(AND(Données!$O133="oui",Données!$N133=0.5),MIN(VLOOKUP($F93,taux,9)/2,ROUNDUP(VLOOKUP($F93,taux,7)*$E93,-3)/2),IF(Données!$N133=0.5,MIN(VLOOKUP($F93,taux,8)/2,ROUNDUP(VLOOKUP($F93,taux,7)*$E93,-3)/2),ROUNDUP(IF(Données!$O133="OUI",MIN(VLOOKUP($F93,taux,7)*$E93,VLOOKUP($F93,taux,9)),MIN(VLOOKUP($F93,taux,7)*$E93,VLOOKUP($F93,taux,8))),-3)))))</f>
        <v>0</v>
      </c>
      <c r="O93" s="105">
        <f ca="1">IF(C93&gt;=70,0,IF($B93=" ",0,IF(Données!P133="non couvert"," ",Données!Q133)))</f>
        <v>0</v>
      </c>
      <c r="P93" s="106">
        <f>IF($B93=" ",0,IF(Données!$P133="exo",0,IF($O93="FAM",VLOOKUP($F93,taux,10),IF($O93="MONO",VLOOKUP($F93,taux,11),IF($O93="COUPLE",VLOOKUP($F93,taux,12),0)))))</f>
        <v>0</v>
      </c>
      <c r="Q93" s="107">
        <f ca="1">IF(C93&gt;=70,0,IF($B93=" ",0,IF(Données!$R133="NON COUVERT",0,ROUNDUP(IF(Données!$S133="OUI",MIN($E93*VLOOKUP($F93,taux,15)/52,VLOOKUP($F93,taux,17)),MIN($E93*VLOOKUP($F93,taux,15)/52,VLOOKUP($F93,taux,16))),0))))</f>
        <v>0</v>
      </c>
      <c r="R93" s="108">
        <f>IF($B93=" ",0,IF(Données!$R133="EXO",0,$Q93*VLOOKUP($F93,taux,13)/10))</f>
        <v>0</v>
      </c>
      <c r="S93" s="109">
        <f t="shared" ca="1" si="11"/>
        <v>0</v>
      </c>
      <c r="T93" s="110">
        <f>IF(B93=" ",0,IF(Données!$T133="exo",0,$S93*VLOOKUP($F93,taux,18)/100))</f>
        <v>0</v>
      </c>
      <c r="U93" s="109">
        <f>IF($B93=" ",0,IF(Données!$V133="non couvert",0,IF(VLOOKUP($F93,taux,29)="fixe","s/o",IF(Données!$W133="oui",MIN(ROUNDUP(VLOOKUP($F93,taux,31)*$E93,-3),VLOOKUP($F93,taux,33)),MIN(ROUNDUP(VLOOKUP($F93,taux,31)*$E93,-3),VLOOKUP($F93,taux,32))))))</f>
        <v>0</v>
      </c>
      <c r="V93" s="110">
        <f>IF(B93=" ",0,IF(Données!$V133="exo",0,IF(VLOOKUP($F93,taux,29)="fixe",VLOOKUP($F93,taux,30),$U93/1000*VLOOKUP($F93,taux,30))))</f>
        <v>0</v>
      </c>
      <c r="W93" s="110">
        <f t="shared" si="8"/>
        <v>0</v>
      </c>
      <c r="X93" s="383">
        <f>IF(B93=" ",0,EDATE((Données!E133),780))</f>
        <v>0</v>
      </c>
      <c r="Y93" s="383">
        <f t="shared" si="9"/>
        <v>0</v>
      </c>
      <c r="Z93" s="384">
        <f>IF($B93=" ",0,IF(Données!$T133="non couvert",0,IF(Données!$U133="oui",MIN(VLOOKUP($F93,taux,26),ROUNDUP(IF($E93/12&gt;VLOOKUP($F93,taux,21)+VLOOKUP($F93,taux,23),(VLOOKUP($F93,taux,20)*VLOOKUP($F93,taux,21))+(VLOOKUP($F93,taux,22)*VLOOKUP($F93,taux,23))+($E93/12-VLOOKUP($F93,taux,21)-VLOOKUP($F93,taux,23))*VLOOKUP($F93,taux,24),IF($E93/12&gt;VLOOKUP($F93,taux,21),(VLOOKUP($F93,taux,20)*VLOOKUP($F93,taux,21))+($E93/12-VLOOKUP($F93,taux,21))*VLOOKUP($F93,taux,22),$E93/12*VLOOKUP($F93,taux,20))),0)),MIN(VLOOKUP($F93,taux,25),ROUNDUP(IF($E93/12&gt;VLOOKUP($F93,taux,21)+VLOOKUP($F93,taux,23),(VLOOKUP($F93,taux,20)*VLOOKUP($F93,taux,21))+(VLOOKUP($F93,taux,22)*VLOOKUP($F93,taux,23))+($E93/12-VLOOKUP($F93,taux,21)-VLOOKUP($F93,taux,23))*VLOOKUP($F93,taux,24),IF($E93/12&gt;VLOOKUP($F93,taux,21),(VLOOKUP($F93,taux,20)*VLOOKUP($F93,taux,21))+($E93/12-VLOOKUP($F93,taux,21))*VLOOKUP($F93,taux,22),$E93/12*VLOOKUP($F93,taux,20))),0)))))</f>
        <v>0</v>
      </c>
      <c r="AA93" s="111">
        <f ca="1">IF(C93&gt;=70,0,IF($B93=" ",0,IF(Données!$X133="non couvert"," ",Données!Y133)))</f>
        <v>0</v>
      </c>
      <c r="AB93" s="110">
        <f>IF($B93=" ",0,IF(Données!$X133="exo",0,IF($AA93="ind",VLOOKUP($F93,taux,34),IF($AA93="fam",VLOOKUP($F93,taux,35),IF($AA93="mono",VLOOKUP($F93,taux,36),IF($AA93="couple",VLOOKUP($F93,taux,37),0))))))</f>
        <v>0</v>
      </c>
      <c r="AC93" s="111">
        <f ca="1">IF(C93&gt;=70,0,IF($B93=" ",0,IF(Données!$Z133="non couvert"," ",Données!AA133)))</f>
        <v>0</v>
      </c>
      <c r="AD93" s="110">
        <f>IF($B93=" ",0,IF(Données!$Z133="exo",0,IF($AC93="ind",VLOOKUP($F93,taux,38),IF($AC93="fam",VLOOKUP($F93,taux,39),IF($AC93="mono",VLOOKUP($F93,taux,40),IF($AC93="couple",VLOOKUP($F93,taux,41),0))))))</f>
        <v>0</v>
      </c>
      <c r="AE93" s="112">
        <f>IF($B93=" ",0,IF(Données!$AB133="non couvert"," ",Données!AC133))</f>
        <v>0</v>
      </c>
      <c r="AF93" s="113">
        <f>IF($B93=" ",0,IF(Données!$AB133="exo",0,IF($AE93="ind",VLOOKUP($F93,taux,42),IF($AE93="fam",VLOOKUP($F93,taux,43),IF($AE93="mono",VLOOKUP($F93,taux,44),IF($AE93="couple",VLOOKUP($F93,taux,45),0))))))</f>
        <v>0</v>
      </c>
      <c r="AG93" s="114">
        <f t="shared" ca="1" si="10"/>
        <v>0</v>
      </c>
      <c r="AH93" s="114">
        <f>IF($B93=" ",0,IF(Données!J133="Manitoba",(Facture!H93+Facture!J93+Facture!L93+Facture!P93+Facture!R93+Facture!T93)*0.08,(AG93-W93)*IF(Données!$J133="qc",0.09,IF(Données!$J133="on",0.08,0))+W93*VLOOKUP($F93,taux,28)))</f>
        <v>0</v>
      </c>
      <c r="AI93" s="106">
        <f t="shared" ca="1" si="12"/>
        <v>0</v>
      </c>
    </row>
    <row r="94" spans="1:35" s="64" customFormat="1">
      <c r="A94" s="89">
        <f t="shared" si="13"/>
        <v>80</v>
      </c>
      <c r="B94" s="99" t="str">
        <f>CONCATENATE(Données!B134," ",Données!C134)</f>
        <v xml:space="preserve"> </v>
      </c>
      <c r="C94" s="410">
        <f ca="1">IF(B94="",0,INT((TODAY()-Données!E134)/365.25))</f>
        <v>119</v>
      </c>
      <c r="D94" s="100">
        <f>Données!D134</f>
        <v>0</v>
      </c>
      <c r="E94" s="101">
        <f>Données!I134</f>
        <v>0</v>
      </c>
      <c r="F94" s="102" t="str">
        <f>Données!AD134</f>
        <v/>
      </c>
      <c r="G94" s="103">
        <f ca="1">INDEX({1;0.5;0},MATCH(C94,{1;65;70}))*M94</f>
        <v>0</v>
      </c>
      <c r="H94" s="104">
        <f>IF($B94=" ",0,IF(Données!$K134="exo",0,$G94/1000*VLOOKUP($F94,taux,2)))</f>
        <v>0</v>
      </c>
      <c r="I94" s="398">
        <f ca="1">IF(C94&gt;=65,0,Données!M134*5000)</f>
        <v>0</v>
      </c>
      <c r="J94" s="104">
        <f ca="1">I94/1000*(IF(I94=0,0,1)*VLOOKUP((1+(C94&gt;=20)+(C94&gt;=25)+(C94&gt;=30)+(C94&gt;=35)+(C94&gt;=40)+(C94&gt;=45)+(C94&gt;=50)+(C94&gt;=55)+(C94&gt;=60)+(C94&gt;=65)),Test,2+(IF(Données!F134="H",1,3))+(IF(Données!G134="F",1,0))))</f>
        <v>0</v>
      </c>
      <c r="K94" s="103">
        <f ca="1">INDEX({1;0.5;0},MATCH(C94,{1;65;70}))*M94</f>
        <v>0</v>
      </c>
      <c r="L94" s="104">
        <f>IF($B94=" ",0,IF(Données!$N134="exo",0,$K94/1000*VLOOKUP($F94,taux,6)))</f>
        <v>0</v>
      </c>
      <c r="M94" s="379">
        <f>IF($B94=" ",0,IF(Données!$K134="NON COUVERT",0,IF(AND(Données!$L134="oui",Données!$K134=0.5),MIN(VLOOKUP($F94,taux,5)/2,ROUNDUP(VLOOKUP($F94,taux,3)*$E94,-3)/2),IF(Données!$K134=0.5,MIN(VLOOKUP($F94,taux,4)/2,ROUNDUP(VLOOKUP($F94,taux,3)*$E94,-3)/2),ROUNDUP(IF(Données!$L134="OUI",MIN(VLOOKUP($F94,taux,3)*$E94,VLOOKUP($F94,taux,5)),MIN(VLOOKUP($F94,taux,3)*$E94,VLOOKUP($F94,taux,4))),-3)))))</f>
        <v>0</v>
      </c>
      <c r="N94" s="379">
        <f>IF($B94=" ",0,IF(Données!$N134="NON COUVERT",0,IF(AND(Données!$O134="oui",Données!$N134=0.5),MIN(VLOOKUP($F94,taux,9)/2,ROUNDUP(VLOOKUP($F94,taux,7)*$E94,-3)/2),IF(Données!$N134=0.5,MIN(VLOOKUP($F94,taux,8)/2,ROUNDUP(VLOOKUP($F94,taux,7)*$E94,-3)/2),ROUNDUP(IF(Données!$O134="OUI",MIN(VLOOKUP($F94,taux,7)*$E94,VLOOKUP($F94,taux,9)),MIN(VLOOKUP($F94,taux,7)*$E94,VLOOKUP($F94,taux,8))),-3)))))</f>
        <v>0</v>
      </c>
      <c r="O94" s="105">
        <f ca="1">IF(C94&gt;=70,0,IF($B94=" ",0,IF(Données!P134="non couvert"," ",Données!Q134)))</f>
        <v>0</v>
      </c>
      <c r="P94" s="106">
        <f>IF($B94=" ",0,IF(Données!$P134="exo",0,IF($O94="FAM",VLOOKUP($F94,taux,10),IF($O94="MONO",VLOOKUP($F94,taux,11),IF($O94="COUPLE",VLOOKUP($F94,taux,12),0)))))</f>
        <v>0</v>
      </c>
      <c r="Q94" s="107">
        <f ca="1">IF(C94&gt;=70,0,IF($B94=" ",0,IF(Données!$R134="NON COUVERT",0,ROUNDUP(IF(Données!$S134="OUI",MIN($E94*VLOOKUP($F94,taux,15)/52,VLOOKUP($F94,taux,17)),MIN($E94*VLOOKUP($F94,taux,15)/52,VLOOKUP($F94,taux,16))),0))))</f>
        <v>0</v>
      </c>
      <c r="R94" s="108">
        <f>IF($B94=" ",0,IF(Données!$R134="EXO",0,$Q94*VLOOKUP($F94,taux,13)/10))</f>
        <v>0</v>
      </c>
      <c r="S94" s="109">
        <f t="shared" ca="1" si="11"/>
        <v>0</v>
      </c>
      <c r="T94" s="110">
        <f>IF(B94=" ",0,IF(Données!$T134="exo",0,$S94*VLOOKUP($F94,taux,18)/100))</f>
        <v>0</v>
      </c>
      <c r="U94" s="109">
        <f>IF($B94=" ",0,IF(Données!$V134="non couvert",0,IF(VLOOKUP($F94,taux,29)="fixe","s/o",IF(Données!$W134="oui",MIN(ROUNDUP(VLOOKUP($F94,taux,31)*$E94,-3),VLOOKUP($F94,taux,33)),MIN(ROUNDUP(VLOOKUP($F94,taux,31)*$E94,-3),VLOOKUP($F94,taux,32))))))</f>
        <v>0</v>
      </c>
      <c r="V94" s="110">
        <f>IF(B94=" ",0,IF(Données!$V134="exo",0,IF(VLOOKUP($F94,taux,29)="fixe",VLOOKUP($F94,taux,30),$U94/1000*VLOOKUP($F94,taux,30))))</f>
        <v>0</v>
      </c>
      <c r="W94" s="110">
        <f t="shared" si="8"/>
        <v>0</v>
      </c>
      <c r="X94" s="383">
        <f>IF(B94=" ",0,EDATE((Données!E134),780))</f>
        <v>0</v>
      </c>
      <c r="Y94" s="383">
        <f t="shared" si="9"/>
        <v>0</v>
      </c>
      <c r="Z94" s="384">
        <f>IF($B94=" ",0,IF(Données!$T134="non couvert",0,IF(Données!$U134="oui",MIN(VLOOKUP($F94,taux,26),ROUNDUP(IF($E94/12&gt;VLOOKUP($F94,taux,21)+VLOOKUP($F94,taux,23),(VLOOKUP($F94,taux,20)*VLOOKUP($F94,taux,21))+(VLOOKUP($F94,taux,22)*VLOOKUP($F94,taux,23))+($E94/12-VLOOKUP($F94,taux,21)-VLOOKUP($F94,taux,23))*VLOOKUP($F94,taux,24),IF($E94/12&gt;VLOOKUP($F94,taux,21),(VLOOKUP($F94,taux,20)*VLOOKUP($F94,taux,21))+($E94/12-VLOOKUP($F94,taux,21))*VLOOKUP($F94,taux,22),$E94/12*VLOOKUP($F94,taux,20))),0)),MIN(VLOOKUP($F94,taux,25),ROUNDUP(IF($E94/12&gt;VLOOKUP($F94,taux,21)+VLOOKUP($F94,taux,23),(VLOOKUP($F94,taux,20)*VLOOKUP($F94,taux,21))+(VLOOKUP($F94,taux,22)*VLOOKUP($F94,taux,23))+($E94/12-VLOOKUP($F94,taux,21)-VLOOKUP($F94,taux,23))*VLOOKUP($F94,taux,24),IF($E94/12&gt;VLOOKUP($F94,taux,21),(VLOOKUP($F94,taux,20)*VLOOKUP($F94,taux,21))+($E94/12-VLOOKUP($F94,taux,21))*VLOOKUP($F94,taux,22),$E94/12*VLOOKUP($F94,taux,20))),0)))))</f>
        <v>0</v>
      </c>
      <c r="AA94" s="111">
        <f ca="1">IF(C94&gt;=70,0,IF($B94=" ",0,IF(Données!$X134="non couvert"," ",Données!Y134)))</f>
        <v>0</v>
      </c>
      <c r="AB94" s="110">
        <f>IF($B94=" ",0,IF(Données!$X134="exo",0,IF($AA94="ind",VLOOKUP($F94,taux,34),IF($AA94="fam",VLOOKUP($F94,taux,35),IF($AA94="mono",VLOOKUP($F94,taux,36),IF($AA94="couple",VLOOKUP($F94,taux,37),0))))))</f>
        <v>0</v>
      </c>
      <c r="AC94" s="111">
        <f ca="1">IF(C94&gt;=70,0,IF($B94=" ",0,IF(Données!$Z134="non couvert"," ",Données!AA134)))</f>
        <v>0</v>
      </c>
      <c r="AD94" s="110">
        <f>IF($B94=" ",0,IF(Données!$Z134="exo",0,IF($AC94="ind",VLOOKUP($F94,taux,38),IF($AC94="fam",VLOOKUP($F94,taux,39),IF($AC94="mono",VLOOKUP($F94,taux,40),IF($AC94="couple",VLOOKUP($F94,taux,41),0))))))</f>
        <v>0</v>
      </c>
      <c r="AE94" s="112">
        <f>IF($B94=" ",0,IF(Données!$AB134="non couvert"," ",Données!AC134))</f>
        <v>0</v>
      </c>
      <c r="AF94" s="113">
        <f>IF($B94=" ",0,IF(Données!$AB134="exo",0,IF($AE94="ind",VLOOKUP($F94,taux,42),IF($AE94="fam",VLOOKUP($F94,taux,43),IF($AE94="mono",VLOOKUP($F94,taux,44),IF($AE94="couple",VLOOKUP($F94,taux,45),0))))))</f>
        <v>0</v>
      </c>
      <c r="AG94" s="114">
        <f t="shared" ca="1" si="10"/>
        <v>0</v>
      </c>
      <c r="AH94" s="114">
        <f>IF($B94=" ",0,IF(Données!J134="Manitoba",(Facture!H94+Facture!J94+Facture!L94+Facture!P94+Facture!R94+Facture!T94)*0.08,(AG94-W94)*IF(Données!$J134="qc",0.09,IF(Données!$J134="on",0.08,0))+W94*VLOOKUP($F94,taux,28)))</f>
        <v>0</v>
      </c>
      <c r="AI94" s="106">
        <f t="shared" ca="1" si="12"/>
        <v>0</v>
      </c>
    </row>
    <row r="95" spans="1:35" s="64" customFormat="1">
      <c r="A95" s="89">
        <f t="shared" si="13"/>
        <v>81</v>
      </c>
      <c r="B95" s="99" t="str">
        <f>CONCATENATE(Données!B135," ",Données!C135)</f>
        <v xml:space="preserve"> </v>
      </c>
      <c r="C95" s="410">
        <f ca="1">IF(B95="",0,INT((TODAY()-Données!E135)/365.25))</f>
        <v>119</v>
      </c>
      <c r="D95" s="100">
        <f>Données!D135</f>
        <v>0</v>
      </c>
      <c r="E95" s="101">
        <f>Données!I135</f>
        <v>0</v>
      </c>
      <c r="F95" s="102" t="str">
        <f>Données!AD135</f>
        <v/>
      </c>
      <c r="G95" s="103">
        <f ca="1">INDEX({1;0.5;0},MATCH(C95,{1;65;70}))*M95</f>
        <v>0</v>
      </c>
      <c r="H95" s="104">
        <f>IF($B95=" ",0,IF(Données!$K135="exo",0,$G95/1000*VLOOKUP($F95,taux,2)))</f>
        <v>0</v>
      </c>
      <c r="I95" s="398">
        <f ca="1">IF(C95&gt;=65,0,Données!M135*5000)</f>
        <v>0</v>
      </c>
      <c r="J95" s="104">
        <f ca="1">I95/1000*(IF(I95=0,0,1)*VLOOKUP((1+(C95&gt;=20)+(C95&gt;=25)+(C95&gt;=30)+(C95&gt;=35)+(C95&gt;=40)+(C95&gt;=45)+(C95&gt;=50)+(C95&gt;=55)+(C95&gt;=60)+(C95&gt;=65)),Test,2+(IF(Données!F135="H",1,3))+(IF(Données!G135="F",1,0))))</f>
        <v>0</v>
      </c>
      <c r="K95" s="103">
        <f ca="1">INDEX({1;0.5;0},MATCH(C95,{1;65;70}))*M95</f>
        <v>0</v>
      </c>
      <c r="L95" s="104">
        <f>IF($B95=" ",0,IF(Données!$N135="exo",0,$K95/1000*VLOOKUP($F95,taux,6)))</f>
        <v>0</v>
      </c>
      <c r="M95" s="379">
        <f>IF($B95=" ",0,IF(Données!$K135="NON COUVERT",0,IF(AND(Données!$L135="oui",Données!$K135=0.5),MIN(VLOOKUP($F95,taux,5)/2,ROUNDUP(VLOOKUP($F95,taux,3)*$E95,-3)/2),IF(Données!$K135=0.5,MIN(VLOOKUP($F95,taux,4)/2,ROUNDUP(VLOOKUP($F95,taux,3)*$E95,-3)/2),ROUNDUP(IF(Données!$L135="OUI",MIN(VLOOKUP($F95,taux,3)*$E95,VLOOKUP($F95,taux,5)),MIN(VLOOKUP($F95,taux,3)*$E95,VLOOKUP($F95,taux,4))),-3)))))</f>
        <v>0</v>
      </c>
      <c r="N95" s="379">
        <f>IF($B95=" ",0,IF(Données!$N135="NON COUVERT",0,IF(AND(Données!$O135="oui",Données!$N135=0.5),MIN(VLOOKUP($F95,taux,9)/2,ROUNDUP(VLOOKUP($F95,taux,7)*$E95,-3)/2),IF(Données!$N135=0.5,MIN(VLOOKUP($F95,taux,8)/2,ROUNDUP(VLOOKUP($F95,taux,7)*$E95,-3)/2),ROUNDUP(IF(Données!$O135="OUI",MIN(VLOOKUP($F95,taux,7)*$E95,VLOOKUP($F95,taux,9)),MIN(VLOOKUP($F95,taux,7)*$E95,VLOOKUP($F95,taux,8))),-3)))))</f>
        <v>0</v>
      </c>
      <c r="O95" s="105">
        <f ca="1">IF(C95&gt;=70,0,IF($B95=" ",0,IF(Données!P135="non couvert"," ",Données!Q135)))</f>
        <v>0</v>
      </c>
      <c r="P95" s="106">
        <f>IF($B95=" ",0,IF(Données!$P135="exo",0,IF($O95="FAM",VLOOKUP($F95,taux,10),IF($O95="MONO",VLOOKUP($F95,taux,11),IF($O95="COUPLE",VLOOKUP($F95,taux,12),0)))))</f>
        <v>0</v>
      </c>
      <c r="Q95" s="107">
        <f ca="1">IF(C95&gt;=70,0,IF($B95=" ",0,IF(Données!$R135="NON COUVERT",0,ROUNDUP(IF(Données!$S135="OUI",MIN($E95*VLOOKUP($F95,taux,15)/52,VLOOKUP($F95,taux,17)),MIN($E95*VLOOKUP($F95,taux,15)/52,VLOOKUP($F95,taux,16))),0))))</f>
        <v>0</v>
      </c>
      <c r="R95" s="108">
        <f>IF($B95=" ",0,IF(Données!$R135="EXO",0,$Q95*VLOOKUP($F95,taux,13)/10))</f>
        <v>0</v>
      </c>
      <c r="S95" s="109">
        <f t="shared" ca="1" si="11"/>
        <v>0</v>
      </c>
      <c r="T95" s="110">
        <f>IF(B95=" ",0,IF(Données!$T135="exo",0,$S95*VLOOKUP($F95,taux,18)/100))</f>
        <v>0</v>
      </c>
      <c r="U95" s="109">
        <f>IF($B95=" ",0,IF(Données!$V135="non couvert",0,IF(VLOOKUP($F95,taux,29)="fixe","s/o",IF(Données!$W135="oui",MIN(ROUNDUP(VLOOKUP($F95,taux,31)*$E95,-3),VLOOKUP($F95,taux,33)),MIN(ROUNDUP(VLOOKUP($F95,taux,31)*$E95,-3),VLOOKUP($F95,taux,32))))))</f>
        <v>0</v>
      </c>
      <c r="V95" s="110">
        <f>IF(B95=" ",0,IF(Données!$V135="exo",0,IF(VLOOKUP($F95,taux,29)="fixe",VLOOKUP($F95,taux,30),$U95/1000*VLOOKUP($F95,taux,30))))</f>
        <v>0</v>
      </c>
      <c r="W95" s="110">
        <f t="shared" si="8"/>
        <v>0</v>
      </c>
      <c r="X95" s="383">
        <f>IF(B95=" ",0,EDATE((Données!E135),780))</f>
        <v>0</v>
      </c>
      <c r="Y95" s="383">
        <f t="shared" si="9"/>
        <v>0</v>
      </c>
      <c r="Z95" s="384">
        <f>IF($B95=" ",0,IF(Données!$T135="non couvert",0,IF(Données!$U135="oui",MIN(VLOOKUP($F95,taux,26),ROUNDUP(IF($E95/12&gt;VLOOKUP($F95,taux,21)+VLOOKUP($F95,taux,23),(VLOOKUP($F95,taux,20)*VLOOKUP($F95,taux,21))+(VLOOKUP($F95,taux,22)*VLOOKUP($F95,taux,23))+($E95/12-VLOOKUP($F95,taux,21)-VLOOKUP($F95,taux,23))*VLOOKUP($F95,taux,24),IF($E95/12&gt;VLOOKUP($F95,taux,21),(VLOOKUP($F95,taux,20)*VLOOKUP($F95,taux,21))+($E95/12-VLOOKUP($F95,taux,21))*VLOOKUP($F95,taux,22),$E95/12*VLOOKUP($F95,taux,20))),0)),MIN(VLOOKUP($F95,taux,25),ROUNDUP(IF($E95/12&gt;VLOOKUP($F95,taux,21)+VLOOKUP($F95,taux,23),(VLOOKUP($F95,taux,20)*VLOOKUP($F95,taux,21))+(VLOOKUP($F95,taux,22)*VLOOKUP($F95,taux,23))+($E95/12-VLOOKUP($F95,taux,21)-VLOOKUP($F95,taux,23))*VLOOKUP($F95,taux,24),IF($E95/12&gt;VLOOKUP($F95,taux,21),(VLOOKUP($F95,taux,20)*VLOOKUP($F95,taux,21))+($E95/12-VLOOKUP($F95,taux,21))*VLOOKUP($F95,taux,22),$E95/12*VLOOKUP($F95,taux,20))),0)))))</f>
        <v>0</v>
      </c>
      <c r="AA95" s="111">
        <f ca="1">IF(C95&gt;=70,0,IF($B95=" ",0,IF(Données!$X135="non couvert"," ",Données!Y135)))</f>
        <v>0</v>
      </c>
      <c r="AB95" s="110">
        <f>IF($B95=" ",0,IF(Données!$X135="exo",0,IF($AA95="ind",VLOOKUP($F95,taux,34),IF($AA95="fam",VLOOKUP($F95,taux,35),IF($AA95="mono",VLOOKUP($F95,taux,36),IF($AA95="couple",VLOOKUP($F95,taux,37),0))))))</f>
        <v>0</v>
      </c>
      <c r="AC95" s="111">
        <f ca="1">IF(C95&gt;=70,0,IF($B95=" ",0,IF(Données!$Z135="non couvert"," ",Données!AA135)))</f>
        <v>0</v>
      </c>
      <c r="AD95" s="110">
        <f>IF($B95=" ",0,IF(Données!$Z135="exo",0,IF($AC95="ind",VLOOKUP($F95,taux,38),IF($AC95="fam",VLOOKUP($F95,taux,39),IF($AC95="mono",VLOOKUP($F95,taux,40),IF($AC95="couple",VLOOKUP($F95,taux,41),0))))))</f>
        <v>0</v>
      </c>
      <c r="AE95" s="112">
        <f>IF($B95=" ",0,IF(Données!$AB135="non couvert"," ",Données!AC135))</f>
        <v>0</v>
      </c>
      <c r="AF95" s="113">
        <f>IF($B95=" ",0,IF(Données!$AB135="exo",0,IF($AE95="ind",VLOOKUP($F95,taux,42),IF($AE95="fam",VLOOKUP($F95,taux,43),IF($AE95="mono",VLOOKUP($F95,taux,44),IF($AE95="couple",VLOOKUP($F95,taux,45),0))))))</f>
        <v>0</v>
      </c>
      <c r="AG95" s="114">
        <f t="shared" ca="1" si="10"/>
        <v>0</v>
      </c>
      <c r="AH95" s="114">
        <f>IF($B95=" ",0,IF(Données!J135="Manitoba",(Facture!H95+Facture!J95+Facture!L95+Facture!P95+Facture!R95+Facture!T95)*0.08,(AG95-W95)*IF(Données!$J135="qc",0.09,IF(Données!$J135="on",0.08,0))+W95*VLOOKUP($F95,taux,28)))</f>
        <v>0</v>
      </c>
      <c r="AI95" s="106">
        <f t="shared" ca="1" si="12"/>
        <v>0</v>
      </c>
    </row>
    <row r="96" spans="1:35" s="64" customFormat="1">
      <c r="A96" s="89">
        <f t="shared" si="13"/>
        <v>82</v>
      </c>
      <c r="B96" s="99" t="str">
        <f>CONCATENATE(Données!B136," ",Données!C136)</f>
        <v xml:space="preserve"> </v>
      </c>
      <c r="C96" s="410">
        <f ca="1">IF(B96="",0,INT((TODAY()-Données!E136)/365.25))</f>
        <v>119</v>
      </c>
      <c r="D96" s="100">
        <f>Données!D136</f>
        <v>0</v>
      </c>
      <c r="E96" s="101">
        <f>Données!I136</f>
        <v>0</v>
      </c>
      <c r="F96" s="102" t="str">
        <f>Données!AD136</f>
        <v/>
      </c>
      <c r="G96" s="103">
        <f ca="1">INDEX({1;0.5;0},MATCH(C96,{1;65;70}))*M96</f>
        <v>0</v>
      </c>
      <c r="H96" s="104">
        <f>IF($B96=" ",0,IF(Données!$K136="exo",0,$G96/1000*VLOOKUP($F96,taux,2)))</f>
        <v>0</v>
      </c>
      <c r="I96" s="398">
        <f ca="1">IF(C96&gt;=65,0,Données!M136*5000)</f>
        <v>0</v>
      </c>
      <c r="J96" s="104">
        <f ca="1">I96/1000*(IF(I96=0,0,1)*VLOOKUP((1+(C96&gt;=20)+(C96&gt;=25)+(C96&gt;=30)+(C96&gt;=35)+(C96&gt;=40)+(C96&gt;=45)+(C96&gt;=50)+(C96&gt;=55)+(C96&gt;=60)+(C96&gt;=65)),Test,2+(IF(Données!F136="H",1,3))+(IF(Données!G136="F",1,0))))</f>
        <v>0</v>
      </c>
      <c r="K96" s="103">
        <f ca="1">INDEX({1;0.5;0},MATCH(C96,{1;65;70}))*M96</f>
        <v>0</v>
      </c>
      <c r="L96" s="104">
        <f>IF($B96=" ",0,IF(Données!$N136="exo",0,$K96/1000*VLOOKUP($F96,taux,6)))</f>
        <v>0</v>
      </c>
      <c r="M96" s="379">
        <f>IF($B96=" ",0,IF(Données!$K136="NON COUVERT",0,IF(AND(Données!$L136="oui",Données!$K136=0.5),MIN(VLOOKUP($F96,taux,5)/2,ROUNDUP(VLOOKUP($F96,taux,3)*$E96,-3)/2),IF(Données!$K136=0.5,MIN(VLOOKUP($F96,taux,4)/2,ROUNDUP(VLOOKUP($F96,taux,3)*$E96,-3)/2),ROUNDUP(IF(Données!$L136="OUI",MIN(VLOOKUP($F96,taux,3)*$E96,VLOOKUP($F96,taux,5)),MIN(VLOOKUP($F96,taux,3)*$E96,VLOOKUP($F96,taux,4))),-3)))))</f>
        <v>0</v>
      </c>
      <c r="N96" s="379">
        <f>IF($B96=" ",0,IF(Données!$N136="NON COUVERT",0,IF(AND(Données!$O136="oui",Données!$N136=0.5),MIN(VLOOKUP($F96,taux,9)/2,ROUNDUP(VLOOKUP($F96,taux,7)*$E96,-3)/2),IF(Données!$N136=0.5,MIN(VLOOKUP($F96,taux,8)/2,ROUNDUP(VLOOKUP($F96,taux,7)*$E96,-3)/2),ROUNDUP(IF(Données!$O136="OUI",MIN(VLOOKUP($F96,taux,7)*$E96,VLOOKUP($F96,taux,9)),MIN(VLOOKUP($F96,taux,7)*$E96,VLOOKUP($F96,taux,8))),-3)))))</f>
        <v>0</v>
      </c>
      <c r="O96" s="105">
        <f ca="1">IF(C96&gt;=70,0,IF($B96=" ",0,IF(Données!P136="non couvert"," ",Données!Q136)))</f>
        <v>0</v>
      </c>
      <c r="P96" s="106">
        <f>IF($B96=" ",0,IF(Données!$P136="exo",0,IF($O96="FAM",VLOOKUP($F96,taux,10),IF($O96="MONO",VLOOKUP($F96,taux,11),IF($O96="COUPLE",VLOOKUP($F96,taux,12),0)))))</f>
        <v>0</v>
      </c>
      <c r="Q96" s="107">
        <f ca="1">IF(C96&gt;=70,0,IF($B96=" ",0,IF(Données!$R136="NON COUVERT",0,ROUNDUP(IF(Données!$S136="OUI",MIN($E96*VLOOKUP($F96,taux,15)/52,VLOOKUP($F96,taux,17)),MIN($E96*VLOOKUP($F96,taux,15)/52,VLOOKUP($F96,taux,16))),0))))</f>
        <v>0</v>
      </c>
      <c r="R96" s="108">
        <f>IF($B96=" ",0,IF(Données!$R136="EXO",0,$Q96*VLOOKUP($F96,taux,13)/10))</f>
        <v>0</v>
      </c>
      <c r="S96" s="109">
        <f t="shared" ca="1" si="11"/>
        <v>0</v>
      </c>
      <c r="T96" s="110">
        <f>IF(B96=" ",0,IF(Données!$T136="exo",0,$S96*VLOOKUP($F96,taux,18)/100))</f>
        <v>0</v>
      </c>
      <c r="U96" s="109">
        <f>IF($B96=" ",0,IF(Données!$V136="non couvert",0,IF(VLOOKUP($F96,taux,29)="fixe","s/o",IF(Données!$W136="oui",MIN(ROUNDUP(VLOOKUP($F96,taux,31)*$E96,-3),VLOOKUP($F96,taux,33)),MIN(ROUNDUP(VLOOKUP($F96,taux,31)*$E96,-3),VLOOKUP($F96,taux,32))))))</f>
        <v>0</v>
      </c>
      <c r="V96" s="110">
        <f>IF(B96=" ",0,IF(Données!$V136="exo",0,IF(VLOOKUP($F96,taux,29)="fixe",VLOOKUP($F96,taux,30),$U96/1000*VLOOKUP($F96,taux,30))))</f>
        <v>0</v>
      </c>
      <c r="W96" s="110">
        <f t="shared" si="8"/>
        <v>0</v>
      </c>
      <c r="X96" s="383">
        <f>IF(B96=" ",0,EDATE((Données!E136),780))</f>
        <v>0</v>
      </c>
      <c r="Y96" s="383">
        <f t="shared" si="9"/>
        <v>0</v>
      </c>
      <c r="Z96" s="384">
        <f>IF($B96=" ",0,IF(Données!$T136="non couvert",0,IF(Données!$U136="oui",MIN(VLOOKUP($F96,taux,26),ROUNDUP(IF($E96/12&gt;VLOOKUP($F96,taux,21)+VLOOKUP($F96,taux,23),(VLOOKUP($F96,taux,20)*VLOOKUP($F96,taux,21))+(VLOOKUP($F96,taux,22)*VLOOKUP($F96,taux,23))+($E96/12-VLOOKUP($F96,taux,21)-VLOOKUP($F96,taux,23))*VLOOKUP($F96,taux,24),IF($E96/12&gt;VLOOKUP($F96,taux,21),(VLOOKUP($F96,taux,20)*VLOOKUP($F96,taux,21))+($E96/12-VLOOKUP($F96,taux,21))*VLOOKUP($F96,taux,22),$E96/12*VLOOKUP($F96,taux,20))),0)),MIN(VLOOKUP($F96,taux,25),ROUNDUP(IF($E96/12&gt;VLOOKUP($F96,taux,21)+VLOOKUP($F96,taux,23),(VLOOKUP($F96,taux,20)*VLOOKUP($F96,taux,21))+(VLOOKUP($F96,taux,22)*VLOOKUP($F96,taux,23))+($E96/12-VLOOKUP($F96,taux,21)-VLOOKUP($F96,taux,23))*VLOOKUP($F96,taux,24),IF($E96/12&gt;VLOOKUP($F96,taux,21),(VLOOKUP($F96,taux,20)*VLOOKUP($F96,taux,21))+($E96/12-VLOOKUP($F96,taux,21))*VLOOKUP($F96,taux,22),$E96/12*VLOOKUP($F96,taux,20))),0)))))</f>
        <v>0</v>
      </c>
      <c r="AA96" s="111">
        <f ca="1">IF(C96&gt;=70,0,IF($B96=" ",0,IF(Données!$X136="non couvert"," ",Données!Y136)))</f>
        <v>0</v>
      </c>
      <c r="AB96" s="110">
        <f>IF($B96=" ",0,IF(Données!$X136="exo",0,IF($AA96="ind",VLOOKUP($F96,taux,34),IF($AA96="fam",VLOOKUP($F96,taux,35),IF($AA96="mono",VLOOKUP($F96,taux,36),IF($AA96="couple",VLOOKUP($F96,taux,37),0))))))</f>
        <v>0</v>
      </c>
      <c r="AC96" s="111">
        <f ca="1">IF(C96&gt;=70,0,IF($B96=" ",0,IF(Données!$Z136="non couvert"," ",Données!AA136)))</f>
        <v>0</v>
      </c>
      <c r="AD96" s="110">
        <f>IF($B96=" ",0,IF(Données!$Z136="exo",0,IF($AC96="ind",VLOOKUP($F96,taux,38),IF($AC96="fam",VLOOKUP($F96,taux,39),IF($AC96="mono",VLOOKUP($F96,taux,40),IF($AC96="couple",VLOOKUP($F96,taux,41),0))))))</f>
        <v>0</v>
      </c>
      <c r="AE96" s="112">
        <f>IF($B96=" ",0,IF(Données!$AB136="non couvert"," ",Données!AC136))</f>
        <v>0</v>
      </c>
      <c r="AF96" s="113">
        <f>IF($B96=" ",0,IF(Données!$AB136="exo",0,IF($AE96="ind",VLOOKUP($F96,taux,42),IF($AE96="fam",VLOOKUP($F96,taux,43),IF($AE96="mono",VLOOKUP($F96,taux,44),IF($AE96="couple",VLOOKUP($F96,taux,45),0))))))</f>
        <v>0</v>
      </c>
      <c r="AG96" s="114">
        <f t="shared" ca="1" si="10"/>
        <v>0</v>
      </c>
      <c r="AH96" s="114">
        <f>IF($B96=" ",0,IF(Données!J136="Manitoba",(Facture!H96+Facture!J96+Facture!L96+Facture!P96+Facture!R96+Facture!T96)*0.08,(AG96-W96)*IF(Données!$J136="qc",0.09,IF(Données!$J136="on",0.08,0))+W96*VLOOKUP($F96,taux,28)))</f>
        <v>0</v>
      </c>
      <c r="AI96" s="106">
        <f t="shared" ca="1" si="12"/>
        <v>0</v>
      </c>
    </row>
    <row r="97" spans="1:35" s="64" customFormat="1">
      <c r="A97" s="89">
        <f t="shared" si="13"/>
        <v>83</v>
      </c>
      <c r="B97" s="99" t="str">
        <f>CONCATENATE(Données!B137," ",Données!C137)</f>
        <v xml:space="preserve"> </v>
      </c>
      <c r="C97" s="410">
        <f ca="1">IF(B97="",0,INT((TODAY()-Données!E137)/365.25))</f>
        <v>119</v>
      </c>
      <c r="D97" s="100">
        <f>Données!D137</f>
        <v>0</v>
      </c>
      <c r="E97" s="101">
        <f>Données!I137</f>
        <v>0</v>
      </c>
      <c r="F97" s="102" t="str">
        <f>Données!AD137</f>
        <v/>
      </c>
      <c r="G97" s="103">
        <f ca="1">INDEX({1;0.5;0},MATCH(C97,{1;65;70}))*M97</f>
        <v>0</v>
      </c>
      <c r="H97" s="104">
        <f>IF($B97=" ",0,IF(Données!$K137="exo",0,$G97/1000*VLOOKUP($F97,taux,2)))</f>
        <v>0</v>
      </c>
      <c r="I97" s="398">
        <f ca="1">IF(C97&gt;=65,0,Données!M137*5000)</f>
        <v>0</v>
      </c>
      <c r="J97" s="104">
        <f ca="1">I97/1000*(IF(I97=0,0,1)*VLOOKUP((1+(C97&gt;=20)+(C97&gt;=25)+(C97&gt;=30)+(C97&gt;=35)+(C97&gt;=40)+(C97&gt;=45)+(C97&gt;=50)+(C97&gt;=55)+(C97&gt;=60)+(C97&gt;=65)),Test,2+(IF(Données!F137="H",1,3))+(IF(Données!G137="F",1,0))))</f>
        <v>0</v>
      </c>
      <c r="K97" s="103">
        <f ca="1">INDEX({1;0.5;0},MATCH(C97,{1;65;70}))*M97</f>
        <v>0</v>
      </c>
      <c r="L97" s="104">
        <f>IF($B97=" ",0,IF(Données!$N137="exo",0,$K97/1000*VLOOKUP($F97,taux,6)))</f>
        <v>0</v>
      </c>
      <c r="M97" s="379">
        <f>IF($B97=" ",0,IF(Données!$K137="NON COUVERT",0,IF(AND(Données!$L137="oui",Données!$K137=0.5),MIN(VLOOKUP($F97,taux,5)/2,ROUNDUP(VLOOKUP($F97,taux,3)*$E97,-3)/2),IF(Données!$K137=0.5,MIN(VLOOKUP($F97,taux,4)/2,ROUNDUP(VLOOKUP($F97,taux,3)*$E97,-3)/2),ROUNDUP(IF(Données!$L137="OUI",MIN(VLOOKUP($F97,taux,3)*$E97,VLOOKUP($F97,taux,5)),MIN(VLOOKUP($F97,taux,3)*$E97,VLOOKUP($F97,taux,4))),-3)))))</f>
        <v>0</v>
      </c>
      <c r="N97" s="379">
        <f>IF($B97=" ",0,IF(Données!$N137="NON COUVERT",0,IF(AND(Données!$O137="oui",Données!$N137=0.5),MIN(VLOOKUP($F97,taux,9)/2,ROUNDUP(VLOOKUP($F97,taux,7)*$E97,-3)/2),IF(Données!$N137=0.5,MIN(VLOOKUP($F97,taux,8)/2,ROUNDUP(VLOOKUP($F97,taux,7)*$E97,-3)/2),ROUNDUP(IF(Données!$O137="OUI",MIN(VLOOKUP($F97,taux,7)*$E97,VLOOKUP($F97,taux,9)),MIN(VLOOKUP($F97,taux,7)*$E97,VLOOKUP($F97,taux,8))),-3)))))</f>
        <v>0</v>
      </c>
      <c r="O97" s="105">
        <f ca="1">IF(C97&gt;=70,0,IF($B97=" ",0,IF(Données!P137="non couvert"," ",Données!Q137)))</f>
        <v>0</v>
      </c>
      <c r="P97" s="106">
        <f>IF($B97=" ",0,IF(Données!$P137="exo",0,IF($O97="FAM",VLOOKUP($F97,taux,10),IF($O97="MONO",VLOOKUP($F97,taux,11),IF($O97="COUPLE",VLOOKUP($F97,taux,12),0)))))</f>
        <v>0</v>
      </c>
      <c r="Q97" s="107">
        <f ca="1">IF(C97&gt;=70,0,IF($B97=" ",0,IF(Données!$R137="NON COUVERT",0,ROUNDUP(IF(Données!$S137="OUI",MIN($E97*VLOOKUP($F97,taux,15)/52,VLOOKUP($F97,taux,17)),MIN($E97*VLOOKUP($F97,taux,15)/52,VLOOKUP($F97,taux,16))),0))))</f>
        <v>0</v>
      </c>
      <c r="R97" s="108">
        <f>IF($B97=" ",0,IF(Données!$R137="EXO",0,$Q97*VLOOKUP($F97,taux,13)/10))</f>
        <v>0</v>
      </c>
      <c r="S97" s="109">
        <f t="shared" ca="1" si="11"/>
        <v>0</v>
      </c>
      <c r="T97" s="110">
        <f>IF(B97=" ",0,IF(Données!$T137="exo",0,$S97*VLOOKUP($F97,taux,18)/100))</f>
        <v>0</v>
      </c>
      <c r="U97" s="109">
        <f>IF($B97=" ",0,IF(Données!$V137="non couvert",0,IF(VLOOKUP($F97,taux,29)="fixe","s/o",IF(Données!$W137="oui",MIN(ROUNDUP(VLOOKUP($F97,taux,31)*$E97,-3),VLOOKUP($F97,taux,33)),MIN(ROUNDUP(VLOOKUP($F97,taux,31)*$E97,-3),VLOOKUP($F97,taux,32))))))</f>
        <v>0</v>
      </c>
      <c r="V97" s="110">
        <f>IF(B97=" ",0,IF(Données!$V137="exo",0,IF(VLOOKUP($F97,taux,29)="fixe",VLOOKUP($F97,taux,30),$U97/1000*VLOOKUP($F97,taux,30))))</f>
        <v>0</v>
      </c>
      <c r="W97" s="110">
        <f t="shared" si="8"/>
        <v>0</v>
      </c>
      <c r="X97" s="383">
        <f>IF(B97=" ",0,EDATE((Données!E137),780))</f>
        <v>0</v>
      </c>
      <c r="Y97" s="383">
        <f t="shared" si="9"/>
        <v>0</v>
      </c>
      <c r="Z97" s="384">
        <f>IF($B97=" ",0,IF(Données!$T137="non couvert",0,IF(Données!$U137="oui",MIN(VLOOKUP($F97,taux,26),ROUNDUP(IF($E97/12&gt;VLOOKUP($F97,taux,21)+VLOOKUP($F97,taux,23),(VLOOKUP($F97,taux,20)*VLOOKUP($F97,taux,21))+(VLOOKUP($F97,taux,22)*VLOOKUP($F97,taux,23))+($E97/12-VLOOKUP($F97,taux,21)-VLOOKUP($F97,taux,23))*VLOOKUP($F97,taux,24),IF($E97/12&gt;VLOOKUP($F97,taux,21),(VLOOKUP($F97,taux,20)*VLOOKUP($F97,taux,21))+($E97/12-VLOOKUP($F97,taux,21))*VLOOKUP($F97,taux,22),$E97/12*VLOOKUP($F97,taux,20))),0)),MIN(VLOOKUP($F97,taux,25),ROUNDUP(IF($E97/12&gt;VLOOKUP($F97,taux,21)+VLOOKUP($F97,taux,23),(VLOOKUP($F97,taux,20)*VLOOKUP($F97,taux,21))+(VLOOKUP($F97,taux,22)*VLOOKUP($F97,taux,23))+($E97/12-VLOOKUP($F97,taux,21)-VLOOKUP($F97,taux,23))*VLOOKUP($F97,taux,24),IF($E97/12&gt;VLOOKUP($F97,taux,21),(VLOOKUP($F97,taux,20)*VLOOKUP($F97,taux,21))+($E97/12-VLOOKUP($F97,taux,21))*VLOOKUP($F97,taux,22),$E97/12*VLOOKUP($F97,taux,20))),0)))))</f>
        <v>0</v>
      </c>
      <c r="AA97" s="111">
        <f ca="1">IF(C97&gt;=70,0,IF($B97=" ",0,IF(Données!$X137="non couvert"," ",Données!Y137)))</f>
        <v>0</v>
      </c>
      <c r="AB97" s="110">
        <f>IF($B97=" ",0,IF(Données!$X137="exo",0,IF($AA97="ind",VLOOKUP($F97,taux,34),IF($AA97="fam",VLOOKUP($F97,taux,35),IF($AA97="mono",VLOOKUP($F97,taux,36),IF($AA97="couple",VLOOKUP($F97,taux,37),0))))))</f>
        <v>0</v>
      </c>
      <c r="AC97" s="111">
        <f ca="1">IF(C97&gt;=70,0,IF($B97=" ",0,IF(Données!$Z137="non couvert"," ",Données!AA137)))</f>
        <v>0</v>
      </c>
      <c r="AD97" s="110">
        <f>IF($B97=" ",0,IF(Données!$Z137="exo",0,IF($AC97="ind",VLOOKUP($F97,taux,38),IF($AC97="fam",VLOOKUP($F97,taux,39),IF($AC97="mono",VLOOKUP($F97,taux,40),IF($AC97="couple",VLOOKUP($F97,taux,41),0))))))</f>
        <v>0</v>
      </c>
      <c r="AE97" s="112">
        <f>IF($B97=" ",0,IF(Données!$AB137="non couvert"," ",Données!AC137))</f>
        <v>0</v>
      </c>
      <c r="AF97" s="113">
        <f>IF($B97=" ",0,IF(Données!$AB137="exo",0,IF($AE97="ind",VLOOKUP($F97,taux,42),IF($AE97="fam",VLOOKUP($F97,taux,43),IF($AE97="mono",VLOOKUP($F97,taux,44),IF($AE97="couple",VLOOKUP($F97,taux,45),0))))))</f>
        <v>0</v>
      </c>
      <c r="AG97" s="114">
        <f t="shared" ca="1" si="10"/>
        <v>0</v>
      </c>
      <c r="AH97" s="114">
        <f>IF($B97=" ",0,IF(Données!J137="Manitoba",(Facture!H97+Facture!J97+Facture!L97+Facture!P97+Facture!R97+Facture!T97)*0.08,(AG97-W97)*IF(Données!$J137="qc",0.09,IF(Données!$J137="on",0.08,0))+W97*VLOOKUP($F97,taux,28)))</f>
        <v>0</v>
      </c>
      <c r="AI97" s="106">
        <f t="shared" ca="1" si="12"/>
        <v>0</v>
      </c>
    </row>
    <row r="98" spans="1:35" s="64" customFormat="1">
      <c r="A98" s="89">
        <f t="shared" si="13"/>
        <v>84</v>
      </c>
      <c r="B98" s="99" t="str">
        <f>CONCATENATE(Données!B138," ",Données!C138)</f>
        <v xml:space="preserve"> </v>
      </c>
      <c r="C98" s="410">
        <f ca="1">IF(B98="",0,INT((TODAY()-Données!E138)/365.25))</f>
        <v>119</v>
      </c>
      <c r="D98" s="100">
        <f>Données!D138</f>
        <v>0</v>
      </c>
      <c r="E98" s="101">
        <f>Données!I138</f>
        <v>0</v>
      </c>
      <c r="F98" s="102" t="str">
        <f>Données!AD138</f>
        <v/>
      </c>
      <c r="G98" s="103">
        <f ca="1">INDEX({1;0.5;0},MATCH(C98,{1;65;70}))*M98</f>
        <v>0</v>
      </c>
      <c r="H98" s="104">
        <f>IF($B98=" ",0,IF(Données!$K138="exo",0,$G98/1000*VLOOKUP($F98,taux,2)))</f>
        <v>0</v>
      </c>
      <c r="I98" s="398">
        <f ca="1">IF(C98&gt;=65,0,Données!M138*5000)</f>
        <v>0</v>
      </c>
      <c r="J98" s="104">
        <f ca="1">I98/1000*(IF(I98=0,0,1)*VLOOKUP((1+(C98&gt;=20)+(C98&gt;=25)+(C98&gt;=30)+(C98&gt;=35)+(C98&gt;=40)+(C98&gt;=45)+(C98&gt;=50)+(C98&gt;=55)+(C98&gt;=60)+(C98&gt;=65)),Test,2+(IF(Données!F138="H",1,3))+(IF(Données!G138="F",1,0))))</f>
        <v>0</v>
      </c>
      <c r="K98" s="103">
        <f ca="1">INDEX({1;0.5;0},MATCH(C98,{1;65;70}))*M98</f>
        <v>0</v>
      </c>
      <c r="L98" s="104">
        <f>IF($B98=" ",0,IF(Données!$N138="exo",0,$K98/1000*VLOOKUP($F98,taux,6)))</f>
        <v>0</v>
      </c>
      <c r="M98" s="379">
        <f>IF($B98=" ",0,IF(Données!$K138="NON COUVERT",0,IF(AND(Données!$L138="oui",Données!$K138=0.5),MIN(VLOOKUP($F98,taux,5)/2,ROUNDUP(VLOOKUP($F98,taux,3)*$E98,-3)/2),IF(Données!$K138=0.5,MIN(VLOOKUP($F98,taux,4)/2,ROUNDUP(VLOOKUP($F98,taux,3)*$E98,-3)/2),ROUNDUP(IF(Données!$L138="OUI",MIN(VLOOKUP($F98,taux,3)*$E98,VLOOKUP($F98,taux,5)),MIN(VLOOKUP($F98,taux,3)*$E98,VLOOKUP($F98,taux,4))),-3)))))</f>
        <v>0</v>
      </c>
      <c r="N98" s="379">
        <f>IF($B98=" ",0,IF(Données!$N138="NON COUVERT",0,IF(AND(Données!$O138="oui",Données!$N138=0.5),MIN(VLOOKUP($F98,taux,9)/2,ROUNDUP(VLOOKUP($F98,taux,7)*$E98,-3)/2),IF(Données!$N138=0.5,MIN(VLOOKUP($F98,taux,8)/2,ROUNDUP(VLOOKUP($F98,taux,7)*$E98,-3)/2),ROUNDUP(IF(Données!$O138="OUI",MIN(VLOOKUP($F98,taux,7)*$E98,VLOOKUP($F98,taux,9)),MIN(VLOOKUP($F98,taux,7)*$E98,VLOOKUP($F98,taux,8))),-3)))))</f>
        <v>0</v>
      </c>
      <c r="O98" s="105">
        <f ca="1">IF(C98&gt;=70,0,IF($B98=" ",0,IF(Données!P138="non couvert"," ",Données!Q138)))</f>
        <v>0</v>
      </c>
      <c r="P98" s="106">
        <f>IF($B98=" ",0,IF(Données!$P138="exo",0,IF($O98="FAM",VLOOKUP($F98,taux,10),IF($O98="MONO",VLOOKUP($F98,taux,11),IF($O98="COUPLE",VLOOKUP($F98,taux,12),0)))))</f>
        <v>0</v>
      </c>
      <c r="Q98" s="107">
        <f ca="1">IF(C98&gt;=70,0,IF($B98=" ",0,IF(Données!$R138="NON COUVERT",0,ROUNDUP(IF(Données!$S138="OUI",MIN($E98*VLOOKUP($F98,taux,15)/52,VLOOKUP($F98,taux,17)),MIN($E98*VLOOKUP($F98,taux,15)/52,VLOOKUP($F98,taux,16))),0))))</f>
        <v>0</v>
      </c>
      <c r="R98" s="108">
        <f>IF($B98=" ",0,IF(Données!$R138="EXO",0,$Q98*VLOOKUP($F98,taux,13)/10))</f>
        <v>0</v>
      </c>
      <c r="S98" s="109">
        <f t="shared" ca="1" si="11"/>
        <v>0</v>
      </c>
      <c r="T98" s="110">
        <f>IF(B98=" ",0,IF(Données!$T138="exo",0,$S98*VLOOKUP($F98,taux,18)/100))</f>
        <v>0</v>
      </c>
      <c r="U98" s="109">
        <f>IF($B98=" ",0,IF(Données!$V138="non couvert",0,IF(VLOOKUP($F98,taux,29)="fixe","s/o",IF(Données!$W138="oui",MIN(ROUNDUP(VLOOKUP($F98,taux,31)*$E98,-3),VLOOKUP($F98,taux,33)),MIN(ROUNDUP(VLOOKUP($F98,taux,31)*$E98,-3),VLOOKUP($F98,taux,32))))))</f>
        <v>0</v>
      </c>
      <c r="V98" s="110">
        <f>IF(B98=" ",0,IF(Données!$V138="exo",0,IF(VLOOKUP($F98,taux,29)="fixe",VLOOKUP($F98,taux,30),$U98/1000*VLOOKUP($F98,taux,30))))</f>
        <v>0</v>
      </c>
      <c r="W98" s="110">
        <f t="shared" si="8"/>
        <v>0</v>
      </c>
      <c r="X98" s="383">
        <f>IF(B98=" ",0,EDATE((Données!E138),780))</f>
        <v>0</v>
      </c>
      <c r="Y98" s="383">
        <f t="shared" si="9"/>
        <v>0</v>
      </c>
      <c r="Z98" s="384">
        <f>IF($B98=" ",0,IF(Données!$T138="non couvert",0,IF(Données!$U138="oui",MIN(VLOOKUP($F98,taux,26),ROUNDUP(IF($E98/12&gt;VLOOKUP($F98,taux,21)+VLOOKUP($F98,taux,23),(VLOOKUP($F98,taux,20)*VLOOKUP($F98,taux,21))+(VLOOKUP($F98,taux,22)*VLOOKUP($F98,taux,23))+($E98/12-VLOOKUP($F98,taux,21)-VLOOKUP($F98,taux,23))*VLOOKUP($F98,taux,24),IF($E98/12&gt;VLOOKUP($F98,taux,21),(VLOOKUP($F98,taux,20)*VLOOKUP($F98,taux,21))+($E98/12-VLOOKUP($F98,taux,21))*VLOOKUP($F98,taux,22),$E98/12*VLOOKUP($F98,taux,20))),0)),MIN(VLOOKUP($F98,taux,25),ROUNDUP(IF($E98/12&gt;VLOOKUP($F98,taux,21)+VLOOKUP($F98,taux,23),(VLOOKUP($F98,taux,20)*VLOOKUP($F98,taux,21))+(VLOOKUP($F98,taux,22)*VLOOKUP($F98,taux,23))+($E98/12-VLOOKUP($F98,taux,21)-VLOOKUP($F98,taux,23))*VLOOKUP($F98,taux,24),IF($E98/12&gt;VLOOKUP($F98,taux,21),(VLOOKUP($F98,taux,20)*VLOOKUP($F98,taux,21))+($E98/12-VLOOKUP($F98,taux,21))*VLOOKUP($F98,taux,22),$E98/12*VLOOKUP($F98,taux,20))),0)))))</f>
        <v>0</v>
      </c>
      <c r="AA98" s="111">
        <f ca="1">IF(C98&gt;=70,0,IF($B98=" ",0,IF(Données!$X138="non couvert"," ",Données!Y138)))</f>
        <v>0</v>
      </c>
      <c r="AB98" s="110">
        <f>IF($B98=" ",0,IF(Données!$X138="exo",0,IF($AA98="ind",VLOOKUP($F98,taux,34),IF($AA98="fam",VLOOKUP($F98,taux,35),IF($AA98="mono",VLOOKUP($F98,taux,36),IF($AA98="couple",VLOOKUP($F98,taux,37),0))))))</f>
        <v>0</v>
      </c>
      <c r="AC98" s="111">
        <f ca="1">IF(C98&gt;=70,0,IF($B98=" ",0,IF(Données!$Z138="non couvert"," ",Données!AA138)))</f>
        <v>0</v>
      </c>
      <c r="AD98" s="110">
        <f>IF($B98=" ",0,IF(Données!$Z138="exo",0,IF($AC98="ind",VLOOKUP($F98,taux,38),IF($AC98="fam",VLOOKUP($F98,taux,39),IF($AC98="mono",VLOOKUP($F98,taux,40),IF($AC98="couple",VLOOKUP($F98,taux,41),0))))))</f>
        <v>0</v>
      </c>
      <c r="AE98" s="112">
        <f>IF($B98=" ",0,IF(Données!$AB138="non couvert"," ",Données!AC138))</f>
        <v>0</v>
      </c>
      <c r="AF98" s="113">
        <f>IF($B98=" ",0,IF(Données!$AB138="exo",0,IF($AE98="ind",VLOOKUP($F98,taux,42),IF($AE98="fam",VLOOKUP($F98,taux,43),IF($AE98="mono",VLOOKUP($F98,taux,44),IF($AE98="couple",VLOOKUP($F98,taux,45),0))))))</f>
        <v>0</v>
      </c>
      <c r="AG98" s="114">
        <f t="shared" ca="1" si="10"/>
        <v>0</v>
      </c>
      <c r="AH98" s="114">
        <f>IF($B98=" ",0,IF(Données!J138="Manitoba",(Facture!H98+Facture!J98+Facture!L98+Facture!P98+Facture!R98+Facture!T98)*0.08,(AG98-W98)*IF(Données!$J138="qc",0.09,IF(Données!$J138="on",0.08,0))+W98*VLOOKUP($F98,taux,28)))</f>
        <v>0</v>
      </c>
      <c r="AI98" s="106">
        <f t="shared" ca="1" si="12"/>
        <v>0</v>
      </c>
    </row>
    <row r="99" spans="1:35" s="64" customFormat="1">
      <c r="A99" s="89">
        <f t="shared" si="13"/>
        <v>85</v>
      </c>
      <c r="B99" s="99" t="str">
        <f>CONCATENATE(Données!B139," ",Données!C139)</f>
        <v xml:space="preserve"> </v>
      </c>
      <c r="C99" s="410">
        <f ca="1">IF(B99="",0,INT((TODAY()-Données!E139)/365.25))</f>
        <v>119</v>
      </c>
      <c r="D99" s="100">
        <f>Données!D139</f>
        <v>0</v>
      </c>
      <c r="E99" s="101">
        <f>Données!I139</f>
        <v>0</v>
      </c>
      <c r="F99" s="102" t="str">
        <f>Données!AD139</f>
        <v/>
      </c>
      <c r="G99" s="103">
        <f ca="1">INDEX({1;0.5;0},MATCH(C99,{1;65;70}))*M99</f>
        <v>0</v>
      </c>
      <c r="H99" s="104">
        <f>IF($B99=" ",0,IF(Données!$K139="exo",0,$G99/1000*VLOOKUP($F99,taux,2)))</f>
        <v>0</v>
      </c>
      <c r="I99" s="398">
        <f ca="1">IF(C99&gt;=65,0,Données!M139*5000)</f>
        <v>0</v>
      </c>
      <c r="J99" s="104">
        <f ca="1">I99/1000*(IF(I99=0,0,1)*VLOOKUP((1+(C99&gt;=20)+(C99&gt;=25)+(C99&gt;=30)+(C99&gt;=35)+(C99&gt;=40)+(C99&gt;=45)+(C99&gt;=50)+(C99&gt;=55)+(C99&gt;=60)+(C99&gt;=65)),Test,2+(IF(Données!F139="H",1,3))+(IF(Données!G139="F",1,0))))</f>
        <v>0</v>
      </c>
      <c r="K99" s="103">
        <f ca="1">INDEX({1;0.5;0},MATCH(C99,{1;65;70}))*M99</f>
        <v>0</v>
      </c>
      <c r="L99" s="104">
        <f>IF($B99=" ",0,IF(Données!$N139="exo",0,$K99/1000*VLOOKUP($F99,taux,6)))</f>
        <v>0</v>
      </c>
      <c r="M99" s="379">
        <f>IF($B99=" ",0,IF(Données!$K139="NON COUVERT",0,IF(AND(Données!$L139="oui",Données!$K139=0.5),MIN(VLOOKUP($F99,taux,5)/2,ROUNDUP(VLOOKUP($F99,taux,3)*$E99,-3)/2),IF(Données!$K139=0.5,MIN(VLOOKUP($F99,taux,4)/2,ROUNDUP(VLOOKUP($F99,taux,3)*$E99,-3)/2),ROUNDUP(IF(Données!$L139="OUI",MIN(VLOOKUP($F99,taux,3)*$E99,VLOOKUP($F99,taux,5)),MIN(VLOOKUP($F99,taux,3)*$E99,VLOOKUP($F99,taux,4))),-3)))))</f>
        <v>0</v>
      </c>
      <c r="N99" s="379">
        <f>IF($B99=" ",0,IF(Données!$N139="NON COUVERT",0,IF(AND(Données!$O139="oui",Données!$N139=0.5),MIN(VLOOKUP($F99,taux,9)/2,ROUNDUP(VLOOKUP($F99,taux,7)*$E99,-3)/2),IF(Données!$N139=0.5,MIN(VLOOKUP($F99,taux,8)/2,ROUNDUP(VLOOKUP($F99,taux,7)*$E99,-3)/2),ROUNDUP(IF(Données!$O139="OUI",MIN(VLOOKUP($F99,taux,7)*$E99,VLOOKUP($F99,taux,9)),MIN(VLOOKUP($F99,taux,7)*$E99,VLOOKUP($F99,taux,8))),-3)))))</f>
        <v>0</v>
      </c>
      <c r="O99" s="105">
        <f ca="1">IF(C99&gt;=70,0,IF($B99=" ",0,IF(Données!P139="non couvert"," ",Données!Q139)))</f>
        <v>0</v>
      </c>
      <c r="P99" s="106">
        <f>IF($B99=" ",0,IF(Données!$P139="exo",0,IF($O99="FAM",VLOOKUP($F99,taux,10),IF($O99="MONO",VLOOKUP($F99,taux,11),IF($O99="COUPLE",VLOOKUP($F99,taux,12),0)))))</f>
        <v>0</v>
      </c>
      <c r="Q99" s="107">
        <f ca="1">IF(C99&gt;=70,0,IF($B99=" ",0,IF(Données!$R139="NON COUVERT",0,ROUNDUP(IF(Données!$S139="OUI",MIN($E99*VLOOKUP($F99,taux,15)/52,VLOOKUP($F99,taux,17)),MIN($E99*VLOOKUP($F99,taux,15)/52,VLOOKUP($F99,taux,16))),0))))</f>
        <v>0</v>
      </c>
      <c r="R99" s="108">
        <f>IF($B99=" ",0,IF(Données!$R139="EXO",0,$Q99*VLOOKUP($F99,taux,13)/10))</f>
        <v>0</v>
      </c>
      <c r="S99" s="109">
        <f t="shared" ca="1" si="11"/>
        <v>0</v>
      </c>
      <c r="T99" s="110">
        <f>IF(B99=" ",0,IF(Données!$T139="exo",0,$S99*VLOOKUP($F99,taux,18)/100))</f>
        <v>0</v>
      </c>
      <c r="U99" s="109">
        <f>IF($B99=" ",0,IF(Données!$V139="non couvert",0,IF(VLOOKUP($F99,taux,29)="fixe","s/o",IF(Données!$W139="oui",MIN(ROUNDUP(VLOOKUP($F99,taux,31)*$E99,-3),VLOOKUP($F99,taux,33)),MIN(ROUNDUP(VLOOKUP($F99,taux,31)*$E99,-3),VLOOKUP($F99,taux,32))))))</f>
        <v>0</v>
      </c>
      <c r="V99" s="110">
        <f>IF(B99=" ",0,IF(Données!$V139="exo",0,IF(VLOOKUP($F99,taux,29)="fixe",VLOOKUP($F99,taux,30),$U99/1000*VLOOKUP($F99,taux,30))))</f>
        <v>0</v>
      </c>
      <c r="W99" s="110">
        <f t="shared" si="8"/>
        <v>0</v>
      </c>
      <c r="X99" s="383">
        <f>IF(B99=" ",0,EDATE((Données!E139),780))</f>
        <v>0</v>
      </c>
      <c r="Y99" s="383">
        <f t="shared" si="9"/>
        <v>0</v>
      </c>
      <c r="Z99" s="384">
        <f>IF($B99=" ",0,IF(Données!$T139="non couvert",0,IF(Données!$U139="oui",MIN(VLOOKUP($F99,taux,26),ROUNDUP(IF($E99/12&gt;VLOOKUP($F99,taux,21)+VLOOKUP($F99,taux,23),(VLOOKUP($F99,taux,20)*VLOOKUP($F99,taux,21))+(VLOOKUP($F99,taux,22)*VLOOKUP($F99,taux,23))+($E99/12-VLOOKUP($F99,taux,21)-VLOOKUP($F99,taux,23))*VLOOKUP($F99,taux,24),IF($E99/12&gt;VLOOKUP($F99,taux,21),(VLOOKUP($F99,taux,20)*VLOOKUP($F99,taux,21))+($E99/12-VLOOKUP($F99,taux,21))*VLOOKUP($F99,taux,22),$E99/12*VLOOKUP($F99,taux,20))),0)),MIN(VLOOKUP($F99,taux,25),ROUNDUP(IF($E99/12&gt;VLOOKUP($F99,taux,21)+VLOOKUP($F99,taux,23),(VLOOKUP($F99,taux,20)*VLOOKUP($F99,taux,21))+(VLOOKUP($F99,taux,22)*VLOOKUP($F99,taux,23))+($E99/12-VLOOKUP($F99,taux,21)-VLOOKUP($F99,taux,23))*VLOOKUP($F99,taux,24),IF($E99/12&gt;VLOOKUP($F99,taux,21),(VLOOKUP($F99,taux,20)*VLOOKUP($F99,taux,21))+($E99/12-VLOOKUP($F99,taux,21))*VLOOKUP($F99,taux,22),$E99/12*VLOOKUP($F99,taux,20))),0)))))</f>
        <v>0</v>
      </c>
      <c r="AA99" s="111">
        <f ca="1">IF(C99&gt;=70,0,IF($B99=" ",0,IF(Données!$X139="non couvert"," ",Données!Y139)))</f>
        <v>0</v>
      </c>
      <c r="AB99" s="110">
        <f>IF($B99=" ",0,IF(Données!$X139="exo",0,IF($AA99="ind",VLOOKUP($F99,taux,34),IF($AA99="fam",VLOOKUP($F99,taux,35),IF($AA99="mono",VLOOKUP($F99,taux,36),IF($AA99="couple",VLOOKUP($F99,taux,37),0))))))</f>
        <v>0</v>
      </c>
      <c r="AC99" s="111">
        <f ca="1">IF(C99&gt;=70,0,IF($B99=" ",0,IF(Données!$Z139="non couvert"," ",Données!AA139)))</f>
        <v>0</v>
      </c>
      <c r="AD99" s="110">
        <f>IF($B99=" ",0,IF(Données!$Z139="exo",0,IF($AC99="ind",VLOOKUP($F99,taux,38),IF($AC99="fam",VLOOKUP($F99,taux,39),IF($AC99="mono",VLOOKUP($F99,taux,40),IF($AC99="couple",VLOOKUP($F99,taux,41),0))))))</f>
        <v>0</v>
      </c>
      <c r="AE99" s="112">
        <f>IF($B99=" ",0,IF(Données!$AB139="non couvert"," ",Données!AC139))</f>
        <v>0</v>
      </c>
      <c r="AF99" s="113">
        <f>IF($B99=" ",0,IF(Données!$AB139="exo",0,IF($AE99="ind",VLOOKUP($F99,taux,42),IF($AE99="fam",VLOOKUP($F99,taux,43),IF($AE99="mono",VLOOKUP($F99,taux,44),IF($AE99="couple",VLOOKUP($F99,taux,45),0))))))</f>
        <v>0</v>
      </c>
      <c r="AG99" s="114">
        <f t="shared" ca="1" si="10"/>
        <v>0</v>
      </c>
      <c r="AH99" s="114">
        <f>IF($B99=" ",0,IF(Données!J139="Manitoba",(Facture!H99+Facture!J99+Facture!L99+Facture!P99+Facture!R99+Facture!T99)*0.08,(AG99-W99)*IF(Données!$J139="qc",0.09,IF(Données!$J139="on",0.08,0))+W99*VLOOKUP($F99,taux,28)))</f>
        <v>0</v>
      </c>
      <c r="AI99" s="106">
        <f t="shared" ca="1" si="12"/>
        <v>0</v>
      </c>
    </row>
    <row r="100" spans="1:35" s="64" customFormat="1">
      <c r="A100" s="89">
        <f t="shared" si="13"/>
        <v>86</v>
      </c>
      <c r="B100" s="99" t="str">
        <f>CONCATENATE(Données!B140," ",Données!C140)</f>
        <v xml:space="preserve"> </v>
      </c>
      <c r="C100" s="410">
        <f ca="1">IF(B100="",0,INT((TODAY()-Données!E140)/365.25))</f>
        <v>119</v>
      </c>
      <c r="D100" s="100">
        <f>Données!D140</f>
        <v>0</v>
      </c>
      <c r="E100" s="101">
        <f>Données!I140</f>
        <v>0</v>
      </c>
      <c r="F100" s="102" t="str">
        <f>Données!AD140</f>
        <v/>
      </c>
      <c r="G100" s="103">
        <f ca="1">INDEX({1;0.5;0},MATCH(C100,{1;65;70}))*M100</f>
        <v>0</v>
      </c>
      <c r="H100" s="104">
        <f>IF($B100=" ",0,IF(Données!$K140="exo",0,$G100/1000*VLOOKUP($F100,taux,2)))</f>
        <v>0</v>
      </c>
      <c r="I100" s="398">
        <f ca="1">IF(C100&gt;=65,0,Données!M140*5000)</f>
        <v>0</v>
      </c>
      <c r="J100" s="104">
        <f ca="1">I100/1000*(IF(I100=0,0,1)*VLOOKUP((1+(C100&gt;=20)+(C100&gt;=25)+(C100&gt;=30)+(C100&gt;=35)+(C100&gt;=40)+(C100&gt;=45)+(C100&gt;=50)+(C100&gt;=55)+(C100&gt;=60)+(C100&gt;=65)),Test,2+(IF(Données!F140="H",1,3))+(IF(Données!G140="F",1,0))))</f>
        <v>0</v>
      </c>
      <c r="K100" s="103">
        <f ca="1">INDEX({1;0.5;0},MATCH(C100,{1;65;70}))*M100</f>
        <v>0</v>
      </c>
      <c r="L100" s="104">
        <f>IF($B100=" ",0,IF(Données!$N140="exo",0,$K100/1000*VLOOKUP($F100,taux,6)))</f>
        <v>0</v>
      </c>
      <c r="M100" s="379">
        <f>IF($B100=" ",0,IF(Données!$K140="NON COUVERT",0,IF(AND(Données!$L140="oui",Données!$K140=0.5),MIN(VLOOKUP($F100,taux,5)/2,ROUNDUP(VLOOKUP($F100,taux,3)*$E100,-3)/2),IF(Données!$K140=0.5,MIN(VLOOKUP($F100,taux,4)/2,ROUNDUP(VLOOKUP($F100,taux,3)*$E100,-3)/2),ROUNDUP(IF(Données!$L140="OUI",MIN(VLOOKUP($F100,taux,3)*$E100,VLOOKUP($F100,taux,5)),MIN(VLOOKUP($F100,taux,3)*$E100,VLOOKUP($F100,taux,4))),-3)))))</f>
        <v>0</v>
      </c>
      <c r="N100" s="379">
        <f>IF($B100=" ",0,IF(Données!$N140="NON COUVERT",0,IF(AND(Données!$O140="oui",Données!$N140=0.5),MIN(VLOOKUP($F100,taux,9)/2,ROUNDUP(VLOOKUP($F100,taux,7)*$E100,-3)/2),IF(Données!$N140=0.5,MIN(VLOOKUP($F100,taux,8)/2,ROUNDUP(VLOOKUP($F100,taux,7)*$E100,-3)/2),ROUNDUP(IF(Données!$O140="OUI",MIN(VLOOKUP($F100,taux,7)*$E100,VLOOKUP($F100,taux,9)),MIN(VLOOKUP($F100,taux,7)*$E100,VLOOKUP($F100,taux,8))),-3)))))</f>
        <v>0</v>
      </c>
      <c r="O100" s="105">
        <f ca="1">IF(C100&gt;=70,0,IF($B100=" ",0,IF(Données!P140="non couvert"," ",Données!Q140)))</f>
        <v>0</v>
      </c>
      <c r="P100" s="106">
        <f>IF($B100=" ",0,IF(Données!$P140="exo",0,IF($O100="FAM",VLOOKUP($F100,taux,10),IF($O100="MONO",VLOOKUP($F100,taux,11),IF($O100="COUPLE",VLOOKUP($F100,taux,12),0)))))</f>
        <v>0</v>
      </c>
      <c r="Q100" s="107">
        <f ca="1">IF(C100&gt;=70,0,IF($B100=" ",0,IF(Données!$R140="NON COUVERT",0,ROUNDUP(IF(Données!$S140="OUI",MIN($E100*VLOOKUP($F100,taux,15)/52,VLOOKUP($F100,taux,17)),MIN($E100*VLOOKUP($F100,taux,15)/52,VLOOKUP($F100,taux,16))),0))))</f>
        <v>0</v>
      </c>
      <c r="R100" s="108">
        <f>IF($B100=" ",0,IF(Données!$R140="EXO",0,$Q100*VLOOKUP($F100,taux,13)/10))</f>
        <v>0</v>
      </c>
      <c r="S100" s="109">
        <f t="shared" ca="1" si="11"/>
        <v>0</v>
      </c>
      <c r="T100" s="110">
        <f>IF(B100=" ",0,IF(Données!$T140="exo",0,$S100*VLOOKUP($F100,taux,18)/100))</f>
        <v>0</v>
      </c>
      <c r="U100" s="109">
        <f>IF($B100=" ",0,IF(Données!$V140="non couvert",0,IF(VLOOKUP($F100,taux,29)="fixe","s/o",IF(Données!$W140="oui",MIN(ROUNDUP(VLOOKUP($F100,taux,31)*$E100,-3),VLOOKUP($F100,taux,33)),MIN(ROUNDUP(VLOOKUP($F100,taux,31)*$E100,-3),VLOOKUP($F100,taux,32))))))</f>
        <v>0</v>
      </c>
      <c r="V100" s="110">
        <f>IF(B100=" ",0,IF(Données!$V140="exo",0,IF(VLOOKUP($F100,taux,29)="fixe",VLOOKUP($F100,taux,30),$U100/1000*VLOOKUP($F100,taux,30))))</f>
        <v>0</v>
      </c>
      <c r="W100" s="110">
        <f t="shared" si="8"/>
        <v>0</v>
      </c>
      <c r="X100" s="383">
        <f>IF(B100=" ",0,EDATE((Données!E140),780))</f>
        <v>0</v>
      </c>
      <c r="Y100" s="383">
        <f t="shared" si="9"/>
        <v>0</v>
      </c>
      <c r="Z100" s="384">
        <f>IF($B100=" ",0,IF(Données!$T140="non couvert",0,IF(Données!$U140="oui",MIN(VLOOKUP($F100,taux,26),ROUNDUP(IF($E100/12&gt;VLOOKUP($F100,taux,21)+VLOOKUP($F100,taux,23),(VLOOKUP($F100,taux,20)*VLOOKUP($F100,taux,21))+(VLOOKUP($F100,taux,22)*VLOOKUP($F100,taux,23))+($E100/12-VLOOKUP($F100,taux,21)-VLOOKUP($F100,taux,23))*VLOOKUP($F100,taux,24),IF($E100/12&gt;VLOOKUP($F100,taux,21),(VLOOKUP($F100,taux,20)*VLOOKUP($F100,taux,21))+($E100/12-VLOOKUP($F100,taux,21))*VLOOKUP($F100,taux,22),$E100/12*VLOOKUP($F100,taux,20))),0)),MIN(VLOOKUP($F100,taux,25),ROUNDUP(IF($E100/12&gt;VLOOKUP($F100,taux,21)+VLOOKUP($F100,taux,23),(VLOOKUP($F100,taux,20)*VLOOKUP($F100,taux,21))+(VLOOKUP($F100,taux,22)*VLOOKUP($F100,taux,23))+($E100/12-VLOOKUP($F100,taux,21)-VLOOKUP($F100,taux,23))*VLOOKUP($F100,taux,24),IF($E100/12&gt;VLOOKUP($F100,taux,21),(VLOOKUP($F100,taux,20)*VLOOKUP($F100,taux,21))+($E100/12-VLOOKUP($F100,taux,21))*VLOOKUP($F100,taux,22),$E100/12*VLOOKUP($F100,taux,20))),0)))))</f>
        <v>0</v>
      </c>
      <c r="AA100" s="111">
        <f ca="1">IF(C100&gt;=70,0,IF($B100=" ",0,IF(Données!$X140="non couvert"," ",Données!Y140)))</f>
        <v>0</v>
      </c>
      <c r="AB100" s="110">
        <f>IF($B100=" ",0,IF(Données!$X140="exo",0,IF($AA100="ind",VLOOKUP($F100,taux,34),IF($AA100="fam",VLOOKUP($F100,taux,35),IF($AA100="mono",VLOOKUP($F100,taux,36),IF($AA100="couple",VLOOKUP($F100,taux,37),0))))))</f>
        <v>0</v>
      </c>
      <c r="AC100" s="111">
        <f ca="1">IF(C100&gt;=70,0,IF($B100=" ",0,IF(Données!$Z140="non couvert"," ",Données!AA140)))</f>
        <v>0</v>
      </c>
      <c r="AD100" s="110">
        <f>IF($B100=" ",0,IF(Données!$Z140="exo",0,IF($AC100="ind",VLOOKUP($F100,taux,38),IF($AC100="fam",VLOOKUP($F100,taux,39),IF($AC100="mono",VLOOKUP($F100,taux,40),IF($AC100="couple",VLOOKUP($F100,taux,41),0))))))</f>
        <v>0</v>
      </c>
      <c r="AE100" s="112">
        <f>IF($B100=" ",0,IF(Données!$AB140="non couvert"," ",Données!AC140))</f>
        <v>0</v>
      </c>
      <c r="AF100" s="113">
        <f>IF($B100=" ",0,IF(Données!$AB140="exo",0,IF($AE100="ind",VLOOKUP($F100,taux,42),IF($AE100="fam",VLOOKUP($F100,taux,43),IF($AE100="mono",VLOOKUP($F100,taux,44),IF($AE100="couple",VLOOKUP($F100,taux,45),0))))))</f>
        <v>0</v>
      </c>
      <c r="AG100" s="114">
        <f t="shared" ca="1" si="10"/>
        <v>0</v>
      </c>
      <c r="AH100" s="114">
        <f>IF($B100=" ",0,IF(Données!J140="Manitoba",(Facture!H100+Facture!J100+Facture!L100+Facture!P100+Facture!R100+Facture!T100)*0.08,(AG100-W100)*IF(Données!$J140="qc",0.09,IF(Données!$J140="on",0.08,0))+W100*VLOOKUP($F100,taux,28)))</f>
        <v>0</v>
      </c>
      <c r="AI100" s="106">
        <f t="shared" ca="1" si="12"/>
        <v>0</v>
      </c>
    </row>
    <row r="101" spans="1:35" s="64" customFormat="1">
      <c r="A101" s="89">
        <f t="shared" si="13"/>
        <v>87</v>
      </c>
      <c r="B101" s="99" t="str">
        <f>CONCATENATE(Données!B141," ",Données!C141)</f>
        <v xml:space="preserve"> </v>
      </c>
      <c r="C101" s="410">
        <f ca="1">IF(B101="",0,INT((TODAY()-Données!E141)/365.25))</f>
        <v>119</v>
      </c>
      <c r="D101" s="100">
        <f>Données!D141</f>
        <v>0</v>
      </c>
      <c r="E101" s="101">
        <f>Données!I141</f>
        <v>0</v>
      </c>
      <c r="F101" s="102" t="str">
        <f>Données!AD141</f>
        <v/>
      </c>
      <c r="G101" s="103">
        <f ca="1">INDEX({1;0.5;0},MATCH(C101,{1;65;70}))*M101</f>
        <v>0</v>
      </c>
      <c r="H101" s="104">
        <f>IF($B101=" ",0,IF(Données!$K141="exo",0,$G101/1000*VLOOKUP($F101,taux,2)))</f>
        <v>0</v>
      </c>
      <c r="I101" s="398">
        <f ca="1">IF(C101&gt;=65,0,Données!M141*5000)</f>
        <v>0</v>
      </c>
      <c r="J101" s="104">
        <f ca="1">I101/1000*(IF(I101=0,0,1)*VLOOKUP((1+(C101&gt;=20)+(C101&gt;=25)+(C101&gt;=30)+(C101&gt;=35)+(C101&gt;=40)+(C101&gt;=45)+(C101&gt;=50)+(C101&gt;=55)+(C101&gt;=60)+(C101&gt;=65)),Test,2+(IF(Données!F141="H",1,3))+(IF(Données!G141="F",1,0))))</f>
        <v>0</v>
      </c>
      <c r="K101" s="103">
        <f ca="1">INDEX({1;0.5;0},MATCH(C101,{1;65;70}))*M101</f>
        <v>0</v>
      </c>
      <c r="L101" s="104">
        <f>IF($B101=" ",0,IF(Données!$N141="exo",0,$K101/1000*VLOOKUP($F101,taux,6)))</f>
        <v>0</v>
      </c>
      <c r="M101" s="379">
        <f>IF($B101=" ",0,IF(Données!$K141="NON COUVERT",0,IF(AND(Données!$L141="oui",Données!$K141=0.5),MIN(VLOOKUP($F101,taux,5)/2,ROUNDUP(VLOOKUP($F101,taux,3)*$E101,-3)/2),IF(Données!$K141=0.5,MIN(VLOOKUP($F101,taux,4)/2,ROUNDUP(VLOOKUP($F101,taux,3)*$E101,-3)/2),ROUNDUP(IF(Données!$L141="OUI",MIN(VLOOKUP($F101,taux,3)*$E101,VLOOKUP($F101,taux,5)),MIN(VLOOKUP($F101,taux,3)*$E101,VLOOKUP($F101,taux,4))),-3)))))</f>
        <v>0</v>
      </c>
      <c r="N101" s="379">
        <f>IF($B101=" ",0,IF(Données!$N141="NON COUVERT",0,IF(AND(Données!$O141="oui",Données!$N141=0.5),MIN(VLOOKUP($F101,taux,9)/2,ROUNDUP(VLOOKUP($F101,taux,7)*$E101,-3)/2),IF(Données!$N141=0.5,MIN(VLOOKUP($F101,taux,8)/2,ROUNDUP(VLOOKUP($F101,taux,7)*$E101,-3)/2),ROUNDUP(IF(Données!$O141="OUI",MIN(VLOOKUP($F101,taux,7)*$E101,VLOOKUP($F101,taux,9)),MIN(VLOOKUP($F101,taux,7)*$E101,VLOOKUP($F101,taux,8))),-3)))))</f>
        <v>0</v>
      </c>
      <c r="O101" s="105">
        <f ca="1">IF(C101&gt;=70,0,IF($B101=" ",0,IF(Données!P141="non couvert"," ",Données!Q141)))</f>
        <v>0</v>
      </c>
      <c r="P101" s="106">
        <f>IF($B101=" ",0,IF(Données!$P141="exo",0,IF($O101="FAM",VLOOKUP($F101,taux,10),IF($O101="MONO",VLOOKUP($F101,taux,11),IF($O101="COUPLE",VLOOKUP($F101,taux,12),0)))))</f>
        <v>0</v>
      </c>
      <c r="Q101" s="107">
        <f ca="1">IF(C101&gt;=70,0,IF($B101=" ",0,IF(Données!$R141="NON COUVERT",0,ROUNDUP(IF(Données!$S141="OUI",MIN($E101*VLOOKUP($F101,taux,15)/52,VLOOKUP($F101,taux,17)),MIN($E101*VLOOKUP($F101,taux,15)/52,VLOOKUP($F101,taux,16))),0))))</f>
        <v>0</v>
      </c>
      <c r="R101" s="108">
        <f>IF($B101=" ",0,IF(Données!$R141="EXO",0,$Q101*VLOOKUP($F101,taux,13)/10))</f>
        <v>0</v>
      </c>
      <c r="S101" s="109">
        <f t="shared" ca="1" si="11"/>
        <v>0</v>
      </c>
      <c r="T101" s="110">
        <f>IF(B101=" ",0,IF(Données!$T141="exo",0,$S101*VLOOKUP($F101,taux,18)/100))</f>
        <v>0</v>
      </c>
      <c r="U101" s="109">
        <f>IF($B101=" ",0,IF(Données!$V141="non couvert",0,IF(VLOOKUP($F101,taux,29)="fixe","s/o",IF(Données!$W141="oui",MIN(ROUNDUP(VLOOKUP($F101,taux,31)*$E101,-3),VLOOKUP($F101,taux,33)),MIN(ROUNDUP(VLOOKUP($F101,taux,31)*$E101,-3),VLOOKUP($F101,taux,32))))))</f>
        <v>0</v>
      </c>
      <c r="V101" s="110">
        <f>IF(B101=" ",0,IF(Données!$V141="exo",0,IF(VLOOKUP($F101,taux,29)="fixe",VLOOKUP($F101,taux,30),$U101/1000*VLOOKUP($F101,taux,30))))</f>
        <v>0</v>
      </c>
      <c r="W101" s="110">
        <f t="shared" si="8"/>
        <v>0</v>
      </c>
      <c r="X101" s="383">
        <f>IF(B101=" ",0,EDATE((Données!E141),780))</f>
        <v>0</v>
      </c>
      <c r="Y101" s="383">
        <f t="shared" si="9"/>
        <v>0</v>
      </c>
      <c r="Z101" s="384">
        <f>IF($B101=" ",0,IF(Données!$T141="non couvert",0,IF(Données!$U141="oui",MIN(VLOOKUP($F101,taux,26),ROUNDUP(IF($E101/12&gt;VLOOKUP($F101,taux,21)+VLOOKUP($F101,taux,23),(VLOOKUP($F101,taux,20)*VLOOKUP($F101,taux,21))+(VLOOKUP($F101,taux,22)*VLOOKUP($F101,taux,23))+($E101/12-VLOOKUP($F101,taux,21)-VLOOKUP($F101,taux,23))*VLOOKUP($F101,taux,24),IF($E101/12&gt;VLOOKUP($F101,taux,21),(VLOOKUP($F101,taux,20)*VLOOKUP($F101,taux,21))+($E101/12-VLOOKUP($F101,taux,21))*VLOOKUP($F101,taux,22),$E101/12*VLOOKUP($F101,taux,20))),0)),MIN(VLOOKUP($F101,taux,25),ROUNDUP(IF($E101/12&gt;VLOOKUP($F101,taux,21)+VLOOKUP($F101,taux,23),(VLOOKUP($F101,taux,20)*VLOOKUP($F101,taux,21))+(VLOOKUP($F101,taux,22)*VLOOKUP($F101,taux,23))+($E101/12-VLOOKUP($F101,taux,21)-VLOOKUP($F101,taux,23))*VLOOKUP($F101,taux,24),IF($E101/12&gt;VLOOKUP($F101,taux,21),(VLOOKUP($F101,taux,20)*VLOOKUP($F101,taux,21))+($E101/12-VLOOKUP($F101,taux,21))*VLOOKUP($F101,taux,22),$E101/12*VLOOKUP($F101,taux,20))),0)))))</f>
        <v>0</v>
      </c>
      <c r="AA101" s="111">
        <f ca="1">IF(C101&gt;=70,0,IF($B101=" ",0,IF(Données!$X141="non couvert"," ",Données!Y141)))</f>
        <v>0</v>
      </c>
      <c r="AB101" s="110">
        <f>IF($B101=" ",0,IF(Données!$X141="exo",0,IF($AA101="ind",VLOOKUP($F101,taux,34),IF($AA101="fam",VLOOKUP($F101,taux,35),IF($AA101="mono",VLOOKUP($F101,taux,36),IF($AA101="couple",VLOOKUP($F101,taux,37),0))))))</f>
        <v>0</v>
      </c>
      <c r="AC101" s="111">
        <f ca="1">IF(C101&gt;=70,0,IF($B101=" ",0,IF(Données!$Z141="non couvert"," ",Données!AA141)))</f>
        <v>0</v>
      </c>
      <c r="AD101" s="110">
        <f>IF($B101=" ",0,IF(Données!$Z141="exo",0,IF($AC101="ind",VLOOKUP($F101,taux,38),IF($AC101="fam",VLOOKUP($F101,taux,39),IF($AC101="mono",VLOOKUP($F101,taux,40),IF($AC101="couple",VLOOKUP($F101,taux,41),0))))))</f>
        <v>0</v>
      </c>
      <c r="AE101" s="112">
        <f>IF($B101=" ",0,IF(Données!$AB141="non couvert"," ",Données!AC141))</f>
        <v>0</v>
      </c>
      <c r="AF101" s="113">
        <f>IF($B101=" ",0,IF(Données!$AB141="exo",0,IF($AE101="ind",VLOOKUP($F101,taux,42),IF($AE101="fam",VLOOKUP($F101,taux,43),IF($AE101="mono",VLOOKUP($F101,taux,44),IF($AE101="couple",VLOOKUP($F101,taux,45),0))))))</f>
        <v>0</v>
      </c>
      <c r="AG101" s="114">
        <f t="shared" ca="1" si="10"/>
        <v>0</v>
      </c>
      <c r="AH101" s="114">
        <f>IF($B101=" ",0,IF(Données!J141="Manitoba",(Facture!H101+Facture!J101+Facture!L101+Facture!P101+Facture!R101+Facture!T101)*0.08,(AG101-W101)*IF(Données!$J141="qc",0.09,IF(Données!$J141="on",0.08,0))+W101*VLOOKUP($F101,taux,28)))</f>
        <v>0</v>
      </c>
      <c r="AI101" s="106">
        <f t="shared" ca="1" si="12"/>
        <v>0</v>
      </c>
    </row>
    <row r="102" spans="1:35" s="64" customFormat="1">
      <c r="A102" s="89">
        <f t="shared" si="13"/>
        <v>88</v>
      </c>
      <c r="B102" s="99" t="str">
        <f>CONCATENATE(Données!B142," ",Données!C142)</f>
        <v xml:space="preserve"> </v>
      </c>
      <c r="C102" s="410">
        <f ca="1">IF(B102="",0,INT((TODAY()-Données!E142)/365.25))</f>
        <v>119</v>
      </c>
      <c r="D102" s="100">
        <f>Données!D142</f>
        <v>0</v>
      </c>
      <c r="E102" s="101">
        <f>Données!I142</f>
        <v>0</v>
      </c>
      <c r="F102" s="102" t="str">
        <f>Données!AD142</f>
        <v/>
      </c>
      <c r="G102" s="103">
        <f ca="1">INDEX({1;0.5;0},MATCH(C102,{1;65;70}))*M102</f>
        <v>0</v>
      </c>
      <c r="H102" s="104">
        <f>IF($B102=" ",0,IF(Données!$K142="exo",0,$G102/1000*VLOOKUP($F102,taux,2)))</f>
        <v>0</v>
      </c>
      <c r="I102" s="398">
        <f ca="1">IF(C102&gt;=65,0,Données!M142*5000)</f>
        <v>0</v>
      </c>
      <c r="J102" s="104">
        <f ca="1">I102/1000*(IF(I102=0,0,1)*VLOOKUP((1+(C102&gt;=20)+(C102&gt;=25)+(C102&gt;=30)+(C102&gt;=35)+(C102&gt;=40)+(C102&gt;=45)+(C102&gt;=50)+(C102&gt;=55)+(C102&gt;=60)+(C102&gt;=65)),Test,2+(IF(Données!F142="H",1,3))+(IF(Données!G142="F",1,0))))</f>
        <v>0</v>
      </c>
      <c r="K102" s="103">
        <f ca="1">INDEX({1;0.5;0},MATCH(C102,{1;65;70}))*M102</f>
        <v>0</v>
      </c>
      <c r="L102" s="104">
        <f>IF($B102=" ",0,IF(Données!$N142="exo",0,$K102/1000*VLOOKUP($F102,taux,6)))</f>
        <v>0</v>
      </c>
      <c r="M102" s="379">
        <f>IF($B102=" ",0,IF(Données!$K142="NON COUVERT",0,IF(AND(Données!$L142="oui",Données!$K142=0.5),MIN(VLOOKUP($F102,taux,5)/2,ROUNDUP(VLOOKUP($F102,taux,3)*$E102,-3)/2),IF(Données!$K142=0.5,MIN(VLOOKUP($F102,taux,4)/2,ROUNDUP(VLOOKUP($F102,taux,3)*$E102,-3)/2),ROUNDUP(IF(Données!$L142="OUI",MIN(VLOOKUP($F102,taux,3)*$E102,VLOOKUP($F102,taux,5)),MIN(VLOOKUP($F102,taux,3)*$E102,VLOOKUP($F102,taux,4))),-3)))))</f>
        <v>0</v>
      </c>
      <c r="N102" s="379">
        <f>IF($B102=" ",0,IF(Données!$N142="NON COUVERT",0,IF(AND(Données!$O142="oui",Données!$N142=0.5),MIN(VLOOKUP($F102,taux,9)/2,ROUNDUP(VLOOKUP($F102,taux,7)*$E102,-3)/2),IF(Données!$N142=0.5,MIN(VLOOKUP($F102,taux,8)/2,ROUNDUP(VLOOKUP($F102,taux,7)*$E102,-3)/2),ROUNDUP(IF(Données!$O142="OUI",MIN(VLOOKUP($F102,taux,7)*$E102,VLOOKUP($F102,taux,9)),MIN(VLOOKUP($F102,taux,7)*$E102,VLOOKUP($F102,taux,8))),-3)))))</f>
        <v>0</v>
      </c>
      <c r="O102" s="105">
        <f ca="1">IF(C102&gt;=70,0,IF($B102=" ",0,IF(Données!P142="non couvert"," ",Données!Q142)))</f>
        <v>0</v>
      </c>
      <c r="P102" s="106">
        <f>IF($B102=" ",0,IF(Données!$P142="exo",0,IF($O102="FAM",VLOOKUP($F102,taux,10),IF($O102="MONO",VLOOKUP($F102,taux,11),IF($O102="COUPLE",VLOOKUP($F102,taux,12),0)))))</f>
        <v>0</v>
      </c>
      <c r="Q102" s="107">
        <f ca="1">IF(C102&gt;=70,0,IF($B102=" ",0,IF(Données!$R142="NON COUVERT",0,ROUNDUP(IF(Données!$S142="OUI",MIN($E102*VLOOKUP($F102,taux,15)/52,VLOOKUP($F102,taux,17)),MIN($E102*VLOOKUP($F102,taux,15)/52,VLOOKUP($F102,taux,16))),0))))</f>
        <v>0</v>
      </c>
      <c r="R102" s="108">
        <f>IF($B102=" ",0,IF(Données!$R142="EXO",0,$Q102*VLOOKUP($F102,taux,13)/10))</f>
        <v>0</v>
      </c>
      <c r="S102" s="109">
        <f t="shared" ca="1" si="11"/>
        <v>0</v>
      </c>
      <c r="T102" s="110">
        <f>IF(B102=" ",0,IF(Données!$T142="exo",0,$S102*VLOOKUP($F102,taux,18)/100))</f>
        <v>0</v>
      </c>
      <c r="U102" s="109">
        <f>IF($B102=" ",0,IF(Données!$V142="non couvert",0,IF(VLOOKUP($F102,taux,29)="fixe","s/o",IF(Données!$W142="oui",MIN(ROUNDUP(VLOOKUP($F102,taux,31)*$E102,-3),VLOOKUP($F102,taux,33)),MIN(ROUNDUP(VLOOKUP($F102,taux,31)*$E102,-3),VLOOKUP($F102,taux,32))))))</f>
        <v>0</v>
      </c>
      <c r="V102" s="110">
        <f>IF(B102=" ",0,IF(Données!$V142="exo",0,IF(VLOOKUP($F102,taux,29)="fixe",VLOOKUP($F102,taux,30),$U102/1000*VLOOKUP($F102,taux,30))))</f>
        <v>0</v>
      </c>
      <c r="W102" s="110">
        <f t="shared" si="8"/>
        <v>0</v>
      </c>
      <c r="X102" s="383">
        <f>IF(B102=" ",0,EDATE((Données!E142),780))</f>
        <v>0</v>
      </c>
      <c r="Y102" s="383">
        <f t="shared" si="9"/>
        <v>0</v>
      </c>
      <c r="Z102" s="384">
        <f>IF($B102=" ",0,IF(Données!$T142="non couvert",0,IF(Données!$U142="oui",MIN(VLOOKUP($F102,taux,26),ROUNDUP(IF($E102/12&gt;VLOOKUP($F102,taux,21)+VLOOKUP($F102,taux,23),(VLOOKUP($F102,taux,20)*VLOOKUP($F102,taux,21))+(VLOOKUP($F102,taux,22)*VLOOKUP($F102,taux,23))+($E102/12-VLOOKUP($F102,taux,21)-VLOOKUP($F102,taux,23))*VLOOKUP($F102,taux,24),IF($E102/12&gt;VLOOKUP($F102,taux,21),(VLOOKUP($F102,taux,20)*VLOOKUP($F102,taux,21))+($E102/12-VLOOKUP($F102,taux,21))*VLOOKUP($F102,taux,22),$E102/12*VLOOKUP($F102,taux,20))),0)),MIN(VLOOKUP($F102,taux,25),ROUNDUP(IF($E102/12&gt;VLOOKUP($F102,taux,21)+VLOOKUP($F102,taux,23),(VLOOKUP($F102,taux,20)*VLOOKUP($F102,taux,21))+(VLOOKUP($F102,taux,22)*VLOOKUP($F102,taux,23))+($E102/12-VLOOKUP($F102,taux,21)-VLOOKUP($F102,taux,23))*VLOOKUP($F102,taux,24),IF($E102/12&gt;VLOOKUP($F102,taux,21),(VLOOKUP($F102,taux,20)*VLOOKUP($F102,taux,21))+($E102/12-VLOOKUP($F102,taux,21))*VLOOKUP($F102,taux,22),$E102/12*VLOOKUP($F102,taux,20))),0)))))</f>
        <v>0</v>
      </c>
      <c r="AA102" s="111">
        <f ca="1">IF(C102&gt;=70,0,IF($B102=" ",0,IF(Données!$X142="non couvert"," ",Données!Y142)))</f>
        <v>0</v>
      </c>
      <c r="AB102" s="110">
        <f>IF($B102=" ",0,IF(Données!$X142="exo",0,IF($AA102="ind",VLOOKUP($F102,taux,34),IF($AA102="fam",VLOOKUP($F102,taux,35),IF($AA102="mono",VLOOKUP($F102,taux,36),IF($AA102="couple",VLOOKUP($F102,taux,37),0))))))</f>
        <v>0</v>
      </c>
      <c r="AC102" s="111">
        <f ca="1">IF(C102&gt;=70,0,IF($B102=" ",0,IF(Données!$Z142="non couvert"," ",Données!AA142)))</f>
        <v>0</v>
      </c>
      <c r="AD102" s="110">
        <f>IF($B102=" ",0,IF(Données!$Z142="exo",0,IF($AC102="ind",VLOOKUP($F102,taux,38),IF($AC102="fam",VLOOKUP($F102,taux,39),IF($AC102="mono",VLOOKUP($F102,taux,40),IF($AC102="couple",VLOOKUP($F102,taux,41),0))))))</f>
        <v>0</v>
      </c>
      <c r="AE102" s="112">
        <f>IF($B102=" ",0,IF(Données!$AB142="non couvert"," ",Données!AC142))</f>
        <v>0</v>
      </c>
      <c r="AF102" s="113">
        <f>IF($B102=" ",0,IF(Données!$AB142="exo",0,IF($AE102="ind",VLOOKUP($F102,taux,42),IF($AE102="fam",VLOOKUP($F102,taux,43),IF($AE102="mono",VLOOKUP($F102,taux,44),IF($AE102="couple",VLOOKUP($F102,taux,45),0))))))</f>
        <v>0</v>
      </c>
      <c r="AG102" s="114">
        <f t="shared" ca="1" si="10"/>
        <v>0</v>
      </c>
      <c r="AH102" s="114">
        <f>IF($B102=" ",0,IF(Données!J142="Manitoba",(Facture!H102+Facture!J102+Facture!L102+Facture!P102+Facture!R102+Facture!T102)*0.08,(AG102-W102)*IF(Données!$J142="qc",0.09,IF(Données!$J142="on",0.08,0))+W102*VLOOKUP($F102,taux,28)))</f>
        <v>0</v>
      </c>
      <c r="AI102" s="106">
        <f t="shared" ca="1" si="12"/>
        <v>0</v>
      </c>
    </row>
    <row r="103" spans="1:35" s="64" customFormat="1">
      <c r="A103" s="89">
        <f t="shared" si="13"/>
        <v>89</v>
      </c>
      <c r="B103" s="99" t="str">
        <f>CONCATENATE(Données!B143," ",Données!C143)</f>
        <v xml:space="preserve"> </v>
      </c>
      <c r="C103" s="410">
        <f ca="1">IF(B103="",0,INT((TODAY()-Données!E143)/365.25))</f>
        <v>119</v>
      </c>
      <c r="D103" s="100">
        <f>Données!D143</f>
        <v>0</v>
      </c>
      <c r="E103" s="101">
        <f>Données!I143</f>
        <v>0</v>
      </c>
      <c r="F103" s="102" t="str">
        <f>Données!AD143</f>
        <v/>
      </c>
      <c r="G103" s="103">
        <f ca="1">INDEX({1;0.5;0},MATCH(C103,{1;65;70}))*M103</f>
        <v>0</v>
      </c>
      <c r="H103" s="104">
        <f>IF($B103=" ",0,IF(Données!$K143="exo",0,$G103/1000*VLOOKUP($F103,taux,2)))</f>
        <v>0</v>
      </c>
      <c r="I103" s="398">
        <f ca="1">IF(C103&gt;=65,0,Données!M143*5000)</f>
        <v>0</v>
      </c>
      <c r="J103" s="104">
        <f ca="1">I103/1000*(IF(I103=0,0,1)*VLOOKUP((1+(C103&gt;=20)+(C103&gt;=25)+(C103&gt;=30)+(C103&gt;=35)+(C103&gt;=40)+(C103&gt;=45)+(C103&gt;=50)+(C103&gt;=55)+(C103&gt;=60)+(C103&gt;=65)),Test,2+(IF(Données!F143="H",1,3))+(IF(Données!G143="F",1,0))))</f>
        <v>0</v>
      </c>
      <c r="K103" s="103">
        <f ca="1">INDEX({1;0.5;0},MATCH(C103,{1;65;70}))*M103</f>
        <v>0</v>
      </c>
      <c r="L103" s="104">
        <f>IF($B103=" ",0,IF(Données!$N143="exo",0,$K103/1000*VLOOKUP($F103,taux,6)))</f>
        <v>0</v>
      </c>
      <c r="M103" s="379">
        <f>IF($B103=" ",0,IF(Données!$K143="NON COUVERT",0,IF(AND(Données!$L143="oui",Données!$K143=0.5),MIN(VLOOKUP($F103,taux,5)/2,ROUNDUP(VLOOKUP($F103,taux,3)*$E103,-3)/2),IF(Données!$K143=0.5,MIN(VLOOKUP($F103,taux,4)/2,ROUNDUP(VLOOKUP($F103,taux,3)*$E103,-3)/2),ROUNDUP(IF(Données!$L143="OUI",MIN(VLOOKUP($F103,taux,3)*$E103,VLOOKUP($F103,taux,5)),MIN(VLOOKUP($F103,taux,3)*$E103,VLOOKUP($F103,taux,4))),-3)))))</f>
        <v>0</v>
      </c>
      <c r="N103" s="379">
        <f>IF($B103=" ",0,IF(Données!$N143="NON COUVERT",0,IF(AND(Données!$O143="oui",Données!$N143=0.5),MIN(VLOOKUP($F103,taux,9)/2,ROUNDUP(VLOOKUP($F103,taux,7)*$E103,-3)/2),IF(Données!$N143=0.5,MIN(VLOOKUP($F103,taux,8)/2,ROUNDUP(VLOOKUP($F103,taux,7)*$E103,-3)/2),ROUNDUP(IF(Données!$O143="OUI",MIN(VLOOKUP($F103,taux,7)*$E103,VLOOKUP($F103,taux,9)),MIN(VLOOKUP($F103,taux,7)*$E103,VLOOKUP($F103,taux,8))),-3)))))</f>
        <v>0</v>
      </c>
      <c r="O103" s="105">
        <f ca="1">IF(C103&gt;=70,0,IF($B103=" ",0,IF(Données!P143="non couvert"," ",Données!Q143)))</f>
        <v>0</v>
      </c>
      <c r="P103" s="106">
        <f>IF($B103=" ",0,IF(Données!$P143="exo",0,IF($O103="FAM",VLOOKUP($F103,taux,10),IF($O103="MONO",VLOOKUP($F103,taux,11),IF($O103="COUPLE",VLOOKUP($F103,taux,12),0)))))</f>
        <v>0</v>
      </c>
      <c r="Q103" s="107">
        <f ca="1">IF(C103&gt;=70,0,IF($B103=" ",0,IF(Données!$R143="NON COUVERT",0,ROUNDUP(IF(Données!$S143="OUI",MIN($E103*VLOOKUP($F103,taux,15)/52,VLOOKUP($F103,taux,17)),MIN($E103*VLOOKUP($F103,taux,15)/52,VLOOKUP($F103,taux,16))),0))))</f>
        <v>0</v>
      </c>
      <c r="R103" s="108">
        <f>IF($B103=" ",0,IF(Données!$R143="EXO",0,$Q103*VLOOKUP($F103,taux,13)/10))</f>
        <v>0</v>
      </c>
      <c r="S103" s="109">
        <f t="shared" ca="1" si="11"/>
        <v>0</v>
      </c>
      <c r="T103" s="110">
        <f>IF(B103=" ",0,IF(Données!$T143="exo",0,$S103*VLOOKUP($F103,taux,18)/100))</f>
        <v>0</v>
      </c>
      <c r="U103" s="109">
        <f>IF($B103=" ",0,IF(Données!$V143="non couvert",0,IF(VLOOKUP($F103,taux,29)="fixe","s/o",IF(Données!$W143="oui",MIN(ROUNDUP(VLOOKUP($F103,taux,31)*$E103,-3),VLOOKUP($F103,taux,33)),MIN(ROUNDUP(VLOOKUP($F103,taux,31)*$E103,-3),VLOOKUP($F103,taux,32))))))</f>
        <v>0</v>
      </c>
      <c r="V103" s="110">
        <f>IF(B103=" ",0,IF(Données!$V143="exo",0,IF(VLOOKUP($F103,taux,29)="fixe",VLOOKUP($F103,taux,30),$U103/1000*VLOOKUP($F103,taux,30))))</f>
        <v>0</v>
      </c>
      <c r="W103" s="110">
        <f t="shared" si="8"/>
        <v>0</v>
      </c>
      <c r="X103" s="383">
        <f>IF(B103=" ",0,EDATE((Données!E143),780))</f>
        <v>0</v>
      </c>
      <c r="Y103" s="383">
        <f t="shared" si="9"/>
        <v>0</v>
      </c>
      <c r="Z103" s="384">
        <f>IF($B103=" ",0,IF(Données!$T143="non couvert",0,IF(Données!$U143="oui",MIN(VLOOKUP($F103,taux,26),ROUNDUP(IF($E103/12&gt;VLOOKUP($F103,taux,21)+VLOOKUP($F103,taux,23),(VLOOKUP($F103,taux,20)*VLOOKUP($F103,taux,21))+(VLOOKUP($F103,taux,22)*VLOOKUP($F103,taux,23))+($E103/12-VLOOKUP($F103,taux,21)-VLOOKUP($F103,taux,23))*VLOOKUP($F103,taux,24),IF($E103/12&gt;VLOOKUP($F103,taux,21),(VLOOKUP($F103,taux,20)*VLOOKUP($F103,taux,21))+($E103/12-VLOOKUP($F103,taux,21))*VLOOKUP($F103,taux,22),$E103/12*VLOOKUP($F103,taux,20))),0)),MIN(VLOOKUP($F103,taux,25),ROUNDUP(IF($E103/12&gt;VLOOKUP($F103,taux,21)+VLOOKUP($F103,taux,23),(VLOOKUP($F103,taux,20)*VLOOKUP($F103,taux,21))+(VLOOKUP($F103,taux,22)*VLOOKUP($F103,taux,23))+($E103/12-VLOOKUP($F103,taux,21)-VLOOKUP($F103,taux,23))*VLOOKUP($F103,taux,24),IF($E103/12&gt;VLOOKUP($F103,taux,21),(VLOOKUP($F103,taux,20)*VLOOKUP($F103,taux,21))+($E103/12-VLOOKUP($F103,taux,21))*VLOOKUP($F103,taux,22),$E103/12*VLOOKUP($F103,taux,20))),0)))))</f>
        <v>0</v>
      </c>
      <c r="AA103" s="111">
        <f ca="1">IF(C103&gt;=70,0,IF($B103=" ",0,IF(Données!$X143="non couvert"," ",Données!Y143)))</f>
        <v>0</v>
      </c>
      <c r="AB103" s="110">
        <f>IF($B103=" ",0,IF(Données!$X143="exo",0,IF($AA103="ind",VLOOKUP($F103,taux,34),IF($AA103="fam",VLOOKUP($F103,taux,35),IF($AA103="mono",VLOOKUP($F103,taux,36),IF($AA103="couple",VLOOKUP($F103,taux,37),0))))))</f>
        <v>0</v>
      </c>
      <c r="AC103" s="111">
        <f ca="1">IF(C103&gt;=70,0,IF($B103=" ",0,IF(Données!$Z143="non couvert"," ",Données!AA143)))</f>
        <v>0</v>
      </c>
      <c r="AD103" s="110">
        <f>IF($B103=" ",0,IF(Données!$Z143="exo",0,IF($AC103="ind",VLOOKUP($F103,taux,38),IF($AC103="fam",VLOOKUP($F103,taux,39),IF($AC103="mono",VLOOKUP($F103,taux,40),IF($AC103="couple",VLOOKUP($F103,taux,41),0))))))</f>
        <v>0</v>
      </c>
      <c r="AE103" s="112">
        <f>IF($B103=" ",0,IF(Données!$AB143="non couvert"," ",Données!AC143))</f>
        <v>0</v>
      </c>
      <c r="AF103" s="113">
        <f>IF($B103=" ",0,IF(Données!$AB143="exo",0,IF($AE103="ind",VLOOKUP($F103,taux,42),IF($AE103="fam",VLOOKUP($F103,taux,43),IF($AE103="mono",VLOOKUP($F103,taux,44),IF($AE103="couple",VLOOKUP($F103,taux,45),0))))))</f>
        <v>0</v>
      </c>
      <c r="AG103" s="114">
        <f t="shared" ca="1" si="10"/>
        <v>0</v>
      </c>
      <c r="AH103" s="114">
        <f>IF($B103=" ",0,IF(Données!J143="Manitoba",(Facture!H103+Facture!J103+Facture!L103+Facture!P103+Facture!R103+Facture!T103)*0.08,(AG103-W103)*IF(Données!$J143="qc",0.09,IF(Données!$J143="on",0.08,0))+W103*VLOOKUP($F103,taux,28)))</f>
        <v>0</v>
      </c>
      <c r="AI103" s="106">
        <f t="shared" ca="1" si="12"/>
        <v>0</v>
      </c>
    </row>
    <row r="104" spans="1:35" s="64" customFormat="1">
      <c r="A104" s="89">
        <f t="shared" si="13"/>
        <v>90</v>
      </c>
      <c r="B104" s="99" t="str">
        <f>CONCATENATE(Données!B144," ",Données!C144)</f>
        <v xml:space="preserve"> </v>
      </c>
      <c r="C104" s="410">
        <f ca="1">IF(B104="",0,INT((TODAY()-Données!E144)/365.25))</f>
        <v>119</v>
      </c>
      <c r="D104" s="100">
        <f>Données!D144</f>
        <v>0</v>
      </c>
      <c r="E104" s="101">
        <f>Données!I144</f>
        <v>0</v>
      </c>
      <c r="F104" s="102" t="str">
        <f>Données!AD144</f>
        <v/>
      </c>
      <c r="G104" s="103">
        <f ca="1">INDEX({1;0.5;0},MATCH(C104,{1;65;70}))*M104</f>
        <v>0</v>
      </c>
      <c r="H104" s="104">
        <f>IF($B104=" ",0,IF(Données!$K144="exo",0,$G104/1000*VLOOKUP($F104,taux,2)))</f>
        <v>0</v>
      </c>
      <c r="I104" s="398">
        <f ca="1">IF(C104&gt;=65,0,Données!M144*5000)</f>
        <v>0</v>
      </c>
      <c r="J104" s="104">
        <f ca="1">I104/1000*(IF(I104=0,0,1)*VLOOKUP((1+(C104&gt;=20)+(C104&gt;=25)+(C104&gt;=30)+(C104&gt;=35)+(C104&gt;=40)+(C104&gt;=45)+(C104&gt;=50)+(C104&gt;=55)+(C104&gt;=60)+(C104&gt;=65)),Test,2+(IF(Données!F144="H",1,3))+(IF(Données!G144="F",1,0))))</f>
        <v>0</v>
      </c>
      <c r="K104" s="103">
        <f ca="1">INDEX({1;0.5;0},MATCH(C104,{1;65;70}))*M104</f>
        <v>0</v>
      </c>
      <c r="L104" s="104">
        <f>IF($B104=" ",0,IF(Données!$N144="exo",0,$K104/1000*VLOOKUP($F104,taux,6)))</f>
        <v>0</v>
      </c>
      <c r="M104" s="379">
        <f>IF($B104=" ",0,IF(Données!$K144="NON COUVERT",0,IF(AND(Données!$L144="oui",Données!$K144=0.5),MIN(VLOOKUP($F104,taux,5)/2,ROUNDUP(VLOOKUP($F104,taux,3)*$E104,-3)/2),IF(Données!$K144=0.5,MIN(VLOOKUP($F104,taux,4)/2,ROUNDUP(VLOOKUP($F104,taux,3)*$E104,-3)/2),ROUNDUP(IF(Données!$L144="OUI",MIN(VLOOKUP($F104,taux,3)*$E104,VLOOKUP($F104,taux,5)),MIN(VLOOKUP($F104,taux,3)*$E104,VLOOKUP($F104,taux,4))),-3)))))</f>
        <v>0</v>
      </c>
      <c r="N104" s="379">
        <f>IF($B104=" ",0,IF(Données!$N144="NON COUVERT",0,IF(AND(Données!$O144="oui",Données!$N144=0.5),MIN(VLOOKUP($F104,taux,9)/2,ROUNDUP(VLOOKUP($F104,taux,7)*$E104,-3)/2),IF(Données!$N144=0.5,MIN(VLOOKUP($F104,taux,8)/2,ROUNDUP(VLOOKUP($F104,taux,7)*$E104,-3)/2),ROUNDUP(IF(Données!$O144="OUI",MIN(VLOOKUP($F104,taux,7)*$E104,VLOOKUP($F104,taux,9)),MIN(VLOOKUP($F104,taux,7)*$E104,VLOOKUP($F104,taux,8))),-3)))))</f>
        <v>0</v>
      </c>
      <c r="O104" s="105">
        <f ca="1">IF(C104&gt;=70,0,IF($B104=" ",0,IF(Données!P144="non couvert"," ",Données!Q144)))</f>
        <v>0</v>
      </c>
      <c r="P104" s="106">
        <f>IF($B104=" ",0,IF(Données!$P144="exo",0,IF($O104="FAM",VLOOKUP($F104,taux,10),IF($O104="MONO",VLOOKUP($F104,taux,11),IF($O104="COUPLE",VLOOKUP($F104,taux,12),0)))))</f>
        <v>0</v>
      </c>
      <c r="Q104" s="107">
        <f ca="1">IF(C104&gt;=70,0,IF($B104=" ",0,IF(Données!$R144="NON COUVERT",0,ROUNDUP(IF(Données!$S144="OUI",MIN($E104*VLOOKUP($F104,taux,15)/52,VLOOKUP($F104,taux,17)),MIN($E104*VLOOKUP($F104,taux,15)/52,VLOOKUP($F104,taux,16))),0))))</f>
        <v>0</v>
      </c>
      <c r="R104" s="108">
        <f>IF($B104=" ",0,IF(Données!$R144="EXO",0,$Q104*VLOOKUP($F104,taux,13)/10))</f>
        <v>0</v>
      </c>
      <c r="S104" s="109">
        <f t="shared" ca="1" si="11"/>
        <v>0</v>
      </c>
      <c r="T104" s="110">
        <f>IF(B104=" ",0,IF(Données!$T144="exo",0,$S104*VLOOKUP($F104,taux,18)/100))</f>
        <v>0</v>
      </c>
      <c r="U104" s="109">
        <f>IF($B104=" ",0,IF(Données!$V144="non couvert",0,IF(VLOOKUP($F104,taux,29)="fixe","s/o",IF(Données!$W144="oui",MIN(ROUNDUP(VLOOKUP($F104,taux,31)*$E104,-3),VLOOKUP($F104,taux,33)),MIN(ROUNDUP(VLOOKUP($F104,taux,31)*$E104,-3),VLOOKUP($F104,taux,32))))))</f>
        <v>0</v>
      </c>
      <c r="V104" s="110">
        <f>IF(B104=" ",0,IF(Données!$V144="exo",0,IF(VLOOKUP($F104,taux,29)="fixe",VLOOKUP($F104,taux,30),$U104/1000*VLOOKUP($F104,taux,30))))</f>
        <v>0</v>
      </c>
      <c r="W104" s="110">
        <f t="shared" si="8"/>
        <v>0</v>
      </c>
      <c r="X104" s="383">
        <f>IF(B104=" ",0,EDATE((Données!E144),780))</f>
        <v>0</v>
      </c>
      <c r="Y104" s="383">
        <f t="shared" si="9"/>
        <v>0</v>
      </c>
      <c r="Z104" s="384">
        <f>IF($B104=" ",0,IF(Données!$T144="non couvert",0,IF(Données!$U144="oui",MIN(VLOOKUP($F104,taux,26),ROUNDUP(IF($E104/12&gt;VLOOKUP($F104,taux,21)+VLOOKUP($F104,taux,23),(VLOOKUP($F104,taux,20)*VLOOKUP($F104,taux,21))+(VLOOKUP($F104,taux,22)*VLOOKUP($F104,taux,23))+($E104/12-VLOOKUP($F104,taux,21)-VLOOKUP($F104,taux,23))*VLOOKUP($F104,taux,24),IF($E104/12&gt;VLOOKUP($F104,taux,21),(VLOOKUP($F104,taux,20)*VLOOKUP($F104,taux,21))+($E104/12-VLOOKUP($F104,taux,21))*VLOOKUP($F104,taux,22),$E104/12*VLOOKUP($F104,taux,20))),0)),MIN(VLOOKUP($F104,taux,25),ROUNDUP(IF($E104/12&gt;VLOOKUP($F104,taux,21)+VLOOKUP($F104,taux,23),(VLOOKUP($F104,taux,20)*VLOOKUP($F104,taux,21))+(VLOOKUP($F104,taux,22)*VLOOKUP($F104,taux,23))+($E104/12-VLOOKUP($F104,taux,21)-VLOOKUP($F104,taux,23))*VLOOKUP($F104,taux,24),IF($E104/12&gt;VLOOKUP($F104,taux,21),(VLOOKUP($F104,taux,20)*VLOOKUP($F104,taux,21))+($E104/12-VLOOKUP($F104,taux,21))*VLOOKUP($F104,taux,22),$E104/12*VLOOKUP($F104,taux,20))),0)))))</f>
        <v>0</v>
      </c>
      <c r="AA104" s="111">
        <f ca="1">IF(C104&gt;=70,0,IF($B104=" ",0,IF(Données!$X144="non couvert"," ",Données!Y144)))</f>
        <v>0</v>
      </c>
      <c r="AB104" s="110">
        <f>IF($B104=" ",0,IF(Données!$X144="exo",0,IF($AA104="ind",VLOOKUP($F104,taux,34),IF($AA104="fam",VLOOKUP($F104,taux,35),IF($AA104="mono",VLOOKUP($F104,taux,36),IF($AA104="couple",VLOOKUP($F104,taux,37),0))))))</f>
        <v>0</v>
      </c>
      <c r="AC104" s="111">
        <f ca="1">IF(C104&gt;=70,0,IF($B104=" ",0,IF(Données!$Z144="non couvert"," ",Données!AA144)))</f>
        <v>0</v>
      </c>
      <c r="AD104" s="110">
        <f>IF($B104=" ",0,IF(Données!$Z144="exo",0,IF($AC104="ind",VLOOKUP($F104,taux,38),IF($AC104="fam",VLOOKUP($F104,taux,39),IF($AC104="mono",VLOOKUP($F104,taux,40),IF($AC104="couple",VLOOKUP($F104,taux,41),0))))))</f>
        <v>0</v>
      </c>
      <c r="AE104" s="112">
        <f>IF($B104=" ",0,IF(Données!$AB144="non couvert"," ",Données!AC144))</f>
        <v>0</v>
      </c>
      <c r="AF104" s="113">
        <f>IF($B104=" ",0,IF(Données!$AB144="exo",0,IF($AE104="ind",VLOOKUP($F104,taux,42),IF($AE104="fam",VLOOKUP($F104,taux,43),IF($AE104="mono",VLOOKUP($F104,taux,44),IF($AE104="couple",VLOOKUP($F104,taux,45),0))))))</f>
        <v>0</v>
      </c>
      <c r="AG104" s="114">
        <f t="shared" ca="1" si="10"/>
        <v>0</v>
      </c>
      <c r="AH104" s="114">
        <f>IF($B104=" ",0,IF(Données!J144="Manitoba",(Facture!H104+Facture!J104+Facture!L104+Facture!P104+Facture!R104+Facture!T104)*0.08,(AG104-W104)*IF(Données!$J144="qc",0.09,IF(Données!$J144="on",0.08,0))+W104*VLOOKUP($F104,taux,28)))</f>
        <v>0</v>
      </c>
      <c r="AI104" s="106">
        <f t="shared" ca="1" si="12"/>
        <v>0</v>
      </c>
    </row>
    <row r="105" spans="1:35" s="64" customFormat="1">
      <c r="A105" s="89">
        <f t="shared" si="13"/>
        <v>91</v>
      </c>
      <c r="B105" s="99" t="str">
        <f>CONCATENATE(Données!B145," ",Données!C145)</f>
        <v xml:space="preserve"> </v>
      </c>
      <c r="C105" s="410">
        <f ca="1">IF(B105="",0,INT((TODAY()-Données!E145)/365.25))</f>
        <v>119</v>
      </c>
      <c r="D105" s="100">
        <f>Données!D145</f>
        <v>0</v>
      </c>
      <c r="E105" s="101">
        <f>Données!I145</f>
        <v>0</v>
      </c>
      <c r="F105" s="102" t="str">
        <f>Données!AD145</f>
        <v/>
      </c>
      <c r="G105" s="103">
        <f ca="1">INDEX({1;0.5;0},MATCH(C105,{1;65;70}))*M105</f>
        <v>0</v>
      </c>
      <c r="H105" s="104">
        <f>IF($B105=" ",0,IF(Données!$K145="exo",0,$G105/1000*VLOOKUP($F105,taux,2)))</f>
        <v>0</v>
      </c>
      <c r="I105" s="398">
        <f ca="1">IF(C105&gt;=65,0,Données!M145*5000)</f>
        <v>0</v>
      </c>
      <c r="J105" s="104">
        <f ca="1">I105/1000*(IF(I105=0,0,1)*VLOOKUP((1+(C105&gt;=20)+(C105&gt;=25)+(C105&gt;=30)+(C105&gt;=35)+(C105&gt;=40)+(C105&gt;=45)+(C105&gt;=50)+(C105&gt;=55)+(C105&gt;=60)+(C105&gt;=65)),Test,2+(IF(Données!F145="H",1,3))+(IF(Données!G145="F",1,0))))</f>
        <v>0</v>
      </c>
      <c r="K105" s="103">
        <f ca="1">INDEX({1;0.5;0},MATCH(C105,{1;65;70}))*M105</f>
        <v>0</v>
      </c>
      <c r="L105" s="104">
        <f>IF($B105=" ",0,IF(Données!$N145="exo",0,$K105/1000*VLOOKUP($F105,taux,6)))</f>
        <v>0</v>
      </c>
      <c r="M105" s="379">
        <f>IF($B105=" ",0,IF(Données!$K145="NON COUVERT",0,IF(AND(Données!$L145="oui",Données!$K145=0.5),MIN(VLOOKUP($F105,taux,5)/2,ROUNDUP(VLOOKUP($F105,taux,3)*$E105,-3)/2),IF(Données!$K145=0.5,MIN(VLOOKUP($F105,taux,4)/2,ROUNDUP(VLOOKUP($F105,taux,3)*$E105,-3)/2),ROUNDUP(IF(Données!$L145="OUI",MIN(VLOOKUP($F105,taux,3)*$E105,VLOOKUP($F105,taux,5)),MIN(VLOOKUP($F105,taux,3)*$E105,VLOOKUP($F105,taux,4))),-3)))))</f>
        <v>0</v>
      </c>
      <c r="N105" s="379">
        <f>IF($B105=" ",0,IF(Données!$N145="NON COUVERT",0,IF(AND(Données!$O145="oui",Données!$N145=0.5),MIN(VLOOKUP($F105,taux,9)/2,ROUNDUP(VLOOKUP($F105,taux,7)*$E105,-3)/2),IF(Données!$N145=0.5,MIN(VLOOKUP($F105,taux,8)/2,ROUNDUP(VLOOKUP($F105,taux,7)*$E105,-3)/2),ROUNDUP(IF(Données!$O145="OUI",MIN(VLOOKUP($F105,taux,7)*$E105,VLOOKUP($F105,taux,9)),MIN(VLOOKUP($F105,taux,7)*$E105,VLOOKUP($F105,taux,8))),-3)))))</f>
        <v>0</v>
      </c>
      <c r="O105" s="105">
        <f ca="1">IF(C105&gt;=70,0,IF($B105=" ",0,IF(Données!P145="non couvert"," ",Données!Q145)))</f>
        <v>0</v>
      </c>
      <c r="P105" s="106">
        <f>IF($B105=" ",0,IF(Données!$P145="exo",0,IF($O105="FAM",VLOOKUP($F105,taux,10),IF($O105="MONO",VLOOKUP($F105,taux,11),IF($O105="COUPLE",VLOOKUP($F105,taux,12),0)))))</f>
        <v>0</v>
      </c>
      <c r="Q105" s="107">
        <f ca="1">IF(C105&gt;=70,0,IF($B105=" ",0,IF(Données!$R145="NON COUVERT",0,ROUNDUP(IF(Données!$S145="OUI",MIN($E105*VLOOKUP($F105,taux,15)/52,VLOOKUP($F105,taux,17)),MIN($E105*VLOOKUP($F105,taux,15)/52,VLOOKUP($F105,taux,16))),0))))</f>
        <v>0</v>
      </c>
      <c r="R105" s="108">
        <f>IF($B105=" ",0,IF(Données!$R145="EXO",0,$Q105*VLOOKUP($F105,taux,13)/10))</f>
        <v>0</v>
      </c>
      <c r="S105" s="109">
        <f t="shared" ca="1" si="11"/>
        <v>0</v>
      </c>
      <c r="T105" s="110">
        <f>IF(B105=" ",0,IF(Données!$T145="exo",0,$S105*VLOOKUP($F105,taux,18)/100))</f>
        <v>0</v>
      </c>
      <c r="U105" s="109">
        <f>IF($B105=" ",0,IF(Données!$V145="non couvert",0,IF(VLOOKUP($F105,taux,29)="fixe","s/o",IF(Données!$W145="oui",MIN(ROUNDUP(VLOOKUP($F105,taux,31)*$E105,-3),VLOOKUP($F105,taux,33)),MIN(ROUNDUP(VLOOKUP($F105,taux,31)*$E105,-3),VLOOKUP($F105,taux,32))))))</f>
        <v>0</v>
      </c>
      <c r="V105" s="110">
        <f>IF(B105=" ",0,IF(Données!$V145="exo",0,IF(VLOOKUP($F105,taux,29)="fixe",VLOOKUP($F105,taux,30),$U105/1000*VLOOKUP($F105,taux,30))))</f>
        <v>0</v>
      </c>
      <c r="W105" s="110">
        <f t="shared" si="8"/>
        <v>0</v>
      </c>
      <c r="X105" s="383">
        <f>IF(B105=" ",0,EDATE((Données!E145),780))</f>
        <v>0</v>
      </c>
      <c r="Y105" s="383">
        <f t="shared" si="9"/>
        <v>0</v>
      </c>
      <c r="Z105" s="384">
        <f>IF($B105=" ",0,IF(Données!$T145="non couvert",0,IF(Données!$U145="oui",MIN(VLOOKUP($F105,taux,26),ROUNDUP(IF($E105/12&gt;VLOOKUP($F105,taux,21)+VLOOKUP($F105,taux,23),(VLOOKUP($F105,taux,20)*VLOOKUP($F105,taux,21))+(VLOOKUP($F105,taux,22)*VLOOKUP($F105,taux,23))+($E105/12-VLOOKUP($F105,taux,21)-VLOOKUP($F105,taux,23))*VLOOKUP($F105,taux,24),IF($E105/12&gt;VLOOKUP($F105,taux,21),(VLOOKUP($F105,taux,20)*VLOOKUP($F105,taux,21))+($E105/12-VLOOKUP($F105,taux,21))*VLOOKUP($F105,taux,22),$E105/12*VLOOKUP($F105,taux,20))),0)),MIN(VLOOKUP($F105,taux,25),ROUNDUP(IF($E105/12&gt;VLOOKUP($F105,taux,21)+VLOOKUP($F105,taux,23),(VLOOKUP($F105,taux,20)*VLOOKUP($F105,taux,21))+(VLOOKUP($F105,taux,22)*VLOOKUP($F105,taux,23))+($E105/12-VLOOKUP($F105,taux,21)-VLOOKUP($F105,taux,23))*VLOOKUP($F105,taux,24),IF($E105/12&gt;VLOOKUP($F105,taux,21),(VLOOKUP($F105,taux,20)*VLOOKUP($F105,taux,21))+($E105/12-VLOOKUP($F105,taux,21))*VLOOKUP($F105,taux,22),$E105/12*VLOOKUP($F105,taux,20))),0)))))</f>
        <v>0</v>
      </c>
      <c r="AA105" s="111">
        <f ca="1">IF(C105&gt;=70,0,IF($B105=" ",0,IF(Données!$X145="non couvert"," ",Données!Y145)))</f>
        <v>0</v>
      </c>
      <c r="AB105" s="110">
        <f>IF($B105=" ",0,IF(Données!$X145="exo",0,IF($AA105="ind",VLOOKUP($F105,taux,34),IF($AA105="fam",VLOOKUP($F105,taux,35),IF($AA105="mono",VLOOKUP($F105,taux,36),IF($AA105="couple",VLOOKUP($F105,taux,37),0))))))</f>
        <v>0</v>
      </c>
      <c r="AC105" s="111">
        <f ca="1">IF(C105&gt;=70,0,IF($B105=" ",0,IF(Données!$Z145="non couvert"," ",Données!AA145)))</f>
        <v>0</v>
      </c>
      <c r="AD105" s="110">
        <f>IF($B105=" ",0,IF(Données!$Z145="exo",0,IF($AC105="ind",VLOOKUP($F105,taux,38),IF($AC105="fam",VLOOKUP($F105,taux,39),IF($AC105="mono",VLOOKUP($F105,taux,40),IF($AC105="couple",VLOOKUP($F105,taux,41),0))))))</f>
        <v>0</v>
      </c>
      <c r="AE105" s="112">
        <f>IF($B105=" ",0,IF(Données!$AB145="non couvert"," ",Données!AC145))</f>
        <v>0</v>
      </c>
      <c r="AF105" s="113">
        <f>IF($B105=" ",0,IF(Données!$AB145="exo",0,IF($AE105="ind",VLOOKUP($F105,taux,42),IF($AE105="fam",VLOOKUP($F105,taux,43),IF($AE105="mono",VLOOKUP($F105,taux,44),IF($AE105="couple",VLOOKUP($F105,taux,45),0))))))</f>
        <v>0</v>
      </c>
      <c r="AG105" s="114">
        <f t="shared" ca="1" si="10"/>
        <v>0</v>
      </c>
      <c r="AH105" s="114">
        <f>IF($B105=" ",0,IF(Données!J145="Manitoba",(Facture!H105+Facture!J105+Facture!L105+Facture!P105+Facture!R105+Facture!T105)*0.08,(AG105-W105)*IF(Données!$J145="qc",0.09,IF(Données!$J145="on",0.08,0))+W105*VLOOKUP($F105,taux,28)))</f>
        <v>0</v>
      </c>
      <c r="AI105" s="106">
        <f t="shared" ca="1" si="12"/>
        <v>0</v>
      </c>
    </row>
    <row r="106" spans="1:35" s="64" customFormat="1">
      <c r="A106" s="89">
        <f t="shared" si="13"/>
        <v>92</v>
      </c>
      <c r="B106" s="99" t="str">
        <f>CONCATENATE(Données!B146," ",Données!C146)</f>
        <v xml:space="preserve"> </v>
      </c>
      <c r="C106" s="410">
        <f ca="1">IF(B106="",0,INT((TODAY()-Données!E146)/365.25))</f>
        <v>119</v>
      </c>
      <c r="D106" s="100">
        <f>Données!D146</f>
        <v>0</v>
      </c>
      <c r="E106" s="101">
        <f>Données!I146</f>
        <v>0</v>
      </c>
      <c r="F106" s="102" t="str">
        <f>Données!AD146</f>
        <v/>
      </c>
      <c r="G106" s="103">
        <f ca="1">INDEX({1;0.5;0},MATCH(C106,{1;65;70}))*M106</f>
        <v>0</v>
      </c>
      <c r="H106" s="104">
        <f>IF($B106=" ",0,IF(Données!$K146="exo",0,$G106/1000*VLOOKUP($F106,taux,2)))</f>
        <v>0</v>
      </c>
      <c r="I106" s="398">
        <f ca="1">IF(C106&gt;=65,0,Données!M146*5000)</f>
        <v>0</v>
      </c>
      <c r="J106" s="104">
        <f ca="1">I106/1000*(IF(I106=0,0,1)*VLOOKUP((1+(C106&gt;=20)+(C106&gt;=25)+(C106&gt;=30)+(C106&gt;=35)+(C106&gt;=40)+(C106&gt;=45)+(C106&gt;=50)+(C106&gt;=55)+(C106&gt;=60)+(C106&gt;=65)),Test,2+(IF(Données!F146="H",1,3))+(IF(Données!G146="F",1,0))))</f>
        <v>0</v>
      </c>
      <c r="K106" s="103">
        <f ca="1">INDEX({1;0.5;0},MATCH(C106,{1;65;70}))*M106</f>
        <v>0</v>
      </c>
      <c r="L106" s="104">
        <f>IF($B106=" ",0,IF(Données!$N146="exo",0,$K106/1000*VLOOKUP($F106,taux,6)))</f>
        <v>0</v>
      </c>
      <c r="M106" s="379">
        <f>IF($B106=" ",0,IF(Données!$K146="NON COUVERT",0,IF(AND(Données!$L146="oui",Données!$K146=0.5),MIN(VLOOKUP($F106,taux,5)/2,ROUNDUP(VLOOKUP($F106,taux,3)*$E106,-3)/2),IF(Données!$K146=0.5,MIN(VLOOKUP($F106,taux,4)/2,ROUNDUP(VLOOKUP($F106,taux,3)*$E106,-3)/2),ROUNDUP(IF(Données!$L146="OUI",MIN(VLOOKUP($F106,taux,3)*$E106,VLOOKUP($F106,taux,5)),MIN(VLOOKUP($F106,taux,3)*$E106,VLOOKUP($F106,taux,4))),-3)))))</f>
        <v>0</v>
      </c>
      <c r="N106" s="379">
        <f>IF($B106=" ",0,IF(Données!$N146="NON COUVERT",0,IF(AND(Données!$O146="oui",Données!$N146=0.5),MIN(VLOOKUP($F106,taux,9)/2,ROUNDUP(VLOOKUP($F106,taux,7)*$E106,-3)/2),IF(Données!$N146=0.5,MIN(VLOOKUP($F106,taux,8)/2,ROUNDUP(VLOOKUP($F106,taux,7)*$E106,-3)/2),ROUNDUP(IF(Données!$O146="OUI",MIN(VLOOKUP($F106,taux,7)*$E106,VLOOKUP($F106,taux,9)),MIN(VLOOKUP($F106,taux,7)*$E106,VLOOKUP($F106,taux,8))),-3)))))</f>
        <v>0</v>
      </c>
      <c r="O106" s="105">
        <f ca="1">IF(C106&gt;=70,0,IF($B106=" ",0,IF(Données!P146="non couvert"," ",Données!Q146)))</f>
        <v>0</v>
      </c>
      <c r="P106" s="106">
        <f>IF($B106=" ",0,IF(Données!$P146="exo",0,IF($O106="FAM",VLOOKUP($F106,taux,10),IF($O106="MONO",VLOOKUP($F106,taux,11),IF($O106="COUPLE",VLOOKUP($F106,taux,12),0)))))</f>
        <v>0</v>
      </c>
      <c r="Q106" s="107">
        <f ca="1">IF(C106&gt;=70,0,IF($B106=" ",0,IF(Données!$R146="NON COUVERT",0,ROUNDUP(IF(Données!$S146="OUI",MIN($E106*VLOOKUP($F106,taux,15)/52,VLOOKUP($F106,taux,17)),MIN($E106*VLOOKUP($F106,taux,15)/52,VLOOKUP($F106,taux,16))),0))))</f>
        <v>0</v>
      </c>
      <c r="R106" s="108">
        <f>IF($B106=" ",0,IF(Données!$R146="EXO",0,$Q106*VLOOKUP($F106,taux,13)/10))</f>
        <v>0</v>
      </c>
      <c r="S106" s="109">
        <f t="shared" ca="1" si="11"/>
        <v>0</v>
      </c>
      <c r="T106" s="110">
        <f>IF(B106=" ",0,IF(Données!$T146="exo",0,$S106*VLOOKUP($F106,taux,18)/100))</f>
        <v>0</v>
      </c>
      <c r="U106" s="109">
        <f>IF($B106=" ",0,IF(Données!$V146="non couvert",0,IF(VLOOKUP($F106,taux,29)="fixe","s/o",IF(Données!$W146="oui",MIN(ROUNDUP(VLOOKUP($F106,taux,31)*$E106,-3),VLOOKUP($F106,taux,33)),MIN(ROUNDUP(VLOOKUP($F106,taux,31)*$E106,-3),VLOOKUP($F106,taux,32))))))</f>
        <v>0</v>
      </c>
      <c r="V106" s="110">
        <f>IF(B106=" ",0,IF(Données!$V146="exo",0,IF(VLOOKUP($F106,taux,29)="fixe",VLOOKUP($F106,taux,30),$U106/1000*VLOOKUP($F106,taux,30))))</f>
        <v>0</v>
      </c>
      <c r="W106" s="110">
        <f t="shared" si="8"/>
        <v>0</v>
      </c>
      <c r="X106" s="383">
        <f>IF(B106=" ",0,EDATE((Données!E146),780))</f>
        <v>0</v>
      </c>
      <c r="Y106" s="383">
        <f t="shared" si="9"/>
        <v>0</v>
      </c>
      <c r="Z106" s="384">
        <f>IF($B106=" ",0,IF(Données!$T146="non couvert",0,IF(Données!$U146="oui",MIN(VLOOKUP($F106,taux,26),ROUNDUP(IF($E106/12&gt;VLOOKUP($F106,taux,21)+VLOOKUP($F106,taux,23),(VLOOKUP($F106,taux,20)*VLOOKUP($F106,taux,21))+(VLOOKUP($F106,taux,22)*VLOOKUP($F106,taux,23))+($E106/12-VLOOKUP($F106,taux,21)-VLOOKUP($F106,taux,23))*VLOOKUP($F106,taux,24),IF($E106/12&gt;VLOOKUP($F106,taux,21),(VLOOKUP($F106,taux,20)*VLOOKUP($F106,taux,21))+($E106/12-VLOOKUP($F106,taux,21))*VLOOKUP($F106,taux,22),$E106/12*VLOOKUP($F106,taux,20))),0)),MIN(VLOOKUP($F106,taux,25),ROUNDUP(IF($E106/12&gt;VLOOKUP($F106,taux,21)+VLOOKUP($F106,taux,23),(VLOOKUP($F106,taux,20)*VLOOKUP($F106,taux,21))+(VLOOKUP($F106,taux,22)*VLOOKUP($F106,taux,23))+($E106/12-VLOOKUP($F106,taux,21)-VLOOKUP($F106,taux,23))*VLOOKUP($F106,taux,24),IF($E106/12&gt;VLOOKUP($F106,taux,21),(VLOOKUP($F106,taux,20)*VLOOKUP($F106,taux,21))+($E106/12-VLOOKUP($F106,taux,21))*VLOOKUP($F106,taux,22),$E106/12*VLOOKUP($F106,taux,20))),0)))))</f>
        <v>0</v>
      </c>
      <c r="AA106" s="111">
        <f ca="1">IF(C106&gt;=70,0,IF($B106=" ",0,IF(Données!$X146="non couvert"," ",Données!Y146)))</f>
        <v>0</v>
      </c>
      <c r="AB106" s="110">
        <f>IF($B106=" ",0,IF(Données!$X146="exo",0,IF($AA106="ind",VLOOKUP($F106,taux,34),IF($AA106="fam",VLOOKUP($F106,taux,35),IF($AA106="mono",VLOOKUP($F106,taux,36),IF($AA106="couple",VLOOKUP($F106,taux,37),0))))))</f>
        <v>0</v>
      </c>
      <c r="AC106" s="111">
        <f ca="1">IF(C106&gt;=70,0,IF($B106=" ",0,IF(Données!$Z146="non couvert"," ",Données!AA146)))</f>
        <v>0</v>
      </c>
      <c r="AD106" s="110">
        <f>IF($B106=" ",0,IF(Données!$Z146="exo",0,IF($AC106="ind",VLOOKUP($F106,taux,38),IF($AC106="fam",VLOOKUP($F106,taux,39),IF($AC106="mono",VLOOKUP($F106,taux,40),IF($AC106="couple",VLOOKUP($F106,taux,41),0))))))</f>
        <v>0</v>
      </c>
      <c r="AE106" s="112">
        <f>IF($B106=" ",0,IF(Données!$AB146="non couvert"," ",Données!AC146))</f>
        <v>0</v>
      </c>
      <c r="AF106" s="113">
        <f>IF($B106=" ",0,IF(Données!$AB146="exo",0,IF($AE106="ind",VLOOKUP($F106,taux,42),IF($AE106="fam",VLOOKUP($F106,taux,43),IF($AE106="mono",VLOOKUP($F106,taux,44),IF($AE106="couple",VLOOKUP($F106,taux,45),0))))))</f>
        <v>0</v>
      </c>
      <c r="AG106" s="114">
        <f t="shared" ca="1" si="10"/>
        <v>0</v>
      </c>
      <c r="AH106" s="114">
        <f>IF($B106=" ",0,IF(Données!J146="Manitoba",(Facture!H106+Facture!J106+Facture!L106+Facture!P106+Facture!R106+Facture!T106)*0.08,(AG106-W106)*IF(Données!$J146="qc",0.09,IF(Données!$J146="on",0.08,0))+W106*VLOOKUP($F106,taux,28)))</f>
        <v>0</v>
      </c>
      <c r="AI106" s="106">
        <f t="shared" ca="1" si="12"/>
        <v>0</v>
      </c>
    </row>
    <row r="107" spans="1:35" s="64" customFormat="1">
      <c r="A107" s="89">
        <f t="shared" si="13"/>
        <v>93</v>
      </c>
      <c r="B107" s="99" t="str">
        <f>CONCATENATE(Données!B147," ",Données!C147)</f>
        <v xml:space="preserve"> </v>
      </c>
      <c r="C107" s="410">
        <f ca="1">IF(B107="",0,INT((TODAY()-Données!E147)/365.25))</f>
        <v>119</v>
      </c>
      <c r="D107" s="100">
        <f>Données!D147</f>
        <v>0</v>
      </c>
      <c r="E107" s="101">
        <f>Données!I147</f>
        <v>0</v>
      </c>
      <c r="F107" s="102" t="str">
        <f>Données!AD147</f>
        <v/>
      </c>
      <c r="G107" s="103">
        <f ca="1">INDEX({1;0.5;0},MATCH(C107,{1;65;70}))*M107</f>
        <v>0</v>
      </c>
      <c r="H107" s="104">
        <f>IF($B107=" ",0,IF(Données!$K147="exo",0,$G107/1000*VLOOKUP($F107,taux,2)))</f>
        <v>0</v>
      </c>
      <c r="I107" s="398">
        <f ca="1">IF(C107&gt;=65,0,Données!M147*5000)</f>
        <v>0</v>
      </c>
      <c r="J107" s="104">
        <f ca="1">I107/1000*(IF(I107=0,0,1)*VLOOKUP((1+(C107&gt;=20)+(C107&gt;=25)+(C107&gt;=30)+(C107&gt;=35)+(C107&gt;=40)+(C107&gt;=45)+(C107&gt;=50)+(C107&gt;=55)+(C107&gt;=60)+(C107&gt;=65)),Test,2+(IF(Données!F147="H",1,3))+(IF(Données!G147="F",1,0))))</f>
        <v>0</v>
      </c>
      <c r="K107" s="103">
        <f ca="1">INDEX({1;0.5;0},MATCH(C107,{1;65;70}))*M107</f>
        <v>0</v>
      </c>
      <c r="L107" s="104">
        <f>IF($B107=" ",0,IF(Données!$N147="exo",0,$K107/1000*VLOOKUP($F107,taux,6)))</f>
        <v>0</v>
      </c>
      <c r="M107" s="379">
        <f>IF($B107=" ",0,IF(Données!$K147="NON COUVERT",0,IF(AND(Données!$L147="oui",Données!$K147=0.5),MIN(VLOOKUP($F107,taux,5)/2,ROUNDUP(VLOOKUP($F107,taux,3)*$E107,-3)/2),IF(Données!$K147=0.5,MIN(VLOOKUP($F107,taux,4)/2,ROUNDUP(VLOOKUP($F107,taux,3)*$E107,-3)/2),ROUNDUP(IF(Données!$L147="OUI",MIN(VLOOKUP($F107,taux,3)*$E107,VLOOKUP($F107,taux,5)),MIN(VLOOKUP($F107,taux,3)*$E107,VLOOKUP($F107,taux,4))),-3)))))</f>
        <v>0</v>
      </c>
      <c r="N107" s="379">
        <f>IF($B107=" ",0,IF(Données!$N147="NON COUVERT",0,IF(AND(Données!$O147="oui",Données!$N147=0.5),MIN(VLOOKUP($F107,taux,9)/2,ROUNDUP(VLOOKUP($F107,taux,7)*$E107,-3)/2),IF(Données!$N147=0.5,MIN(VLOOKUP($F107,taux,8)/2,ROUNDUP(VLOOKUP($F107,taux,7)*$E107,-3)/2),ROUNDUP(IF(Données!$O147="OUI",MIN(VLOOKUP($F107,taux,7)*$E107,VLOOKUP($F107,taux,9)),MIN(VLOOKUP($F107,taux,7)*$E107,VLOOKUP($F107,taux,8))),-3)))))</f>
        <v>0</v>
      </c>
      <c r="O107" s="105">
        <f ca="1">IF(C107&gt;=70,0,IF($B107=" ",0,IF(Données!P147="non couvert"," ",Données!Q147)))</f>
        <v>0</v>
      </c>
      <c r="P107" s="106">
        <f>IF($B107=" ",0,IF(Données!$P147="exo",0,IF($O107="FAM",VLOOKUP($F107,taux,10),IF($O107="MONO",VLOOKUP($F107,taux,11),IF($O107="COUPLE",VLOOKUP($F107,taux,12),0)))))</f>
        <v>0</v>
      </c>
      <c r="Q107" s="107">
        <f ca="1">IF(C107&gt;=70,0,IF($B107=" ",0,IF(Données!$R147="NON COUVERT",0,ROUNDUP(IF(Données!$S147="OUI",MIN($E107*VLOOKUP($F107,taux,15)/52,VLOOKUP($F107,taux,17)),MIN($E107*VLOOKUP($F107,taux,15)/52,VLOOKUP($F107,taux,16))),0))))</f>
        <v>0</v>
      </c>
      <c r="R107" s="108">
        <f>IF($B107=" ",0,IF(Données!$R147="EXO",0,$Q107*VLOOKUP($F107,taux,13)/10))</f>
        <v>0</v>
      </c>
      <c r="S107" s="109">
        <f t="shared" ca="1" si="11"/>
        <v>0</v>
      </c>
      <c r="T107" s="110">
        <f>IF(B107=" ",0,IF(Données!$T147="exo",0,$S107*VLOOKUP($F107,taux,18)/100))</f>
        <v>0</v>
      </c>
      <c r="U107" s="109">
        <f>IF($B107=" ",0,IF(Données!$V147="non couvert",0,IF(VLOOKUP($F107,taux,29)="fixe","s/o",IF(Données!$W147="oui",MIN(ROUNDUP(VLOOKUP($F107,taux,31)*$E107,-3),VLOOKUP($F107,taux,33)),MIN(ROUNDUP(VLOOKUP($F107,taux,31)*$E107,-3),VLOOKUP($F107,taux,32))))))</f>
        <v>0</v>
      </c>
      <c r="V107" s="110">
        <f>IF(B107=" ",0,IF(Données!$V147="exo",0,IF(VLOOKUP($F107,taux,29)="fixe",VLOOKUP($F107,taux,30),$U107/1000*VLOOKUP($F107,taux,30))))</f>
        <v>0</v>
      </c>
      <c r="W107" s="110">
        <f t="shared" si="8"/>
        <v>0</v>
      </c>
      <c r="X107" s="383">
        <f>IF(B107=" ",0,EDATE((Données!E147),780))</f>
        <v>0</v>
      </c>
      <c r="Y107" s="383">
        <f t="shared" si="9"/>
        <v>0</v>
      </c>
      <c r="Z107" s="384">
        <f>IF($B107=" ",0,IF(Données!$T147="non couvert",0,IF(Données!$U147="oui",MIN(VLOOKUP($F107,taux,26),ROUNDUP(IF($E107/12&gt;VLOOKUP($F107,taux,21)+VLOOKUP($F107,taux,23),(VLOOKUP($F107,taux,20)*VLOOKUP($F107,taux,21))+(VLOOKUP($F107,taux,22)*VLOOKUP($F107,taux,23))+($E107/12-VLOOKUP($F107,taux,21)-VLOOKUP($F107,taux,23))*VLOOKUP($F107,taux,24),IF($E107/12&gt;VLOOKUP($F107,taux,21),(VLOOKUP($F107,taux,20)*VLOOKUP($F107,taux,21))+($E107/12-VLOOKUP($F107,taux,21))*VLOOKUP($F107,taux,22),$E107/12*VLOOKUP($F107,taux,20))),0)),MIN(VLOOKUP($F107,taux,25),ROUNDUP(IF($E107/12&gt;VLOOKUP($F107,taux,21)+VLOOKUP($F107,taux,23),(VLOOKUP($F107,taux,20)*VLOOKUP($F107,taux,21))+(VLOOKUP($F107,taux,22)*VLOOKUP($F107,taux,23))+($E107/12-VLOOKUP($F107,taux,21)-VLOOKUP($F107,taux,23))*VLOOKUP($F107,taux,24),IF($E107/12&gt;VLOOKUP($F107,taux,21),(VLOOKUP($F107,taux,20)*VLOOKUP($F107,taux,21))+($E107/12-VLOOKUP($F107,taux,21))*VLOOKUP($F107,taux,22),$E107/12*VLOOKUP($F107,taux,20))),0)))))</f>
        <v>0</v>
      </c>
      <c r="AA107" s="111">
        <f ca="1">IF(C107&gt;=70,0,IF($B107=" ",0,IF(Données!$X147="non couvert"," ",Données!Y147)))</f>
        <v>0</v>
      </c>
      <c r="AB107" s="110">
        <f>IF($B107=" ",0,IF(Données!$X147="exo",0,IF($AA107="ind",VLOOKUP($F107,taux,34),IF($AA107="fam",VLOOKUP($F107,taux,35),IF($AA107="mono",VLOOKUP($F107,taux,36),IF($AA107="couple",VLOOKUP($F107,taux,37),0))))))</f>
        <v>0</v>
      </c>
      <c r="AC107" s="111">
        <f ca="1">IF(C107&gt;=70,0,IF($B107=" ",0,IF(Données!$Z147="non couvert"," ",Données!AA147)))</f>
        <v>0</v>
      </c>
      <c r="AD107" s="110">
        <f>IF($B107=" ",0,IF(Données!$Z147="exo",0,IF($AC107="ind",VLOOKUP($F107,taux,38),IF($AC107="fam",VLOOKUP($F107,taux,39),IF($AC107="mono",VLOOKUP($F107,taux,40),IF($AC107="couple",VLOOKUP($F107,taux,41),0))))))</f>
        <v>0</v>
      </c>
      <c r="AE107" s="112">
        <f>IF($B107=" ",0,IF(Données!$AB147="non couvert"," ",Données!AC147))</f>
        <v>0</v>
      </c>
      <c r="AF107" s="113">
        <f>IF($B107=" ",0,IF(Données!$AB147="exo",0,IF($AE107="ind",VLOOKUP($F107,taux,42),IF($AE107="fam",VLOOKUP($F107,taux,43),IF($AE107="mono",VLOOKUP($F107,taux,44),IF($AE107="couple",VLOOKUP($F107,taux,45),0))))))</f>
        <v>0</v>
      </c>
      <c r="AG107" s="114">
        <f t="shared" ca="1" si="10"/>
        <v>0</v>
      </c>
      <c r="AH107" s="114">
        <f>IF($B107=" ",0,IF(Données!J147="Manitoba",(Facture!H107+Facture!J107+Facture!L107+Facture!P107+Facture!R107+Facture!T107)*0.08,(AG107-W107)*IF(Données!$J147="qc",0.09,IF(Données!$J147="on",0.08,0))+W107*VLOOKUP($F107,taux,28)))</f>
        <v>0</v>
      </c>
      <c r="AI107" s="106">
        <f t="shared" ca="1" si="12"/>
        <v>0</v>
      </c>
    </row>
    <row r="108" spans="1:35" s="64" customFormat="1">
      <c r="A108" s="89">
        <f t="shared" si="13"/>
        <v>94</v>
      </c>
      <c r="B108" s="99" t="str">
        <f>CONCATENATE(Données!B148," ",Données!C148)</f>
        <v xml:space="preserve"> </v>
      </c>
      <c r="C108" s="410">
        <f ca="1">IF(B108="",0,INT((TODAY()-Données!E148)/365.25))</f>
        <v>119</v>
      </c>
      <c r="D108" s="100">
        <f>Données!D148</f>
        <v>0</v>
      </c>
      <c r="E108" s="101">
        <f>Données!I148</f>
        <v>0</v>
      </c>
      <c r="F108" s="102" t="str">
        <f>Données!AD148</f>
        <v/>
      </c>
      <c r="G108" s="103">
        <f ca="1">INDEX({1;0.5;0},MATCH(C108,{1;65;70}))*M108</f>
        <v>0</v>
      </c>
      <c r="H108" s="104">
        <f>IF($B108=" ",0,IF(Données!$K148="exo",0,$G108/1000*VLOOKUP($F108,taux,2)))</f>
        <v>0</v>
      </c>
      <c r="I108" s="398">
        <f ca="1">IF(C108&gt;=65,0,Données!M148*5000)</f>
        <v>0</v>
      </c>
      <c r="J108" s="104">
        <f ca="1">I108/1000*(IF(I108=0,0,1)*VLOOKUP((1+(C108&gt;=20)+(C108&gt;=25)+(C108&gt;=30)+(C108&gt;=35)+(C108&gt;=40)+(C108&gt;=45)+(C108&gt;=50)+(C108&gt;=55)+(C108&gt;=60)+(C108&gt;=65)),Test,2+(IF(Données!F148="H",1,3))+(IF(Données!G148="F",1,0))))</f>
        <v>0</v>
      </c>
      <c r="K108" s="103">
        <f ca="1">INDEX({1;0.5;0},MATCH(C108,{1;65;70}))*M108</f>
        <v>0</v>
      </c>
      <c r="L108" s="104">
        <f>IF($B108=" ",0,IF(Données!$N148="exo",0,$K108/1000*VLOOKUP($F108,taux,6)))</f>
        <v>0</v>
      </c>
      <c r="M108" s="379">
        <f>IF($B108=" ",0,IF(Données!$K148="NON COUVERT",0,IF(AND(Données!$L148="oui",Données!$K148=0.5),MIN(VLOOKUP($F108,taux,5)/2,ROUNDUP(VLOOKUP($F108,taux,3)*$E108,-3)/2),IF(Données!$K148=0.5,MIN(VLOOKUP($F108,taux,4)/2,ROUNDUP(VLOOKUP($F108,taux,3)*$E108,-3)/2),ROUNDUP(IF(Données!$L148="OUI",MIN(VLOOKUP($F108,taux,3)*$E108,VLOOKUP($F108,taux,5)),MIN(VLOOKUP($F108,taux,3)*$E108,VLOOKUP($F108,taux,4))),-3)))))</f>
        <v>0</v>
      </c>
      <c r="N108" s="379">
        <f>IF($B108=" ",0,IF(Données!$N148="NON COUVERT",0,IF(AND(Données!$O148="oui",Données!$N148=0.5),MIN(VLOOKUP($F108,taux,9)/2,ROUNDUP(VLOOKUP($F108,taux,7)*$E108,-3)/2),IF(Données!$N148=0.5,MIN(VLOOKUP($F108,taux,8)/2,ROUNDUP(VLOOKUP($F108,taux,7)*$E108,-3)/2),ROUNDUP(IF(Données!$O148="OUI",MIN(VLOOKUP($F108,taux,7)*$E108,VLOOKUP($F108,taux,9)),MIN(VLOOKUP($F108,taux,7)*$E108,VLOOKUP($F108,taux,8))),-3)))))</f>
        <v>0</v>
      </c>
      <c r="O108" s="105">
        <f ca="1">IF(C108&gt;=70,0,IF($B108=" ",0,IF(Données!P148="non couvert"," ",Données!Q148)))</f>
        <v>0</v>
      </c>
      <c r="P108" s="106">
        <f>IF($B108=" ",0,IF(Données!$P148="exo",0,IF($O108="FAM",VLOOKUP($F108,taux,10),IF($O108="MONO",VLOOKUP($F108,taux,11),IF($O108="COUPLE",VLOOKUP($F108,taux,12),0)))))</f>
        <v>0</v>
      </c>
      <c r="Q108" s="107">
        <f ca="1">IF(C108&gt;=70,0,IF($B108=" ",0,IF(Données!$R148="NON COUVERT",0,ROUNDUP(IF(Données!$S148="OUI",MIN($E108*VLOOKUP($F108,taux,15)/52,VLOOKUP($F108,taux,17)),MIN($E108*VLOOKUP($F108,taux,15)/52,VLOOKUP($F108,taux,16))),0))))</f>
        <v>0</v>
      </c>
      <c r="R108" s="108">
        <f>IF($B108=" ",0,IF(Données!$R148="EXO",0,$Q108*VLOOKUP($F108,taux,13)/10))</f>
        <v>0</v>
      </c>
      <c r="S108" s="109">
        <f t="shared" ca="1" si="11"/>
        <v>0</v>
      </c>
      <c r="T108" s="110">
        <f>IF(B108=" ",0,IF(Données!$T148="exo",0,$S108*VLOOKUP($F108,taux,18)/100))</f>
        <v>0</v>
      </c>
      <c r="U108" s="109">
        <f>IF($B108=" ",0,IF(Données!$V148="non couvert",0,IF(VLOOKUP($F108,taux,29)="fixe","s/o",IF(Données!$W148="oui",MIN(ROUNDUP(VLOOKUP($F108,taux,31)*$E108,-3),VLOOKUP($F108,taux,33)),MIN(ROUNDUP(VLOOKUP($F108,taux,31)*$E108,-3),VLOOKUP($F108,taux,32))))))</f>
        <v>0</v>
      </c>
      <c r="V108" s="110">
        <f>IF(B108=" ",0,IF(Données!$V148="exo",0,IF(VLOOKUP($F108,taux,29)="fixe",VLOOKUP($F108,taux,30),$U108/1000*VLOOKUP($F108,taux,30))))</f>
        <v>0</v>
      </c>
      <c r="W108" s="110">
        <f t="shared" si="8"/>
        <v>0</v>
      </c>
      <c r="X108" s="383">
        <f>IF(B108=" ",0,EDATE((Données!E148),780))</f>
        <v>0</v>
      </c>
      <c r="Y108" s="383">
        <f t="shared" si="9"/>
        <v>0</v>
      </c>
      <c r="Z108" s="384">
        <f>IF($B108=" ",0,IF(Données!$T148="non couvert",0,IF(Données!$U148="oui",MIN(VLOOKUP($F108,taux,26),ROUNDUP(IF($E108/12&gt;VLOOKUP($F108,taux,21)+VLOOKUP($F108,taux,23),(VLOOKUP($F108,taux,20)*VLOOKUP($F108,taux,21))+(VLOOKUP($F108,taux,22)*VLOOKUP($F108,taux,23))+($E108/12-VLOOKUP($F108,taux,21)-VLOOKUP($F108,taux,23))*VLOOKUP($F108,taux,24),IF($E108/12&gt;VLOOKUP($F108,taux,21),(VLOOKUP($F108,taux,20)*VLOOKUP($F108,taux,21))+($E108/12-VLOOKUP($F108,taux,21))*VLOOKUP($F108,taux,22),$E108/12*VLOOKUP($F108,taux,20))),0)),MIN(VLOOKUP($F108,taux,25),ROUNDUP(IF($E108/12&gt;VLOOKUP($F108,taux,21)+VLOOKUP($F108,taux,23),(VLOOKUP($F108,taux,20)*VLOOKUP($F108,taux,21))+(VLOOKUP($F108,taux,22)*VLOOKUP($F108,taux,23))+($E108/12-VLOOKUP($F108,taux,21)-VLOOKUP($F108,taux,23))*VLOOKUP($F108,taux,24),IF($E108/12&gt;VLOOKUP($F108,taux,21),(VLOOKUP($F108,taux,20)*VLOOKUP($F108,taux,21))+($E108/12-VLOOKUP($F108,taux,21))*VLOOKUP($F108,taux,22),$E108/12*VLOOKUP($F108,taux,20))),0)))))</f>
        <v>0</v>
      </c>
      <c r="AA108" s="111">
        <f ca="1">IF(C108&gt;=70,0,IF($B108=" ",0,IF(Données!$X148="non couvert"," ",Données!Y148)))</f>
        <v>0</v>
      </c>
      <c r="AB108" s="110">
        <f>IF($B108=" ",0,IF(Données!$X148="exo",0,IF($AA108="ind",VLOOKUP($F108,taux,34),IF($AA108="fam",VLOOKUP($F108,taux,35),IF($AA108="mono",VLOOKUP($F108,taux,36),IF($AA108="couple",VLOOKUP($F108,taux,37),0))))))</f>
        <v>0</v>
      </c>
      <c r="AC108" s="111">
        <f ca="1">IF(C108&gt;=70,0,IF($B108=" ",0,IF(Données!$Z148="non couvert"," ",Données!AA148)))</f>
        <v>0</v>
      </c>
      <c r="AD108" s="110">
        <f>IF($B108=" ",0,IF(Données!$Z148="exo",0,IF($AC108="ind",VLOOKUP($F108,taux,38),IF($AC108="fam",VLOOKUP($F108,taux,39),IF($AC108="mono",VLOOKUP($F108,taux,40),IF($AC108="couple",VLOOKUP($F108,taux,41),0))))))</f>
        <v>0</v>
      </c>
      <c r="AE108" s="112">
        <f>IF($B108=" ",0,IF(Données!$AB148="non couvert"," ",Données!AC148))</f>
        <v>0</v>
      </c>
      <c r="AF108" s="113">
        <f>IF($B108=" ",0,IF(Données!$AB148="exo",0,IF($AE108="ind",VLOOKUP($F108,taux,42),IF($AE108="fam",VLOOKUP($F108,taux,43),IF($AE108="mono",VLOOKUP($F108,taux,44),IF($AE108="couple",VLOOKUP($F108,taux,45),0))))))</f>
        <v>0</v>
      </c>
      <c r="AG108" s="114">
        <f t="shared" ca="1" si="10"/>
        <v>0</v>
      </c>
      <c r="AH108" s="114">
        <f>IF($B108=" ",0,IF(Données!J148="Manitoba",(Facture!H108+Facture!J108+Facture!L108+Facture!P108+Facture!R108+Facture!T108)*0.08,(AG108-W108)*IF(Données!$J148="qc",0.09,IF(Données!$J148="on",0.08,0))+W108*VLOOKUP($F108,taux,28)))</f>
        <v>0</v>
      </c>
      <c r="AI108" s="106">
        <f t="shared" ca="1" si="12"/>
        <v>0</v>
      </c>
    </row>
    <row r="109" spans="1:35" s="64" customFormat="1">
      <c r="A109" s="89">
        <f t="shared" si="13"/>
        <v>95</v>
      </c>
      <c r="B109" s="99" t="str">
        <f>CONCATENATE(Données!B149," ",Données!C149)</f>
        <v xml:space="preserve"> </v>
      </c>
      <c r="C109" s="410">
        <f ca="1">IF(B109="",0,INT((TODAY()-Données!E149)/365.25))</f>
        <v>119</v>
      </c>
      <c r="D109" s="100">
        <f>Données!D149</f>
        <v>0</v>
      </c>
      <c r="E109" s="101">
        <f>Données!I149</f>
        <v>0</v>
      </c>
      <c r="F109" s="102" t="str">
        <f>Données!AD149</f>
        <v/>
      </c>
      <c r="G109" s="103">
        <f ca="1">INDEX({1;0.5;0},MATCH(C109,{1;65;70}))*M109</f>
        <v>0</v>
      </c>
      <c r="H109" s="104">
        <f>IF($B109=" ",0,IF(Données!$K149="exo",0,$G109/1000*VLOOKUP($F109,taux,2)))</f>
        <v>0</v>
      </c>
      <c r="I109" s="398">
        <f ca="1">IF(C109&gt;=65,0,Données!M149*5000)</f>
        <v>0</v>
      </c>
      <c r="J109" s="104">
        <f ca="1">I109/1000*(IF(I109=0,0,1)*VLOOKUP((1+(C109&gt;=20)+(C109&gt;=25)+(C109&gt;=30)+(C109&gt;=35)+(C109&gt;=40)+(C109&gt;=45)+(C109&gt;=50)+(C109&gt;=55)+(C109&gt;=60)+(C109&gt;=65)),Test,2+(IF(Données!F149="H",1,3))+(IF(Données!G149="F",1,0))))</f>
        <v>0</v>
      </c>
      <c r="K109" s="103">
        <f ca="1">INDEX({1;0.5;0},MATCH(C109,{1;65;70}))*M109</f>
        <v>0</v>
      </c>
      <c r="L109" s="104">
        <f>IF($B109=" ",0,IF(Données!$N149="exo",0,$K109/1000*VLOOKUP($F109,taux,6)))</f>
        <v>0</v>
      </c>
      <c r="M109" s="379">
        <f>IF($B109=" ",0,IF(Données!$K149="NON COUVERT",0,IF(AND(Données!$L149="oui",Données!$K149=0.5),MIN(VLOOKUP($F109,taux,5)/2,ROUNDUP(VLOOKUP($F109,taux,3)*$E109,-3)/2),IF(Données!$K149=0.5,MIN(VLOOKUP($F109,taux,4)/2,ROUNDUP(VLOOKUP($F109,taux,3)*$E109,-3)/2),ROUNDUP(IF(Données!$L149="OUI",MIN(VLOOKUP($F109,taux,3)*$E109,VLOOKUP($F109,taux,5)),MIN(VLOOKUP($F109,taux,3)*$E109,VLOOKUP($F109,taux,4))),-3)))))</f>
        <v>0</v>
      </c>
      <c r="N109" s="379">
        <f>IF($B109=" ",0,IF(Données!$N149="NON COUVERT",0,IF(AND(Données!$O149="oui",Données!$N149=0.5),MIN(VLOOKUP($F109,taux,9)/2,ROUNDUP(VLOOKUP($F109,taux,7)*$E109,-3)/2),IF(Données!$N149=0.5,MIN(VLOOKUP($F109,taux,8)/2,ROUNDUP(VLOOKUP($F109,taux,7)*$E109,-3)/2),ROUNDUP(IF(Données!$O149="OUI",MIN(VLOOKUP($F109,taux,7)*$E109,VLOOKUP($F109,taux,9)),MIN(VLOOKUP($F109,taux,7)*$E109,VLOOKUP($F109,taux,8))),-3)))))</f>
        <v>0</v>
      </c>
      <c r="O109" s="105">
        <f ca="1">IF(C109&gt;=70,0,IF($B109=" ",0,IF(Données!P149="non couvert"," ",Données!Q149)))</f>
        <v>0</v>
      </c>
      <c r="P109" s="106">
        <f>IF($B109=" ",0,IF(Données!$P149="exo",0,IF($O109="FAM",VLOOKUP($F109,taux,10),IF($O109="MONO",VLOOKUP($F109,taux,11),IF($O109="COUPLE",VLOOKUP($F109,taux,12),0)))))</f>
        <v>0</v>
      </c>
      <c r="Q109" s="107">
        <f ca="1">IF(C109&gt;=70,0,IF($B109=" ",0,IF(Données!$R149="NON COUVERT",0,ROUNDUP(IF(Données!$S149="OUI",MIN($E109*VLOOKUP($F109,taux,15)/52,VLOOKUP($F109,taux,17)),MIN($E109*VLOOKUP($F109,taux,15)/52,VLOOKUP($F109,taux,16))),0))))</f>
        <v>0</v>
      </c>
      <c r="R109" s="108">
        <f>IF($B109=" ",0,IF(Données!$R149="EXO",0,$Q109*VLOOKUP($F109,taux,13)/10))</f>
        <v>0</v>
      </c>
      <c r="S109" s="109">
        <f t="shared" ca="1" si="11"/>
        <v>0</v>
      </c>
      <c r="T109" s="110">
        <f>IF(B109=" ",0,IF(Données!$T149="exo",0,$S109*VLOOKUP($F109,taux,18)/100))</f>
        <v>0</v>
      </c>
      <c r="U109" s="109">
        <f>IF($B109=" ",0,IF(Données!$V149="non couvert",0,IF(VLOOKUP($F109,taux,29)="fixe","s/o",IF(Données!$W149="oui",MIN(ROUNDUP(VLOOKUP($F109,taux,31)*$E109,-3),VLOOKUP($F109,taux,33)),MIN(ROUNDUP(VLOOKUP($F109,taux,31)*$E109,-3),VLOOKUP($F109,taux,32))))))</f>
        <v>0</v>
      </c>
      <c r="V109" s="110">
        <f>IF(B109=" ",0,IF(Données!$V149="exo",0,IF(VLOOKUP($F109,taux,29)="fixe",VLOOKUP($F109,taux,30),$U109/1000*VLOOKUP($F109,taux,30))))</f>
        <v>0</v>
      </c>
      <c r="W109" s="110">
        <f t="shared" si="8"/>
        <v>0</v>
      </c>
      <c r="X109" s="383">
        <f>IF(B109=" ",0,EDATE((Données!E149),780))</f>
        <v>0</v>
      </c>
      <c r="Y109" s="383">
        <f t="shared" si="9"/>
        <v>0</v>
      </c>
      <c r="Z109" s="384">
        <f>IF($B109=" ",0,IF(Données!$T149="non couvert",0,IF(Données!$U149="oui",MIN(VLOOKUP($F109,taux,26),ROUNDUP(IF($E109/12&gt;VLOOKUP($F109,taux,21)+VLOOKUP($F109,taux,23),(VLOOKUP($F109,taux,20)*VLOOKUP($F109,taux,21))+(VLOOKUP($F109,taux,22)*VLOOKUP($F109,taux,23))+($E109/12-VLOOKUP($F109,taux,21)-VLOOKUP($F109,taux,23))*VLOOKUP($F109,taux,24),IF($E109/12&gt;VLOOKUP($F109,taux,21),(VLOOKUP($F109,taux,20)*VLOOKUP($F109,taux,21))+($E109/12-VLOOKUP($F109,taux,21))*VLOOKUP($F109,taux,22),$E109/12*VLOOKUP($F109,taux,20))),0)),MIN(VLOOKUP($F109,taux,25),ROUNDUP(IF($E109/12&gt;VLOOKUP($F109,taux,21)+VLOOKUP($F109,taux,23),(VLOOKUP($F109,taux,20)*VLOOKUP($F109,taux,21))+(VLOOKUP($F109,taux,22)*VLOOKUP($F109,taux,23))+($E109/12-VLOOKUP($F109,taux,21)-VLOOKUP($F109,taux,23))*VLOOKUP($F109,taux,24),IF($E109/12&gt;VLOOKUP($F109,taux,21),(VLOOKUP($F109,taux,20)*VLOOKUP($F109,taux,21))+($E109/12-VLOOKUP($F109,taux,21))*VLOOKUP($F109,taux,22),$E109/12*VLOOKUP($F109,taux,20))),0)))))</f>
        <v>0</v>
      </c>
      <c r="AA109" s="111">
        <f ca="1">IF(C109&gt;=70,0,IF($B109=" ",0,IF(Données!$X149="non couvert"," ",Données!Y149)))</f>
        <v>0</v>
      </c>
      <c r="AB109" s="110">
        <f>IF($B109=" ",0,IF(Données!$X149="exo",0,IF($AA109="ind",VLOOKUP($F109,taux,34),IF($AA109="fam",VLOOKUP($F109,taux,35),IF($AA109="mono",VLOOKUP($F109,taux,36),IF($AA109="couple",VLOOKUP($F109,taux,37),0))))))</f>
        <v>0</v>
      </c>
      <c r="AC109" s="111">
        <f ca="1">IF(C109&gt;=70,0,IF($B109=" ",0,IF(Données!$Z149="non couvert"," ",Données!AA149)))</f>
        <v>0</v>
      </c>
      <c r="AD109" s="110">
        <f>IF($B109=" ",0,IF(Données!$Z149="exo",0,IF($AC109="ind",VLOOKUP($F109,taux,38),IF($AC109="fam",VLOOKUP($F109,taux,39),IF($AC109="mono",VLOOKUP($F109,taux,40),IF($AC109="couple",VLOOKUP($F109,taux,41),0))))))</f>
        <v>0</v>
      </c>
      <c r="AE109" s="112">
        <f>IF($B109=" ",0,IF(Données!$AB149="non couvert"," ",Données!AC149))</f>
        <v>0</v>
      </c>
      <c r="AF109" s="113">
        <f>IF($B109=" ",0,IF(Données!$AB149="exo",0,IF($AE109="ind",VLOOKUP($F109,taux,42),IF($AE109="fam",VLOOKUP($F109,taux,43),IF($AE109="mono",VLOOKUP($F109,taux,44),IF($AE109="couple",VLOOKUP($F109,taux,45),0))))))</f>
        <v>0</v>
      </c>
      <c r="AG109" s="114">
        <f t="shared" ca="1" si="10"/>
        <v>0</v>
      </c>
      <c r="AH109" s="114">
        <f>IF($B109=" ",0,IF(Données!J149="Manitoba",(Facture!H109+Facture!J109+Facture!L109+Facture!P109+Facture!R109+Facture!T109)*0.08,(AG109-W109)*IF(Données!$J149="qc",0.09,IF(Données!$J149="on",0.08,0))+W109*VLOOKUP($F109,taux,28)))</f>
        <v>0</v>
      </c>
      <c r="AI109" s="106">
        <f t="shared" ca="1" si="12"/>
        <v>0</v>
      </c>
    </row>
    <row r="110" spans="1:35" s="64" customFormat="1">
      <c r="A110" s="89">
        <f t="shared" si="13"/>
        <v>96</v>
      </c>
      <c r="B110" s="99" t="str">
        <f>CONCATENATE(Données!B150," ",Données!C150)</f>
        <v xml:space="preserve"> </v>
      </c>
      <c r="C110" s="410">
        <f ca="1">IF(B110="",0,INT((TODAY()-Données!E150)/365.25))</f>
        <v>119</v>
      </c>
      <c r="D110" s="100">
        <f>Données!D150</f>
        <v>0</v>
      </c>
      <c r="E110" s="101">
        <f>Données!I150</f>
        <v>0</v>
      </c>
      <c r="F110" s="102" t="str">
        <f>Données!AD150</f>
        <v/>
      </c>
      <c r="G110" s="103">
        <f ca="1">INDEX({1;0.5;0},MATCH(C110,{1;65;70}))*M110</f>
        <v>0</v>
      </c>
      <c r="H110" s="104">
        <f>IF($B110=" ",0,IF(Données!$K150="exo",0,$G110/1000*VLOOKUP($F110,taux,2)))</f>
        <v>0</v>
      </c>
      <c r="I110" s="398">
        <f ca="1">IF(C110&gt;=65,0,Données!M150*5000)</f>
        <v>0</v>
      </c>
      <c r="J110" s="104">
        <f ca="1">I110/1000*(IF(I110=0,0,1)*VLOOKUP((1+(C110&gt;=20)+(C110&gt;=25)+(C110&gt;=30)+(C110&gt;=35)+(C110&gt;=40)+(C110&gt;=45)+(C110&gt;=50)+(C110&gt;=55)+(C110&gt;=60)+(C110&gt;=65)),Test,2+(IF(Données!F150="H",1,3))+(IF(Données!G150="F",1,0))))</f>
        <v>0</v>
      </c>
      <c r="K110" s="103">
        <f ca="1">INDEX({1;0.5;0},MATCH(C110,{1;65;70}))*M110</f>
        <v>0</v>
      </c>
      <c r="L110" s="104">
        <f>IF($B110=" ",0,IF(Données!$N150="exo",0,$K110/1000*VLOOKUP($F110,taux,6)))</f>
        <v>0</v>
      </c>
      <c r="M110" s="379">
        <f>IF($B110=" ",0,IF(Données!$K150="NON COUVERT",0,IF(AND(Données!$L150="oui",Données!$K150=0.5),MIN(VLOOKUP($F110,taux,5)/2,ROUNDUP(VLOOKUP($F110,taux,3)*$E110,-3)/2),IF(Données!$K150=0.5,MIN(VLOOKUP($F110,taux,4)/2,ROUNDUP(VLOOKUP($F110,taux,3)*$E110,-3)/2),ROUNDUP(IF(Données!$L150="OUI",MIN(VLOOKUP($F110,taux,3)*$E110,VLOOKUP($F110,taux,5)),MIN(VLOOKUP($F110,taux,3)*$E110,VLOOKUP($F110,taux,4))),-3)))))</f>
        <v>0</v>
      </c>
      <c r="N110" s="379">
        <f>IF($B110=" ",0,IF(Données!$N150="NON COUVERT",0,IF(AND(Données!$O150="oui",Données!$N150=0.5),MIN(VLOOKUP($F110,taux,9)/2,ROUNDUP(VLOOKUP($F110,taux,7)*$E110,-3)/2),IF(Données!$N150=0.5,MIN(VLOOKUP($F110,taux,8)/2,ROUNDUP(VLOOKUP($F110,taux,7)*$E110,-3)/2),ROUNDUP(IF(Données!$O150="OUI",MIN(VLOOKUP($F110,taux,7)*$E110,VLOOKUP($F110,taux,9)),MIN(VLOOKUP($F110,taux,7)*$E110,VLOOKUP($F110,taux,8))),-3)))))</f>
        <v>0</v>
      </c>
      <c r="O110" s="105">
        <f ca="1">IF(C110&gt;=70,0,IF($B110=" ",0,IF(Données!P150="non couvert"," ",Données!Q150)))</f>
        <v>0</v>
      </c>
      <c r="P110" s="106">
        <f>IF($B110=" ",0,IF(Données!$P150="exo",0,IF($O110="FAM",VLOOKUP($F110,taux,10),IF($O110="MONO",VLOOKUP($F110,taux,11),IF($O110="COUPLE",VLOOKUP($F110,taux,12),0)))))</f>
        <v>0</v>
      </c>
      <c r="Q110" s="107">
        <f ca="1">IF(C110&gt;=70,0,IF($B110=" ",0,IF(Données!$R150="NON COUVERT",0,ROUNDUP(IF(Données!$S150="OUI",MIN($E110*VLOOKUP($F110,taux,15)/52,VLOOKUP($F110,taux,17)),MIN($E110*VLOOKUP($F110,taux,15)/52,VLOOKUP($F110,taux,16))),0))))</f>
        <v>0</v>
      </c>
      <c r="R110" s="108">
        <f>IF($B110=" ",0,IF(Données!$R150="EXO",0,$Q110*VLOOKUP($F110,taux,13)/10))</f>
        <v>0</v>
      </c>
      <c r="S110" s="109">
        <f t="shared" ca="1" si="11"/>
        <v>0</v>
      </c>
      <c r="T110" s="110">
        <f>IF(B110=" ",0,IF(Données!$T150="exo",0,$S110*VLOOKUP($F110,taux,18)/100))</f>
        <v>0</v>
      </c>
      <c r="U110" s="109">
        <f>IF($B110=" ",0,IF(Données!$V150="non couvert",0,IF(VLOOKUP($F110,taux,29)="fixe","s/o",IF(Données!$W150="oui",MIN(ROUNDUP(VLOOKUP($F110,taux,31)*$E110,-3),VLOOKUP($F110,taux,33)),MIN(ROUNDUP(VLOOKUP($F110,taux,31)*$E110,-3),VLOOKUP($F110,taux,32))))))</f>
        <v>0</v>
      </c>
      <c r="V110" s="110">
        <f>IF(B110=" ",0,IF(Données!$V150="exo",0,IF(VLOOKUP($F110,taux,29)="fixe",VLOOKUP($F110,taux,30),$U110/1000*VLOOKUP($F110,taux,30))))</f>
        <v>0</v>
      </c>
      <c r="W110" s="110">
        <f t="shared" si="8"/>
        <v>0</v>
      </c>
      <c r="X110" s="383">
        <f>IF(B110=" ",0,EDATE((Données!E150),780))</f>
        <v>0</v>
      </c>
      <c r="Y110" s="383">
        <f t="shared" si="9"/>
        <v>0</v>
      </c>
      <c r="Z110" s="384">
        <f>IF($B110=" ",0,IF(Données!$T150="non couvert",0,IF(Données!$U150="oui",MIN(VLOOKUP($F110,taux,26),ROUNDUP(IF($E110/12&gt;VLOOKUP($F110,taux,21)+VLOOKUP($F110,taux,23),(VLOOKUP($F110,taux,20)*VLOOKUP($F110,taux,21))+(VLOOKUP($F110,taux,22)*VLOOKUP($F110,taux,23))+($E110/12-VLOOKUP($F110,taux,21)-VLOOKUP($F110,taux,23))*VLOOKUP($F110,taux,24),IF($E110/12&gt;VLOOKUP($F110,taux,21),(VLOOKUP($F110,taux,20)*VLOOKUP($F110,taux,21))+($E110/12-VLOOKUP($F110,taux,21))*VLOOKUP($F110,taux,22),$E110/12*VLOOKUP($F110,taux,20))),0)),MIN(VLOOKUP($F110,taux,25),ROUNDUP(IF($E110/12&gt;VLOOKUP($F110,taux,21)+VLOOKUP($F110,taux,23),(VLOOKUP($F110,taux,20)*VLOOKUP($F110,taux,21))+(VLOOKUP($F110,taux,22)*VLOOKUP($F110,taux,23))+($E110/12-VLOOKUP($F110,taux,21)-VLOOKUP($F110,taux,23))*VLOOKUP($F110,taux,24),IF($E110/12&gt;VLOOKUP($F110,taux,21),(VLOOKUP($F110,taux,20)*VLOOKUP($F110,taux,21))+($E110/12-VLOOKUP($F110,taux,21))*VLOOKUP($F110,taux,22),$E110/12*VLOOKUP($F110,taux,20))),0)))))</f>
        <v>0</v>
      </c>
      <c r="AA110" s="111">
        <f ca="1">IF(C110&gt;=70,0,IF($B110=" ",0,IF(Données!$X150="non couvert"," ",Données!Y150)))</f>
        <v>0</v>
      </c>
      <c r="AB110" s="110">
        <f>IF($B110=" ",0,IF(Données!$X150="exo",0,IF($AA110="ind",VLOOKUP($F110,taux,34),IF($AA110="fam",VLOOKUP($F110,taux,35),IF($AA110="mono",VLOOKUP($F110,taux,36),IF($AA110="couple",VLOOKUP($F110,taux,37),0))))))</f>
        <v>0</v>
      </c>
      <c r="AC110" s="111">
        <f ca="1">IF(C110&gt;=70,0,IF($B110=" ",0,IF(Données!$Z150="non couvert"," ",Données!AA150)))</f>
        <v>0</v>
      </c>
      <c r="AD110" s="110">
        <f>IF($B110=" ",0,IF(Données!$Z150="exo",0,IF($AC110="ind",VLOOKUP($F110,taux,38),IF($AC110="fam",VLOOKUP($F110,taux,39),IF($AC110="mono",VLOOKUP($F110,taux,40),IF($AC110="couple",VLOOKUP($F110,taux,41),0))))))</f>
        <v>0</v>
      </c>
      <c r="AE110" s="112">
        <f>IF($B110=" ",0,IF(Données!$AB150="non couvert"," ",Données!AC150))</f>
        <v>0</v>
      </c>
      <c r="AF110" s="113">
        <f>IF($B110=" ",0,IF(Données!$AB150="exo",0,IF($AE110="ind",VLOOKUP($F110,taux,42),IF($AE110="fam",VLOOKUP($F110,taux,43),IF($AE110="mono",VLOOKUP($F110,taux,44),IF($AE110="couple",VLOOKUP($F110,taux,45),0))))))</f>
        <v>0</v>
      </c>
      <c r="AG110" s="114">
        <f t="shared" ca="1" si="10"/>
        <v>0</v>
      </c>
      <c r="AH110" s="114">
        <f>IF($B110=" ",0,IF(Données!J150="Manitoba",(Facture!H110+Facture!J110+Facture!L110+Facture!P110+Facture!R110+Facture!T110)*0.08,(AG110-W110)*IF(Données!$J150="qc",0.09,IF(Données!$J150="on",0.08,0))+W110*VLOOKUP($F110,taux,28)))</f>
        <v>0</v>
      </c>
      <c r="AI110" s="106">
        <f t="shared" ca="1" si="12"/>
        <v>0</v>
      </c>
    </row>
    <row r="111" spans="1:35" s="64" customFormat="1">
      <c r="A111" s="89">
        <f t="shared" si="13"/>
        <v>97</v>
      </c>
      <c r="B111" s="99" t="str">
        <f>CONCATENATE(Données!B151," ",Données!C151)</f>
        <v xml:space="preserve"> </v>
      </c>
      <c r="C111" s="410">
        <f ca="1">IF(B111="",0,INT((TODAY()-Données!E151)/365.25))</f>
        <v>119</v>
      </c>
      <c r="D111" s="100">
        <f>Données!D151</f>
        <v>0</v>
      </c>
      <c r="E111" s="101">
        <f>Données!I151</f>
        <v>0</v>
      </c>
      <c r="F111" s="102" t="str">
        <f>Données!AD151</f>
        <v/>
      </c>
      <c r="G111" s="103">
        <f ca="1">INDEX({1;0.5;0},MATCH(C111,{1;65;70}))*M111</f>
        <v>0</v>
      </c>
      <c r="H111" s="104">
        <f>IF($B111=" ",0,IF(Données!$K151="exo",0,$G111/1000*VLOOKUP($F111,taux,2)))</f>
        <v>0</v>
      </c>
      <c r="I111" s="398">
        <f ca="1">IF(C111&gt;=65,0,Données!M151*5000)</f>
        <v>0</v>
      </c>
      <c r="J111" s="104">
        <f ca="1">I111/1000*(IF(I111=0,0,1)*VLOOKUP((1+(C111&gt;=20)+(C111&gt;=25)+(C111&gt;=30)+(C111&gt;=35)+(C111&gt;=40)+(C111&gt;=45)+(C111&gt;=50)+(C111&gt;=55)+(C111&gt;=60)+(C111&gt;=65)),Test,2+(IF(Données!F151="H",1,3))+(IF(Données!G151="F",1,0))))</f>
        <v>0</v>
      </c>
      <c r="K111" s="103">
        <f ca="1">INDEX({1;0.5;0},MATCH(C111,{1;65;70}))*M111</f>
        <v>0</v>
      </c>
      <c r="L111" s="104">
        <f>IF($B111=" ",0,IF(Données!$N151="exo",0,$K111/1000*VLOOKUP($F111,taux,6)))</f>
        <v>0</v>
      </c>
      <c r="M111" s="379">
        <f>IF($B111=" ",0,IF(Données!$K151="NON COUVERT",0,IF(AND(Données!$L151="oui",Données!$K151=0.5),MIN(VLOOKUP($F111,taux,5)/2,ROUNDUP(VLOOKUP($F111,taux,3)*$E111,-3)/2),IF(Données!$K151=0.5,MIN(VLOOKUP($F111,taux,4)/2,ROUNDUP(VLOOKUP($F111,taux,3)*$E111,-3)/2),ROUNDUP(IF(Données!$L151="OUI",MIN(VLOOKUP($F111,taux,3)*$E111,VLOOKUP($F111,taux,5)),MIN(VLOOKUP($F111,taux,3)*$E111,VLOOKUP($F111,taux,4))),-3)))))</f>
        <v>0</v>
      </c>
      <c r="N111" s="379">
        <f>IF($B111=" ",0,IF(Données!$N151="NON COUVERT",0,IF(AND(Données!$O151="oui",Données!$N151=0.5),MIN(VLOOKUP($F111,taux,9)/2,ROUNDUP(VLOOKUP($F111,taux,7)*$E111,-3)/2),IF(Données!$N151=0.5,MIN(VLOOKUP($F111,taux,8)/2,ROUNDUP(VLOOKUP($F111,taux,7)*$E111,-3)/2),ROUNDUP(IF(Données!$O151="OUI",MIN(VLOOKUP($F111,taux,7)*$E111,VLOOKUP($F111,taux,9)),MIN(VLOOKUP($F111,taux,7)*$E111,VLOOKUP($F111,taux,8))),-3)))))</f>
        <v>0</v>
      </c>
      <c r="O111" s="105">
        <f ca="1">IF(C111&gt;=70,0,IF($B111=" ",0,IF(Données!P151="non couvert"," ",Données!Q151)))</f>
        <v>0</v>
      </c>
      <c r="P111" s="106">
        <f>IF($B111=" ",0,IF(Données!$P151="exo",0,IF($O111="FAM",VLOOKUP($F111,taux,10),IF($O111="MONO",VLOOKUP($F111,taux,11),IF($O111="COUPLE",VLOOKUP($F111,taux,12),0)))))</f>
        <v>0</v>
      </c>
      <c r="Q111" s="107">
        <f ca="1">IF(C111&gt;=70,0,IF($B111=" ",0,IF(Données!$R151="NON COUVERT",0,ROUNDUP(IF(Données!$S151="OUI",MIN($E111*VLOOKUP($F111,taux,15)/52,VLOOKUP($F111,taux,17)),MIN($E111*VLOOKUP($F111,taux,15)/52,VLOOKUP($F111,taux,16))),0))))</f>
        <v>0</v>
      </c>
      <c r="R111" s="108">
        <f>IF($B111=" ",0,IF(Données!$R151="EXO",0,$Q111*VLOOKUP($F111,taux,13)/10))</f>
        <v>0</v>
      </c>
      <c r="S111" s="109">
        <f t="shared" ca="1" si="11"/>
        <v>0</v>
      </c>
      <c r="T111" s="110">
        <f>IF(B111=" ",0,IF(Données!$T151="exo",0,$S111*VLOOKUP($F111,taux,18)/100))</f>
        <v>0</v>
      </c>
      <c r="U111" s="109">
        <f>IF($B111=" ",0,IF(Données!$V151="non couvert",0,IF(VLOOKUP($F111,taux,29)="fixe","s/o",IF(Données!$W151="oui",MIN(ROUNDUP(VLOOKUP($F111,taux,31)*$E111,-3),VLOOKUP($F111,taux,33)),MIN(ROUNDUP(VLOOKUP($F111,taux,31)*$E111,-3),VLOOKUP($F111,taux,32))))))</f>
        <v>0</v>
      </c>
      <c r="V111" s="110">
        <f>IF(B111=" ",0,IF(Données!$V151="exo",0,IF(VLOOKUP($F111,taux,29)="fixe",VLOOKUP($F111,taux,30),$U111/1000*VLOOKUP($F111,taux,30))))</f>
        <v>0</v>
      </c>
      <c r="W111" s="110">
        <f t="shared" si="8"/>
        <v>0</v>
      </c>
      <c r="X111" s="383">
        <f>IF(B111=" ",0,EDATE((Données!E151),780))</f>
        <v>0</v>
      </c>
      <c r="Y111" s="383">
        <f t="shared" ref="Y111:Y142" si="14">IF(B111=" ",0,DATE(YEAR(X111)+0,MONTH(X111)+0,DAY(X111)-Y$7))</f>
        <v>0</v>
      </c>
      <c r="Z111" s="384">
        <f>IF($B111=" ",0,IF(Données!$T151="non couvert",0,IF(Données!$U151="oui",MIN(VLOOKUP($F111,taux,26),ROUNDUP(IF($E111/12&gt;VLOOKUP($F111,taux,21)+VLOOKUP($F111,taux,23),(VLOOKUP($F111,taux,20)*VLOOKUP($F111,taux,21))+(VLOOKUP($F111,taux,22)*VLOOKUP($F111,taux,23))+($E111/12-VLOOKUP($F111,taux,21)-VLOOKUP($F111,taux,23))*VLOOKUP($F111,taux,24),IF($E111/12&gt;VLOOKUP($F111,taux,21),(VLOOKUP($F111,taux,20)*VLOOKUP($F111,taux,21))+($E111/12-VLOOKUP($F111,taux,21))*VLOOKUP($F111,taux,22),$E111/12*VLOOKUP($F111,taux,20))),0)),MIN(VLOOKUP($F111,taux,25),ROUNDUP(IF($E111/12&gt;VLOOKUP($F111,taux,21)+VLOOKUP($F111,taux,23),(VLOOKUP($F111,taux,20)*VLOOKUP($F111,taux,21))+(VLOOKUP($F111,taux,22)*VLOOKUP($F111,taux,23))+($E111/12-VLOOKUP($F111,taux,21)-VLOOKUP($F111,taux,23))*VLOOKUP($F111,taux,24),IF($E111/12&gt;VLOOKUP($F111,taux,21),(VLOOKUP($F111,taux,20)*VLOOKUP($F111,taux,21))+($E111/12-VLOOKUP($F111,taux,21))*VLOOKUP($F111,taux,22),$E111/12*VLOOKUP($F111,taux,20))),0)))))</f>
        <v>0</v>
      </c>
      <c r="AA111" s="111">
        <f ca="1">IF(C111&gt;=70,0,IF($B111=" ",0,IF(Données!$X151="non couvert"," ",Données!Y151)))</f>
        <v>0</v>
      </c>
      <c r="AB111" s="110">
        <f>IF($B111=" ",0,IF(Données!$X151="exo",0,IF($AA111="ind",VLOOKUP($F111,taux,34),IF($AA111="fam",VLOOKUP($F111,taux,35),IF($AA111="mono",VLOOKUP($F111,taux,36),IF($AA111="couple",VLOOKUP($F111,taux,37),0))))))</f>
        <v>0</v>
      </c>
      <c r="AC111" s="111">
        <f ca="1">IF(C111&gt;=70,0,IF($B111=" ",0,IF(Données!$Z151="non couvert"," ",Données!AA151)))</f>
        <v>0</v>
      </c>
      <c r="AD111" s="110">
        <f>IF($B111=" ",0,IF(Données!$Z151="exo",0,IF($AC111="ind",VLOOKUP($F111,taux,38),IF($AC111="fam",VLOOKUP($F111,taux,39),IF($AC111="mono",VLOOKUP($F111,taux,40),IF($AC111="couple",VLOOKUP($F111,taux,41),0))))))</f>
        <v>0</v>
      </c>
      <c r="AE111" s="112">
        <f>IF($B111=" ",0,IF(Données!$AB151="non couvert"," ",Données!AC151))</f>
        <v>0</v>
      </c>
      <c r="AF111" s="113">
        <f>IF($B111=" ",0,IF(Données!$AB151="exo",0,IF($AE111="ind",VLOOKUP($F111,taux,42),IF($AE111="fam",VLOOKUP($F111,taux,43),IF($AE111="mono",VLOOKUP($F111,taux,44),IF($AE111="couple",VLOOKUP($F111,taux,45),0))))))</f>
        <v>0</v>
      </c>
      <c r="AG111" s="114">
        <f t="shared" ref="AG111:AG142" ca="1" si="15">H111+J111+L111+P111+R111+T111+V111+W111+AB111+AD111+AF111</f>
        <v>0</v>
      </c>
      <c r="AH111" s="114">
        <f>IF($B111=" ",0,IF(Données!J151="Manitoba",(Facture!H111+Facture!J111+Facture!L111+Facture!P111+Facture!R111+Facture!T111)*0.08,(AG111-W111)*IF(Données!$J151="qc",0.09,IF(Données!$J151="on",0.08,0))+W111*VLOOKUP($F111,taux,28)))</f>
        <v>0</v>
      </c>
      <c r="AI111" s="106">
        <f t="shared" ca="1" si="12"/>
        <v>0</v>
      </c>
    </row>
    <row r="112" spans="1:35" s="64" customFormat="1">
      <c r="A112" s="89">
        <f t="shared" si="13"/>
        <v>98</v>
      </c>
      <c r="B112" s="99" t="str">
        <f>CONCATENATE(Données!B152," ",Données!C152)</f>
        <v xml:space="preserve"> </v>
      </c>
      <c r="C112" s="410">
        <f ca="1">IF(B112="",0,INT((TODAY()-Données!E152)/365.25))</f>
        <v>119</v>
      </c>
      <c r="D112" s="100">
        <f>Données!D152</f>
        <v>0</v>
      </c>
      <c r="E112" s="101">
        <f>Données!I152</f>
        <v>0</v>
      </c>
      <c r="F112" s="102" t="str">
        <f>Données!AD152</f>
        <v/>
      </c>
      <c r="G112" s="103">
        <f ca="1">INDEX({1;0.5;0},MATCH(C112,{1;65;70}))*M112</f>
        <v>0</v>
      </c>
      <c r="H112" s="104">
        <f>IF($B112=" ",0,IF(Données!$K152="exo",0,$G112/1000*VLOOKUP($F112,taux,2)))</f>
        <v>0</v>
      </c>
      <c r="I112" s="398">
        <f ca="1">IF(C112&gt;=65,0,Données!M152*5000)</f>
        <v>0</v>
      </c>
      <c r="J112" s="104">
        <f ca="1">I112/1000*(IF(I112=0,0,1)*VLOOKUP((1+(C112&gt;=20)+(C112&gt;=25)+(C112&gt;=30)+(C112&gt;=35)+(C112&gt;=40)+(C112&gt;=45)+(C112&gt;=50)+(C112&gt;=55)+(C112&gt;=60)+(C112&gt;=65)),Test,2+(IF(Données!F152="H",1,3))+(IF(Données!G152="F",1,0))))</f>
        <v>0</v>
      </c>
      <c r="K112" s="103">
        <f ca="1">INDEX({1;0.5;0},MATCH(C112,{1;65;70}))*M112</f>
        <v>0</v>
      </c>
      <c r="L112" s="104">
        <f>IF($B112=" ",0,IF(Données!$N152="exo",0,$K112/1000*VLOOKUP($F112,taux,6)))</f>
        <v>0</v>
      </c>
      <c r="M112" s="379">
        <f>IF($B112=" ",0,IF(Données!$K152="NON COUVERT",0,IF(AND(Données!$L152="oui",Données!$K152=0.5),MIN(VLOOKUP($F112,taux,5)/2,ROUNDUP(VLOOKUP($F112,taux,3)*$E112,-3)/2),IF(Données!$K152=0.5,MIN(VLOOKUP($F112,taux,4)/2,ROUNDUP(VLOOKUP($F112,taux,3)*$E112,-3)/2),ROUNDUP(IF(Données!$L152="OUI",MIN(VLOOKUP($F112,taux,3)*$E112,VLOOKUP($F112,taux,5)),MIN(VLOOKUP($F112,taux,3)*$E112,VLOOKUP($F112,taux,4))),-3)))))</f>
        <v>0</v>
      </c>
      <c r="N112" s="379">
        <f>IF($B112=" ",0,IF(Données!$N152="NON COUVERT",0,IF(AND(Données!$O152="oui",Données!$N152=0.5),MIN(VLOOKUP($F112,taux,9)/2,ROUNDUP(VLOOKUP($F112,taux,7)*$E112,-3)/2),IF(Données!$N152=0.5,MIN(VLOOKUP($F112,taux,8)/2,ROUNDUP(VLOOKUP($F112,taux,7)*$E112,-3)/2),ROUNDUP(IF(Données!$O152="OUI",MIN(VLOOKUP($F112,taux,7)*$E112,VLOOKUP($F112,taux,9)),MIN(VLOOKUP($F112,taux,7)*$E112,VLOOKUP($F112,taux,8))),-3)))))</f>
        <v>0</v>
      </c>
      <c r="O112" s="105">
        <f ca="1">IF(C112&gt;=70,0,IF($B112=" ",0,IF(Données!P152="non couvert"," ",Données!Q152)))</f>
        <v>0</v>
      </c>
      <c r="P112" s="106">
        <f>IF($B112=" ",0,IF(Données!$P152="exo",0,IF($O112="FAM",VLOOKUP($F112,taux,10),IF($O112="MONO",VLOOKUP($F112,taux,11),IF($O112="COUPLE",VLOOKUP($F112,taux,12),0)))))</f>
        <v>0</v>
      </c>
      <c r="Q112" s="107">
        <f ca="1">IF(C112&gt;=70,0,IF($B112=" ",0,IF(Données!$R152="NON COUVERT",0,ROUNDUP(IF(Données!$S152="OUI",MIN($E112*VLOOKUP($F112,taux,15)/52,VLOOKUP($F112,taux,17)),MIN($E112*VLOOKUP($F112,taux,15)/52,VLOOKUP($F112,taux,16))),0))))</f>
        <v>0</v>
      </c>
      <c r="R112" s="108">
        <f>IF($B112=" ",0,IF(Données!$R152="EXO",0,$Q112*VLOOKUP($F112,taux,13)/10))</f>
        <v>0</v>
      </c>
      <c r="S112" s="109">
        <f t="shared" ca="1" si="11"/>
        <v>0</v>
      </c>
      <c r="T112" s="110">
        <f>IF(B112=" ",0,IF(Données!$T152="exo",0,$S112*VLOOKUP($F112,taux,18)/100))</f>
        <v>0</v>
      </c>
      <c r="U112" s="109">
        <f>IF($B112=" ",0,IF(Données!$V152="non couvert",0,IF(VLOOKUP($F112,taux,29)="fixe","s/o",IF(Données!$W152="oui",MIN(ROUNDUP(VLOOKUP($F112,taux,31)*$E112,-3),VLOOKUP($F112,taux,33)),MIN(ROUNDUP(VLOOKUP($F112,taux,31)*$E112,-3),VLOOKUP($F112,taux,32))))))</f>
        <v>0</v>
      </c>
      <c r="V112" s="110">
        <f>IF(B112=" ",0,IF(Données!$V152="exo",0,IF(VLOOKUP($F112,taux,29)="fixe",VLOOKUP($F112,taux,30),$U112/1000*VLOOKUP($F112,taux,30))))</f>
        <v>0</v>
      </c>
      <c r="W112" s="110">
        <f t="shared" si="8"/>
        <v>0</v>
      </c>
      <c r="X112" s="383">
        <f>IF(B112=" ",0,EDATE((Données!E152),780))</f>
        <v>0</v>
      </c>
      <c r="Y112" s="383">
        <f t="shared" si="14"/>
        <v>0</v>
      </c>
      <c r="Z112" s="384">
        <f>IF($B112=" ",0,IF(Données!$T152="non couvert",0,IF(Données!$U152="oui",MIN(VLOOKUP($F112,taux,26),ROUNDUP(IF($E112/12&gt;VLOOKUP($F112,taux,21)+VLOOKUP($F112,taux,23),(VLOOKUP($F112,taux,20)*VLOOKUP($F112,taux,21))+(VLOOKUP($F112,taux,22)*VLOOKUP($F112,taux,23))+($E112/12-VLOOKUP($F112,taux,21)-VLOOKUP($F112,taux,23))*VLOOKUP($F112,taux,24),IF($E112/12&gt;VLOOKUP($F112,taux,21),(VLOOKUP($F112,taux,20)*VLOOKUP($F112,taux,21))+($E112/12-VLOOKUP($F112,taux,21))*VLOOKUP($F112,taux,22),$E112/12*VLOOKUP($F112,taux,20))),0)),MIN(VLOOKUP($F112,taux,25),ROUNDUP(IF($E112/12&gt;VLOOKUP($F112,taux,21)+VLOOKUP($F112,taux,23),(VLOOKUP($F112,taux,20)*VLOOKUP($F112,taux,21))+(VLOOKUP($F112,taux,22)*VLOOKUP($F112,taux,23))+($E112/12-VLOOKUP($F112,taux,21)-VLOOKUP($F112,taux,23))*VLOOKUP($F112,taux,24),IF($E112/12&gt;VLOOKUP($F112,taux,21),(VLOOKUP($F112,taux,20)*VLOOKUP($F112,taux,21))+($E112/12-VLOOKUP($F112,taux,21))*VLOOKUP($F112,taux,22),$E112/12*VLOOKUP($F112,taux,20))),0)))))</f>
        <v>0</v>
      </c>
      <c r="AA112" s="111">
        <f ca="1">IF(C112&gt;=70,0,IF($B112=" ",0,IF(Données!$X152="non couvert"," ",Données!Y152)))</f>
        <v>0</v>
      </c>
      <c r="AB112" s="110">
        <f>IF($B112=" ",0,IF(Données!$X152="exo",0,IF($AA112="ind",VLOOKUP($F112,taux,34),IF($AA112="fam",VLOOKUP($F112,taux,35),IF($AA112="mono",VLOOKUP($F112,taux,36),IF($AA112="couple",VLOOKUP($F112,taux,37),0))))))</f>
        <v>0</v>
      </c>
      <c r="AC112" s="111">
        <f ca="1">IF(C112&gt;=70,0,IF($B112=" ",0,IF(Données!$Z152="non couvert"," ",Données!AA152)))</f>
        <v>0</v>
      </c>
      <c r="AD112" s="110">
        <f>IF($B112=" ",0,IF(Données!$Z152="exo",0,IF($AC112="ind",VLOOKUP($F112,taux,38),IF($AC112="fam",VLOOKUP($F112,taux,39),IF($AC112="mono",VLOOKUP($F112,taux,40),IF($AC112="couple",VLOOKUP($F112,taux,41),0))))))</f>
        <v>0</v>
      </c>
      <c r="AE112" s="112">
        <f>IF($B112=" ",0,IF(Données!$AB152="non couvert"," ",Données!AC152))</f>
        <v>0</v>
      </c>
      <c r="AF112" s="113">
        <f>IF($B112=" ",0,IF(Données!$AB152="exo",0,IF($AE112="ind",VLOOKUP($F112,taux,42),IF($AE112="fam",VLOOKUP($F112,taux,43),IF($AE112="mono",VLOOKUP($F112,taux,44),IF($AE112="couple",VLOOKUP($F112,taux,45),0))))))</f>
        <v>0</v>
      </c>
      <c r="AG112" s="114">
        <f t="shared" ca="1" si="15"/>
        <v>0</v>
      </c>
      <c r="AH112" s="114">
        <f>IF($B112=" ",0,IF(Données!J152="Manitoba",(Facture!H112+Facture!J112+Facture!L112+Facture!P112+Facture!R112+Facture!T112)*0.08,(AG112-W112)*IF(Données!$J152="qc",0.09,IF(Données!$J152="on",0.08,0))+W112*VLOOKUP($F112,taux,28)))</f>
        <v>0</v>
      </c>
      <c r="AI112" s="106">
        <f t="shared" ca="1" si="12"/>
        <v>0</v>
      </c>
    </row>
    <row r="113" spans="1:35" s="64" customFormat="1">
      <c r="A113" s="89">
        <f t="shared" si="13"/>
        <v>99</v>
      </c>
      <c r="B113" s="99" t="str">
        <f>CONCATENATE(Données!B153," ",Données!C153)</f>
        <v xml:space="preserve"> </v>
      </c>
      <c r="C113" s="410">
        <f ca="1">IF(B113="",0,INT((TODAY()-Données!E153)/365.25))</f>
        <v>119</v>
      </c>
      <c r="D113" s="100">
        <f>Données!D153</f>
        <v>0</v>
      </c>
      <c r="E113" s="101">
        <f>Données!I153</f>
        <v>0</v>
      </c>
      <c r="F113" s="102" t="str">
        <f>Données!AD153</f>
        <v/>
      </c>
      <c r="G113" s="103">
        <f ca="1">INDEX({1;0.5;0},MATCH(C113,{1;65;70}))*M113</f>
        <v>0</v>
      </c>
      <c r="H113" s="104">
        <f>IF($B113=" ",0,IF(Données!$K153="exo",0,$G113/1000*VLOOKUP($F113,taux,2)))</f>
        <v>0</v>
      </c>
      <c r="I113" s="398">
        <f ca="1">IF(C113&gt;=65,0,Données!M153*5000)</f>
        <v>0</v>
      </c>
      <c r="J113" s="104">
        <f ca="1">I113/1000*(IF(I113=0,0,1)*VLOOKUP((1+(C113&gt;=20)+(C113&gt;=25)+(C113&gt;=30)+(C113&gt;=35)+(C113&gt;=40)+(C113&gt;=45)+(C113&gt;=50)+(C113&gt;=55)+(C113&gt;=60)+(C113&gt;=65)),Test,2+(IF(Données!F153="H",1,3))+(IF(Données!G153="F",1,0))))</f>
        <v>0</v>
      </c>
      <c r="K113" s="103">
        <f ca="1">INDEX({1;0.5;0},MATCH(C113,{1;65;70}))*M113</f>
        <v>0</v>
      </c>
      <c r="L113" s="104">
        <f>IF($B113=" ",0,IF(Données!$N153="exo",0,$K113/1000*VLOOKUP($F113,taux,6)))</f>
        <v>0</v>
      </c>
      <c r="M113" s="379">
        <f>IF($B113=" ",0,IF(Données!$K153="NON COUVERT",0,IF(AND(Données!$L153="oui",Données!$K153=0.5),MIN(VLOOKUP($F113,taux,5)/2,ROUNDUP(VLOOKUP($F113,taux,3)*$E113,-3)/2),IF(Données!$K153=0.5,MIN(VLOOKUP($F113,taux,4)/2,ROUNDUP(VLOOKUP($F113,taux,3)*$E113,-3)/2),ROUNDUP(IF(Données!$L153="OUI",MIN(VLOOKUP($F113,taux,3)*$E113,VLOOKUP($F113,taux,5)),MIN(VLOOKUP($F113,taux,3)*$E113,VLOOKUP($F113,taux,4))),-3)))))</f>
        <v>0</v>
      </c>
      <c r="N113" s="379">
        <f>IF($B113=" ",0,IF(Données!$N153="NON COUVERT",0,IF(AND(Données!$O153="oui",Données!$N153=0.5),MIN(VLOOKUP($F113,taux,9)/2,ROUNDUP(VLOOKUP($F113,taux,7)*$E113,-3)/2),IF(Données!$N153=0.5,MIN(VLOOKUP($F113,taux,8)/2,ROUNDUP(VLOOKUP($F113,taux,7)*$E113,-3)/2),ROUNDUP(IF(Données!$O153="OUI",MIN(VLOOKUP($F113,taux,7)*$E113,VLOOKUP($F113,taux,9)),MIN(VLOOKUP($F113,taux,7)*$E113,VLOOKUP($F113,taux,8))),-3)))))</f>
        <v>0</v>
      </c>
      <c r="O113" s="105">
        <f ca="1">IF(C113&gt;=70,0,IF($B113=" ",0,IF(Données!P153="non couvert"," ",Données!Q153)))</f>
        <v>0</v>
      </c>
      <c r="P113" s="106">
        <f>IF($B113=" ",0,IF(Données!$P153="exo",0,IF($O113="FAM",VLOOKUP($F113,taux,10),IF($O113="MONO",VLOOKUP($F113,taux,11),IF($O113="COUPLE",VLOOKUP($F113,taux,12),0)))))</f>
        <v>0</v>
      </c>
      <c r="Q113" s="107">
        <f ca="1">IF(C113&gt;=70,0,IF($B113=" ",0,IF(Données!$R153="NON COUVERT",0,ROUNDUP(IF(Données!$S153="OUI",MIN($E113*VLOOKUP($F113,taux,15)/52,VLOOKUP($F113,taux,17)),MIN($E113*VLOOKUP($F113,taux,15)/52,VLOOKUP($F113,taux,16))),0))))</f>
        <v>0</v>
      </c>
      <c r="R113" s="108">
        <f>IF($B113=" ",0,IF(Données!$R153="EXO",0,$Q113*VLOOKUP($F113,taux,13)/10))</f>
        <v>0</v>
      </c>
      <c r="S113" s="109">
        <f t="shared" ca="1" si="11"/>
        <v>0</v>
      </c>
      <c r="T113" s="110">
        <f>IF(B113=" ",0,IF(Données!$T153="exo",0,$S113*VLOOKUP($F113,taux,18)/100))</f>
        <v>0</v>
      </c>
      <c r="U113" s="109">
        <f>IF($B113=" ",0,IF(Données!$V153="non couvert",0,IF(VLOOKUP($F113,taux,29)="fixe","s/o",IF(Données!$W153="oui",MIN(ROUNDUP(VLOOKUP($F113,taux,31)*$E113,-3),VLOOKUP($F113,taux,33)),MIN(ROUNDUP(VLOOKUP($F113,taux,31)*$E113,-3),VLOOKUP($F113,taux,32))))))</f>
        <v>0</v>
      </c>
      <c r="V113" s="110">
        <f>IF(B113=" ",0,IF(Données!$V153="exo",0,IF(VLOOKUP($F113,taux,29)="fixe",VLOOKUP($F113,taux,30),$U113/1000*VLOOKUP($F113,taux,30))))</f>
        <v>0</v>
      </c>
      <c r="W113" s="110">
        <f t="shared" si="8"/>
        <v>0</v>
      </c>
      <c r="X113" s="383">
        <f>IF(B113=" ",0,EDATE((Données!E153),780))</f>
        <v>0</v>
      </c>
      <c r="Y113" s="383">
        <f t="shared" si="14"/>
        <v>0</v>
      </c>
      <c r="Z113" s="384">
        <f>IF($B113=" ",0,IF(Données!$T153="non couvert",0,IF(Données!$U153="oui",MIN(VLOOKUP($F113,taux,26),ROUNDUP(IF($E113/12&gt;VLOOKUP($F113,taux,21)+VLOOKUP($F113,taux,23),(VLOOKUP($F113,taux,20)*VLOOKUP($F113,taux,21))+(VLOOKUP($F113,taux,22)*VLOOKUP($F113,taux,23))+($E113/12-VLOOKUP($F113,taux,21)-VLOOKUP($F113,taux,23))*VLOOKUP($F113,taux,24),IF($E113/12&gt;VLOOKUP($F113,taux,21),(VLOOKUP($F113,taux,20)*VLOOKUP($F113,taux,21))+($E113/12-VLOOKUP($F113,taux,21))*VLOOKUP($F113,taux,22),$E113/12*VLOOKUP($F113,taux,20))),0)),MIN(VLOOKUP($F113,taux,25),ROUNDUP(IF($E113/12&gt;VLOOKUP($F113,taux,21)+VLOOKUP($F113,taux,23),(VLOOKUP($F113,taux,20)*VLOOKUP($F113,taux,21))+(VLOOKUP($F113,taux,22)*VLOOKUP($F113,taux,23))+($E113/12-VLOOKUP($F113,taux,21)-VLOOKUP($F113,taux,23))*VLOOKUP($F113,taux,24),IF($E113/12&gt;VLOOKUP($F113,taux,21),(VLOOKUP($F113,taux,20)*VLOOKUP($F113,taux,21))+($E113/12-VLOOKUP($F113,taux,21))*VLOOKUP($F113,taux,22),$E113/12*VLOOKUP($F113,taux,20))),0)))))</f>
        <v>0</v>
      </c>
      <c r="AA113" s="111">
        <f ca="1">IF(C113&gt;=70,0,IF($B113=" ",0,IF(Données!$X153="non couvert"," ",Données!Y153)))</f>
        <v>0</v>
      </c>
      <c r="AB113" s="110">
        <f>IF($B113=" ",0,IF(Données!$X153="exo",0,IF($AA113="ind",VLOOKUP($F113,taux,34),IF($AA113="fam",VLOOKUP($F113,taux,35),IF($AA113="mono",VLOOKUP($F113,taux,36),IF($AA113="couple",VLOOKUP($F113,taux,37),0))))))</f>
        <v>0</v>
      </c>
      <c r="AC113" s="111">
        <f ca="1">IF(C113&gt;=70,0,IF($B113=" ",0,IF(Données!$Z153="non couvert"," ",Données!AA153)))</f>
        <v>0</v>
      </c>
      <c r="AD113" s="110">
        <f>IF($B113=" ",0,IF(Données!$Z153="exo",0,IF($AC113="ind",VLOOKUP($F113,taux,38),IF($AC113="fam",VLOOKUP($F113,taux,39),IF($AC113="mono",VLOOKUP($F113,taux,40),IF($AC113="couple",VLOOKUP($F113,taux,41),0))))))</f>
        <v>0</v>
      </c>
      <c r="AE113" s="112">
        <f>IF($B113=" ",0,IF(Données!$AB153="non couvert"," ",Données!AC153))</f>
        <v>0</v>
      </c>
      <c r="AF113" s="113">
        <f>IF($B113=" ",0,IF(Données!$AB153="exo",0,IF($AE113="ind",VLOOKUP($F113,taux,42),IF($AE113="fam",VLOOKUP($F113,taux,43),IF($AE113="mono",VLOOKUP($F113,taux,44),IF($AE113="couple",VLOOKUP($F113,taux,45),0))))))</f>
        <v>0</v>
      </c>
      <c r="AG113" s="114">
        <f t="shared" ca="1" si="15"/>
        <v>0</v>
      </c>
      <c r="AH113" s="114">
        <f>IF($B113=" ",0,IF(Données!J153="Manitoba",(Facture!H113+Facture!J113+Facture!L113+Facture!P113+Facture!R113+Facture!T113)*0.08,(AG113-W113)*IF(Données!$J153="qc",0.09,IF(Données!$J153="on",0.08,0))+W113*VLOOKUP($F113,taux,28)))</f>
        <v>0</v>
      </c>
      <c r="AI113" s="106">
        <f t="shared" ca="1" si="12"/>
        <v>0</v>
      </c>
    </row>
    <row r="114" spans="1:35" s="64" customFormat="1">
      <c r="A114" s="90">
        <f t="shared" si="13"/>
        <v>100</v>
      </c>
      <c r="B114" s="99" t="str">
        <f>CONCATENATE(Données!B154," ",Données!C154)</f>
        <v xml:space="preserve"> </v>
      </c>
      <c r="C114" s="410">
        <f ca="1">IF(B114="",0,INT((TODAY()-Données!E154)/365.25))</f>
        <v>119</v>
      </c>
      <c r="D114" s="100">
        <f>Données!D154</f>
        <v>0</v>
      </c>
      <c r="E114" s="101">
        <f>Données!I154</f>
        <v>0</v>
      </c>
      <c r="F114" s="102" t="str">
        <f>Données!AD154</f>
        <v/>
      </c>
      <c r="G114" s="103">
        <f ca="1">INDEX({1;0.5;0},MATCH(C114,{1;65;70}))*M114</f>
        <v>0</v>
      </c>
      <c r="H114" s="104">
        <f>IF($B114=" ",0,IF(Données!$K154="exo",0,$G114/1000*VLOOKUP($F114,taux,2)))</f>
        <v>0</v>
      </c>
      <c r="I114" s="398">
        <f ca="1">IF(C114&gt;=65,0,Données!M154*5000)</f>
        <v>0</v>
      </c>
      <c r="J114" s="104">
        <f ca="1">I114/1000*(IF(I114=0,0,1)*VLOOKUP((1+(C114&gt;=20)+(C114&gt;=25)+(C114&gt;=30)+(C114&gt;=35)+(C114&gt;=40)+(C114&gt;=45)+(C114&gt;=50)+(C114&gt;=55)+(C114&gt;=60)+(C114&gt;=65)),Test,2+(IF(Données!F154="H",1,3))+(IF(Données!G154="F",1,0))))</f>
        <v>0</v>
      </c>
      <c r="K114" s="103">
        <f ca="1">INDEX({1;0.5;0},MATCH(C114,{1;65;70}))*M114</f>
        <v>0</v>
      </c>
      <c r="L114" s="104">
        <f>IF($B114=" ",0,IF(Données!$N154="exo",0,$K114/1000*VLOOKUP($F114,taux,6)))</f>
        <v>0</v>
      </c>
      <c r="M114" s="379">
        <f>IF($B114=" ",0,IF(Données!$K154="NON COUVERT",0,IF(AND(Données!$L154="oui",Données!$K154=0.5),MIN(VLOOKUP($F114,taux,5)/2,ROUNDUP(VLOOKUP($F114,taux,3)*$E114,-3)/2),IF(Données!$K154=0.5,MIN(VLOOKUP($F114,taux,4)/2,ROUNDUP(VLOOKUP($F114,taux,3)*$E114,-3)/2),ROUNDUP(IF(Données!$L154="OUI",MIN(VLOOKUP($F114,taux,3)*$E114,VLOOKUP($F114,taux,5)),MIN(VLOOKUP($F114,taux,3)*$E114,VLOOKUP($F114,taux,4))),-3)))))</f>
        <v>0</v>
      </c>
      <c r="N114" s="379">
        <f>IF($B114=" ",0,IF(Données!$N154="NON COUVERT",0,IF(AND(Données!$O154="oui",Données!$N154=0.5),MIN(VLOOKUP($F114,taux,9)/2,ROUNDUP(VLOOKUP($F114,taux,7)*$E114,-3)/2),IF(Données!$N154=0.5,MIN(VLOOKUP($F114,taux,8)/2,ROUNDUP(VLOOKUP($F114,taux,7)*$E114,-3)/2),ROUNDUP(IF(Données!$O154="OUI",MIN(VLOOKUP($F114,taux,7)*$E114,VLOOKUP($F114,taux,9)),MIN(VLOOKUP($F114,taux,7)*$E114,VLOOKUP($F114,taux,8))),-3)))))</f>
        <v>0</v>
      </c>
      <c r="O114" s="105">
        <f ca="1">IF(C114&gt;=70,0,IF($B114=" ",0,IF(Données!P154="non couvert"," ",Données!Q154)))</f>
        <v>0</v>
      </c>
      <c r="P114" s="106">
        <f>IF($B114=" ",0,IF(Données!$P154="exo",0,IF($O114="FAM",VLOOKUP($F114,taux,10),IF($O114="MONO",VLOOKUP($F114,taux,11),IF($O114="COUPLE",VLOOKUP($F114,taux,12),0)))))</f>
        <v>0</v>
      </c>
      <c r="Q114" s="107">
        <f ca="1">IF(C114&gt;=70,0,IF($B114=" ",0,IF(Données!$R154="NON COUVERT",0,ROUNDUP(IF(Données!$S154="OUI",MIN($E114*VLOOKUP($F114,taux,15)/52,VLOOKUP($F114,taux,17)),MIN($E114*VLOOKUP($F114,taux,15)/52,VLOOKUP($F114,taux,16))),0))))</f>
        <v>0</v>
      </c>
      <c r="R114" s="108">
        <f>IF($B114=" ",0,IF(Données!$R154="EXO",0,$Q114*VLOOKUP($F114,taux,13)/10))</f>
        <v>0</v>
      </c>
      <c r="S114" s="109">
        <f t="shared" ca="1" si="11"/>
        <v>0</v>
      </c>
      <c r="T114" s="110">
        <f>IF(B114=" ",0,IF(Données!$T154="exo",0,$S114*VLOOKUP($F114,taux,18)/100))</f>
        <v>0</v>
      </c>
      <c r="U114" s="109">
        <f>IF($B114=" ",0,IF(Données!$V154="non couvert",0,IF(VLOOKUP($F114,taux,29)="fixe","s/o",IF(Données!$W154="oui",MIN(ROUNDUP(VLOOKUP($F114,taux,31)*$E114,-3),VLOOKUP($F114,taux,33)),MIN(ROUNDUP(VLOOKUP($F114,taux,31)*$E114,-3),VLOOKUP($F114,taux,32))))))</f>
        <v>0</v>
      </c>
      <c r="V114" s="110">
        <f>IF(B114=" ",0,IF(Données!$V154="exo",0,IF(VLOOKUP($F114,taux,29)="fixe",VLOOKUP($F114,taux,30),$U114/1000*VLOOKUP($F114,taux,30))))</f>
        <v>0</v>
      </c>
      <c r="W114" s="110">
        <f t="shared" si="8"/>
        <v>0</v>
      </c>
      <c r="X114" s="383">
        <f>IF(B114=" ",0,EDATE((Données!E154),780))</f>
        <v>0</v>
      </c>
      <c r="Y114" s="383">
        <f t="shared" si="14"/>
        <v>0</v>
      </c>
      <c r="Z114" s="384">
        <f>IF($B114=" ",0,IF(Données!$T154="non couvert",0,IF(Données!$U154="oui",MIN(VLOOKUP($F114,taux,26),ROUNDUP(IF($E114/12&gt;VLOOKUP($F114,taux,21)+VLOOKUP($F114,taux,23),(VLOOKUP($F114,taux,20)*VLOOKUP($F114,taux,21))+(VLOOKUP($F114,taux,22)*VLOOKUP($F114,taux,23))+($E114/12-VLOOKUP($F114,taux,21)-VLOOKUP($F114,taux,23))*VLOOKUP($F114,taux,24),IF($E114/12&gt;VLOOKUP($F114,taux,21),(VLOOKUP($F114,taux,20)*VLOOKUP($F114,taux,21))+($E114/12-VLOOKUP($F114,taux,21))*VLOOKUP($F114,taux,22),$E114/12*VLOOKUP($F114,taux,20))),0)),MIN(VLOOKUP($F114,taux,25),ROUNDUP(IF($E114/12&gt;VLOOKUP($F114,taux,21)+VLOOKUP($F114,taux,23),(VLOOKUP($F114,taux,20)*VLOOKUP($F114,taux,21))+(VLOOKUP($F114,taux,22)*VLOOKUP($F114,taux,23))+($E114/12-VLOOKUP($F114,taux,21)-VLOOKUP($F114,taux,23))*VLOOKUP($F114,taux,24),IF($E114/12&gt;VLOOKUP($F114,taux,21),(VLOOKUP($F114,taux,20)*VLOOKUP($F114,taux,21))+($E114/12-VLOOKUP($F114,taux,21))*VLOOKUP($F114,taux,22),$E114/12*VLOOKUP($F114,taux,20))),0)))))</f>
        <v>0</v>
      </c>
      <c r="AA114" s="111">
        <f ca="1">IF(C114&gt;=70,0,IF($B114=" ",0,IF(Données!$X154="non couvert"," ",Données!Y154)))</f>
        <v>0</v>
      </c>
      <c r="AB114" s="110">
        <f>IF($B114=" ",0,IF(Données!$X154="exo",0,IF($AA114="ind",VLOOKUP($F114,taux,34),IF($AA114="fam",VLOOKUP($F114,taux,35),IF($AA114="mono",VLOOKUP($F114,taux,36),IF($AA114="couple",VLOOKUP($F114,taux,37),0))))))</f>
        <v>0</v>
      </c>
      <c r="AC114" s="111">
        <f ca="1">IF(C114&gt;=70,0,IF($B114=" ",0,IF(Données!$Z154="non couvert"," ",Données!AA154)))</f>
        <v>0</v>
      </c>
      <c r="AD114" s="110">
        <f>IF($B114=" ",0,IF(Données!$Z154="exo",0,IF($AC114="ind",VLOOKUP($F114,taux,38),IF($AC114="fam",VLOOKUP($F114,taux,39),IF($AC114="mono",VLOOKUP($F114,taux,40),IF($AC114="couple",VLOOKUP($F114,taux,41),0))))))</f>
        <v>0</v>
      </c>
      <c r="AE114" s="112">
        <f>IF($B114=" ",0,IF(Données!$AB154="non couvert"," ",Données!AC154))</f>
        <v>0</v>
      </c>
      <c r="AF114" s="113">
        <f>IF($B114=" ",0,IF(Données!$AB154="exo",0,IF($AE114="ind",VLOOKUP($F114,taux,42),IF($AE114="fam",VLOOKUP($F114,taux,43),IF($AE114="mono",VLOOKUP($F114,taux,44),IF($AE114="couple",VLOOKUP($F114,taux,45),0))))))</f>
        <v>0</v>
      </c>
      <c r="AG114" s="114">
        <f t="shared" ca="1" si="15"/>
        <v>0</v>
      </c>
      <c r="AH114" s="114">
        <f>IF($B114=" ",0,IF(Données!J154="Manitoba",(Facture!H114+Facture!J114+Facture!L114+Facture!P114+Facture!R114+Facture!T114)*0.08,(AG114-W114)*IF(Données!$J154="qc",0.09,IF(Données!$J154="on",0.08,0))+W114*VLOOKUP($F114,taux,28)))</f>
        <v>0</v>
      </c>
      <c r="AI114" s="106">
        <f t="shared" ca="1" si="12"/>
        <v>0</v>
      </c>
    </row>
    <row r="115" spans="1:35" s="64" customFormat="1">
      <c r="A115" s="90">
        <f t="shared" si="13"/>
        <v>101</v>
      </c>
      <c r="B115" s="99" t="str">
        <f>CONCATENATE(Données!B155," ",Données!C155)</f>
        <v xml:space="preserve"> </v>
      </c>
      <c r="C115" s="410">
        <f ca="1">IF(B115="",0,INT((TODAY()-Données!E155)/365.25))</f>
        <v>119</v>
      </c>
      <c r="D115" s="100">
        <f>Données!D155</f>
        <v>0</v>
      </c>
      <c r="E115" s="101">
        <f>Données!I155</f>
        <v>0</v>
      </c>
      <c r="F115" s="102" t="str">
        <f>Données!AD155</f>
        <v/>
      </c>
      <c r="G115" s="103">
        <f ca="1">INDEX({1;0.5;0},MATCH(C115,{1;65;70}))*M115</f>
        <v>0</v>
      </c>
      <c r="H115" s="104">
        <f>IF($B115=" ",0,IF(Données!$K155="exo",0,$G115/1000*VLOOKUP($F115,taux,2)))</f>
        <v>0</v>
      </c>
      <c r="I115" s="398">
        <f ca="1">IF(C115&gt;=65,0,Données!M155*5000)</f>
        <v>0</v>
      </c>
      <c r="J115" s="104">
        <f ca="1">I115/1000*(IF(I115=0,0,1)*VLOOKUP((1+(C115&gt;=20)+(C115&gt;=25)+(C115&gt;=30)+(C115&gt;=35)+(C115&gt;=40)+(C115&gt;=45)+(C115&gt;=50)+(C115&gt;=55)+(C115&gt;=60)+(C115&gt;=65)),Test,2+(IF(Données!F155="H",1,3))+(IF(Données!G155="F",1,0))))</f>
        <v>0</v>
      </c>
      <c r="K115" s="103">
        <f ca="1">INDEX({1;0.5;0},MATCH(C115,{1;65;70}))*M115</f>
        <v>0</v>
      </c>
      <c r="L115" s="104">
        <f>IF($B115=" ",0,IF(Données!$N155="exo",0,$K115/1000*VLOOKUP($F115,taux,6)))</f>
        <v>0</v>
      </c>
      <c r="M115" s="379">
        <f>IF($B115=" ",0,IF(Données!$K155="NON COUVERT",0,IF(AND(Données!$L155="oui",Données!$K155=0.5),MIN(VLOOKUP($F115,taux,5)/2,ROUNDUP(VLOOKUP($F115,taux,3)*$E115,-3)/2),IF(Données!$K155=0.5,MIN(VLOOKUP($F115,taux,4)/2,ROUNDUP(VLOOKUP($F115,taux,3)*$E115,-3)/2),ROUNDUP(IF(Données!$L155="OUI",MIN(VLOOKUP($F115,taux,3)*$E115,VLOOKUP($F115,taux,5)),MIN(VLOOKUP($F115,taux,3)*$E115,VLOOKUP($F115,taux,4))),-3)))))</f>
        <v>0</v>
      </c>
      <c r="N115" s="379">
        <f>IF($B115=" ",0,IF(Données!$N155="NON COUVERT",0,IF(AND(Données!$O155="oui",Données!$N155=0.5),MIN(VLOOKUP($F115,taux,9)/2,ROUNDUP(VLOOKUP($F115,taux,7)*$E115,-3)/2),IF(Données!$N155=0.5,MIN(VLOOKUP($F115,taux,8)/2,ROUNDUP(VLOOKUP($F115,taux,7)*$E115,-3)/2),ROUNDUP(IF(Données!$O155="OUI",MIN(VLOOKUP($F115,taux,7)*$E115,VLOOKUP($F115,taux,9)),MIN(VLOOKUP($F115,taux,7)*$E115,VLOOKUP($F115,taux,8))),-3)))))</f>
        <v>0</v>
      </c>
      <c r="O115" s="105">
        <f ca="1">IF(C115&gt;=70,0,IF($B115=" ",0,IF(Données!P155="non couvert"," ",Données!Q155)))</f>
        <v>0</v>
      </c>
      <c r="P115" s="106">
        <f>IF($B115=" ",0,IF(Données!$P155="exo",0,IF($O115="FAM",VLOOKUP($F115,taux,10),IF($O115="MONO",VLOOKUP($F115,taux,11),IF($O115="COUPLE",VLOOKUP($F115,taux,12),0)))))</f>
        <v>0</v>
      </c>
      <c r="Q115" s="107">
        <f ca="1">IF(C115&gt;=70,0,IF($B115=" ",0,IF(Données!$R155="NON COUVERT",0,ROUNDUP(IF(Données!$S155="OUI",MIN($E115*VLOOKUP($F115,taux,15)/52,VLOOKUP($F115,taux,17)),MIN($E115*VLOOKUP($F115,taux,15)/52,VLOOKUP($F115,taux,16))),0))))</f>
        <v>0</v>
      </c>
      <c r="R115" s="108">
        <f>IF($B115=" ",0,IF(Données!$R155="EXO",0,$Q115*VLOOKUP($F115,taux,13)/10))</f>
        <v>0</v>
      </c>
      <c r="S115" s="109">
        <f t="shared" ca="1" si="11"/>
        <v>0</v>
      </c>
      <c r="T115" s="110">
        <f>IF(B115=" ",0,IF(Données!$T155="exo",0,$S115*VLOOKUP($F115,taux,18)/100))</f>
        <v>0</v>
      </c>
      <c r="U115" s="109">
        <f>IF($B115=" ",0,IF(Données!$V155="non couvert",0,IF(VLOOKUP($F115,taux,29)="fixe","s/o",IF(Données!$W155="oui",MIN(ROUNDUP(VLOOKUP($F115,taux,31)*$E115,-3),VLOOKUP($F115,taux,33)),MIN(ROUNDUP(VLOOKUP($F115,taux,31)*$E115,-3),VLOOKUP($F115,taux,32))))))</f>
        <v>0</v>
      </c>
      <c r="V115" s="110">
        <f>IF(B115=" ",0,IF(Données!$V155="exo",0,IF(VLOOKUP($F115,taux,29)="fixe",VLOOKUP($F115,taux,30),$U115/1000*VLOOKUP($F115,taux,30))))</f>
        <v>0</v>
      </c>
      <c r="W115" s="110">
        <f t="shared" si="8"/>
        <v>0</v>
      </c>
      <c r="X115" s="383">
        <f>IF(B115=" ",0,EDATE((Données!E155),780))</f>
        <v>0</v>
      </c>
      <c r="Y115" s="383">
        <f t="shared" si="14"/>
        <v>0</v>
      </c>
      <c r="Z115" s="384">
        <f>IF($B115=" ",0,IF(Données!$T155="non couvert",0,IF(Données!$U155="oui",MIN(VLOOKUP($F115,taux,26),ROUNDUP(IF($E115/12&gt;VLOOKUP($F115,taux,21)+VLOOKUP($F115,taux,23),(VLOOKUP($F115,taux,20)*VLOOKUP($F115,taux,21))+(VLOOKUP($F115,taux,22)*VLOOKUP($F115,taux,23))+($E115/12-VLOOKUP($F115,taux,21)-VLOOKUP($F115,taux,23))*VLOOKUP($F115,taux,24),IF($E115/12&gt;VLOOKUP($F115,taux,21),(VLOOKUP($F115,taux,20)*VLOOKUP($F115,taux,21))+($E115/12-VLOOKUP($F115,taux,21))*VLOOKUP($F115,taux,22),$E115/12*VLOOKUP($F115,taux,20))),0)),MIN(VLOOKUP($F115,taux,25),ROUNDUP(IF($E115/12&gt;VLOOKUP($F115,taux,21)+VLOOKUP($F115,taux,23),(VLOOKUP($F115,taux,20)*VLOOKUP($F115,taux,21))+(VLOOKUP($F115,taux,22)*VLOOKUP($F115,taux,23))+($E115/12-VLOOKUP($F115,taux,21)-VLOOKUP($F115,taux,23))*VLOOKUP($F115,taux,24),IF($E115/12&gt;VLOOKUP($F115,taux,21),(VLOOKUP($F115,taux,20)*VLOOKUP($F115,taux,21))+($E115/12-VLOOKUP($F115,taux,21))*VLOOKUP($F115,taux,22),$E115/12*VLOOKUP($F115,taux,20))),0)))))</f>
        <v>0</v>
      </c>
      <c r="AA115" s="111">
        <f ca="1">IF(C115&gt;=70,0,IF($B115=" ",0,IF(Données!$X155="non couvert"," ",Données!Y155)))</f>
        <v>0</v>
      </c>
      <c r="AB115" s="110">
        <f>IF($B115=" ",0,IF(Données!$X155="exo",0,IF($AA115="ind",VLOOKUP($F115,taux,34),IF($AA115="fam",VLOOKUP($F115,taux,35),IF($AA115="mono",VLOOKUP($F115,taux,36),IF($AA115="couple",VLOOKUP($F115,taux,37),0))))))</f>
        <v>0</v>
      </c>
      <c r="AC115" s="111">
        <f ca="1">IF(C115&gt;=70,0,IF($B115=" ",0,IF(Données!$Z155="non couvert"," ",Données!AA155)))</f>
        <v>0</v>
      </c>
      <c r="AD115" s="110">
        <f>IF($B115=" ",0,IF(Données!$Z155="exo",0,IF($AC115="ind",VLOOKUP($F115,taux,38),IF($AC115="fam",VLOOKUP($F115,taux,39),IF($AC115="mono",VLOOKUP($F115,taux,40),IF($AC115="couple",VLOOKUP($F115,taux,41),0))))))</f>
        <v>0</v>
      </c>
      <c r="AE115" s="112">
        <f>IF($B115=" ",0,IF(Données!$AB155="non couvert"," ",Données!AC155))</f>
        <v>0</v>
      </c>
      <c r="AF115" s="113">
        <f>IF($B115=" ",0,IF(Données!$AB155="exo",0,IF($AE115="ind",VLOOKUP($F115,taux,42),IF($AE115="fam",VLOOKUP($F115,taux,43),IF($AE115="mono",VLOOKUP($F115,taux,44),IF($AE115="couple",VLOOKUP($F115,taux,45),0))))))</f>
        <v>0</v>
      </c>
      <c r="AG115" s="114">
        <f t="shared" ca="1" si="15"/>
        <v>0</v>
      </c>
      <c r="AH115" s="114">
        <f>IF($B115=" ",0,IF(Données!J155="Manitoba",(Facture!H115+Facture!J115+Facture!L115+Facture!P115+Facture!R115+Facture!T115)*0.08,(AG115-W115)*IF(Données!$J155="qc",0.09,IF(Données!$J155="on",0.08,0))+W115*VLOOKUP($F115,taux,28)))</f>
        <v>0</v>
      </c>
      <c r="AI115" s="106">
        <f t="shared" ref="AI115:AI153" ca="1" si="16">AH115+AG115</f>
        <v>0</v>
      </c>
    </row>
    <row r="116" spans="1:35" s="64" customFormat="1">
      <c r="A116" s="90">
        <f t="shared" si="13"/>
        <v>102</v>
      </c>
      <c r="B116" s="99" t="str">
        <f>CONCATENATE(Données!B156," ",Données!C156)</f>
        <v xml:space="preserve"> </v>
      </c>
      <c r="C116" s="410">
        <f ca="1">IF(B116="",0,INT((TODAY()-Données!E156)/365.25))</f>
        <v>119</v>
      </c>
      <c r="D116" s="100">
        <f>Données!D156</f>
        <v>0</v>
      </c>
      <c r="E116" s="101">
        <f>Données!I156</f>
        <v>0</v>
      </c>
      <c r="F116" s="102" t="str">
        <f>Données!AD156</f>
        <v/>
      </c>
      <c r="G116" s="103">
        <f ca="1">INDEX({1;0.5;0},MATCH(C116,{1;65;70}))*M116</f>
        <v>0</v>
      </c>
      <c r="H116" s="104">
        <f>IF($B116=" ",0,IF(Données!$K156="exo",0,$G116/1000*VLOOKUP($F116,taux,2)))</f>
        <v>0</v>
      </c>
      <c r="I116" s="398">
        <f ca="1">IF(C116&gt;=65,0,Données!M156*5000)</f>
        <v>0</v>
      </c>
      <c r="J116" s="104">
        <f ca="1">I116/1000*(IF(I116=0,0,1)*VLOOKUP((1+(C116&gt;=20)+(C116&gt;=25)+(C116&gt;=30)+(C116&gt;=35)+(C116&gt;=40)+(C116&gt;=45)+(C116&gt;=50)+(C116&gt;=55)+(C116&gt;=60)+(C116&gt;=65)),Test,2+(IF(Données!F156="H",1,3))+(IF(Données!G156="F",1,0))))</f>
        <v>0</v>
      </c>
      <c r="K116" s="103">
        <f ca="1">INDEX({1;0.5;0},MATCH(C116,{1;65;70}))*M116</f>
        <v>0</v>
      </c>
      <c r="L116" s="104">
        <f>IF($B116=" ",0,IF(Données!$N156="exo",0,$K116/1000*VLOOKUP($F116,taux,6)))</f>
        <v>0</v>
      </c>
      <c r="M116" s="379">
        <f>IF($B116=" ",0,IF(Données!$K156="NON COUVERT",0,IF(AND(Données!$L156="oui",Données!$K156=0.5),MIN(VLOOKUP($F116,taux,5)/2,ROUNDUP(VLOOKUP($F116,taux,3)*$E116,-3)/2),IF(Données!$K156=0.5,MIN(VLOOKUP($F116,taux,4)/2,ROUNDUP(VLOOKUP($F116,taux,3)*$E116,-3)/2),ROUNDUP(IF(Données!$L156="OUI",MIN(VLOOKUP($F116,taux,3)*$E116,VLOOKUP($F116,taux,5)),MIN(VLOOKUP($F116,taux,3)*$E116,VLOOKUP($F116,taux,4))),-3)))))</f>
        <v>0</v>
      </c>
      <c r="N116" s="379">
        <f>IF($B116=" ",0,IF(Données!$N156="NON COUVERT",0,IF(AND(Données!$O156="oui",Données!$N156=0.5),MIN(VLOOKUP($F116,taux,9)/2,ROUNDUP(VLOOKUP($F116,taux,7)*$E116,-3)/2),IF(Données!$N156=0.5,MIN(VLOOKUP($F116,taux,8)/2,ROUNDUP(VLOOKUP($F116,taux,7)*$E116,-3)/2),ROUNDUP(IF(Données!$O156="OUI",MIN(VLOOKUP($F116,taux,7)*$E116,VLOOKUP($F116,taux,9)),MIN(VLOOKUP($F116,taux,7)*$E116,VLOOKUP($F116,taux,8))),-3)))))</f>
        <v>0</v>
      </c>
      <c r="O116" s="105">
        <f ca="1">IF(C116&gt;=70,0,IF($B116=" ",0,IF(Données!P156="non couvert"," ",Données!Q156)))</f>
        <v>0</v>
      </c>
      <c r="P116" s="106">
        <f>IF($B116=" ",0,IF(Données!$P156="exo",0,IF($O116="FAM",VLOOKUP($F116,taux,10),IF($O116="MONO",VLOOKUP($F116,taux,11),IF($O116="COUPLE",VLOOKUP($F116,taux,12),0)))))</f>
        <v>0</v>
      </c>
      <c r="Q116" s="107">
        <f ca="1">IF(C116&gt;=70,0,IF($B116=" ",0,IF(Données!$R156="NON COUVERT",0,ROUNDUP(IF(Données!$S156="OUI",MIN($E116*VLOOKUP($F116,taux,15)/52,VLOOKUP($F116,taux,17)),MIN($E116*VLOOKUP($F116,taux,15)/52,VLOOKUP($F116,taux,16))),0))))</f>
        <v>0</v>
      </c>
      <c r="R116" s="108">
        <f>IF($B116=" ",0,IF(Données!$R156="EXO",0,$Q116*VLOOKUP($F116,taux,13)/10))</f>
        <v>0</v>
      </c>
      <c r="S116" s="109">
        <f t="shared" ca="1" si="11"/>
        <v>0</v>
      </c>
      <c r="T116" s="110">
        <f>IF(B116=" ",0,IF(Données!$T156="exo",0,$S116*VLOOKUP($F116,taux,18)/100))</f>
        <v>0</v>
      </c>
      <c r="U116" s="109">
        <f>IF($B116=" ",0,IF(Données!$V156="non couvert",0,IF(VLOOKUP($F116,taux,29)="fixe","s/o",IF(Données!$W156="oui",MIN(ROUNDUP(VLOOKUP($F116,taux,31)*$E116,-3),VLOOKUP($F116,taux,33)),MIN(ROUNDUP(VLOOKUP($F116,taux,31)*$E116,-3),VLOOKUP($F116,taux,32))))))</f>
        <v>0</v>
      </c>
      <c r="V116" s="110">
        <f>IF(B116=" ",0,IF(Données!$V156="exo",0,IF(VLOOKUP($F116,taux,29)="fixe",VLOOKUP($F116,taux,30),$U116/1000*VLOOKUP($F116,taux,30))))</f>
        <v>0</v>
      </c>
      <c r="W116" s="110">
        <f t="shared" si="8"/>
        <v>0</v>
      </c>
      <c r="X116" s="383">
        <f>IF(B116=" ",0,EDATE((Données!E156),780))</f>
        <v>0</v>
      </c>
      <c r="Y116" s="383">
        <f t="shared" si="14"/>
        <v>0</v>
      </c>
      <c r="Z116" s="384">
        <f>IF($B116=" ",0,IF(Données!$T156="non couvert",0,IF(Données!$U156="oui",MIN(VLOOKUP($F116,taux,26),ROUNDUP(IF($E116/12&gt;VLOOKUP($F116,taux,21)+VLOOKUP($F116,taux,23),(VLOOKUP($F116,taux,20)*VLOOKUP($F116,taux,21))+(VLOOKUP($F116,taux,22)*VLOOKUP($F116,taux,23))+($E116/12-VLOOKUP($F116,taux,21)-VLOOKUP($F116,taux,23))*VLOOKUP($F116,taux,24),IF($E116/12&gt;VLOOKUP($F116,taux,21),(VLOOKUP($F116,taux,20)*VLOOKUP($F116,taux,21))+($E116/12-VLOOKUP($F116,taux,21))*VLOOKUP($F116,taux,22),$E116/12*VLOOKUP($F116,taux,20))),0)),MIN(VLOOKUP($F116,taux,25),ROUNDUP(IF($E116/12&gt;VLOOKUP($F116,taux,21)+VLOOKUP($F116,taux,23),(VLOOKUP($F116,taux,20)*VLOOKUP($F116,taux,21))+(VLOOKUP($F116,taux,22)*VLOOKUP($F116,taux,23))+($E116/12-VLOOKUP($F116,taux,21)-VLOOKUP($F116,taux,23))*VLOOKUP($F116,taux,24),IF($E116/12&gt;VLOOKUP($F116,taux,21),(VLOOKUP($F116,taux,20)*VLOOKUP($F116,taux,21))+($E116/12-VLOOKUP($F116,taux,21))*VLOOKUP($F116,taux,22),$E116/12*VLOOKUP($F116,taux,20))),0)))))</f>
        <v>0</v>
      </c>
      <c r="AA116" s="111">
        <f ca="1">IF(C116&gt;=70,0,IF($B116=" ",0,IF(Données!$X156="non couvert"," ",Données!Y156)))</f>
        <v>0</v>
      </c>
      <c r="AB116" s="110">
        <f>IF($B116=" ",0,IF(Données!$X156="exo",0,IF($AA116="ind",VLOOKUP($F116,taux,34),IF($AA116="fam",VLOOKUP($F116,taux,35),IF($AA116="mono",VLOOKUP($F116,taux,36),IF($AA116="couple",VLOOKUP($F116,taux,37),0))))))</f>
        <v>0</v>
      </c>
      <c r="AC116" s="111">
        <f ca="1">IF(C116&gt;=70,0,IF($B116=" ",0,IF(Données!$Z156="non couvert"," ",Données!AA156)))</f>
        <v>0</v>
      </c>
      <c r="AD116" s="110">
        <f>IF($B116=" ",0,IF(Données!$Z156="exo",0,IF($AC116="ind",VLOOKUP($F116,taux,38),IF($AC116="fam",VLOOKUP($F116,taux,39),IF($AC116="mono",VLOOKUP($F116,taux,40),IF($AC116="couple",VLOOKUP($F116,taux,41),0))))))</f>
        <v>0</v>
      </c>
      <c r="AE116" s="112">
        <f>IF($B116=" ",0,IF(Données!$AB156="non couvert"," ",Données!AC156))</f>
        <v>0</v>
      </c>
      <c r="AF116" s="113">
        <f>IF($B116=" ",0,IF(Données!$AB156="exo",0,IF($AE116="ind",VLOOKUP($F116,taux,42),IF($AE116="fam",VLOOKUP($F116,taux,43),IF($AE116="mono",VLOOKUP($F116,taux,44),IF($AE116="couple",VLOOKUP($F116,taux,45),0))))))</f>
        <v>0</v>
      </c>
      <c r="AG116" s="114">
        <f t="shared" ca="1" si="15"/>
        <v>0</v>
      </c>
      <c r="AH116" s="114">
        <f>IF($B116=" ",0,IF(Données!J156="Manitoba",(Facture!H116+Facture!J116+Facture!L116+Facture!P116+Facture!R116+Facture!T116)*0.08,(AG116-W116)*IF(Données!$J156="qc",0.09,IF(Données!$J156="on",0.08,0))+W116*VLOOKUP($F116,taux,28)))</f>
        <v>0</v>
      </c>
      <c r="AI116" s="106">
        <f t="shared" ca="1" si="16"/>
        <v>0</v>
      </c>
    </row>
    <row r="117" spans="1:35" s="64" customFormat="1">
      <c r="A117" s="90">
        <f t="shared" si="13"/>
        <v>103</v>
      </c>
      <c r="B117" s="99" t="str">
        <f>CONCATENATE(Données!B157," ",Données!C157)</f>
        <v xml:space="preserve"> </v>
      </c>
      <c r="C117" s="410">
        <f ca="1">IF(B117="",0,INT((TODAY()-Données!E157)/365.25))</f>
        <v>119</v>
      </c>
      <c r="D117" s="100">
        <f>Données!D157</f>
        <v>0</v>
      </c>
      <c r="E117" s="101">
        <f>Données!I157</f>
        <v>0</v>
      </c>
      <c r="F117" s="102" t="str">
        <f>Données!AD157</f>
        <v/>
      </c>
      <c r="G117" s="103">
        <f ca="1">INDEX({1;0.5;0},MATCH(C117,{1;65;70}))*M117</f>
        <v>0</v>
      </c>
      <c r="H117" s="104">
        <f>IF($B117=" ",0,IF(Données!$K157="exo",0,$G117/1000*VLOOKUP($F117,taux,2)))</f>
        <v>0</v>
      </c>
      <c r="I117" s="398">
        <f ca="1">IF(C117&gt;=65,0,Données!M157*5000)</f>
        <v>0</v>
      </c>
      <c r="J117" s="104">
        <f ca="1">I117/1000*(IF(I117=0,0,1)*VLOOKUP((1+(C117&gt;=20)+(C117&gt;=25)+(C117&gt;=30)+(C117&gt;=35)+(C117&gt;=40)+(C117&gt;=45)+(C117&gt;=50)+(C117&gt;=55)+(C117&gt;=60)+(C117&gt;=65)),Test,2+(IF(Données!F157="H",1,3))+(IF(Données!G157="F",1,0))))</f>
        <v>0</v>
      </c>
      <c r="K117" s="103">
        <f ca="1">INDEX({1;0.5;0},MATCH(C117,{1;65;70}))*M117</f>
        <v>0</v>
      </c>
      <c r="L117" s="104">
        <f>IF($B117=" ",0,IF(Données!$N157="exo",0,$K117/1000*VLOOKUP($F117,taux,6)))</f>
        <v>0</v>
      </c>
      <c r="M117" s="379">
        <f>IF($B117=" ",0,IF(Données!$K157="NON COUVERT",0,IF(AND(Données!$L157="oui",Données!$K157=0.5),MIN(VLOOKUP($F117,taux,5)/2,ROUNDUP(VLOOKUP($F117,taux,3)*$E117,-3)/2),IF(Données!$K157=0.5,MIN(VLOOKUP($F117,taux,4)/2,ROUNDUP(VLOOKUP($F117,taux,3)*$E117,-3)/2),ROUNDUP(IF(Données!$L157="OUI",MIN(VLOOKUP($F117,taux,3)*$E117,VLOOKUP($F117,taux,5)),MIN(VLOOKUP($F117,taux,3)*$E117,VLOOKUP($F117,taux,4))),-3)))))</f>
        <v>0</v>
      </c>
      <c r="N117" s="379">
        <f>IF($B117=" ",0,IF(Données!$N157="NON COUVERT",0,IF(AND(Données!$O157="oui",Données!$N157=0.5),MIN(VLOOKUP($F117,taux,9)/2,ROUNDUP(VLOOKUP($F117,taux,7)*$E117,-3)/2),IF(Données!$N157=0.5,MIN(VLOOKUP($F117,taux,8)/2,ROUNDUP(VLOOKUP($F117,taux,7)*$E117,-3)/2),ROUNDUP(IF(Données!$O157="OUI",MIN(VLOOKUP($F117,taux,7)*$E117,VLOOKUP($F117,taux,9)),MIN(VLOOKUP($F117,taux,7)*$E117,VLOOKUP($F117,taux,8))),-3)))))</f>
        <v>0</v>
      </c>
      <c r="O117" s="105">
        <f ca="1">IF(C117&gt;=70,0,IF($B117=" ",0,IF(Données!P157="non couvert"," ",Données!Q157)))</f>
        <v>0</v>
      </c>
      <c r="P117" s="106">
        <f>IF($B117=" ",0,IF(Données!$P157="exo",0,IF($O117="FAM",VLOOKUP($F117,taux,10),IF($O117="MONO",VLOOKUP($F117,taux,11),IF($O117="COUPLE",VLOOKUP($F117,taux,12),0)))))</f>
        <v>0</v>
      </c>
      <c r="Q117" s="107">
        <f ca="1">IF(C117&gt;=70,0,IF($B117=" ",0,IF(Données!$R157="NON COUVERT",0,ROUNDUP(IF(Données!$S157="OUI",MIN($E117*VLOOKUP($F117,taux,15)/52,VLOOKUP($F117,taux,17)),MIN($E117*VLOOKUP($F117,taux,15)/52,VLOOKUP($F117,taux,16))),0))))</f>
        <v>0</v>
      </c>
      <c r="R117" s="108">
        <f>IF($B117=" ",0,IF(Données!$R157="EXO",0,$Q117*VLOOKUP($F117,taux,13)/10))</f>
        <v>0</v>
      </c>
      <c r="S117" s="109">
        <f t="shared" ca="1" si="11"/>
        <v>0</v>
      </c>
      <c r="T117" s="110">
        <f>IF(B117=" ",0,IF(Données!$T157="exo",0,$S117*VLOOKUP($F117,taux,18)/100))</f>
        <v>0</v>
      </c>
      <c r="U117" s="109">
        <f>IF($B117=" ",0,IF(Données!$V157="non couvert",0,IF(VLOOKUP($F117,taux,29)="fixe","s/o",IF(Données!$W157="oui",MIN(ROUNDUP(VLOOKUP($F117,taux,31)*$E117,-3),VLOOKUP($F117,taux,33)),MIN(ROUNDUP(VLOOKUP($F117,taux,31)*$E117,-3),VLOOKUP($F117,taux,32))))))</f>
        <v>0</v>
      </c>
      <c r="V117" s="110">
        <f>IF(B117=" ",0,IF(Données!$V157="exo",0,IF(VLOOKUP($F117,taux,29)="fixe",VLOOKUP($F117,taux,30),$U117/1000*VLOOKUP($F117,taux,30))))</f>
        <v>0</v>
      </c>
      <c r="W117" s="110">
        <f t="shared" si="8"/>
        <v>0</v>
      </c>
      <c r="X117" s="383">
        <f>IF(B117=" ",0,EDATE((Données!E157),780))</f>
        <v>0</v>
      </c>
      <c r="Y117" s="383">
        <f t="shared" si="14"/>
        <v>0</v>
      </c>
      <c r="Z117" s="384">
        <f>IF($B117=" ",0,IF(Données!$T157="non couvert",0,IF(Données!$U157="oui",MIN(VLOOKUP($F117,taux,26),ROUNDUP(IF($E117/12&gt;VLOOKUP($F117,taux,21)+VLOOKUP($F117,taux,23),(VLOOKUP($F117,taux,20)*VLOOKUP($F117,taux,21))+(VLOOKUP($F117,taux,22)*VLOOKUP($F117,taux,23))+($E117/12-VLOOKUP($F117,taux,21)-VLOOKUP($F117,taux,23))*VLOOKUP($F117,taux,24),IF($E117/12&gt;VLOOKUP($F117,taux,21),(VLOOKUP($F117,taux,20)*VLOOKUP($F117,taux,21))+($E117/12-VLOOKUP($F117,taux,21))*VLOOKUP($F117,taux,22),$E117/12*VLOOKUP($F117,taux,20))),0)),MIN(VLOOKUP($F117,taux,25),ROUNDUP(IF($E117/12&gt;VLOOKUP($F117,taux,21)+VLOOKUP($F117,taux,23),(VLOOKUP($F117,taux,20)*VLOOKUP($F117,taux,21))+(VLOOKUP($F117,taux,22)*VLOOKUP($F117,taux,23))+($E117/12-VLOOKUP($F117,taux,21)-VLOOKUP($F117,taux,23))*VLOOKUP($F117,taux,24),IF($E117/12&gt;VLOOKUP($F117,taux,21),(VLOOKUP($F117,taux,20)*VLOOKUP($F117,taux,21))+($E117/12-VLOOKUP($F117,taux,21))*VLOOKUP($F117,taux,22),$E117/12*VLOOKUP($F117,taux,20))),0)))))</f>
        <v>0</v>
      </c>
      <c r="AA117" s="111">
        <f ca="1">IF(C117&gt;=70,0,IF($B117=" ",0,IF(Données!$X157="non couvert"," ",Données!Y157)))</f>
        <v>0</v>
      </c>
      <c r="AB117" s="110">
        <f>IF($B117=" ",0,IF(Données!$X157="exo",0,IF($AA117="ind",VLOOKUP($F117,taux,34),IF($AA117="fam",VLOOKUP($F117,taux,35),IF($AA117="mono",VLOOKUP($F117,taux,36),IF($AA117="couple",VLOOKUP($F117,taux,37),0))))))</f>
        <v>0</v>
      </c>
      <c r="AC117" s="111">
        <f ca="1">IF(C117&gt;=70,0,IF($B117=" ",0,IF(Données!$Z157="non couvert"," ",Données!AA157)))</f>
        <v>0</v>
      </c>
      <c r="AD117" s="110">
        <f>IF($B117=" ",0,IF(Données!$Z157="exo",0,IF($AC117="ind",VLOOKUP($F117,taux,38),IF($AC117="fam",VLOOKUP($F117,taux,39),IF($AC117="mono",VLOOKUP($F117,taux,40),IF($AC117="couple",VLOOKUP($F117,taux,41),0))))))</f>
        <v>0</v>
      </c>
      <c r="AE117" s="112">
        <f>IF($B117=" ",0,IF(Données!$AB157="non couvert"," ",Données!AC157))</f>
        <v>0</v>
      </c>
      <c r="AF117" s="113">
        <f>IF($B117=" ",0,IF(Données!$AB157="exo",0,IF($AE117="ind",VLOOKUP($F117,taux,42),IF($AE117="fam",VLOOKUP($F117,taux,43),IF($AE117="mono",VLOOKUP($F117,taux,44),IF($AE117="couple",VLOOKUP($F117,taux,45),0))))))</f>
        <v>0</v>
      </c>
      <c r="AG117" s="114">
        <f t="shared" ca="1" si="15"/>
        <v>0</v>
      </c>
      <c r="AH117" s="114">
        <f>IF($B117=" ",0,IF(Données!J157="Manitoba",(Facture!H117+Facture!J117+Facture!L117+Facture!P117+Facture!R117+Facture!T117)*0.08,(AG117-W117)*IF(Données!$J157="qc",0.09,IF(Données!$J157="on",0.08,0))+W117*VLOOKUP($F117,taux,28)))</f>
        <v>0</v>
      </c>
      <c r="AI117" s="106">
        <f t="shared" ca="1" si="16"/>
        <v>0</v>
      </c>
    </row>
    <row r="118" spans="1:35" s="64" customFormat="1">
      <c r="A118" s="90">
        <f t="shared" si="13"/>
        <v>104</v>
      </c>
      <c r="B118" s="99" t="str">
        <f>CONCATENATE(Données!B158," ",Données!C158)</f>
        <v xml:space="preserve"> </v>
      </c>
      <c r="C118" s="410">
        <f ca="1">IF(B118="",0,INT((TODAY()-Données!E158)/365.25))</f>
        <v>119</v>
      </c>
      <c r="D118" s="100">
        <f>Données!D158</f>
        <v>0</v>
      </c>
      <c r="E118" s="101">
        <f>Données!I158</f>
        <v>0</v>
      </c>
      <c r="F118" s="102" t="str">
        <f>Données!AD158</f>
        <v/>
      </c>
      <c r="G118" s="103">
        <f ca="1">INDEX({1;0.5;0},MATCH(C118,{1;65;70}))*M118</f>
        <v>0</v>
      </c>
      <c r="H118" s="104">
        <f>IF($B118=" ",0,IF(Données!$K158="exo",0,$G118/1000*VLOOKUP($F118,taux,2)))</f>
        <v>0</v>
      </c>
      <c r="I118" s="398">
        <f ca="1">IF(C118&gt;=65,0,Données!M158*5000)</f>
        <v>0</v>
      </c>
      <c r="J118" s="104">
        <f ca="1">I118/1000*(IF(I118=0,0,1)*VLOOKUP((1+(C118&gt;=20)+(C118&gt;=25)+(C118&gt;=30)+(C118&gt;=35)+(C118&gt;=40)+(C118&gt;=45)+(C118&gt;=50)+(C118&gt;=55)+(C118&gt;=60)+(C118&gt;=65)),Test,2+(IF(Données!F158="H",1,3))+(IF(Données!G158="F",1,0))))</f>
        <v>0</v>
      </c>
      <c r="K118" s="103">
        <f ca="1">INDEX({1;0.5;0},MATCH(C118,{1;65;70}))*M118</f>
        <v>0</v>
      </c>
      <c r="L118" s="104">
        <f>IF($B118=" ",0,IF(Données!$N158="exo",0,$K118/1000*VLOOKUP($F118,taux,6)))</f>
        <v>0</v>
      </c>
      <c r="M118" s="379">
        <f>IF($B118=" ",0,IF(Données!$K158="NON COUVERT",0,IF(AND(Données!$L158="oui",Données!$K158=0.5),MIN(VLOOKUP($F118,taux,5)/2,ROUNDUP(VLOOKUP($F118,taux,3)*$E118,-3)/2),IF(Données!$K158=0.5,MIN(VLOOKUP($F118,taux,4)/2,ROUNDUP(VLOOKUP($F118,taux,3)*$E118,-3)/2),ROUNDUP(IF(Données!$L158="OUI",MIN(VLOOKUP($F118,taux,3)*$E118,VLOOKUP($F118,taux,5)),MIN(VLOOKUP($F118,taux,3)*$E118,VLOOKUP($F118,taux,4))),-3)))))</f>
        <v>0</v>
      </c>
      <c r="N118" s="379">
        <f>IF($B118=" ",0,IF(Données!$N158="NON COUVERT",0,IF(AND(Données!$O158="oui",Données!$N158=0.5),MIN(VLOOKUP($F118,taux,9)/2,ROUNDUP(VLOOKUP($F118,taux,7)*$E118,-3)/2),IF(Données!$N158=0.5,MIN(VLOOKUP($F118,taux,8)/2,ROUNDUP(VLOOKUP($F118,taux,7)*$E118,-3)/2),ROUNDUP(IF(Données!$O158="OUI",MIN(VLOOKUP($F118,taux,7)*$E118,VLOOKUP($F118,taux,9)),MIN(VLOOKUP($F118,taux,7)*$E118,VLOOKUP($F118,taux,8))),-3)))))</f>
        <v>0</v>
      </c>
      <c r="O118" s="105">
        <f ca="1">IF(C118&gt;=70,0,IF($B118=" ",0,IF(Données!P158="non couvert"," ",Données!Q158)))</f>
        <v>0</v>
      </c>
      <c r="P118" s="106">
        <f>IF($B118=" ",0,IF(Données!$P158="exo",0,IF($O118="FAM",VLOOKUP($F118,taux,10),IF($O118="MONO",VLOOKUP($F118,taux,11),IF($O118="COUPLE",VLOOKUP($F118,taux,12),0)))))</f>
        <v>0</v>
      </c>
      <c r="Q118" s="107">
        <f ca="1">IF(C118&gt;=70,0,IF($B118=" ",0,IF(Données!$R158="NON COUVERT",0,ROUNDUP(IF(Données!$S158="OUI",MIN($E118*VLOOKUP($F118,taux,15)/52,VLOOKUP($F118,taux,17)),MIN($E118*VLOOKUP($F118,taux,15)/52,VLOOKUP($F118,taux,16))),0))))</f>
        <v>0</v>
      </c>
      <c r="R118" s="108">
        <f>IF($B118=" ",0,IF(Données!$R158="EXO",0,$Q118*VLOOKUP($F118,taux,13)/10))</f>
        <v>0</v>
      </c>
      <c r="S118" s="109">
        <f t="shared" ca="1" si="11"/>
        <v>0</v>
      </c>
      <c r="T118" s="110">
        <f>IF(B118=" ",0,IF(Données!$T158="exo",0,$S118*VLOOKUP($F118,taux,18)/100))</f>
        <v>0</v>
      </c>
      <c r="U118" s="109">
        <f>IF($B118=" ",0,IF(Données!$V158="non couvert",0,IF(VLOOKUP($F118,taux,29)="fixe","s/o",IF(Données!$W158="oui",MIN(ROUNDUP(VLOOKUP($F118,taux,31)*$E118,-3),VLOOKUP($F118,taux,33)),MIN(ROUNDUP(VLOOKUP($F118,taux,31)*$E118,-3),VLOOKUP($F118,taux,32))))))</f>
        <v>0</v>
      </c>
      <c r="V118" s="110">
        <f>IF(B118=" ",0,IF(Données!$V158="exo",0,IF(VLOOKUP($F118,taux,29)="fixe",VLOOKUP($F118,taux,30),$U118/1000*VLOOKUP($F118,taux,30))))</f>
        <v>0</v>
      </c>
      <c r="W118" s="110">
        <f t="shared" si="8"/>
        <v>0</v>
      </c>
      <c r="X118" s="383">
        <f>IF(B118=" ",0,EDATE((Données!E158),780))</f>
        <v>0</v>
      </c>
      <c r="Y118" s="383">
        <f t="shared" si="14"/>
        <v>0</v>
      </c>
      <c r="Z118" s="384">
        <f>IF($B118=" ",0,IF(Données!$T158="non couvert",0,IF(Données!$U158="oui",MIN(VLOOKUP($F118,taux,26),ROUNDUP(IF($E118/12&gt;VLOOKUP($F118,taux,21)+VLOOKUP($F118,taux,23),(VLOOKUP($F118,taux,20)*VLOOKUP($F118,taux,21))+(VLOOKUP($F118,taux,22)*VLOOKUP($F118,taux,23))+($E118/12-VLOOKUP($F118,taux,21)-VLOOKUP($F118,taux,23))*VLOOKUP($F118,taux,24),IF($E118/12&gt;VLOOKUP($F118,taux,21),(VLOOKUP($F118,taux,20)*VLOOKUP($F118,taux,21))+($E118/12-VLOOKUP($F118,taux,21))*VLOOKUP($F118,taux,22),$E118/12*VLOOKUP($F118,taux,20))),0)),MIN(VLOOKUP($F118,taux,25),ROUNDUP(IF($E118/12&gt;VLOOKUP($F118,taux,21)+VLOOKUP($F118,taux,23),(VLOOKUP($F118,taux,20)*VLOOKUP($F118,taux,21))+(VLOOKUP($F118,taux,22)*VLOOKUP($F118,taux,23))+($E118/12-VLOOKUP($F118,taux,21)-VLOOKUP($F118,taux,23))*VLOOKUP($F118,taux,24),IF($E118/12&gt;VLOOKUP($F118,taux,21),(VLOOKUP($F118,taux,20)*VLOOKUP($F118,taux,21))+($E118/12-VLOOKUP($F118,taux,21))*VLOOKUP($F118,taux,22),$E118/12*VLOOKUP($F118,taux,20))),0)))))</f>
        <v>0</v>
      </c>
      <c r="AA118" s="111">
        <f ca="1">IF(C118&gt;=70,0,IF($B118=" ",0,IF(Données!$X158="non couvert"," ",Données!Y158)))</f>
        <v>0</v>
      </c>
      <c r="AB118" s="110">
        <f>IF($B118=" ",0,IF(Données!$X158="exo",0,IF($AA118="ind",VLOOKUP($F118,taux,34),IF($AA118="fam",VLOOKUP($F118,taux,35),IF($AA118="mono",VLOOKUP($F118,taux,36),IF($AA118="couple",VLOOKUP($F118,taux,37),0))))))</f>
        <v>0</v>
      </c>
      <c r="AC118" s="111">
        <f ca="1">IF(C118&gt;=70,0,IF($B118=" ",0,IF(Données!$Z158="non couvert"," ",Données!AA158)))</f>
        <v>0</v>
      </c>
      <c r="AD118" s="110">
        <f>IF($B118=" ",0,IF(Données!$Z158="exo",0,IF($AC118="ind",VLOOKUP($F118,taux,38),IF($AC118="fam",VLOOKUP($F118,taux,39),IF($AC118="mono",VLOOKUP($F118,taux,40),IF($AC118="couple",VLOOKUP($F118,taux,41),0))))))</f>
        <v>0</v>
      </c>
      <c r="AE118" s="112">
        <f>IF($B118=" ",0,IF(Données!$AB158="non couvert"," ",Données!AC158))</f>
        <v>0</v>
      </c>
      <c r="AF118" s="113">
        <f>IF($B118=" ",0,IF(Données!$AB158="exo",0,IF($AE118="ind",VLOOKUP($F118,taux,42),IF($AE118="fam",VLOOKUP($F118,taux,43),IF($AE118="mono",VLOOKUP($F118,taux,44),IF($AE118="couple",VLOOKUP($F118,taux,45),0))))))</f>
        <v>0</v>
      </c>
      <c r="AG118" s="114">
        <f t="shared" ca="1" si="15"/>
        <v>0</v>
      </c>
      <c r="AH118" s="114">
        <f>IF($B118=" ",0,IF(Données!J158="Manitoba",(Facture!H118+Facture!J118+Facture!L118+Facture!P118+Facture!R118+Facture!T118)*0.08,(AG118-W118)*IF(Données!$J158="qc",0.09,IF(Données!$J158="on",0.08,0))+W118*VLOOKUP($F118,taux,28)))</f>
        <v>0</v>
      </c>
      <c r="AI118" s="106">
        <f t="shared" ca="1" si="16"/>
        <v>0</v>
      </c>
    </row>
    <row r="119" spans="1:35" s="64" customFormat="1">
      <c r="A119" s="90">
        <f t="shared" si="13"/>
        <v>105</v>
      </c>
      <c r="B119" s="99" t="str">
        <f>CONCATENATE(Données!B159," ",Données!C159)</f>
        <v xml:space="preserve"> </v>
      </c>
      <c r="C119" s="410">
        <f ca="1">IF(B119="",0,INT((TODAY()-Données!E159)/365.25))</f>
        <v>119</v>
      </c>
      <c r="D119" s="100">
        <f>Données!D159</f>
        <v>0</v>
      </c>
      <c r="E119" s="101">
        <f>Données!I159</f>
        <v>0</v>
      </c>
      <c r="F119" s="102" t="str">
        <f>Données!AD159</f>
        <v/>
      </c>
      <c r="G119" s="103">
        <f ca="1">INDEX({1;0.5;0},MATCH(C119,{1;65;70}))*M119</f>
        <v>0</v>
      </c>
      <c r="H119" s="104">
        <f>IF($B119=" ",0,IF(Données!$K159="exo",0,$G119/1000*VLOOKUP($F119,taux,2)))</f>
        <v>0</v>
      </c>
      <c r="I119" s="398">
        <f ca="1">IF(C119&gt;=65,0,Données!M159*5000)</f>
        <v>0</v>
      </c>
      <c r="J119" s="104">
        <f ca="1">I119/1000*(IF(I119=0,0,1)*VLOOKUP((1+(C119&gt;=20)+(C119&gt;=25)+(C119&gt;=30)+(C119&gt;=35)+(C119&gt;=40)+(C119&gt;=45)+(C119&gt;=50)+(C119&gt;=55)+(C119&gt;=60)+(C119&gt;=65)),Test,2+(IF(Données!F159="H",1,3))+(IF(Données!G159="F",1,0))))</f>
        <v>0</v>
      </c>
      <c r="K119" s="103">
        <f ca="1">INDEX({1;0.5;0},MATCH(C119,{1;65;70}))*M119</f>
        <v>0</v>
      </c>
      <c r="L119" s="104">
        <f>IF($B119=" ",0,IF(Données!$N159="exo",0,$K119/1000*VLOOKUP($F119,taux,6)))</f>
        <v>0</v>
      </c>
      <c r="M119" s="379">
        <f>IF($B119=" ",0,IF(Données!$K159="NON COUVERT",0,IF(AND(Données!$L159="oui",Données!$K159=0.5),MIN(VLOOKUP($F119,taux,5)/2,ROUNDUP(VLOOKUP($F119,taux,3)*$E119,-3)/2),IF(Données!$K159=0.5,MIN(VLOOKUP($F119,taux,4)/2,ROUNDUP(VLOOKUP($F119,taux,3)*$E119,-3)/2),ROUNDUP(IF(Données!$L159="OUI",MIN(VLOOKUP($F119,taux,3)*$E119,VLOOKUP($F119,taux,5)),MIN(VLOOKUP($F119,taux,3)*$E119,VLOOKUP($F119,taux,4))),-3)))))</f>
        <v>0</v>
      </c>
      <c r="N119" s="379">
        <f>IF($B119=" ",0,IF(Données!$N159="NON COUVERT",0,IF(AND(Données!$O159="oui",Données!$N159=0.5),MIN(VLOOKUP($F119,taux,9)/2,ROUNDUP(VLOOKUP($F119,taux,7)*$E119,-3)/2),IF(Données!$N159=0.5,MIN(VLOOKUP($F119,taux,8)/2,ROUNDUP(VLOOKUP($F119,taux,7)*$E119,-3)/2),ROUNDUP(IF(Données!$O159="OUI",MIN(VLOOKUP($F119,taux,7)*$E119,VLOOKUP($F119,taux,9)),MIN(VLOOKUP($F119,taux,7)*$E119,VLOOKUP($F119,taux,8))),-3)))))</f>
        <v>0</v>
      </c>
      <c r="O119" s="105">
        <f ca="1">IF(C119&gt;=70,0,IF($B119=" ",0,IF(Données!P159="non couvert"," ",Données!Q159)))</f>
        <v>0</v>
      </c>
      <c r="P119" s="106">
        <f>IF($B119=" ",0,IF(Données!$P159="exo",0,IF($O119="FAM",VLOOKUP($F119,taux,10),IF($O119="MONO",VLOOKUP($F119,taux,11),IF($O119="COUPLE",VLOOKUP($F119,taux,12),0)))))</f>
        <v>0</v>
      </c>
      <c r="Q119" s="107">
        <f ca="1">IF(C119&gt;=70,0,IF($B119=" ",0,IF(Données!$R159="NON COUVERT",0,ROUNDUP(IF(Données!$S159="OUI",MIN($E119*VLOOKUP($F119,taux,15)/52,VLOOKUP($F119,taux,17)),MIN($E119*VLOOKUP($F119,taux,15)/52,VLOOKUP($F119,taux,16))),0))))</f>
        <v>0</v>
      </c>
      <c r="R119" s="108">
        <f>IF($B119=" ",0,IF(Données!$R159="EXO",0,$Q119*VLOOKUP($F119,taux,13)/10))</f>
        <v>0</v>
      </c>
      <c r="S119" s="109">
        <f t="shared" ca="1" si="11"/>
        <v>0</v>
      </c>
      <c r="T119" s="110">
        <f>IF(B119=" ",0,IF(Données!$T159="exo",0,$S119*VLOOKUP($F119,taux,18)/100))</f>
        <v>0</v>
      </c>
      <c r="U119" s="109">
        <f>IF($B119=" ",0,IF(Données!$V159="non couvert",0,IF(VLOOKUP($F119,taux,29)="fixe","s/o",IF(Données!$W159="oui",MIN(ROUNDUP(VLOOKUP($F119,taux,31)*$E119,-3),VLOOKUP($F119,taux,33)),MIN(ROUNDUP(VLOOKUP($F119,taux,31)*$E119,-3),VLOOKUP($F119,taux,32))))))</f>
        <v>0</v>
      </c>
      <c r="V119" s="110">
        <f>IF(B119=" ",0,IF(Données!$V159="exo",0,IF(VLOOKUP($F119,taux,29)="fixe",VLOOKUP($F119,taux,30),$U119/1000*VLOOKUP($F119,taux,30))))</f>
        <v>0</v>
      </c>
      <c r="W119" s="110">
        <f t="shared" si="8"/>
        <v>0</v>
      </c>
      <c r="X119" s="383">
        <f>IF(B119=" ",0,EDATE((Données!E159),780))</f>
        <v>0</v>
      </c>
      <c r="Y119" s="383">
        <f t="shared" si="14"/>
        <v>0</v>
      </c>
      <c r="Z119" s="384">
        <f>IF($B119=" ",0,IF(Données!$T159="non couvert",0,IF(Données!$U159="oui",MIN(VLOOKUP($F119,taux,26),ROUNDUP(IF($E119/12&gt;VLOOKUP($F119,taux,21)+VLOOKUP($F119,taux,23),(VLOOKUP($F119,taux,20)*VLOOKUP($F119,taux,21))+(VLOOKUP($F119,taux,22)*VLOOKUP($F119,taux,23))+($E119/12-VLOOKUP($F119,taux,21)-VLOOKUP($F119,taux,23))*VLOOKUP($F119,taux,24),IF($E119/12&gt;VLOOKUP($F119,taux,21),(VLOOKUP($F119,taux,20)*VLOOKUP($F119,taux,21))+($E119/12-VLOOKUP($F119,taux,21))*VLOOKUP($F119,taux,22),$E119/12*VLOOKUP($F119,taux,20))),0)),MIN(VLOOKUP($F119,taux,25),ROUNDUP(IF($E119/12&gt;VLOOKUP($F119,taux,21)+VLOOKUP($F119,taux,23),(VLOOKUP($F119,taux,20)*VLOOKUP($F119,taux,21))+(VLOOKUP($F119,taux,22)*VLOOKUP($F119,taux,23))+($E119/12-VLOOKUP($F119,taux,21)-VLOOKUP($F119,taux,23))*VLOOKUP($F119,taux,24),IF($E119/12&gt;VLOOKUP($F119,taux,21),(VLOOKUP($F119,taux,20)*VLOOKUP($F119,taux,21))+($E119/12-VLOOKUP($F119,taux,21))*VLOOKUP($F119,taux,22),$E119/12*VLOOKUP($F119,taux,20))),0)))))</f>
        <v>0</v>
      </c>
      <c r="AA119" s="111">
        <f ca="1">IF(C119&gt;=70,0,IF($B119=" ",0,IF(Données!$X159="non couvert"," ",Données!Y159)))</f>
        <v>0</v>
      </c>
      <c r="AB119" s="110">
        <f>IF($B119=" ",0,IF(Données!$X159="exo",0,IF($AA119="ind",VLOOKUP($F119,taux,34),IF($AA119="fam",VLOOKUP($F119,taux,35),IF($AA119="mono",VLOOKUP($F119,taux,36),IF($AA119="couple",VLOOKUP($F119,taux,37),0))))))</f>
        <v>0</v>
      </c>
      <c r="AC119" s="111">
        <f ca="1">IF(C119&gt;=70,0,IF($B119=" ",0,IF(Données!$Z159="non couvert"," ",Données!AA159)))</f>
        <v>0</v>
      </c>
      <c r="AD119" s="110">
        <f>IF($B119=" ",0,IF(Données!$Z159="exo",0,IF($AC119="ind",VLOOKUP($F119,taux,38),IF($AC119="fam",VLOOKUP($F119,taux,39),IF($AC119="mono",VLOOKUP($F119,taux,40),IF($AC119="couple",VLOOKUP($F119,taux,41),0))))))</f>
        <v>0</v>
      </c>
      <c r="AE119" s="112">
        <f>IF($B119=" ",0,IF(Données!$AB159="non couvert"," ",Données!AC159))</f>
        <v>0</v>
      </c>
      <c r="AF119" s="113">
        <f>IF($B119=" ",0,IF(Données!$AB159="exo",0,IF($AE119="ind",VLOOKUP($F119,taux,42),IF($AE119="fam",VLOOKUP($F119,taux,43),IF($AE119="mono",VLOOKUP($F119,taux,44),IF($AE119="couple",VLOOKUP($F119,taux,45),0))))))</f>
        <v>0</v>
      </c>
      <c r="AG119" s="114">
        <f t="shared" ca="1" si="15"/>
        <v>0</v>
      </c>
      <c r="AH119" s="114">
        <f>IF($B119=" ",0,IF(Données!J159="Manitoba",(Facture!H119+Facture!J119+Facture!L119+Facture!P119+Facture!R119+Facture!T119)*0.08,(AG119-W119)*IF(Données!$J159="qc",0.09,IF(Données!$J159="on",0.08,0))+W119*VLOOKUP($F119,taux,28)))</f>
        <v>0</v>
      </c>
      <c r="AI119" s="106">
        <f t="shared" ca="1" si="16"/>
        <v>0</v>
      </c>
    </row>
    <row r="120" spans="1:35" s="64" customFormat="1">
      <c r="A120" s="90">
        <f t="shared" si="13"/>
        <v>106</v>
      </c>
      <c r="B120" s="99" t="str">
        <f>CONCATENATE(Données!B160," ",Données!C160)</f>
        <v xml:space="preserve"> </v>
      </c>
      <c r="C120" s="410">
        <f ca="1">IF(B120="",0,INT((TODAY()-Données!E160)/365.25))</f>
        <v>119</v>
      </c>
      <c r="D120" s="100">
        <f>Données!D160</f>
        <v>0</v>
      </c>
      <c r="E120" s="101">
        <f>Données!I160</f>
        <v>0</v>
      </c>
      <c r="F120" s="102" t="str">
        <f>Données!AD160</f>
        <v/>
      </c>
      <c r="G120" s="103">
        <f ca="1">INDEX({1;0.5;0},MATCH(C120,{1;65;70}))*M120</f>
        <v>0</v>
      </c>
      <c r="H120" s="104">
        <f>IF($B120=" ",0,IF(Données!$K160="exo",0,$G120/1000*VLOOKUP($F120,taux,2)))</f>
        <v>0</v>
      </c>
      <c r="I120" s="398">
        <f ca="1">IF(C120&gt;=65,0,Données!M160*5000)</f>
        <v>0</v>
      </c>
      <c r="J120" s="104">
        <f ca="1">I120/1000*(IF(I120=0,0,1)*VLOOKUP((1+(C120&gt;=20)+(C120&gt;=25)+(C120&gt;=30)+(C120&gt;=35)+(C120&gt;=40)+(C120&gt;=45)+(C120&gt;=50)+(C120&gt;=55)+(C120&gt;=60)+(C120&gt;=65)),Test,2+(IF(Données!F160="H",1,3))+(IF(Données!G160="F",1,0))))</f>
        <v>0</v>
      </c>
      <c r="K120" s="103">
        <f ca="1">INDEX({1;0.5;0},MATCH(C120,{1;65;70}))*M120</f>
        <v>0</v>
      </c>
      <c r="L120" s="104">
        <f>IF($B120=" ",0,IF(Données!$N160="exo",0,$K120/1000*VLOOKUP($F120,taux,6)))</f>
        <v>0</v>
      </c>
      <c r="M120" s="379">
        <f>IF($B120=" ",0,IF(Données!$K160="NON COUVERT",0,IF(AND(Données!$L160="oui",Données!$K160=0.5),MIN(VLOOKUP($F120,taux,5)/2,ROUNDUP(VLOOKUP($F120,taux,3)*$E120,-3)/2),IF(Données!$K160=0.5,MIN(VLOOKUP($F120,taux,4)/2,ROUNDUP(VLOOKUP($F120,taux,3)*$E120,-3)/2),ROUNDUP(IF(Données!$L160="OUI",MIN(VLOOKUP($F120,taux,3)*$E120,VLOOKUP($F120,taux,5)),MIN(VLOOKUP($F120,taux,3)*$E120,VLOOKUP($F120,taux,4))),-3)))))</f>
        <v>0</v>
      </c>
      <c r="N120" s="379">
        <f>IF($B120=" ",0,IF(Données!$N160="NON COUVERT",0,IF(AND(Données!$O160="oui",Données!$N160=0.5),MIN(VLOOKUP($F120,taux,9)/2,ROUNDUP(VLOOKUP($F120,taux,7)*$E120,-3)/2),IF(Données!$N160=0.5,MIN(VLOOKUP($F120,taux,8)/2,ROUNDUP(VLOOKUP($F120,taux,7)*$E120,-3)/2),ROUNDUP(IF(Données!$O160="OUI",MIN(VLOOKUP($F120,taux,7)*$E120,VLOOKUP($F120,taux,9)),MIN(VLOOKUP($F120,taux,7)*$E120,VLOOKUP($F120,taux,8))),-3)))))</f>
        <v>0</v>
      </c>
      <c r="O120" s="105">
        <f ca="1">IF(C120&gt;=70,0,IF($B120=" ",0,IF(Données!P160="non couvert"," ",Données!Q160)))</f>
        <v>0</v>
      </c>
      <c r="P120" s="106">
        <f>IF($B120=" ",0,IF(Données!$P160="exo",0,IF($O120="FAM",VLOOKUP($F120,taux,10),IF($O120="MONO",VLOOKUP($F120,taux,11),IF($O120="COUPLE",VLOOKUP($F120,taux,12),0)))))</f>
        <v>0</v>
      </c>
      <c r="Q120" s="107">
        <f ca="1">IF(C120&gt;=70,0,IF($B120=" ",0,IF(Données!$R160="NON COUVERT",0,ROUNDUP(IF(Données!$S160="OUI",MIN($E120*VLOOKUP($F120,taux,15)/52,VLOOKUP($F120,taux,17)),MIN($E120*VLOOKUP($F120,taux,15)/52,VLOOKUP($F120,taux,16))),0))))</f>
        <v>0</v>
      </c>
      <c r="R120" s="108">
        <f>IF($B120=" ",0,IF(Données!$R160="EXO",0,$Q120*VLOOKUP($F120,taux,13)/10))</f>
        <v>0</v>
      </c>
      <c r="S120" s="109">
        <f t="shared" ca="1" si="11"/>
        <v>0</v>
      </c>
      <c r="T120" s="110">
        <f>IF(B120=" ",0,IF(Données!$T160="exo",0,$S120*VLOOKUP($F120,taux,18)/100))</f>
        <v>0</v>
      </c>
      <c r="U120" s="109">
        <f>IF($B120=" ",0,IF(Données!$V160="non couvert",0,IF(VLOOKUP($F120,taux,29)="fixe","s/o",IF(Données!$W160="oui",MIN(ROUNDUP(VLOOKUP($F120,taux,31)*$E120,-3),VLOOKUP($F120,taux,33)),MIN(ROUNDUP(VLOOKUP($F120,taux,31)*$E120,-3),VLOOKUP($F120,taux,32))))))</f>
        <v>0</v>
      </c>
      <c r="V120" s="110">
        <f>IF(B120=" ",0,IF(Données!$V160="exo",0,IF(VLOOKUP($F120,taux,29)="fixe",VLOOKUP($F120,taux,30),$U120/1000*VLOOKUP($F120,taux,30))))</f>
        <v>0</v>
      </c>
      <c r="W120" s="110">
        <f t="shared" si="8"/>
        <v>0</v>
      </c>
      <c r="X120" s="383">
        <f>IF(B120=" ",0,EDATE((Données!E160),780))</f>
        <v>0</v>
      </c>
      <c r="Y120" s="383">
        <f t="shared" si="14"/>
        <v>0</v>
      </c>
      <c r="Z120" s="384">
        <f>IF($B120=" ",0,IF(Données!$T160="non couvert",0,IF(Données!$U160="oui",MIN(VLOOKUP($F120,taux,26),ROUNDUP(IF($E120/12&gt;VLOOKUP($F120,taux,21)+VLOOKUP($F120,taux,23),(VLOOKUP($F120,taux,20)*VLOOKUP($F120,taux,21))+(VLOOKUP($F120,taux,22)*VLOOKUP($F120,taux,23))+($E120/12-VLOOKUP($F120,taux,21)-VLOOKUP($F120,taux,23))*VLOOKUP($F120,taux,24),IF($E120/12&gt;VLOOKUP($F120,taux,21),(VLOOKUP($F120,taux,20)*VLOOKUP($F120,taux,21))+($E120/12-VLOOKUP($F120,taux,21))*VLOOKUP($F120,taux,22),$E120/12*VLOOKUP($F120,taux,20))),0)),MIN(VLOOKUP($F120,taux,25),ROUNDUP(IF($E120/12&gt;VLOOKUP($F120,taux,21)+VLOOKUP($F120,taux,23),(VLOOKUP($F120,taux,20)*VLOOKUP($F120,taux,21))+(VLOOKUP($F120,taux,22)*VLOOKUP($F120,taux,23))+($E120/12-VLOOKUP($F120,taux,21)-VLOOKUP($F120,taux,23))*VLOOKUP($F120,taux,24),IF($E120/12&gt;VLOOKUP($F120,taux,21),(VLOOKUP($F120,taux,20)*VLOOKUP($F120,taux,21))+($E120/12-VLOOKUP($F120,taux,21))*VLOOKUP($F120,taux,22),$E120/12*VLOOKUP($F120,taux,20))),0)))))</f>
        <v>0</v>
      </c>
      <c r="AA120" s="111">
        <f ca="1">IF(C120&gt;=70,0,IF($B120=" ",0,IF(Données!$X160="non couvert"," ",Données!Y160)))</f>
        <v>0</v>
      </c>
      <c r="AB120" s="110">
        <f>IF($B120=" ",0,IF(Données!$X160="exo",0,IF($AA120="ind",VLOOKUP($F120,taux,34),IF($AA120="fam",VLOOKUP($F120,taux,35),IF($AA120="mono",VLOOKUP($F120,taux,36),IF($AA120="couple",VLOOKUP($F120,taux,37),0))))))</f>
        <v>0</v>
      </c>
      <c r="AC120" s="111">
        <f ca="1">IF(C120&gt;=70,0,IF($B120=" ",0,IF(Données!$Z160="non couvert"," ",Données!AA160)))</f>
        <v>0</v>
      </c>
      <c r="AD120" s="110">
        <f>IF($B120=" ",0,IF(Données!$Z160="exo",0,IF($AC120="ind",VLOOKUP($F120,taux,38),IF($AC120="fam",VLOOKUP($F120,taux,39),IF($AC120="mono",VLOOKUP($F120,taux,40),IF($AC120="couple",VLOOKUP($F120,taux,41),0))))))</f>
        <v>0</v>
      </c>
      <c r="AE120" s="112">
        <f>IF($B120=" ",0,IF(Données!$AB160="non couvert"," ",Données!AC160))</f>
        <v>0</v>
      </c>
      <c r="AF120" s="113">
        <f>IF($B120=" ",0,IF(Données!$AB160="exo",0,IF($AE120="ind",VLOOKUP($F120,taux,42),IF($AE120="fam",VLOOKUP($F120,taux,43),IF($AE120="mono",VLOOKUP($F120,taux,44),IF($AE120="couple",VLOOKUP($F120,taux,45),0))))))</f>
        <v>0</v>
      </c>
      <c r="AG120" s="114">
        <f t="shared" ca="1" si="15"/>
        <v>0</v>
      </c>
      <c r="AH120" s="114">
        <f>IF($B120=" ",0,IF(Données!J160="Manitoba",(Facture!H120+Facture!J120+Facture!L120+Facture!P120+Facture!R120+Facture!T120)*0.08,(AG120-W120)*IF(Données!$J160="qc",0.09,IF(Données!$J160="on",0.08,0))+W120*VLOOKUP($F120,taux,28)))</f>
        <v>0</v>
      </c>
      <c r="AI120" s="106">
        <f t="shared" ca="1" si="16"/>
        <v>0</v>
      </c>
    </row>
    <row r="121" spans="1:35" s="64" customFormat="1">
      <c r="A121" s="90">
        <f t="shared" si="13"/>
        <v>107</v>
      </c>
      <c r="B121" s="99" t="str">
        <f>CONCATENATE(Données!B161," ",Données!C161)</f>
        <v xml:space="preserve"> </v>
      </c>
      <c r="C121" s="410">
        <f ca="1">IF(B121="",0,INT((TODAY()-Données!E161)/365.25))</f>
        <v>119</v>
      </c>
      <c r="D121" s="100">
        <f>Données!D161</f>
        <v>0</v>
      </c>
      <c r="E121" s="101">
        <f>Données!I161</f>
        <v>0</v>
      </c>
      <c r="F121" s="102" t="str">
        <f>Données!AD161</f>
        <v/>
      </c>
      <c r="G121" s="103">
        <f ca="1">INDEX({1;0.5;0},MATCH(C121,{1;65;70}))*M121</f>
        <v>0</v>
      </c>
      <c r="H121" s="104">
        <f>IF($B121=" ",0,IF(Données!$K161="exo",0,$G121/1000*VLOOKUP($F121,taux,2)))</f>
        <v>0</v>
      </c>
      <c r="I121" s="398">
        <f ca="1">IF(C121&gt;=65,0,Données!M161*5000)</f>
        <v>0</v>
      </c>
      <c r="J121" s="104">
        <f ca="1">I121/1000*(IF(I121=0,0,1)*VLOOKUP((1+(C121&gt;=20)+(C121&gt;=25)+(C121&gt;=30)+(C121&gt;=35)+(C121&gt;=40)+(C121&gt;=45)+(C121&gt;=50)+(C121&gt;=55)+(C121&gt;=60)+(C121&gt;=65)),Test,2+(IF(Données!F161="H",1,3))+(IF(Données!G161="F",1,0))))</f>
        <v>0</v>
      </c>
      <c r="K121" s="103">
        <f ca="1">INDEX({1;0.5;0},MATCH(C121,{1;65;70}))*M121</f>
        <v>0</v>
      </c>
      <c r="L121" s="104">
        <f>IF($B121=" ",0,IF(Données!$N161="exo",0,$K121/1000*VLOOKUP($F121,taux,6)))</f>
        <v>0</v>
      </c>
      <c r="M121" s="379">
        <f>IF($B121=" ",0,IF(Données!$K161="NON COUVERT",0,IF(AND(Données!$L161="oui",Données!$K161=0.5),MIN(VLOOKUP($F121,taux,5)/2,ROUNDUP(VLOOKUP($F121,taux,3)*$E121,-3)/2),IF(Données!$K161=0.5,MIN(VLOOKUP($F121,taux,4)/2,ROUNDUP(VLOOKUP($F121,taux,3)*$E121,-3)/2),ROUNDUP(IF(Données!$L161="OUI",MIN(VLOOKUP($F121,taux,3)*$E121,VLOOKUP($F121,taux,5)),MIN(VLOOKUP($F121,taux,3)*$E121,VLOOKUP($F121,taux,4))),-3)))))</f>
        <v>0</v>
      </c>
      <c r="N121" s="379">
        <f>IF($B121=" ",0,IF(Données!$N161="NON COUVERT",0,IF(AND(Données!$O161="oui",Données!$N161=0.5),MIN(VLOOKUP($F121,taux,9)/2,ROUNDUP(VLOOKUP($F121,taux,7)*$E121,-3)/2),IF(Données!$N161=0.5,MIN(VLOOKUP($F121,taux,8)/2,ROUNDUP(VLOOKUP($F121,taux,7)*$E121,-3)/2),ROUNDUP(IF(Données!$O161="OUI",MIN(VLOOKUP($F121,taux,7)*$E121,VLOOKUP($F121,taux,9)),MIN(VLOOKUP($F121,taux,7)*$E121,VLOOKUP($F121,taux,8))),-3)))))</f>
        <v>0</v>
      </c>
      <c r="O121" s="105">
        <f ca="1">IF(C121&gt;=70,0,IF($B121=" ",0,IF(Données!P161="non couvert"," ",Données!Q161)))</f>
        <v>0</v>
      </c>
      <c r="P121" s="106">
        <f>IF($B121=" ",0,IF(Données!$P161="exo",0,IF($O121="FAM",VLOOKUP($F121,taux,10),IF($O121="MONO",VLOOKUP($F121,taux,11),IF($O121="COUPLE",VLOOKUP($F121,taux,12),0)))))</f>
        <v>0</v>
      </c>
      <c r="Q121" s="107">
        <f ca="1">IF(C121&gt;=70,0,IF($B121=" ",0,IF(Données!$R161="NON COUVERT",0,ROUNDUP(IF(Données!$S161="OUI",MIN($E121*VLOOKUP($F121,taux,15)/52,VLOOKUP($F121,taux,17)),MIN($E121*VLOOKUP($F121,taux,15)/52,VLOOKUP($F121,taux,16))),0))))</f>
        <v>0</v>
      </c>
      <c r="R121" s="108">
        <f>IF($B121=" ",0,IF(Données!$R161="EXO",0,$Q121*VLOOKUP($F121,taux,13)/10))</f>
        <v>0</v>
      </c>
      <c r="S121" s="109">
        <f t="shared" ca="1" si="11"/>
        <v>0</v>
      </c>
      <c r="T121" s="110">
        <f>IF(B121=" ",0,IF(Données!$T161="exo",0,$S121*VLOOKUP($F121,taux,18)/100))</f>
        <v>0</v>
      </c>
      <c r="U121" s="109">
        <f>IF($B121=" ",0,IF(Données!$V161="non couvert",0,IF(VLOOKUP($F121,taux,29)="fixe","s/o",IF(Données!$W161="oui",MIN(ROUNDUP(VLOOKUP($F121,taux,31)*$E121,-3),VLOOKUP($F121,taux,33)),MIN(ROUNDUP(VLOOKUP($F121,taux,31)*$E121,-3),VLOOKUP($F121,taux,32))))))</f>
        <v>0</v>
      </c>
      <c r="V121" s="110">
        <f>IF(B121=" ",0,IF(Données!$V161="exo",0,IF(VLOOKUP($F121,taux,29)="fixe",VLOOKUP($F121,taux,30),$U121/1000*VLOOKUP($F121,taux,30))))</f>
        <v>0</v>
      </c>
      <c r="W121" s="110">
        <f t="shared" si="8"/>
        <v>0</v>
      </c>
      <c r="X121" s="383">
        <f>IF(B121=" ",0,EDATE((Données!E161),780))</f>
        <v>0</v>
      </c>
      <c r="Y121" s="383">
        <f t="shared" si="14"/>
        <v>0</v>
      </c>
      <c r="Z121" s="384">
        <f>IF($B121=" ",0,IF(Données!$T161="non couvert",0,IF(Données!$U161="oui",MIN(VLOOKUP($F121,taux,26),ROUNDUP(IF($E121/12&gt;VLOOKUP($F121,taux,21)+VLOOKUP($F121,taux,23),(VLOOKUP($F121,taux,20)*VLOOKUP($F121,taux,21))+(VLOOKUP($F121,taux,22)*VLOOKUP($F121,taux,23))+($E121/12-VLOOKUP($F121,taux,21)-VLOOKUP($F121,taux,23))*VLOOKUP($F121,taux,24),IF($E121/12&gt;VLOOKUP($F121,taux,21),(VLOOKUP($F121,taux,20)*VLOOKUP($F121,taux,21))+($E121/12-VLOOKUP($F121,taux,21))*VLOOKUP($F121,taux,22),$E121/12*VLOOKUP($F121,taux,20))),0)),MIN(VLOOKUP($F121,taux,25),ROUNDUP(IF($E121/12&gt;VLOOKUP($F121,taux,21)+VLOOKUP($F121,taux,23),(VLOOKUP($F121,taux,20)*VLOOKUP($F121,taux,21))+(VLOOKUP($F121,taux,22)*VLOOKUP($F121,taux,23))+($E121/12-VLOOKUP($F121,taux,21)-VLOOKUP($F121,taux,23))*VLOOKUP($F121,taux,24),IF($E121/12&gt;VLOOKUP($F121,taux,21),(VLOOKUP($F121,taux,20)*VLOOKUP($F121,taux,21))+($E121/12-VLOOKUP($F121,taux,21))*VLOOKUP($F121,taux,22),$E121/12*VLOOKUP($F121,taux,20))),0)))))</f>
        <v>0</v>
      </c>
      <c r="AA121" s="111">
        <f ca="1">IF(C121&gt;=70,0,IF($B121=" ",0,IF(Données!$X161="non couvert"," ",Données!Y161)))</f>
        <v>0</v>
      </c>
      <c r="AB121" s="110">
        <f>IF($B121=" ",0,IF(Données!$X161="exo",0,IF($AA121="ind",VLOOKUP($F121,taux,34),IF($AA121="fam",VLOOKUP($F121,taux,35),IF($AA121="mono",VLOOKUP($F121,taux,36),IF($AA121="couple",VLOOKUP($F121,taux,37),0))))))</f>
        <v>0</v>
      </c>
      <c r="AC121" s="111">
        <f ca="1">IF(C121&gt;=70,0,IF($B121=" ",0,IF(Données!$Z161="non couvert"," ",Données!AA161)))</f>
        <v>0</v>
      </c>
      <c r="AD121" s="110">
        <f>IF($B121=" ",0,IF(Données!$Z161="exo",0,IF($AC121="ind",VLOOKUP($F121,taux,38),IF($AC121="fam",VLOOKUP($F121,taux,39),IF($AC121="mono",VLOOKUP($F121,taux,40),IF($AC121="couple",VLOOKUP($F121,taux,41),0))))))</f>
        <v>0</v>
      </c>
      <c r="AE121" s="112">
        <f>IF($B121=" ",0,IF(Données!$AB161="non couvert"," ",Données!AC161))</f>
        <v>0</v>
      </c>
      <c r="AF121" s="113">
        <f>IF($B121=" ",0,IF(Données!$AB161="exo",0,IF($AE121="ind",VLOOKUP($F121,taux,42),IF($AE121="fam",VLOOKUP($F121,taux,43),IF($AE121="mono",VLOOKUP($F121,taux,44),IF($AE121="couple",VLOOKUP($F121,taux,45),0))))))</f>
        <v>0</v>
      </c>
      <c r="AG121" s="114">
        <f t="shared" ca="1" si="15"/>
        <v>0</v>
      </c>
      <c r="AH121" s="114">
        <f>IF($B121=" ",0,IF(Données!J161="Manitoba",(Facture!H121+Facture!J121+Facture!L121+Facture!P121+Facture!R121+Facture!T121)*0.08,(AG121-W121)*IF(Données!$J161="qc",0.09,IF(Données!$J161="on",0.08,0))+W121*VLOOKUP($F121,taux,28)))</f>
        <v>0</v>
      </c>
      <c r="AI121" s="106">
        <f t="shared" ca="1" si="16"/>
        <v>0</v>
      </c>
    </row>
    <row r="122" spans="1:35" s="64" customFormat="1">
      <c r="A122" s="90">
        <f t="shared" si="13"/>
        <v>108</v>
      </c>
      <c r="B122" s="99" t="str">
        <f>CONCATENATE(Données!B162," ",Données!C162)</f>
        <v xml:space="preserve"> </v>
      </c>
      <c r="C122" s="410">
        <f ca="1">IF(B122="",0,INT((TODAY()-Données!E162)/365.25))</f>
        <v>119</v>
      </c>
      <c r="D122" s="100">
        <f>Données!D162</f>
        <v>0</v>
      </c>
      <c r="E122" s="101">
        <f>Données!I162</f>
        <v>0</v>
      </c>
      <c r="F122" s="102" t="str">
        <f>Données!AD162</f>
        <v/>
      </c>
      <c r="G122" s="103">
        <f ca="1">INDEX({1;0.5;0},MATCH(C122,{1;65;70}))*M122</f>
        <v>0</v>
      </c>
      <c r="H122" s="104">
        <f>IF($B122=" ",0,IF(Données!$K162="exo",0,$G122/1000*VLOOKUP($F122,taux,2)))</f>
        <v>0</v>
      </c>
      <c r="I122" s="398">
        <f ca="1">IF(C122&gt;=65,0,Données!M162*5000)</f>
        <v>0</v>
      </c>
      <c r="J122" s="104">
        <f ca="1">I122/1000*(IF(I122=0,0,1)*VLOOKUP((1+(C122&gt;=20)+(C122&gt;=25)+(C122&gt;=30)+(C122&gt;=35)+(C122&gt;=40)+(C122&gt;=45)+(C122&gt;=50)+(C122&gt;=55)+(C122&gt;=60)+(C122&gt;=65)),Test,2+(IF(Données!F162="H",1,3))+(IF(Données!G162="F",1,0))))</f>
        <v>0</v>
      </c>
      <c r="K122" s="103">
        <f ca="1">INDEX({1;0.5;0},MATCH(C122,{1;65;70}))*M122</f>
        <v>0</v>
      </c>
      <c r="L122" s="104">
        <f>IF($B122=" ",0,IF(Données!$N162="exo",0,$K122/1000*VLOOKUP($F122,taux,6)))</f>
        <v>0</v>
      </c>
      <c r="M122" s="379">
        <f>IF($B122=" ",0,IF(Données!$K162="NON COUVERT",0,IF(AND(Données!$L162="oui",Données!$K162=0.5),MIN(VLOOKUP($F122,taux,5)/2,ROUNDUP(VLOOKUP($F122,taux,3)*$E122,-3)/2),IF(Données!$K162=0.5,MIN(VLOOKUP($F122,taux,4)/2,ROUNDUP(VLOOKUP($F122,taux,3)*$E122,-3)/2),ROUNDUP(IF(Données!$L162="OUI",MIN(VLOOKUP($F122,taux,3)*$E122,VLOOKUP($F122,taux,5)),MIN(VLOOKUP($F122,taux,3)*$E122,VLOOKUP($F122,taux,4))),-3)))))</f>
        <v>0</v>
      </c>
      <c r="N122" s="379">
        <f>IF($B122=" ",0,IF(Données!$N162="NON COUVERT",0,IF(AND(Données!$O162="oui",Données!$N162=0.5),MIN(VLOOKUP($F122,taux,9)/2,ROUNDUP(VLOOKUP($F122,taux,7)*$E122,-3)/2),IF(Données!$N162=0.5,MIN(VLOOKUP($F122,taux,8)/2,ROUNDUP(VLOOKUP($F122,taux,7)*$E122,-3)/2),ROUNDUP(IF(Données!$O162="OUI",MIN(VLOOKUP($F122,taux,7)*$E122,VLOOKUP($F122,taux,9)),MIN(VLOOKUP($F122,taux,7)*$E122,VLOOKUP($F122,taux,8))),-3)))))</f>
        <v>0</v>
      </c>
      <c r="O122" s="105">
        <f ca="1">IF(C122&gt;=70,0,IF($B122=" ",0,IF(Données!P162="non couvert"," ",Données!Q162)))</f>
        <v>0</v>
      </c>
      <c r="P122" s="106">
        <f>IF($B122=" ",0,IF(Données!$P162="exo",0,IF($O122="FAM",VLOOKUP($F122,taux,10),IF($O122="MONO",VLOOKUP($F122,taux,11),IF($O122="COUPLE",VLOOKUP($F122,taux,12),0)))))</f>
        <v>0</v>
      </c>
      <c r="Q122" s="107">
        <f ca="1">IF(C122&gt;=70,0,IF($B122=" ",0,IF(Données!$R162="NON COUVERT",0,ROUNDUP(IF(Données!$S162="OUI",MIN($E122*VLOOKUP($F122,taux,15)/52,VLOOKUP($F122,taux,17)),MIN($E122*VLOOKUP($F122,taux,15)/52,VLOOKUP($F122,taux,16))),0))))</f>
        <v>0</v>
      </c>
      <c r="R122" s="108">
        <f>IF($B122=" ",0,IF(Données!$R162="EXO",0,$Q122*VLOOKUP($F122,taux,13)/10))</f>
        <v>0</v>
      </c>
      <c r="S122" s="109">
        <f t="shared" ca="1" si="11"/>
        <v>0</v>
      </c>
      <c r="T122" s="110">
        <f>IF(B122=" ",0,IF(Données!$T162="exo",0,$S122*VLOOKUP($F122,taux,18)/100))</f>
        <v>0</v>
      </c>
      <c r="U122" s="109">
        <f>IF($B122=" ",0,IF(Données!$V162="non couvert",0,IF(VLOOKUP($F122,taux,29)="fixe","s/o",IF(Données!$W162="oui",MIN(ROUNDUP(VLOOKUP($F122,taux,31)*$E122,-3),VLOOKUP($F122,taux,33)),MIN(ROUNDUP(VLOOKUP($F122,taux,31)*$E122,-3),VLOOKUP($F122,taux,32))))))</f>
        <v>0</v>
      </c>
      <c r="V122" s="110">
        <f>IF(B122=" ",0,IF(Données!$V162="exo",0,IF(VLOOKUP($F122,taux,29)="fixe",VLOOKUP($F122,taux,30),$U122/1000*VLOOKUP($F122,taux,30))))</f>
        <v>0</v>
      </c>
      <c r="W122" s="110">
        <f t="shared" si="8"/>
        <v>0</v>
      </c>
      <c r="X122" s="383">
        <f>IF(B122=" ",0,EDATE((Données!E162),780))</f>
        <v>0</v>
      </c>
      <c r="Y122" s="383">
        <f t="shared" si="14"/>
        <v>0</v>
      </c>
      <c r="Z122" s="384">
        <f>IF($B122=" ",0,IF(Données!$T162="non couvert",0,IF(Données!$U162="oui",MIN(VLOOKUP($F122,taux,26),ROUNDUP(IF($E122/12&gt;VLOOKUP($F122,taux,21)+VLOOKUP($F122,taux,23),(VLOOKUP($F122,taux,20)*VLOOKUP($F122,taux,21))+(VLOOKUP($F122,taux,22)*VLOOKUP($F122,taux,23))+($E122/12-VLOOKUP($F122,taux,21)-VLOOKUP($F122,taux,23))*VLOOKUP($F122,taux,24),IF($E122/12&gt;VLOOKUP($F122,taux,21),(VLOOKUP($F122,taux,20)*VLOOKUP($F122,taux,21))+($E122/12-VLOOKUP($F122,taux,21))*VLOOKUP($F122,taux,22),$E122/12*VLOOKUP($F122,taux,20))),0)),MIN(VLOOKUP($F122,taux,25),ROUNDUP(IF($E122/12&gt;VLOOKUP($F122,taux,21)+VLOOKUP($F122,taux,23),(VLOOKUP($F122,taux,20)*VLOOKUP($F122,taux,21))+(VLOOKUP($F122,taux,22)*VLOOKUP($F122,taux,23))+($E122/12-VLOOKUP($F122,taux,21)-VLOOKUP($F122,taux,23))*VLOOKUP($F122,taux,24),IF($E122/12&gt;VLOOKUP($F122,taux,21),(VLOOKUP($F122,taux,20)*VLOOKUP($F122,taux,21))+($E122/12-VLOOKUP($F122,taux,21))*VLOOKUP($F122,taux,22),$E122/12*VLOOKUP($F122,taux,20))),0)))))</f>
        <v>0</v>
      </c>
      <c r="AA122" s="111">
        <f ca="1">IF(C122&gt;=70,0,IF($B122=" ",0,IF(Données!$X162="non couvert"," ",Données!Y162)))</f>
        <v>0</v>
      </c>
      <c r="AB122" s="110">
        <f>IF($B122=" ",0,IF(Données!$X162="exo",0,IF($AA122="ind",VLOOKUP($F122,taux,34),IF($AA122="fam",VLOOKUP($F122,taux,35),IF($AA122="mono",VLOOKUP($F122,taux,36),IF($AA122="couple",VLOOKUP($F122,taux,37),0))))))</f>
        <v>0</v>
      </c>
      <c r="AC122" s="111">
        <f ca="1">IF(C122&gt;=70,0,IF($B122=" ",0,IF(Données!$Z162="non couvert"," ",Données!AA162)))</f>
        <v>0</v>
      </c>
      <c r="AD122" s="110">
        <f>IF($B122=" ",0,IF(Données!$Z162="exo",0,IF($AC122="ind",VLOOKUP($F122,taux,38),IF($AC122="fam",VLOOKUP($F122,taux,39),IF($AC122="mono",VLOOKUP($F122,taux,40),IF($AC122="couple",VLOOKUP($F122,taux,41),0))))))</f>
        <v>0</v>
      </c>
      <c r="AE122" s="112">
        <f>IF($B122=" ",0,IF(Données!$AB162="non couvert"," ",Données!AC162))</f>
        <v>0</v>
      </c>
      <c r="AF122" s="113">
        <f>IF($B122=" ",0,IF(Données!$AB162="exo",0,IF($AE122="ind",VLOOKUP($F122,taux,42),IF($AE122="fam",VLOOKUP($F122,taux,43),IF($AE122="mono",VLOOKUP($F122,taux,44),IF($AE122="couple",VLOOKUP($F122,taux,45),0))))))</f>
        <v>0</v>
      </c>
      <c r="AG122" s="114">
        <f t="shared" ca="1" si="15"/>
        <v>0</v>
      </c>
      <c r="AH122" s="114">
        <f>IF($B122=" ",0,IF(Données!J162="Manitoba",(Facture!H122+Facture!J122+Facture!L122+Facture!P122+Facture!R122+Facture!T122)*0.08,(AG122-W122)*IF(Données!$J162="qc",0.09,IF(Données!$J162="on",0.08,0))+W122*VLOOKUP($F122,taux,28)))</f>
        <v>0</v>
      </c>
      <c r="AI122" s="106">
        <f t="shared" ca="1" si="16"/>
        <v>0</v>
      </c>
    </row>
    <row r="123" spans="1:35" s="64" customFormat="1">
      <c r="A123" s="90">
        <f t="shared" si="13"/>
        <v>109</v>
      </c>
      <c r="B123" s="99" t="str">
        <f>CONCATENATE(Données!B163," ",Données!C163)</f>
        <v xml:space="preserve"> </v>
      </c>
      <c r="C123" s="410">
        <f ca="1">IF(B123="",0,INT((TODAY()-Données!E163)/365.25))</f>
        <v>119</v>
      </c>
      <c r="D123" s="100">
        <f>Données!D163</f>
        <v>0</v>
      </c>
      <c r="E123" s="101">
        <f>Données!I163</f>
        <v>0</v>
      </c>
      <c r="F123" s="102" t="str">
        <f>Données!AD163</f>
        <v/>
      </c>
      <c r="G123" s="103">
        <f ca="1">INDEX({1;0.5;0},MATCH(C123,{1;65;70}))*M123</f>
        <v>0</v>
      </c>
      <c r="H123" s="104">
        <f>IF($B123=" ",0,IF(Données!$K163="exo",0,$G123/1000*VLOOKUP($F123,taux,2)))</f>
        <v>0</v>
      </c>
      <c r="I123" s="398">
        <f ca="1">IF(C123&gt;=65,0,Données!M163*5000)</f>
        <v>0</v>
      </c>
      <c r="J123" s="104">
        <f ca="1">I123/1000*(IF(I123=0,0,1)*VLOOKUP((1+(C123&gt;=20)+(C123&gt;=25)+(C123&gt;=30)+(C123&gt;=35)+(C123&gt;=40)+(C123&gt;=45)+(C123&gt;=50)+(C123&gt;=55)+(C123&gt;=60)+(C123&gt;=65)),Test,2+(IF(Données!F163="H",1,3))+(IF(Données!G163="F",1,0))))</f>
        <v>0</v>
      </c>
      <c r="K123" s="103">
        <f ca="1">INDEX({1;0.5;0},MATCH(C123,{1;65;70}))*M123</f>
        <v>0</v>
      </c>
      <c r="L123" s="104">
        <f>IF($B123=" ",0,IF(Données!$N163="exo",0,$K123/1000*VLOOKUP($F123,taux,6)))</f>
        <v>0</v>
      </c>
      <c r="M123" s="379">
        <f>IF($B123=" ",0,IF(Données!$K163="NON COUVERT",0,IF(AND(Données!$L163="oui",Données!$K163=0.5),MIN(VLOOKUP($F123,taux,5)/2,ROUNDUP(VLOOKUP($F123,taux,3)*$E123,-3)/2),IF(Données!$K163=0.5,MIN(VLOOKUP($F123,taux,4)/2,ROUNDUP(VLOOKUP($F123,taux,3)*$E123,-3)/2),ROUNDUP(IF(Données!$L163="OUI",MIN(VLOOKUP($F123,taux,3)*$E123,VLOOKUP($F123,taux,5)),MIN(VLOOKUP($F123,taux,3)*$E123,VLOOKUP($F123,taux,4))),-3)))))</f>
        <v>0</v>
      </c>
      <c r="N123" s="379">
        <f>IF($B123=" ",0,IF(Données!$N163="NON COUVERT",0,IF(AND(Données!$O163="oui",Données!$N163=0.5),MIN(VLOOKUP($F123,taux,9)/2,ROUNDUP(VLOOKUP($F123,taux,7)*$E123,-3)/2),IF(Données!$N163=0.5,MIN(VLOOKUP($F123,taux,8)/2,ROUNDUP(VLOOKUP($F123,taux,7)*$E123,-3)/2),ROUNDUP(IF(Données!$O163="OUI",MIN(VLOOKUP($F123,taux,7)*$E123,VLOOKUP($F123,taux,9)),MIN(VLOOKUP($F123,taux,7)*$E123,VLOOKUP($F123,taux,8))),-3)))))</f>
        <v>0</v>
      </c>
      <c r="O123" s="105">
        <f ca="1">IF(C123&gt;=70,0,IF($B123=" ",0,IF(Données!P163="non couvert"," ",Données!Q163)))</f>
        <v>0</v>
      </c>
      <c r="P123" s="106">
        <f>IF($B123=" ",0,IF(Données!$P163="exo",0,IF($O123="FAM",VLOOKUP($F123,taux,10),IF($O123="MONO",VLOOKUP($F123,taux,11),IF($O123="COUPLE",VLOOKUP($F123,taux,12),0)))))</f>
        <v>0</v>
      </c>
      <c r="Q123" s="107">
        <f ca="1">IF(C123&gt;=70,0,IF($B123=" ",0,IF(Données!$R163="NON COUVERT",0,ROUNDUP(IF(Données!$S163="OUI",MIN($E123*VLOOKUP($F123,taux,15)/52,VLOOKUP($F123,taux,17)),MIN($E123*VLOOKUP($F123,taux,15)/52,VLOOKUP($F123,taux,16))),0))))</f>
        <v>0</v>
      </c>
      <c r="R123" s="108">
        <f>IF($B123=" ",0,IF(Données!$R163="EXO",0,$Q123*VLOOKUP($F123,taux,13)/10))</f>
        <v>0</v>
      </c>
      <c r="S123" s="109">
        <f t="shared" ca="1" si="11"/>
        <v>0</v>
      </c>
      <c r="T123" s="110">
        <f>IF(B123=" ",0,IF(Données!$T163="exo",0,$S123*VLOOKUP($F123,taux,18)/100))</f>
        <v>0</v>
      </c>
      <c r="U123" s="109">
        <f>IF($B123=" ",0,IF(Données!$V163="non couvert",0,IF(VLOOKUP($F123,taux,29)="fixe","s/o",IF(Données!$W163="oui",MIN(ROUNDUP(VLOOKUP($F123,taux,31)*$E123,-3),VLOOKUP($F123,taux,33)),MIN(ROUNDUP(VLOOKUP($F123,taux,31)*$E123,-3),VLOOKUP($F123,taux,32))))))</f>
        <v>0</v>
      </c>
      <c r="V123" s="110">
        <f>IF(B123=" ",0,IF(Données!$V163="exo",0,IF(VLOOKUP($F123,taux,29)="fixe",VLOOKUP($F123,taux,30),$U123/1000*VLOOKUP($F123,taux,30))))</f>
        <v>0</v>
      </c>
      <c r="W123" s="110">
        <f t="shared" si="8"/>
        <v>0</v>
      </c>
      <c r="X123" s="383">
        <f>IF(B123=" ",0,EDATE((Données!E163),780))</f>
        <v>0</v>
      </c>
      <c r="Y123" s="383">
        <f t="shared" si="14"/>
        <v>0</v>
      </c>
      <c r="Z123" s="384">
        <f>IF($B123=" ",0,IF(Données!$T163="non couvert",0,IF(Données!$U163="oui",MIN(VLOOKUP($F123,taux,26),ROUNDUP(IF($E123/12&gt;VLOOKUP($F123,taux,21)+VLOOKUP($F123,taux,23),(VLOOKUP($F123,taux,20)*VLOOKUP($F123,taux,21))+(VLOOKUP($F123,taux,22)*VLOOKUP($F123,taux,23))+($E123/12-VLOOKUP($F123,taux,21)-VLOOKUP($F123,taux,23))*VLOOKUP($F123,taux,24),IF($E123/12&gt;VLOOKUP($F123,taux,21),(VLOOKUP($F123,taux,20)*VLOOKUP($F123,taux,21))+($E123/12-VLOOKUP($F123,taux,21))*VLOOKUP($F123,taux,22),$E123/12*VLOOKUP($F123,taux,20))),0)),MIN(VLOOKUP($F123,taux,25),ROUNDUP(IF($E123/12&gt;VLOOKUP($F123,taux,21)+VLOOKUP($F123,taux,23),(VLOOKUP($F123,taux,20)*VLOOKUP($F123,taux,21))+(VLOOKUP($F123,taux,22)*VLOOKUP($F123,taux,23))+($E123/12-VLOOKUP($F123,taux,21)-VLOOKUP($F123,taux,23))*VLOOKUP($F123,taux,24),IF($E123/12&gt;VLOOKUP($F123,taux,21),(VLOOKUP($F123,taux,20)*VLOOKUP($F123,taux,21))+($E123/12-VLOOKUP($F123,taux,21))*VLOOKUP($F123,taux,22),$E123/12*VLOOKUP($F123,taux,20))),0)))))</f>
        <v>0</v>
      </c>
      <c r="AA123" s="111">
        <f ca="1">IF(C123&gt;=70,0,IF($B123=" ",0,IF(Données!$X163="non couvert"," ",Données!Y163)))</f>
        <v>0</v>
      </c>
      <c r="AB123" s="110">
        <f>IF($B123=" ",0,IF(Données!$X163="exo",0,IF($AA123="ind",VLOOKUP($F123,taux,34),IF($AA123="fam",VLOOKUP($F123,taux,35),IF($AA123="mono",VLOOKUP($F123,taux,36),IF($AA123="couple",VLOOKUP($F123,taux,37),0))))))</f>
        <v>0</v>
      </c>
      <c r="AC123" s="111">
        <f ca="1">IF(C123&gt;=70,0,IF($B123=" ",0,IF(Données!$Z163="non couvert"," ",Données!AA163)))</f>
        <v>0</v>
      </c>
      <c r="AD123" s="110">
        <f>IF($B123=" ",0,IF(Données!$Z163="exo",0,IF($AC123="ind",VLOOKUP($F123,taux,38),IF($AC123="fam",VLOOKUP($F123,taux,39),IF($AC123="mono",VLOOKUP($F123,taux,40),IF($AC123="couple",VLOOKUP($F123,taux,41),0))))))</f>
        <v>0</v>
      </c>
      <c r="AE123" s="112">
        <f>IF($B123=" ",0,IF(Données!$AB163="non couvert"," ",Données!AC163))</f>
        <v>0</v>
      </c>
      <c r="AF123" s="113">
        <f>IF($B123=" ",0,IF(Données!$AB163="exo",0,IF($AE123="ind",VLOOKUP($F123,taux,42),IF($AE123="fam",VLOOKUP($F123,taux,43),IF($AE123="mono",VLOOKUP($F123,taux,44),IF($AE123="couple",VLOOKUP($F123,taux,45),0))))))</f>
        <v>0</v>
      </c>
      <c r="AG123" s="114">
        <f t="shared" ca="1" si="15"/>
        <v>0</v>
      </c>
      <c r="AH123" s="114">
        <f>IF($B123=" ",0,IF(Données!J163="Manitoba",(Facture!H123+Facture!J123+Facture!L123+Facture!P123+Facture!R123+Facture!T123)*0.08,(AG123-W123)*IF(Données!$J163="qc",0.09,IF(Données!$J163="on",0.08,0))+W123*VLOOKUP($F123,taux,28)))</f>
        <v>0</v>
      </c>
      <c r="AI123" s="106">
        <f t="shared" ca="1" si="16"/>
        <v>0</v>
      </c>
    </row>
    <row r="124" spans="1:35" s="64" customFormat="1">
      <c r="A124" s="90">
        <f t="shared" si="13"/>
        <v>110</v>
      </c>
      <c r="B124" s="99" t="str">
        <f>CONCATENATE(Données!B164," ",Données!C164)</f>
        <v xml:space="preserve"> </v>
      </c>
      <c r="C124" s="410">
        <f ca="1">IF(B124="",0,INT((TODAY()-Données!E164)/365.25))</f>
        <v>119</v>
      </c>
      <c r="D124" s="100">
        <f>Données!D164</f>
        <v>0</v>
      </c>
      <c r="E124" s="101">
        <f>Données!I164</f>
        <v>0</v>
      </c>
      <c r="F124" s="102" t="str">
        <f>Données!AD164</f>
        <v/>
      </c>
      <c r="G124" s="103">
        <f ca="1">INDEX({1;0.5;0},MATCH(C124,{1;65;70}))*M124</f>
        <v>0</v>
      </c>
      <c r="H124" s="104">
        <f>IF($B124=" ",0,IF(Données!$K164="exo",0,$G124/1000*VLOOKUP($F124,taux,2)))</f>
        <v>0</v>
      </c>
      <c r="I124" s="398">
        <f ca="1">IF(C124&gt;=65,0,Données!M164*5000)</f>
        <v>0</v>
      </c>
      <c r="J124" s="104">
        <f ca="1">I124/1000*(IF(I124=0,0,1)*VLOOKUP((1+(C124&gt;=20)+(C124&gt;=25)+(C124&gt;=30)+(C124&gt;=35)+(C124&gt;=40)+(C124&gt;=45)+(C124&gt;=50)+(C124&gt;=55)+(C124&gt;=60)+(C124&gt;=65)),Test,2+(IF(Données!F164="H",1,3))+(IF(Données!G164="F",1,0))))</f>
        <v>0</v>
      </c>
      <c r="K124" s="103">
        <f ca="1">INDEX({1;0.5;0},MATCH(C124,{1;65;70}))*M124</f>
        <v>0</v>
      </c>
      <c r="L124" s="104">
        <f>IF($B124=" ",0,IF(Données!$N164="exo",0,$K124/1000*VLOOKUP($F124,taux,6)))</f>
        <v>0</v>
      </c>
      <c r="M124" s="379">
        <f>IF($B124=" ",0,IF(Données!$K164="NON COUVERT",0,IF(AND(Données!$L164="oui",Données!$K164=0.5),MIN(VLOOKUP($F124,taux,5)/2,ROUNDUP(VLOOKUP($F124,taux,3)*$E124,-3)/2),IF(Données!$K164=0.5,MIN(VLOOKUP($F124,taux,4)/2,ROUNDUP(VLOOKUP($F124,taux,3)*$E124,-3)/2),ROUNDUP(IF(Données!$L164="OUI",MIN(VLOOKUP($F124,taux,3)*$E124,VLOOKUP($F124,taux,5)),MIN(VLOOKUP($F124,taux,3)*$E124,VLOOKUP($F124,taux,4))),-3)))))</f>
        <v>0</v>
      </c>
      <c r="N124" s="379">
        <f>IF($B124=" ",0,IF(Données!$N164="NON COUVERT",0,IF(AND(Données!$O164="oui",Données!$N164=0.5),MIN(VLOOKUP($F124,taux,9)/2,ROUNDUP(VLOOKUP($F124,taux,7)*$E124,-3)/2),IF(Données!$N164=0.5,MIN(VLOOKUP($F124,taux,8)/2,ROUNDUP(VLOOKUP($F124,taux,7)*$E124,-3)/2),ROUNDUP(IF(Données!$O164="OUI",MIN(VLOOKUP($F124,taux,7)*$E124,VLOOKUP($F124,taux,9)),MIN(VLOOKUP($F124,taux,7)*$E124,VLOOKUP($F124,taux,8))),-3)))))</f>
        <v>0</v>
      </c>
      <c r="O124" s="105">
        <f ca="1">IF(C124&gt;=70,0,IF($B124=" ",0,IF(Données!P164="non couvert"," ",Données!Q164)))</f>
        <v>0</v>
      </c>
      <c r="P124" s="106">
        <f>IF($B124=" ",0,IF(Données!$P164="exo",0,IF($O124="FAM",VLOOKUP($F124,taux,10),IF($O124="MONO",VLOOKUP($F124,taux,11),IF($O124="COUPLE",VLOOKUP($F124,taux,12),0)))))</f>
        <v>0</v>
      </c>
      <c r="Q124" s="107">
        <f ca="1">IF(C124&gt;=70,0,IF($B124=" ",0,IF(Données!$R164="NON COUVERT",0,ROUNDUP(IF(Données!$S164="OUI",MIN($E124*VLOOKUP($F124,taux,15)/52,VLOOKUP($F124,taux,17)),MIN($E124*VLOOKUP($F124,taux,15)/52,VLOOKUP($F124,taux,16))),0))))</f>
        <v>0</v>
      </c>
      <c r="R124" s="108">
        <f>IF($B124=" ",0,IF(Données!$R164="EXO",0,$Q124*VLOOKUP($F124,taux,13)/10))</f>
        <v>0</v>
      </c>
      <c r="S124" s="109">
        <f t="shared" ca="1" si="11"/>
        <v>0</v>
      </c>
      <c r="T124" s="110">
        <f>IF(B124=" ",0,IF(Données!$T164="exo",0,$S124*VLOOKUP($F124,taux,18)/100))</f>
        <v>0</v>
      </c>
      <c r="U124" s="109">
        <f>IF($B124=" ",0,IF(Données!$V164="non couvert",0,IF(VLOOKUP($F124,taux,29)="fixe","s/o",IF(Données!$W164="oui",MIN(ROUNDUP(VLOOKUP($F124,taux,31)*$E124,-3),VLOOKUP($F124,taux,33)),MIN(ROUNDUP(VLOOKUP($F124,taux,31)*$E124,-3),VLOOKUP($F124,taux,32))))))</f>
        <v>0</v>
      </c>
      <c r="V124" s="110">
        <f>IF(B124=" ",0,IF(Données!$V164="exo",0,IF(VLOOKUP($F124,taux,29)="fixe",VLOOKUP($F124,taux,30),$U124/1000*VLOOKUP($F124,taux,30))))</f>
        <v>0</v>
      </c>
      <c r="W124" s="110">
        <f t="shared" si="8"/>
        <v>0</v>
      </c>
      <c r="X124" s="383">
        <f>IF(B124=" ",0,EDATE((Données!E164),780))</f>
        <v>0</v>
      </c>
      <c r="Y124" s="383">
        <f t="shared" si="14"/>
        <v>0</v>
      </c>
      <c r="Z124" s="384">
        <f>IF($B124=" ",0,IF(Données!$T164="non couvert",0,IF(Données!$U164="oui",MIN(VLOOKUP($F124,taux,26),ROUNDUP(IF($E124/12&gt;VLOOKUP($F124,taux,21)+VLOOKUP($F124,taux,23),(VLOOKUP($F124,taux,20)*VLOOKUP($F124,taux,21))+(VLOOKUP($F124,taux,22)*VLOOKUP($F124,taux,23))+($E124/12-VLOOKUP($F124,taux,21)-VLOOKUP($F124,taux,23))*VLOOKUP($F124,taux,24),IF($E124/12&gt;VLOOKUP($F124,taux,21),(VLOOKUP($F124,taux,20)*VLOOKUP($F124,taux,21))+($E124/12-VLOOKUP($F124,taux,21))*VLOOKUP($F124,taux,22),$E124/12*VLOOKUP($F124,taux,20))),0)),MIN(VLOOKUP($F124,taux,25),ROUNDUP(IF($E124/12&gt;VLOOKUP($F124,taux,21)+VLOOKUP($F124,taux,23),(VLOOKUP($F124,taux,20)*VLOOKUP($F124,taux,21))+(VLOOKUP($F124,taux,22)*VLOOKUP($F124,taux,23))+($E124/12-VLOOKUP($F124,taux,21)-VLOOKUP($F124,taux,23))*VLOOKUP($F124,taux,24),IF($E124/12&gt;VLOOKUP($F124,taux,21),(VLOOKUP($F124,taux,20)*VLOOKUP($F124,taux,21))+($E124/12-VLOOKUP($F124,taux,21))*VLOOKUP($F124,taux,22),$E124/12*VLOOKUP($F124,taux,20))),0)))))</f>
        <v>0</v>
      </c>
      <c r="AA124" s="111">
        <f ca="1">IF(C124&gt;=70,0,IF($B124=" ",0,IF(Données!$X164="non couvert"," ",Données!Y164)))</f>
        <v>0</v>
      </c>
      <c r="AB124" s="110">
        <f>IF($B124=" ",0,IF(Données!$X164="exo",0,IF($AA124="ind",VLOOKUP($F124,taux,34),IF($AA124="fam",VLOOKUP($F124,taux,35),IF($AA124="mono",VLOOKUP($F124,taux,36),IF($AA124="couple",VLOOKUP($F124,taux,37),0))))))</f>
        <v>0</v>
      </c>
      <c r="AC124" s="111">
        <f ca="1">IF(C124&gt;=70,0,IF($B124=" ",0,IF(Données!$Z164="non couvert"," ",Données!AA164)))</f>
        <v>0</v>
      </c>
      <c r="AD124" s="110">
        <f>IF($B124=" ",0,IF(Données!$Z164="exo",0,IF($AC124="ind",VLOOKUP($F124,taux,38),IF($AC124="fam",VLOOKUP($F124,taux,39),IF($AC124="mono",VLOOKUP($F124,taux,40),IF($AC124="couple",VLOOKUP($F124,taux,41),0))))))</f>
        <v>0</v>
      </c>
      <c r="AE124" s="112">
        <f>IF($B124=" ",0,IF(Données!$AB164="non couvert"," ",Données!AC164))</f>
        <v>0</v>
      </c>
      <c r="AF124" s="113">
        <f>IF($B124=" ",0,IF(Données!$AB164="exo",0,IF($AE124="ind",VLOOKUP($F124,taux,42),IF($AE124="fam",VLOOKUP($F124,taux,43),IF($AE124="mono",VLOOKUP($F124,taux,44),IF($AE124="couple",VLOOKUP($F124,taux,45),0))))))</f>
        <v>0</v>
      </c>
      <c r="AG124" s="114">
        <f t="shared" ca="1" si="15"/>
        <v>0</v>
      </c>
      <c r="AH124" s="114">
        <f>IF($B124=" ",0,IF(Données!J164="Manitoba",(Facture!H124+Facture!J124+Facture!L124+Facture!P124+Facture!R124+Facture!T124)*0.08,(AG124-W124)*IF(Données!$J164="qc",0.09,IF(Données!$J164="on",0.08,0))+W124*VLOOKUP($F124,taux,28)))</f>
        <v>0</v>
      </c>
      <c r="AI124" s="106">
        <f t="shared" ca="1" si="16"/>
        <v>0</v>
      </c>
    </row>
    <row r="125" spans="1:35" s="64" customFormat="1">
      <c r="A125" s="90">
        <f t="shared" si="13"/>
        <v>111</v>
      </c>
      <c r="B125" s="99" t="str">
        <f>CONCATENATE(Données!B165," ",Données!C165)</f>
        <v xml:space="preserve"> </v>
      </c>
      <c r="C125" s="410">
        <f ca="1">IF(B125="",0,INT((TODAY()-Données!E165)/365.25))</f>
        <v>119</v>
      </c>
      <c r="D125" s="100">
        <f>Données!D165</f>
        <v>0</v>
      </c>
      <c r="E125" s="101">
        <f>Données!I165</f>
        <v>0</v>
      </c>
      <c r="F125" s="102" t="str">
        <f>Données!AD165</f>
        <v/>
      </c>
      <c r="G125" s="103">
        <f ca="1">INDEX({1;0.5;0},MATCH(C125,{1;65;70}))*M125</f>
        <v>0</v>
      </c>
      <c r="H125" s="104">
        <f>IF($B125=" ",0,IF(Données!$K165="exo",0,$G125/1000*VLOOKUP($F125,taux,2)))</f>
        <v>0</v>
      </c>
      <c r="I125" s="398">
        <f ca="1">IF(C125&gt;=65,0,Données!M165*5000)</f>
        <v>0</v>
      </c>
      <c r="J125" s="104">
        <f ca="1">I125/1000*(IF(I125=0,0,1)*VLOOKUP((1+(C125&gt;=20)+(C125&gt;=25)+(C125&gt;=30)+(C125&gt;=35)+(C125&gt;=40)+(C125&gt;=45)+(C125&gt;=50)+(C125&gt;=55)+(C125&gt;=60)+(C125&gt;=65)),Test,2+(IF(Données!F165="H",1,3))+(IF(Données!G165="F",1,0))))</f>
        <v>0</v>
      </c>
      <c r="K125" s="103">
        <f ca="1">INDEX({1;0.5;0},MATCH(C125,{1;65;70}))*M125</f>
        <v>0</v>
      </c>
      <c r="L125" s="104">
        <f>IF($B125=" ",0,IF(Données!$N165="exo",0,$K125/1000*VLOOKUP($F125,taux,6)))</f>
        <v>0</v>
      </c>
      <c r="M125" s="379">
        <f>IF($B125=" ",0,IF(Données!$K165="NON COUVERT",0,IF(AND(Données!$L165="oui",Données!$K165=0.5),MIN(VLOOKUP($F125,taux,5)/2,ROUNDUP(VLOOKUP($F125,taux,3)*$E125,-3)/2),IF(Données!$K165=0.5,MIN(VLOOKUP($F125,taux,4)/2,ROUNDUP(VLOOKUP($F125,taux,3)*$E125,-3)/2),ROUNDUP(IF(Données!$L165="OUI",MIN(VLOOKUP($F125,taux,3)*$E125,VLOOKUP($F125,taux,5)),MIN(VLOOKUP($F125,taux,3)*$E125,VLOOKUP($F125,taux,4))),-3)))))</f>
        <v>0</v>
      </c>
      <c r="N125" s="379">
        <f>IF($B125=" ",0,IF(Données!$N165="NON COUVERT",0,IF(AND(Données!$O165="oui",Données!$N165=0.5),MIN(VLOOKUP($F125,taux,9)/2,ROUNDUP(VLOOKUP($F125,taux,7)*$E125,-3)/2),IF(Données!$N165=0.5,MIN(VLOOKUP($F125,taux,8)/2,ROUNDUP(VLOOKUP($F125,taux,7)*$E125,-3)/2),ROUNDUP(IF(Données!$O165="OUI",MIN(VLOOKUP($F125,taux,7)*$E125,VLOOKUP($F125,taux,9)),MIN(VLOOKUP($F125,taux,7)*$E125,VLOOKUP($F125,taux,8))),-3)))))</f>
        <v>0</v>
      </c>
      <c r="O125" s="105">
        <f ca="1">IF(C125&gt;=70,0,IF($B125=" ",0,IF(Données!P165="non couvert"," ",Données!Q165)))</f>
        <v>0</v>
      </c>
      <c r="P125" s="106">
        <f>IF($B125=" ",0,IF(Données!$P165="exo",0,IF($O125="FAM",VLOOKUP($F125,taux,10),IF($O125="MONO",VLOOKUP($F125,taux,11),IF($O125="COUPLE",VLOOKUP($F125,taux,12),0)))))</f>
        <v>0</v>
      </c>
      <c r="Q125" s="107">
        <f ca="1">IF(C125&gt;=70,0,IF($B125=" ",0,IF(Données!$R165="NON COUVERT",0,ROUNDUP(IF(Données!$S165="OUI",MIN($E125*VLOOKUP($F125,taux,15)/52,VLOOKUP($F125,taux,17)),MIN($E125*VLOOKUP($F125,taux,15)/52,VLOOKUP($F125,taux,16))),0))))</f>
        <v>0</v>
      </c>
      <c r="R125" s="108">
        <f>IF($B125=" ",0,IF(Données!$R165="EXO",0,$Q125*VLOOKUP($F125,taux,13)/10))</f>
        <v>0</v>
      </c>
      <c r="S125" s="109">
        <f t="shared" ca="1" si="11"/>
        <v>0</v>
      </c>
      <c r="T125" s="110">
        <f>IF(B125=" ",0,IF(Données!$T165="exo",0,$S125*VLOOKUP($F125,taux,18)/100))</f>
        <v>0</v>
      </c>
      <c r="U125" s="109">
        <f>IF($B125=" ",0,IF(Données!$V165="non couvert",0,IF(VLOOKUP($F125,taux,29)="fixe","s/o",IF(Données!$W165="oui",MIN(ROUNDUP(VLOOKUP($F125,taux,31)*$E125,-3),VLOOKUP($F125,taux,33)),MIN(ROUNDUP(VLOOKUP($F125,taux,31)*$E125,-3),VLOOKUP($F125,taux,32))))))</f>
        <v>0</v>
      </c>
      <c r="V125" s="110">
        <f>IF(B125=" ",0,IF(Données!$V165="exo",0,IF(VLOOKUP($F125,taux,29)="fixe",VLOOKUP($F125,taux,30),$U125/1000*VLOOKUP($F125,taux,30))))</f>
        <v>0</v>
      </c>
      <c r="W125" s="110">
        <f t="shared" si="8"/>
        <v>0</v>
      </c>
      <c r="X125" s="383">
        <f>IF(B125=" ",0,EDATE((Données!E165),780))</f>
        <v>0</v>
      </c>
      <c r="Y125" s="383">
        <f t="shared" si="14"/>
        <v>0</v>
      </c>
      <c r="Z125" s="384">
        <f>IF($B125=" ",0,IF(Données!$T165="non couvert",0,IF(Données!$U165="oui",MIN(VLOOKUP($F125,taux,26),ROUNDUP(IF($E125/12&gt;VLOOKUP($F125,taux,21)+VLOOKUP($F125,taux,23),(VLOOKUP($F125,taux,20)*VLOOKUP($F125,taux,21))+(VLOOKUP($F125,taux,22)*VLOOKUP($F125,taux,23))+($E125/12-VLOOKUP($F125,taux,21)-VLOOKUP($F125,taux,23))*VLOOKUP($F125,taux,24),IF($E125/12&gt;VLOOKUP($F125,taux,21),(VLOOKUP($F125,taux,20)*VLOOKUP($F125,taux,21))+($E125/12-VLOOKUP($F125,taux,21))*VLOOKUP($F125,taux,22),$E125/12*VLOOKUP($F125,taux,20))),0)),MIN(VLOOKUP($F125,taux,25),ROUNDUP(IF($E125/12&gt;VLOOKUP($F125,taux,21)+VLOOKUP($F125,taux,23),(VLOOKUP($F125,taux,20)*VLOOKUP($F125,taux,21))+(VLOOKUP($F125,taux,22)*VLOOKUP($F125,taux,23))+($E125/12-VLOOKUP($F125,taux,21)-VLOOKUP($F125,taux,23))*VLOOKUP($F125,taux,24),IF($E125/12&gt;VLOOKUP($F125,taux,21),(VLOOKUP($F125,taux,20)*VLOOKUP($F125,taux,21))+($E125/12-VLOOKUP($F125,taux,21))*VLOOKUP($F125,taux,22),$E125/12*VLOOKUP($F125,taux,20))),0)))))</f>
        <v>0</v>
      </c>
      <c r="AA125" s="111">
        <f ca="1">IF(C125&gt;=70,0,IF($B125=" ",0,IF(Données!$X165="non couvert"," ",Données!Y165)))</f>
        <v>0</v>
      </c>
      <c r="AB125" s="110">
        <f>IF($B125=" ",0,IF(Données!$X165="exo",0,IF($AA125="ind",VLOOKUP($F125,taux,34),IF($AA125="fam",VLOOKUP($F125,taux,35),IF($AA125="mono",VLOOKUP($F125,taux,36),IF($AA125="couple",VLOOKUP($F125,taux,37),0))))))</f>
        <v>0</v>
      </c>
      <c r="AC125" s="111">
        <f ca="1">IF(C125&gt;=70,0,IF($B125=" ",0,IF(Données!$Z165="non couvert"," ",Données!AA165)))</f>
        <v>0</v>
      </c>
      <c r="AD125" s="110">
        <f>IF($B125=" ",0,IF(Données!$Z165="exo",0,IF($AC125="ind",VLOOKUP($F125,taux,38),IF($AC125="fam",VLOOKUP($F125,taux,39),IF($AC125="mono",VLOOKUP($F125,taux,40),IF($AC125="couple",VLOOKUP($F125,taux,41),0))))))</f>
        <v>0</v>
      </c>
      <c r="AE125" s="112">
        <f>IF($B125=" ",0,IF(Données!$AB165="non couvert"," ",Données!AC165))</f>
        <v>0</v>
      </c>
      <c r="AF125" s="113">
        <f>IF($B125=" ",0,IF(Données!$AB165="exo",0,IF($AE125="ind",VLOOKUP($F125,taux,42),IF($AE125="fam",VLOOKUP($F125,taux,43),IF($AE125="mono",VLOOKUP($F125,taux,44),IF($AE125="couple",VLOOKUP($F125,taux,45),0))))))</f>
        <v>0</v>
      </c>
      <c r="AG125" s="114">
        <f t="shared" ca="1" si="15"/>
        <v>0</v>
      </c>
      <c r="AH125" s="114">
        <f>IF($B125=" ",0,IF(Données!J165="Manitoba",(Facture!H125+Facture!J125+Facture!L125+Facture!P125+Facture!R125+Facture!T125)*0.08,(AG125-W125)*IF(Données!$J165="qc",0.09,IF(Données!$J165="on",0.08,0))+W125*VLOOKUP($F125,taux,28)))</f>
        <v>0</v>
      </c>
      <c r="AI125" s="106">
        <f t="shared" ca="1" si="16"/>
        <v>0</v>
      </c>
    </row>
    <row r="126" spans="1:35" s="64" customFormat="1">
      <c r="A126" s="90">
        <f t="shared" si="13"/>
        <v>112</v>
      </c>
      <c r="B126" s="99" t="str">
        <f>CONCATENATE(Données!B166," ",Données!C166)</f>
        <v xml:space="preserve"> </v>
      </c>
      <c r="C126" s="410">
        <f ca="1">IF(B126="",0,INT((TODAY()-Données!E166)/365.25))</f>
        <v>119</v>
      </c>
      <c r="D126" s="100">
        <f>Données!D166</f>
        <v>0</v>
      </c>
      <c r="E126" s="101">
        <f>Données!I166</f>
        <v>0</v>
      </c>
      <c r="F126" s="102" t="str">
        <f>Données!AD166</f>
        <v/>
      </c>
      <c r="G126" s="103">
        <f ca="1">INDEX({1;0.5;0},MATCH(C126,{1;65;70}))*M126</f>
        <v>0</v>
      </c>
      <c r="H126" s="104">
        <f>IF($B126=" ",0,IF(Données!$K166="exo",0,$G126/1000*VLOOKUP($F126,taux,2)))</f>
        <v>0</v>
      </c>
      <c r="I126" s="398">
        <f ca="1">IF(C126&gt;=65,0,Données!M166*5000)</f>
        <v>0</v>
      </c>
      <c r="J126" s="104">
        <f ca="1">I126/1000*(IF(I126=0,0,1)*VLOOKUP((1+(C126&gt;=20)+(C126&gt;=25)+(C126&gt;=30)+(C126&gt;=35)+(C126&gt;=40)+(C126&gt;=45)+(C126&gt;=50)+(C126&gt;=55)+(C126&gt;=60)+(C126&gt;=65)),Test,2+(IF(Données!F166="H",1,3))+(IF(Données!G166="F",1,0))))</f>
        <v>0</v>
      </c>
      <c r="K126" s="103">
        <f ca="1">INDEX({1;0.5;0},MATCH(C126,{1;65;70}))*M126</f>
        <v>0</v>
      </c>
      <c r="L126" s="104">
        <f>IF($B126=" ",0,IF(Données!$N166="exo",0,$K126/1000*VLOOKUP($F126,taux,6)))</f>
        <v>0</v>
      </c>
      <c r="M126" s="379">
        <f>IF($B126=" ",0,IF(Données!$K166="NON COUVERT",0,IF(AND(Données!$L166="oui",Données!$K166=0.5),MIN(VLOOKUP($F126,taux,5)/2,ROUNDUP(VLOOKUP($F126,taux,3)*$E126,-3)/2),IF(Données!$K166=0.5,MIN(VLOOKUP($F126,taux,4)/2,ROUNDUP(VLOOKUP($F126,taux,3)*$E126,-3)/2),ROUNDUP(IF(Données!$L166="OUI",MIN(VLOOKUP($F126,taux,3)*$E126,VLOOKUP($F126,taux,5)),MIN(VLOOKUP($F126,taux,3)*$E126,VLOOKUP($F126,taux,4))),-3)))))</f>
        <v>0</v>
      </c>
      <c r="N126" s="379">
        <f>IF($B126=" ",0,IF(Données!$N166="NON COUVERT",0,IF(AND(Données!$O166="oui",Données!$N166=0.5),MIN(VLOOKUP($F126,taux,9)/2,ROUNDUP(VLOOKUP($F126,taux,7)*$E126,-3)/2),IF(Données!$N166=0.5,MIN(VLOOKUP($F126,taux,8)/2,ROUNDUP(VLOOKUP($F126,taux,7)*$E126,-3)/2),ROUNDUP(IF(Données!$O166="OUI",MIN(VLOOKUP($F126,taux,7)*$E126,VLOOKUP($F126,taux,9)),MIN(VLOOKUP($F126,taux,7)*$E126,VLOOKUP($F126,taux,8))),-3)))))</f>
        <v>0</v>
      </c>
      <c r="O126" s="105">
        <f ca="1">IF(C126&gt;=70,0,IF($B126=" ",0,IF(Données!P166="non couvert"," ",Données!Q166)))</f>
        <v>0</v>
      </c>
      <c r="P126" s="106">
        <f>IF($B126=" ",0,IF(Données!$P166="exo",0,IF($O126="FAM",VLOOKUP($F126,taux,10),IF($O126="MONO",VLOOKUP($F126,taux,11),IF($O126="COUPLE",VLOOKUP($F126,taux,12),0)))))</f>
        <v>0</v>
      </c>
      <c r="Q126" s="107">
        <f ca="1">IF(C126&gt;=70,0,IF($B126=" ",0,IF(Données!$R166="NON COUVERT",0,ROUNDUP(IF(Données!$S166="OUI",MIN($E126*VLOOKUP($F126,taux,15)/52,VLOOKUP($F126,taux,17)),MIN($E126*VLOOKUP($F126,taux,15)/52,VLOOKUP($F126,taux,16))),0))))</f>
        <v>0</v>
      </c>
      <c r="R126" s="108">
        <f>IF($B126=" ",0,IF(Données!$R166="EXO",0,$Q126*VLOOKUP($F126,taux,13)/10))</f>
        <v>0</v>
      </c>
      <c r="S126" s="109">
        <f t="shared" ca="1" si="11"/>
        <v>0</v>
      </c>
      <c r="T126" s="110">
        <f>IF(B126=" ",0,IF(Données!$T166="exo",0,$S126*VLOOKUP($F126,taux,18)/100))</f>
        <v>0</v>
      </c>
      <c r="U126" s="109">
        <f>IF($B126=" ",0,IF(Données!$V166="non couvert",0,IF(VLOOKUP($F126,taux,29)="fixe","s/o",IF(Données!$W166="oui",MIN(ROUNDUP(VLOOKUP($F126,taux,31)*$E126,-3),VLOOKUP($F126,taux,33)),MIN(ROUNDUP(VLOOKUP($F126,taux,31)*$E126,-3),VLOOKUP($F126,taux,32))))))</f>
        <v>0</v>
      </c>
      <c r="V126" s="110">
        <f>IF(B126=" ",0,IF(Données!$V166="exo",0,IF(VLOOKUP($F126,taux,29)="fixe",VLOOKUP($F126,taux,30),$U126/1000*VLOOKUP($F126,taux,30))))</f>
        <v>0</v>
      </c>
      <c r="W126" s="110">
        <f t="shared" si="8"/>
        <v>0</v>
      </c>
      <c r="X126" s="383">
        <f>IF(B126=" ",0,EDATE((Données!E166),780))</f>
        <v>0</v>
      </c>
      <c r="Y126" s="383">
        <f t="shared" si="14"/>
        <v>0</v>
      </c>
      <c r="Z126" s="384">
        <f>IF($B126=" ",0,IF(Données!$T166="non couvert",0,IF(Données!$U166="oui",MIN(VLOOKUP($F126,taux,26),ROUNDUP(IF($E126/12&gt;VLOOKUP($F126,taux,21)+VLOOKUP($F126,taux,23),(VLOOKUP($F126,taux,20)*VLOOKUP($F126,taux,21))+(VLOOKUP($F126,taux,22)*VLOOKUP($F126,taux,23))+($E126/12-VLOOKUP($F126,taux,21)-VLOOKUP($F126,taux,23))*VLOOKUP($F126,taux,24),IF($E126/12&gt;VLOOKUP($F126,taux,21),(VLOOKUP($F126,taux,20)*VLOOKUP($F126,taux,21))+($E126/12-VLOOKUP($F126,taux,21))*VLOOKUP($F126,taux,22),$E126/12*VLOOKUP($F126,taux,20))),0)),MIN(VLOOKUP($F126,taux,25),ROUNDUP(IF($E126/12&gt;VLOOKUP($F126,taux,21)+VLOOKUP($F126,taux,23),(VLOOKUP($F126,taux,20)*VLOOKUP($F126,taux,21))+(VLOOKUP($F126,taux,22)*VLOOKUP($F126,taux,23))+($E126/12-VLOOKUP($F126,taux,21)-VLOOKUP($F126,taux,23))*VLOOKUP($F126,taux,24),IF($E126/12&gt;VLOOKUP($F126,taux,21),(VLOOKUP($F126,taux,20)*VLOOKUP($F126,taux,21))+($E126/12-VLOOKUP($F126,taux,21))*VLOOKUP($F126,taux,22),$E126/12*VLOOKUP($F126,taux,20))),0)))))</f>
        <v>0</v>
      </c>
      <c r="AA126" s="111">
        <f ca="1">IF(C126&gt;=70,0,IF($B126=" ",0,IF(Données!$X166="non couvert"," ",Données!Y166)))</f>
        <v>0</v>
      </c>
      <c r="AB126" s="110">
        <f>IF($B126=" ",0,IF(Données!$X166="exo",0,IF($AA126="ind",VLOOKUP($F126,taux,34),IF($AA126="fam",VLOOKUP($F126,taux,35),IF($AA126="mono",VLOOKUP($F126,taux,36),IF($AA126="couple",VLOOKUP($F126,taux,37),0))))))</f>
        <v>0</v>
      </c>
      <c r="AC126" s="111">
        <f ca="1">IF(C126&gt;=70,0,IF($B126=" ",0,IF(Données!$Z166="non couvert"," ",Données!AA166)))</f>
        <v>0</v>
      </c>
      <c r="AD126" s="110">
        <f>IF($B126=" ",0,IF(Données!$Z166="exo",0,IF($AC126="ind",VLOOKUP($F126,taux,38),IF($AC126="fam",VLOOKUP($F126,taux,39),IF($AC126="mono",VLOOKUP($F126,taux,40),IF($AC126="couple",VLOOKUP($F126,taux,41),0))))))</f>
        <v>0</v>
      </c>
      <c r="AE126" s="112">
        <f>IF($B126=" ",0,IF(Données!$AB166="non couvert"," ",Données!AC166))</f>
        <v>0</v>
      </c>
      <c r="AF126" s="113">
        <f>IF($B126=" ",0,IF(Données!$AB166="exo",0,IF($AE126="ind",VLOOKUP($F126,taux,42),IF($AE126="fam",VLOOKUP($F126,taux,43),IF($AE126="mono",VLOOKUP($F126,taux,44),IF($AE126="couple",VLOOKUP($F126,taux,45),0))))))</f>
        <v>0</v>
      </c>
      <c r="AG126" s="114">
        <f t="shared" ca="1" si="15"/>
        <v>0</v>
      </c>
      <c r="AH126" s="114">
        <f>IF($B126=" ",0,IF(Données!J166="Manitoba",(Facture!H126+Facture!J126+Facture!L126+Facture!P126+Facture!R126+Facture!T126)*0.08,(AG126-W126)*IF(Données!$J166="qc",0.09,IF(Données!$J166="on",0.08,0))+W126*VLOOKUP($F126,taux,28)))</f>
        <v>0</v>
      </c>
      <c r="AI126" s="106">
        <f t="shared" ca="1" si="16"/>
        <v>0</v>
      </c>
    </row>
    <row r="127" spans="1:35" s="64" customFormat="1">
      <c r="A127" s="90">
        <f t="shared" si="13"/>
        <v>113</v>
      </c>
      <c r="B127" s="99" t="str">
        <f>CONCATENATE(Données!B167," ",Données!C167)</f>
        <v xml:space="preserve"> </v>
      </c>
      <c r="C127" s="410">
        <f ca="1">IF(B127="",0,INT((TODAY()-Données!E167)/365.25))</f>
        <v>119</v>
      </c>
      <c r="D127" s="100">
        <f>Données!D167</f>
        <v>0</v>
      </c>
      <c r="E127" s="101">
        <f>Données!I167</f>
        <v>0</v>
      </c>
      <c r="F127" s="102" t="str">
        <f>Données!AD167</f>
        <v/>
      </c>
      <c r="G127" s="103">
        <f ca="1">INDEX({1;0.5;0},MATCH(C127,{1;65;70}))*M127</f>
        <v>0</v>
      </c>
      <c r="H127" s="104">
        <f>IF($B127=" ",0,IF(Données!$K167="exo",0,$G127/1000*VLOOKUP($F127,taux,2)))</f>
        <v>0</v>
      </c>
      <c r="I127" s="398">
        <f ca="1">IF(C127&gt;=65,0,Données!M167*5000)</f>
        <v>0</v>
      </c>
      <c r="J127" s="104">
        <f ca="1">I127/1000*(IF(I127=0,0,1)*VLOOKUP((1+(C127&gt;=20)+(C127&gt;=25)+(C127&gt;=30)+(C127&gt;=35)+(C127&gt;=40)+(C127&gt;=45)+(C127&gt;=50)+(C127&gt;=55)+(C127&gt;=60)+(C127&gt;=65)),Test,2+(IF(Données!F167="H",1,3))+(IF(Données!G167="F",1,0))))</f>
        <v>0</v>
      </c>
      <c r="K127" s="103">
        <f ca="1">INDEX({1;0.5;0},MATCH(C127,{1;65;70}))*M127</f>
        <v>0</v>
      </c>
      <c r="L127" s="104">
        <f>IF($B127=" ",0,IF(Données!$N167="exo",0,$K127/1000*VLOOKUP($F127,taux,6)))</f>
        <v>0</v>
      </c>
      <c r="M127" s="379">
        <f>IF($B127=" ",0,IF(Données!$K167="NON COUVERT",0,IF(AND(Données!$L167="oui",Données!$K167=0.5),MIN(VLOOKUP($F127,taux,5)/2,ROUNDUP(VLOOKUP($F127,taux,3)*$E127,-3)/2),IF(Données!$K167=0.5,MIN(VLOOKUP($F127,taux,4)/2,ROUNDUP(VLOOKUP($F127,taux,3)*$E127,-3)/2),ROUNDUP(IF(Données!$L167="OUI",MIN(VLOOKUP($F127,taux,3)*$E127,VLOOKUP($F127,taux,5)),MIN(VLOOKUP($F127,taux,3)*$E127,VLOOKUP($F127,taux,4))),-3)))))</f>
        <v>0</v>
      </c>
      <c r="N127" s="379">
        <f>IF($B127=" ",0,IF(Données!$N167="NON COUVERT",0,IF(AND(Données!$O167="oui",Données!$N167=0.5),MIN(VLOOKUP($F127,taux,9)/2,ROUNDUP(VLOOKUP($F127,taux,7)*$E127,-3)/2),IF(Données!$N167=0.5,MIN(VLOOKUP($F127,taux,8)/2,ROUNDUP(VLOOKUP($F127,taux,7)*$E127,-3)/2),ROUNDUP(IF(Données!$O167="OUI",MIN(VLOOKUP($F127,taux,7)*$E127,VLOOKUP($F127,taux,9)),MIN(VLOOKUP($F127,taux,7)*$E127,VLOOKUP($F127,taux,8))),-3)))))</f>
        <v>0</v>
      </c>
      <c r="O127" s="105">
        <f ca="1">IF(C127&gt;=70,0,IF($B127=" ",0,IF(Données!P167="non couvert"," ",Données!Q167)))</f>
        <v>0</v>
      </c>
      <c r="P127" s="106">
        <f>IF($B127=" ",0,IF(Données!$P167="exo",0,IF($O127="FAM",VLOOKUP($F127,taux,10),IF($O127="MONO",VLOOKUP($F127,taux,11),IF($O127="COUPLE",VLOOKUP($F127,taux,12),0)))))</f>
        <v>0</v>
      </c>
      <c r="Q127" s="107">
        <f ca="1">IF(C127&gt;=70,0,IF($B127=" ",0,IF(Données!$R167="NON COUVERT",0,ROUNDUP(IF(Données!$S167="OUI",MIN($E127*VLOOKUP($F127,taux,15)/52,VLOOKUP($F127,taux,17)),MIN($E127*VLOOKUP($F127,taux,15)/52,VLOOKUP($F127,taux,16))),0))))</f>
        <v>0</v>
      </c>
      <c r="R127" s="108">
        <f>IF($B127=" ",0,IF(Données!$R167="EXO",0,$Q127*VLOOKUP($F127,taux,13)/10))</f>
        <v>0</v>
      </c>
      <c r="S127" s="109">
        <f t="shared" ca="1" si="11"/>
        <v>0</v>
      </c>
      <c r="T127" s="110">
        <f>IF(B127=" ",0,IF(Données!$T167="exo",0,$S127*VLOOKUP($F127,taux,18)/100))</f>
        <v>0</v>
      </c>
      <c r="U127" s="109">
        <f>IF($B127=" ",0,IF(Données!$V167="non couvert",0,IF(VLOOKUP($F127,taux,29)="fixe","s/o",IF(Données!$W167="oui",MIN(ROUNDUP(VLOOKUP($F127,taux,31)*$E127,-3),VLOOKUP($F127,taux,33)),MIN(ROUNDUP(VLOOKUP($F127,taux,31)*$E127,-3),VLOOKUP($F127,taux,32))))))</f>
        <v>0</v>
      </c>
      <c r="V127" s="110">
        <f>IF(B127=" ",0,IF(Données!$V167="exo",0,IF(VLOOKUP($F127,taux,29)="fixe",VLOOKUP($F127,taux,30),$U127/1000*VLOOKUP($F127,taux,30))))</f>
        <v>0</v>
      </c>
      <c r="W127" s="110">
        <f t="shared" si="8"/>
        <v>0</v>
      </c>
      <c r="X127" s="383">
        <f>IF(B127=" ",0,EDATE((Données!E167),780))</f>
        <v>0</v>
      </c>
      <c r="Y127" s="383">
        <f t="shared" si="14"/>
        <v>0</v>
      </c>
      <c r="Z127" s="384">
        <f>IF($B127=" ",0,IF(Données!$T167="non couvert",0,IF(Données!$U167="oui",MIN(VLOOKUP($F127,taux,26),ROUNDUP(IF($E127/12&gt;VLOOKUP($F127,taux,21)+VLOOKUP($F127,taux,23),(VLOOKUP($F127,taux,20)*VLOOKUP($F127,taux,21))+(VLOOKUP($F127,taux,22)*VLOOKUP($F127,taux,23))+($E127/12-VLOOKUP($F127,taux,21)-VLOOKUP($F127,taux,23))*VLOOKUP($F127,taux,24),IF($E127/12&gt;VLOOKUP($F127,taux,21),(VLOOKUP($F127,taux,20)*VLOOKUP($F127,taux,21))+($E127/12-VLOOKUP($F127,taux,21))*VLOOKUP($F127,taux,22),$E127/12*VLOOKUP($F127,taux,20))),0)),MIN(VLOOKUP($F127,taux,25),ROUNDUP(IF($E127/12&gt;VLOOKUP($F127,taux,21)+VLOOKUP($F127,taux,23),(VLOOKUP($F127,taux,20)*VLOOKUP($F127,taux,21))+(VLOOKUP($F127,taux,22)*VLOOKUP($F127,taux,23))+($E127/12-VLOOKUP($F127,taux,21)-VLOOKUP($F127,taux,23))*VLOOKUP($F127,taux,24),IF($E127/12&gt;VLOOKUP($F127,taux,21),(VLOOKUP($F127,taux,20)*VLOOKUP($F127,taux,21))+($E127/12-VLOOKUP($F127,taux,21))*VLOOKUP($F127,taux,22),$E127/12*VLOOKUP($F127,taux,20))),0)))))</f>
        <v>0</v>
      </c>
      <c r="AA127" s="111">
        <f ca="1">IF(C127&gt;=70,0,IF($B127=" ",0,IF(Données!$X167="non couvert"," ",Données!Y167)))</f>
        <v>0</v>
      </c>
      <c r="AB127" s="110">
        <f>IF($B127=" ",0,IF(Données!$X167="exo",0,IF($AA127="ind",VLOOKUP($F127,taux,34),IF($AA127="fam",VLOOKUP($F127,taux,35),IF($AA127="mono",VLOOKUP($F127,taux,36),IF($AA127="couple",VLOOKUP($F127,taux,37),0))))))</f>
        <v>0</v>
      </c>
      <c r="AC127" s="111">
        <f ca="1">IF(C127&gt;=70,0,IF($B127=" ",0,IF(Données!$Z167="non couvert"," ",Données!AA167)))</f>
        <v>0</v>
      </c>
      <c r="AD127" s="110">
        <f>IF($B127=" ",0,IF(Données!$Z167="exo",0,IF($AC127="ind",VLOOKUP($F127,taux,38),IF($AC127="fam",VLOOKUP($F127,taux,39),IF($AC127="mono",VLOOKUP($F127,taux,40),IF($AC127="couple",VLOOKUP($F127,taux,41),0))))))</f>
        <v>0</v>
      </c>
      <c r="AE127" s="112">
        <f>IF($B127=" ",0,IF(Données!$AB167="non couvert"," ",Données!AC167))</f>
        <v>0</v>
      </c>
      <c r="AF127" s="113">
        <f>IF($B127=" ",0,IF(Données!$AB167="exo",0,IF($AE127="ind",VLOOKUP($F127,taux,42),IF($AE127="fam",VLOOKUP($F127,taux,43),IF($AE127="mono",VLOOKUP($F127,taux,44),IF($AE127="couple",VLOOKUP($F127,taux,45),0))))))</f>
        <v>0</v>
      </c>
      <c r="AG127" s="114">
        <f t="shared" ca="1" si="15"/>
        <v>0</v>
      </c>
      <c r="AH127" s="114">
        <f>IF($B127=" ",0,IF(Données!J167="Manitoba",(Facture!H127+Facture!J127+Facture!L127+Facture!P127+Facture!R127+Facture!T127)*0.08,(AG127-W127)*IF(Données!$J167="qc",0.09,IF(Données!$J167="on",0.08,0))+W127*VLOOKUP($F127,taux,28)))</f>
        <v>0</v>
      </c>
      <c r="AI127" s="106">
        <f t="shared" ca="1" si="16"/>
        <v>0</v>
      </c>
    </row>
    <row r="128" spans="1:35" s="64" customFormat="1">
      <c r="A128" s="90">
        <f t="shared" si="13"/>
        <v>114</v>
      </c>
      <c r="B128" s="99" t="str">
        <f>CONCATENATE(Données!B168," ",Données!C168)</f>
        <v xml:space="preserve"> </v>
      </c>
      <c r="C128" s="410">
        <f ca="1">IF(B128="",0,INT((TODAY()-Données!E168)/365.25))</f>
        <v>119</v>
      </c>
      <c r="D128" s="100">
        <f>Données!D168</f>
        <v>0</v>
      </c>
      <c r="E128" s="101">
        <f>Données!I168</f>
        <v>0</v>
      </c>
      <c r="F128" s="102" t="str">
        <f>Données!AD168</f>
        <v/>
      </c>
      <c r="G128" s="103">
        <f ca="1">INDEX({1;0.5;0},MATCH(C128,{1;65;70}))*M128</f>
        <v>0</v>
      </c>
      <c r="H128" s="104">
        <f>IF($B128=" ",0,IF(Données!$K168="exo",0,$G128/1000*VLOOKUP($F128,taux,2)))</f>
        <v>0</v>
      </c>
      <c r="I128" s="398">
        <f ca="1">IF(C128&gt;=65,0,Données!M168*5000)</f>
        <v>0</v>
      </c>
      <c r="J128" s="104">
        <f ca="1">I128/1000*(IF(I128=0,0,1)*VLOOKUP((1+(C128&gt;=20)+(C128&gt;=25)+(C128&gt;=30)+(C128&gt;=35)+(C128&gt;=40)+(C128&gt;=45)+(C128&gt;=50)+(C128&gt;=55)+(C128&gt;=60)+(C128&gt;=65)),Test,2+(IF(Données!F168="H",1,3))+(IF(Données!G168="F",1,0))))</f>
        <v>0</v>
      </c>
      <c r="K128" s="103">
        <f ca="1">INDEX({1;0.5;0},MATCH(C128,{1;65;70}))*M128</f>
        <v>0</v>
      </c>
      <c r="L128" s="104">
        <f>IF($B128=" ",0,IF(Données!$N168="exo",0,$K128/1000*VLOOKUP($F128,taux,6)))</f>
        <v>0</v>
      </c>
      <c r="M128" s="379">
        <f>IF($B128=" ",0,IF(Données!$K168="NON COUVERT",0,IF(AND(Données!$L168="oui",Données!$K168=0.5),MIN(VLOOKUP($F128,taux,5)/2,ROUNDUP(VLOOKUP($F128,taux,3)*$E128,-3)/2),IF(Données!$K168=0.5,MIN(VLOOKUP($F128,taux,4)/2,ROUNDUP(VLOOKUP($F128,taux,3)*$E128,-3)/2),ROUNDUP(IF(Données!$L168="OUI",MIN(VLOOKUP($F128,taux,3)*$E128,VLOOKUP($F128,taux,5)),MIN(VLOOKUP($F128,taux,3)*$E128,VLOOKUP($F128,taux,4))),-3)))))</f>
        <v>0</v>
      </c>
      <c r="N128" s="379">
        <f>IF($B128=" ",0,IF(Données!$N168="NON COUVERT",0,IF(AND(Données!$O168="oui",Données!$N168=0.5),MIN(VLOOKUP($F128,taux,9)/2,ROUNDUP(VLOOKUP($F128,taux,7)*$E128,-3)/2),IF(Données!$N168=0.5,MIN(VLOOKUP($F128,taux,8)/2,ROUNDUP(VLOOKUP($F128,taux,7)*$E128,-3)/2),ROUNDUP(IF(Données!$O168="OUI",MIN(VLOOKUP($F128,taux,7)*$E128,VLOOKUP($F128,taux,9)),MIN(VLOOKUP($F128,taux,7)*$E128,VLOOKUP($F128,taux,8))),-3)))))</f>
        <v>0</v>
      </c>
      <c r="O128" s="105">
        <f ca="1">IF(C128&gt;=70,0,IF($B128=" ",0,IF(Données!P168="non couvert"," ",Données!Q168)))</f>
        <v>0</v>
      </c>
      <c r="P128" s="106">
        <f>IF($B128=" ",0,IF(Données!$P168="exo",0,IF($O128="FAM",VLOOKUP($F128,taux,10),IF($O128="MONO",VLOOKUP($F128,taux,11),IF($O128="COUPLE",VLOOKUP($F128,taux,12),0)))))</f>
        <v>0</v>
      </c>
      <c r="Q128" s="107">
        <f ca="1">IF(C128&gt;=70,0,IF($B128=" ",0,IF(Données!$R168="NON COUVERT",0,ROUNDUP(IF(Données!$S168="OUI",MIN($E128*VLOOKUP($F128,taux,15)/52,VLOOKUP($F128,taux,17)),MIN($E128*VLOOKUP($F128,taux,15)/52,VLOOKUP($F128,taux,16))),0))))</f>
        <v>0</v>
      </c>
      <c r="R128" s="108">
        <f>IF($B128=" ",0,IF(Données!$R168="EXO",0,$Q128*VLOOKUP($F128,taux,13)/10))</f>
        <v>0</v>
      </c>
      <c r="S128" s="109">
        <f t="shared" ca="1" si="11"/>
        <v>0</v>
      </c>
      <c r="T128" s="110">
        <f>IF(B128=" ",0,IF(Données!$T168="exo",0,$S128*VLOOKUP($F128,taux,18)/100))</f>
        <v>0</v>
      </c>
      <c r="U128" s="109">
        <f>IF($B128=" ",0,IF(Données!$V168="non couvert",0,IF(VLOOKUP($F128,taux,29)="fixe","s/o",IF(Données!$W168="oui",MIN(ROUNDUP(VLOOKUP($F128,taux,31)*$E128,-3),VLOOKUP($F128,taux,33)),MIN(ROUNDUP(VLOOKUP($F128,taux,31)*$E128,-3),VLOOKUP($F128,taux,32))))))</f>
        <v>0</v>
      </c>
      <c r="V128" s="110">
        <f>IF(B128=" ",0,IF(Données!$V168="exo",0,IF(VLOOKUP($F128,taux,29)="fixe",VLOOKUP($F128,taux,30),$U128/1000*VLOOKUP($F128,taux,30))))</f>
        <v>0</v>
      </c>
      <c r="W128" s="110">
        <f t="shared" si="8"/>
        <v>0</v>
      </c>
      <c r="X128" s="383">
        <f>IF(B128=" ",0,EDATE((Données!E168),780))</f>
        <v>0</v>
      </c>
      <c r="Y128" s="383">
        <f t="shared" si="14"/>
        <v>0</v>
      </c>
      <c r="Z128" s="384">
        <f>IF($B128=" ",0,IF(Données!$T168="non couvert",0,IF(Données!$U168="oui",MIN(VLOOKUP($F128,taux,26),ROUNDUP(IF($E128/12&gt;VLOOKUP($F128,taux,21)+VLOOKUP($F128,taux,23),(VLOOKUP($F128,taux,20)*VLOOKUP($F128,taux,21))+(VLOOKUP($F128,taux,22)*VLOOKUP($F128,taux,23))+($E128/12-VLOOKUP($F128,taux,21)-VLOOKUP($F128,taux,23))*VLOOKUP($F128,taux,24),IF($E128/12&gt;VLOOKUP($F128,taux,21),(VLOOKUP($F128,taux,20)*VLOOKUP($F128,taux,21))+($E128/12-VLOOKUP($F128,taux,21))*VLOOKUP($F128,taux,22),$E128/12*VLOOKUP($F128,taux,20))),0)),MIN(VLOOKUP($F128,taux,25),ROUNDUP(IF($E128/12&gt;VLOOKUP($F128,taux,21)+VLOOKUP($F128,taux,23),(VLOOKUP($F128,taux,20)*VLOOKUP($F128,taux,21))+(VLOOKUP($F128,taux,22)*VLOOKUP($F128,taux,23))+($E128/12-VLOOKUP($F128,taux,21)-VLOOKUP($F128,taux,23))*VLOOKUP($F128,taux,24),IF($E128/12&gt;VLOOKUP($F128,taux,21),(VLOOKUP($F128,taux,20)*VLOOKUP($F128,taux,21))+($E128/12-VLOOKUP($F128,taux,21))*VLOOKUP($F128,taux,22),$E128/12*VLOOKUP($F128,taux,20))),0)))))</f>
        <v>0</v>
      </c>
      <c r="AA128" s="111">
        <f ca="1">IF(C128&gt;=70,0,IF($B128=" ",0,IF(Données!$X168="non couvert"," ",Données!Y168)))</f>
        <v>0</v>
      </c>
      <c r="AB128" s="110">
        <f>IF($B128=" ",0,IF(Données!$X168="exo",0,IF($AA128="ind",VLOOKUP($F128,taux,34),IF($AA128="fam",VLOOKUP($F128,taux,35),IF($AA128="mono",VLOOKUP($F128,taux,36),IF($AA128="couple",VLOOKUP($F128,taux,37),0))))))</f>
        <v>0</v>
      </c>
      <c r="AC128" s="111">
        <f ca="1">IF(C128&gt;=70,0,IF($B128=" ",0,IF(Données!$Z168="non couvert"," ",Données!AA168)))</f>
        <v>0</v>
      </c>
      <c r="AD128" s="110">
        <f>IF($B128=" ",0,IF(Données!$Z168="exo",0,IF($AC128="ind",VLOOKUP($F128,taux,38),IF($AC128="fam",VLOOKUP($F128,taux,39),IF($AC128="mono",VLOOKUP($F128,taux,40),IF($AC128="couple",VLOOKUP($F128,taux,41),0))))))</f>
        <v>0</v>
      </c>
      <c r="AE128" s="112">
        <f>IF($B128=" ",0,IF(Données!$AB168="non couvert"," ",Données!AC168))</f>
        <v>0</v>
      </c>
      <c r="AF128" s="113">
        <f>IF($B128=" ",0,IF(Données!$AB168="exo",0,IF($AE128="ind",VLOOKUP($F128,taux,42),IF($AE128="fam",VLOOKUP($F128,taux,43),IF($AE128="mono",VLOOKUP($F128,taux,44),IF($AE128="couple",VLOOKUP($F128,taux,45),0))))))</f>
        <v>0</v>
      </c>
      <c r="AG128" s="114">
        <f t="shared" ca="1" si="15"/>
        <v>0</v>
      </c>
      <c r="AH128" s="114">
        <f>IF($B128=" ",0,IF(Données!J168="Manitoba",(Facture!H128+Facture!J128+Facture!L128+Facture!P128+Facture!R128+Facture!T128)*0.08,(AG128-W128)*IF(Données!$J168="qc",0.09,IF(Données!$J168="on",0.08,0))+W128*VLOOKUP($F128,taux,28)))</f>
        <v>0</v>
      </c>
      <c r="AI128" s="106">
        <f t="shared" ca="1" si="16"/>
        <v>0</v>
      </c>
    </row>
    <row r="129" spans="1:35" s="64" customFormat="1">
      <c r="A129" s="90">
        <f t="shared" si="13"/>
        <v>115</v>
      </c>
      <c r="B129" s="99" t="str">
        <f>CONCATENATE(Données!B169," ",Données!C169)</f>
        <v xml:space="preserve"> </v>
      </c>
      <c r="C129" s="410">
        <f ca="1">IF(B129="",0,INT((TODAY()-Données!E169)/365.25))</f>
        <v>119</v>
      </c>
      <c r="D129" s="100">
        <f>Données!D169</f>
        <v>0</v>
      </c>
      <c r="E129" s="101">
        <f>Données!I169</f>
        <v>0</v>
      </c>
      <c r="F129" s="102" t="str">
        <f>Données!AD169</f>
        <v/>
      </c>
      <c r="G129" s="103">
        <f ca="1">INDEX({1;0.5;0},MATCH(C129,{1;65;70}))*M129</f>
        <v>0</v>
      </c>
      <c r="H129" s="104">
        <f>IF($B129=" ",0,IF(Données!$K169="exo",0,$G129/1000*VLOOKUP($F129,taux,2)))</f>
        <v>0</v>
      </c>
      <c r="I129" s="398">
        <f ca="1">IF(C129&gt;=65,0,Données!M169*5000)</f>
        <v>0</v>
      </c>
      <c r="J129" s="104">
        <f ca="1">I129/1000*(IF(I129=0,0,1)*VLOOKUP((1+(C129&gt;=20)+(C129&gt;=25)+(C129&gt;=30)+(C129&gt;=35)+(C129&gt;=40)+(C129&gt;=45)+(C129&gt;=50)+(C129&gt;=55)+(C129&gt;=60)+(C129&gt;=65)),Test,2+(IF(Données!F169="H",1,3))+(IF(Données!G169="F",1,0))))</f>
        <v>0</v>
      </c>
      <c r="K129" s="103">
        <f ca="1">INDEX({1;0.5;0},MATCH(C129,{1;65;70}))*M129</f>
        <v>0</v>
      </c>
      <c r="L129" s="104">
        <f>IF($B129=" ",0,IF(Données!$N169="exo",0,$K129/1000*VLOOKUP($F129,taux,6)))</f>
        <v>0</v>
      </c>
      <c r="M129" s="379">
        <f>IF($B129=" ",0,IF(Données!$K169="NON COUVERT",0,IF(AND(Données!$L169="oui",Données!$K169=0.5),MIN(VLOOKUP($F129,taux,5)/2,ROUNDUP(VLOOKUP($F129,taux,3)*$E129,-3)/2),IF(Données!$K169=0.5,MIN(VLOOKUP($F129,taux,4)/2,ROUNDUP(VLOOKUP($F129,taux,3)*$E129,-3)/2),ROUNDUP(IF(Données!$L169="OUI",MIN(VLOOKUP($F129,taux,3)*$E129,VLOOKUP($F129,taux,5)),MIN(VLOOKUP($F129,taux,3)*$E129,VLOOKUP($F129,taux,4))),-3)))))</f>
        <v>0</v>
      </c>
      <c r="N129" s="379">
        <f>IF($B129=" ",0,IF(Données!$N169="NON COUVERT",0,IF(AND(Données!$O169="oui",Données!$N169=0.5),MIN(VLOOKUP($F129,taux,9)/2,ROUNDUP(VLOOKUP($F129,taux,7)*$E129,-3)/2),IF(Données!$N169=0.5,MIN(VLOOKUP($F129,taux,8)/2,ROUNDUP(VLOOKUP($F129,taux,7)*$E129,-3)/2),ROUNDUP(IF(Données!$O169="OUI",MIN(VLOOKUP($F129,taux,7)*$E129,VLOOKUP($F129,taux,9)),MIN(VLOOKUP($F129,taux,7)*$E129,VLOOKUP($F129,taux,8))),-3)))))</f>
        <v>0</v>
      </c>
      <c r="O129" s="105">
        <f ca="1">IF(C129&gt;=70,0,IF($B129=" ",0,IF(Données!P169="non couvert"," ",Données!Q169)))</f>
        <v>0</v>
      </c>
      <c r="P129" s="106">
        <f>IF($B129=" ",0,IF(Données!$P169="exo",0,IF($O129="FAM",VLOOKUP($F129,taux,10),IF($O129="MONO",VLOOKUP($F129,taux,11),IF($O129="COUPLE",VLOOKUP($F129,taux,12),0)))))</f>
        <v>0</v>
      </c>
      <c r="Q129" s="107">
        <f ca="1">IF(C129&gt;=70,0,IF($B129=" ",0,IF(Données!$R169="NON COUVERT",0,ROUNDUP(IF(Données!$S169="OUI",MIN($E129*VLOOKUP($F129,taux,15)/52,VLOOKUP($F129,taux,17)),MIN($E129*VLOOKUP($F129,taux,15)/52,VLOOKUP($F129,taux,16))),0))))</f>
        <v>0</v>
      </c>
      <c r="R129" s="108">
        <f>IF($B129=" ",0,IF(Données!$R169="EXO",0,$Q129*VLOOKUP($F129,taux,13)/10))</f>
        <v>0</v>
      </c>
      <c r="S129" s="109">
        <f t="shared" ca="1" si="11"/>
        <v>0</v>
      </c>
      <c r="T129" s="110">
        <f>IF(B129=" ",0,IF(Données!$T169="exo",0,$S129*VLOOKUP($F129,taux,18)/100))</f>
        <v>0</v>
      </c>
      <c r="U129" s="109">
        <f>IF($B129=" ",0,IF(Données!$V169="non couvert",0,IF(VLOOKUP($F129,taux,29)="fixe","s/o",IF(Données!$W169="oui",MIN(ROUNDUP(VLOOKUP($F129,taux,31)*$E129,-3),VLOOKUP($F129,taux,33)),MIN(ROUNDUP(VLOOKUP($F129,taux,31)*$E129,-3),VLOOKUP($F129,taux,32))))))</f>
        <v>0</v>
      </c>
      <c r="V129" s="110">
        <f>IF(B129=" ",0,IF(Données!$V169="exo",0,IF(VLOOKUP($F129,taux,29)="fixe",VLOOKUP($F129,taux,30),$U129/1000*VLOOKUP($F129,taux,30))))</f>
        <v>0</v>
      </c>
      <c r="W129" s="110">
        <f t="shared" si="8"/>
        <v>0</v>
      </c>
      <c r="X129" s="383">
        <f>IF(B129=" ",0,EDATE((Données!E169),780))</f>
        <v>0</v>
      </c>
      <c r="Y129" s="383">
        <f t="shared" si="14"/>
        <v>0</v>
      </c>
      <c r="Z129" s="384">
        <f>IF($B129=" ",0,IF(Données!$T169="non couvert",0,IF(Données!$U169="oui",MIN(VLOOKUP($F129,taux,26),ROUNDUP(IF($E129/12&gt;VLOOKUP($F129,taux,21)+VLOOKUP($F129,taux,23),(VLOOKUP($F129,taux,20)*VLOOKUP($F129,taux,21))+(VLOOKUP($F129,taux,22)*VLOOKUP($F129,taux,23))+($E129/12-VLOOKUP($F129,taux,21)-VLOOKUP($F129,taux,23))*VLOOKUP($F129,taux,24),IF($E129/12&gt;VLOOKUP($F129,taux,21),(VLOOKUP($F129,taux,20)*VLOOKUP($F129,taux,21))+($E129/12-VLOOKUP($F129,taux,21))*VLOOKUP($F129,taux,22),$E129/12*VLOOKUP($F129,taux,20))),0)),MIN(VLOOKUP($F129,taux,25),ROUNDUP(IF($E129/12&gt;VLOOKUP($F129,taux,21)+VLOOKUP($F129,taux,23),(VLOOKUP($F129,taux,20)*VLOOKUP($F129,taux,21))+(VLOOKUP($F129,taux,22)*VLOOKUP($F129,taux,23))+($E129/12-VLOOKUP($F129,taux,21)-VLOOKUP($F129,taux,23))*VLOOKUP($F129,taux,24),IF($E129/12&gt;VLOOKUP($F129,taux,21),(VLOOKUP($F129,taux,20)*VLOOKUP($F129,taux,21))+($E129/12-VLOOKUP($F129,taux,21))*VLOOKUP($F129,taux,22),$E129/12*VLOOKUP($F129,taux,20))),0)))))</f>
        <v>0</v>
      </c>
      <c r="AA129" s="111">
        <f ca="1">IF(C129&gt;=70,0,IF($B129=" ",0,IF(Données!$X169="non couvert"," ",Données!Y169)))</f>
        <v>0</v>
      </c>
      <c r="AB129" s="110">
        <f>IF($B129=" ",0,IF(Données!$X169="exo",0,IF($AA129="ind",VLOOKUP($F129,taux,34),IF($AA129="fam",VLOOKUP($F129,taux,35),IF($AA129="mono",VLOOKUP($F129,taux,36),IF($AA129="couple",VLOOKUP($F129,taux,37),0))))))</f>
        <v>0</v>
      </c>
      <c r="AC129" s="111">
        <f ca="1">IF(C129&gt;=70,0,IF($B129=" ",0,IF(Données!$Z169="non couvert"," ",Données!AA169)))</f>
        <v>0</v>
      </c>
      <c r="AD129" s="110">
        <f>IF($B129=" ",0,IF(Données!$Z169="exo",0,IF($AC129="ind",VLOOKUP($F129,taux,38),IF($AC129="fam",VLOOKUP($F129,taux,39),IF($AC129="mono",VLOOKUP($F129,taux,40),IF($AC129="couple",VLOOKUP($F129,taux,41),0))))))</f>
        <v>0</v>
      </c>
      <c r="AE129" s="112">
        <f>IF($B129=" ",0,IF(Données!$AB169="non couvert"," ",Données!AC169))</f>
        <v>0</v>
      </c>
      <c r="AF129" s="113">
        <f>IF($B129=" ",0,IF(Données!$AB169="exo",0,IF($AE129="ind",VLOOKUP($F129,taux,42),IF($AE129="fam",VLOOKUP($F129,taux,43),IF($AE129="mono",VLOOKUP($F129,taux,44),IF($AE129="couple",VLOOKUP($F129,taux,45),0))))))</f>
        <v>0</v>
      </c>
      <c r="AG129" s="114">
        <f t="shared" ca="1" si="15"/>
        <v>0</v>
      </c>
      <c r="AH129" s="114">
        <f>IF($B129=" ",0,IF(Données!J169="Manitoba",(Facture!H129+Facture!J129+Facture!L129+Facture!P129+Facture!R129+Facture!T129)*0.08,(AG129-W129)*IF(Données!$J169="qc",0.09,IF(Données!$J169="on",0.08,0))+W129*VLOOKUP($F129,taux,28)))</f>
        <v>0</v>
      </c>
      <c r="AI129" s="106">
        <f t="shared" ca="1" si="16"/>
        <v>0</v>
      </c>
    </row>
    <row r="130" spans="1:35" s="64" customFormat="1">
      <c r="A130" s="90">
        <f t="shared" si="13"/>
        <v>116</v>
      </c>
      <c r="B130" s="99" t="str">
        <f>CONCATENATE(Données!B170," ",Données!C170)</f>
        <v xml:space="preserve"> </v>
      </c>
      <c r="C130" s="410">
        <f ca="1">IF(B130="",0,INT((TODAY()-Données!E170)/365.25))</f>
        <v>119</v>
      </c>
      <c r="D130" s="100">
        <f>Données!D170</f>
        <v>0</v>
      </c>
      <c r="E130" s="101">
        <f>Données!I170</f>
        <v>0</v>
      </c>
      <c r="F130" s="102" t="str">
        <f>Données!AD170</f>
        <v/>
      </c>
      <c r="G130" s="103">
        <f ca="1">INDEX({1;0.5;0},MATCH(C130,{1;65;70}))*M130</f>
        <v>0</v>
      </c>
      <c r="H130" s="104">
        <f>IF($B130=" ",0,IF(Données!$K170="exo",0,$G130/1000*VLOOKUP($F130,taux,2)))</f>
        <v>0</v>
      </c>
      <c r="I130" s="398">
        <f ca="1">IF(C130&gt;=65,0,Données!M170*5000)</f>
        <v>0</v>
      </c>
      <c r="J130" s="104">
        <f ca="1">I130/1000*(IF(I130=0,0,1)*VLOOKUP((1+(C130&gt;=20)+(C130&gt;=25)+(C130&gt;=30)+(C130&gt;=35)+(C130&gt;=40)+(C130&gt;=45)+(C130&gt;=50)+(C130&gt;=55)+(C130&gt;=60)+(C130&gt;=65)),Test,2+(IF(Données!F170="H",1,3))+(IF(Données!G170="F",1,0))))</f>
        <v>0</v>
      </c>
      <c r="K130" s="103">
        <f ca="1">INDEX({1;0.5;0},MATCH(C130,{1;65;70}))*M130</f>
        <v>0</v>
      </c>
      <c r="L130" s="104">
        <f>IF($B130=" ",0,IF(Données!$N170="exo",0,$K130/1000*VLOOKUP($F130,taux,6)))</f>
        <v>0</v>
      </c>
      <c r="M130" s="379">
        <f>IF($B130=" ",0,IF(Données!$K170="NON COUVERT",0,IF(AND(Données!$L170="oui",Données!$K170=0.5),MIN(VLOOKUP($F130,taux,5)/2,ROUNDUP(VLOOKUP($F130,taux,3)*$E130,-3)/2),IF(Données!$K170=0.5,MIN(VLOOKUP($F130,taux,4)/2,ROUNDUP(VLOOKUP($F130,taux,3)*$E130,-3)/2),ROUNDUP(IF(Données!$L170="OUI",MIN(VLOOKUP($F130,taux,3)*$E130,VLOOKUP($F130,taux,5)),MIN(VLOOKUP($F130,taux,3)*$E130,VLOOKUP($F130,taux,4))),-3)))))</f>
        <v>0</v>
      </c>
      <c r="N130" s="379">
        <f>IF($B130=" ",0,IF(Données!$N170="NON COUVERT",0,IF(AND(Données!$O170="oui",Données!$N170=0.5),MIN(VLOOKUP($F130,taux,9)/2,ROUNDUP(VLOOKUP($F130,taux,7)*$E130,-3)/2),IF(Données!$N170=0.5,MIN(VLOOKUP($F130,taux,8)/2,ROUNDUP(VLOOKUP($F130,taux,7)*$E130,-3)/2),ROUNDUP(IF(Données!$O170="OUI",MIN(VLOOKUP($F130,taux,7)*$E130,VLOOKUP($F130,taux,9)),MIN(VLOOKUP($F130,taux,7)*$E130,VLOOKUP($F130,taux,8))),-3)))))</f>
        <v>0</v>
      </c>
      <c r="O130" s="105">
        <f ca="1">IF(C130&gt;=70,0,IF($B130=" ",0,IF(Données!P170="non couvert"," ",Données!Q170)))</f>
        <v>0</v>
      </c>
      <c r="P130" s="106">
        <f>IF($B130=" ",0,IF(Données!$P170="exo",0,IF($O130="FAM",VLOOKUP($F130,taux,10),IF($O130="MONO",VLOOKUP($F130,taux,11),IF($O130="COUPLE",VLOOKUP($F130,taux,12),0)))))</f>
        <v>0</v>
      </c>
      <c r="Q130" s="107">
        <f ca="1">IF(C130&gt;=70,0,IF($B130=" ",0,IF(Données!$R170="NON COUVERT",0,ROUNDUP(IF(Données!$S170="OUI",MIN($E130*VLOOKUP($F130,taux,15)/52,VLOOKUP($F130,taux,17)),MIN($E130*VLOOKUP($F130,taux,15)/52,VLOOKUP($F130,taux,16))),0))))</f>
        <v>0</v>
      </c>
      <c r="R130" s="108">
        <f>IF($B130=" ",0,IF(Données!$R170="EXO",0,$Q130*VLOOKUP($F130,taux,13)/10))</f>
        <v>0</v>
      </c>
      <c r="S130" s="109">
        <f t="shared" ca="1" si="11"/>
        <v>0</v>
      </c>
      <c r="T130" s="110">
        <f>IF(B130=" ",0,IF(Données!$T170="exo",0,$S130*VLOOKUP($F130,taux,18)/100))</f>
        <v>0</v>
      </c>
      <c r="U130" s="109">
        <f>IF($B130=" ",0,IF(Données!$V170="non couvert",0,IF(VLOOKUP($F130,taux,29)="fixe","s/o",IF(Données!$W170="oui",MIN(ROUNDUP(VLOOKUP($F130,taux,31)*$E130,-3),VLOOKUP($F130,taux,33)),MIN(ROUNDUP(VLOOKUP($F130,taux,31)*$E130,-3),VLOOKUP($F130,taux,32))))))</f>
        <v>0</v>
      </c>
      <c r="V130" s="110">
        <f>IF(B130=" ",0,IF(Données!$V170="exo",0,IF(VLOOKUP($F130,taux,29)="fixe",VLOOKUP($F130,taux,30),$U130/1000*VLOOKUP($F130,taux,30))))</f>
        <v>0</v>
      </c>
      <c r="W130" s="110">
        <f t="shared" si="8"/>
        <v>0</v>
      </c>
      <c r="X130" s="383">
        <f>IF(B130=" ",0,EDATE((Données!E170),780))</f>
        <v>0</v>
      </c>
      <c r="Y130" s="383">
        <f t="shared" si="14"/>
        <v>0</v>
      </c>
      <c r="Z130" s="384">
        <f>IF($B130=" ",0,IF(Données!$T170="non couvert",0,IF(Données!$U170="oui",MIN(VLOOKUP($F130,taux,26),ROUNDUP(IF($E130/12&gt;VLOOKUP($F130,taux,21)+VLOOKUP($F130,taux,23),(VLOOKUP($F130,taux,20)*VLOOKUP($F130,taux,21))+(VLOOKUP($F130,taux,22)*VLOOKUP($F130,taux,23))+($E130/12-VLOOKUP($F130,taux,21)-VLOOKUP($F130,taux,23))*VLOOKUP($F130,taux,24),IF($E130/12&gt;VLOOKUP($F130,taux,21),(VLOOKUP($F130,taux,20)*VLOOKUP($F130,taux,21))+($E130/12-VLOOKUP($F130,taux,21))*VLOOKUP($F130,taux,22),$E130/12*VLOOKUP($F130,taux,20))),0)),MIN(VLOOKUP($F130,taux,25),ROUNDUP(IF($E130/12&gt;VLOOKUP($F130,taux,21)+VLOOKUP($F130,taux,23),(VLOOKUP($F130,taux,20)*VLOOKUP($F130,taux,21))+(VLOOKUP($F130,taux,22)*VLOOKUP($F130,taux,23))+($E130/12-VLOOKUP($F130,taux,21)-VLOOKUP($F130,taux,23))*VLOOKUP($F130,taux,24),IF($E130/12&gt;VLOOKUP($F130,taux,21),(VLOOKUP($F130,taux,20)*VLOOKUP($F130,taux,21))+($E130/12-VLOOKUP($F130,taux,21))*VLOOKUP($F130,taux,22),$E130/12*VLOOKUP($F130,taux,20))),0)))))</f>
        <v>0</v>
      </c>
      <c r="AA130" s="111">
        <f ca="1">IF(C130&gt;=70,0,IF($B130=" ",0,IF(Données!$X170="non couvert"," ",Données!Y170)))</f>
        <v>0</v>
      </c>
      <c r="AB130" s="110">
        <f>IF($B130=" ",0,IF(Données!$X170="exo",0,IF($AA130="ind",VLOOKUP($F130,taux,34),IF($AA130="fam",VLOOKUP($F130,taux,35),IF($AA130="mono",VLOOKUP($F130,taux,36),IF($AA130="couple",VLOOKUP($F130,taux,37),0))))))</f>
        <v>0</v>
      </c>
      <c r="AC130" s="111">
        <f ca="1">IF(C130&gt;=70,0,IF($B130=" ",0,IF(Données!$Z170="non couvert"," ",Données!AA170)))</f>
        <v>0</v>
      </c>
      <c r="AD130" s="110">
        <f>IF($B130=" ",0,IF(Données!$Z170="exo",0,IF($AC130="ind",VLOOKUP($F130,taux,38),IF($AC130="fam",VLOOKUP($F130,taux,39),IF($AC130="mono",VLOOKUP($F130,taux,40),IF($AC130="couple",VLOOKUP($F130,taux,41),0))))))</f>
        <v>0</v>
      </c>
      <c r="AE130" s="112">
        <f>IF($B130=" ",0,IF(Données!$AB170="non couvert"," ",Données!AC170))</f>
        <v>0</v>
      </c>
      <c r="AF130" s="113">
        <f>IF($B130=" ",0,IF(Données!$AB170="exo",0,IF($AE130="ind",VLOOKUP($F130,taux,42),IF($AE130="fam",VLOOKUP($F130,taux,43),IF($AE130="mono",VLOOKUP($F130,taux,44),IF($AE130="couple",VLOOKUP($F130,taux,45),0))))))</f>
        <v>0</v>
      </c>
      <c r="AG130" s="114">
        <f t="shared" ca="1" si="15"/>
        <v>0</v>
      </c>
      <c r="AH130" s="114">
        <f>IF($B130=" ",0,IF(Données!J170="Manitoba",(Facture!H130+Facture!J130+Facture!L130+Facture!P130+Facture!R130+Facture!T130)*0.08,(AG130-W130)*IF(Données!$J170="qc",0.09,IF(Données!$J170="on",0.08,0))+W130*VLOOKUP($F130,taux,28)))</f>
        <v>0</v>
      </c>
      <c r="AI130" s="106">
        <f t="shared" ca="1" si="16"/>
        <v>0</v>
      </c>
    </row>
    <row r="131" spans="1:35" s="64" customFormat="1">
      <c r="A131" s="90">
        <f t="shared" si="13"/>
        <v>117</v>
      </c>
      <c r="B131" s="99" t="str">
        <f>CONCATENATE(Données!B171," ",Données!C171)</f>
        <v xml:space="preserve"> </v>
      </c>
      <c r="C131" s="410">
        <f ca="1">IF(B131="",0,INT((TODAY()-Données!E171)/365.25))</f>
        <v>119</v>
      </c>
      <c r="D131" s="100">
        <f>Données!D171</f>
        <v>0</v>
      </c>
      <c r="E131" s="101">
        <f>Données!I171</f>
        <v>0</v>
      </c>
      <c r="F131" s="102" t="str">
        <f>Données!AD171</f>
        <v/>
      </c>
      <c r="G131" s="103">
        <f ca="1">INDEX({1;0.5;0},MATCH(C131,{1;65;70}))*M131</f>
        <v>0</v>
      </c>
      <c r="H131" s="104">
        <f>IF($B131=" ",0,IF(Données!$K171="exo",0,$G131/1000*VLOOKUP($F131,taux,2)))</f>
        <v>0</v>
      </c>
      <c r="I131" s="398">
        <f ca="1">IF(C131&gt;=65,0,Données!M171*5000)</f>
        <v>0</v>
      </c>
      <c r="J131" s="104">
        <f ca="1">I131/1000*(IF(I131=0,0,1)*VLOOKUP((1+(C131&gt;=20)+(C131&gt;=25)+(C131&gt;=30)+(C131&gt;=35)+(C131&gt;=40)+(C131&gt;=45)+(C131&gt;=50)+(C131&gt;=55)+(C131&gt;=60)+(C131&gt;=65)),Test,2+(IF(Données!F171="H",1,3))+(IF(Données!G171="F",1,0))))</f>
        <v>0</v>
      </c>
      <c r="K131" s="103">
        <f ca="1">INDEX({1;0.5;0},MATCH(C131,{1;65;70}))*M131</f>
        <v>0</v>
      </c>
      <c r="L131" s="104">
        <f>IF($B131=" ",0,IF(Données!$N171="exo",0,$K131/1000*VLOOKUP($F131,taux,6)))</f>
        <v>0</v>
      </c>
      <c r="M131" s="379">
        <f>IF($B131=" ",0,IF(Données!$K171="NON COUVERT",0,IF(AND(Données!$L171="oui",Données!$K171=0.5),MIN(VLOOKUP($F131,taux,5)/2,ROUNDUP(VLOOKUP($F131,taux,3)*$E131,-3)/2),IF(Données!$K171=0.5,MIN(VLOOKUP($F131,taux,4)/2,ROUNDUP(VLOOKUP($F131,taux,3)*$E131,-3)/2),ROUNDUP(IF(Données!$L171="OUI",MIN(VLOOKUP($F131,taux,3)*$E131,VLOOKUP($F131,taux,5)),MIN(VLOOKUP($F131,taux,3)*$E131,VLOOKUP($F131,taux,4))),-3)))))</f>
        <v>0</v>
      </c>
      <c r="N131" s="379">
        <f>IF($B131=" ",0,IF(Données!$N171="NON COUVERT",0,IF(AND(Données!$O171="oui",Données!$N171=0.5),MIN(VLOOKUP($F131,taux,9)/2,ROUNDUP(VLOOKUP($F131,taux,7)*$E131,-3)/2),IF(Données!$N171=0.5,MIN(VLOOKUP($F131,taux,8)/2,ROUNDUP(VLOOKUP($F131,taux,7)*$E131,-3)/2),ROUNDUP(IF(Données!$O171="OUI",MIN(VLOOKUP($F131,taux,7)*$E131,VLOOKUP($F131,taux,9)),MIN(VLOOKUP($F131,taux,7)*$E131,VLOOKUP($F131,taux,8))),-3)))))</f>
        <v>0</v>
      </c>
      <c r="O131" s="105">
        <f ca="1">IF(C131&gt;=70,0,IF($B131=" ",0,IF(Données!P171="non couvert"," ",Données!Q171)))</f>
        <v>0</v>
      </c>
      <c r="P131" s="106">
        <f>IF($B131=" ",0,IF(Données!$P171="exo",0,IF($O131="FAM",VLOOKUP($F131,taux,10),IF($O131="MONO",VLOOKUP($F131,taux,11),IF($O131="COUPLE",VLOOKUP($F131,taux,12),0)))))</f>
        <v>0</v>
      </c>
      <c r="Q131" s="107">
        <f ca="1">IF(C131&gt;=70,0,IF($B131=" ",0,IF(Données!$R171="NON COUVERT",0,ROUNDUP(IF(Données!$S171="OUI",MIN($E131*VLOOKUP($F131,taux,15)/52,VLOOKUP($F131,taux,17)),MIN($E131*VLOOKUP($F131,taux,15)/52,VLOOKUP($F131,taux,16))),0))))</f>
        <v>0</v>
      </c>
      <c r="R131" s="108">
        <f>IF($B131=" ",0,IF(Données!$R171="EXO",0,$Q131*VLOOKUP($F131,taux,13)/10))</f>
        <v>0</v>
      </c>
      <c r="S131" s="109">
        <f t="shared" ca="1" si="11"/>
        <v>0</v>
      </c>
      <c r="T131" s="110">
        <f>IF(B131=" ",0,IF(Données!$T171="exo",0,$S131*VLOOKUP($F131,taux,18)/100))</f>
        <v>0</v>
      </c>
      <c r="U131" s="109">
        <f>IF($B131=" ",0,IF(Données!$V171="non couvert",0,IF(VLOOKUP($F131,taux,29)="fixe","s/o",IF(Données!$W171="oui",MIN(ROUNDUP(VLOOKUP($F131,taux,31)*$E131,-3),VLOOKUP($F131,taux,33)),MIN(ROUNDUP(VLOOKUP($F131,taux,31)*$E131,-3),VLOOKUP($F131,taux,32))))))</f>
        <v>0</v>
      </c>
      <c r="V131" s="110">
        <f>IF(B131=" ",0,IF(Données!$V171="exo",0,IF(VLOOKUP($F131,taux,29)="fixe",VLOOKUP($F131,taux,30),$U131/1000*VLOOKUP($F131,taux,30))))</f>
        <v>0</v>
      </c>
      <c r="W131" s="110">
        <f t="shared" si="8"/>
        <v>0</v>
      </c>
      <c r="X131" s="383">
        <f>IF(B131=" ",0,EDATE((Données!E171),780))</f>
        <v>0</v>
      </c>
      <c r="Y131" s="383">
        <f t="shared" si="14"/>
        <v>0</v>
      </c>
      <c r="Z131" s="384">
        <f>IF($B131=" ",0,IF(Données!$T171="non couvert",0,IF(Données!$U171="oui",MIN(VLOOKUP($F131,taux,26),ROUNDUP(IF($E131/12&gt;VLOOKUP($F131,taux,21)+VLOOKUP($F131,taux,23),(VLOOKUP($F131,taux,20)*VLOOKUP($F131,taux,21))+(VLOOKUP($F131,taux,22)*VLOOKUP($F131,taux,23))+($E131/12-VLOOKUP($F131,taux,21)-VLOOKUP($F131,taux,23))*VLOOKUP($F131,taux,24),IF($E131/12&gt;VLOOKUP($F131,taux,21),(VLOOKUP($F131,taux,20)*VLOOKUP($F131,taux,21))+($E131/12-VLOOKUP($F131,taux,21))*VLOOKUP($F131,taux,22),$E131/12*VLOOKUP($F131,taux,20))),0)),MIN(VLOOKUP($F131,taux,25),ROUNDUP(IF($E131/12&gt;VLOOKUP($F131,taux,21)+VLOOKUP($F131,taux,23),(VLOOKUP($F131,taux,20)*VLOOKUP($F131,taux,21))+(VLOOKUP($F131,taux,22)*VLOOKUP($F131,taux,23))+($E131/12-VLOOKUP($F131,taux,21)-VLOOKUP($F131,taux,23))*VLOOKUP($F131,taux,24),IF($E131/12&gt;VLOOKUP($F131,taux,21),(VLOOKUP($F131,taux,20)*VLOOKUP($F131,taux,21))+($E131/12-VLOOKUP($F131,taux,21))*VLOOKUP($F131,taux,22),$E131/12*VLOOKUP($F131,taux,20))),0)))))</f>
        <v>0</v>
      </c>
      <c r="AA131" s="111">
        <f ca="1">IF(C131&gt;=70,0,IF($B131=" ",0,IF(Données!$X171="non couvert"," ",Données!Y171)))</f>
        <v>0</v>
      </c>
      <c r="AB131" s="110">
        <f>IF($B131=" ",0,IF(Données!$X171="exo",0,IF($AA131="ind",VLOOKUP($F131,taux,34),IF($AA131="fam",VLOOKUP($F131,taux,35),IF($AA131="mono",VLOOKUP($F131,taux,36),IF($AA131="couple",VLOOKUP($F131,taux,37),0))))))</f>
        <v>0</v>
      </c>
      <c r="AC131" s="111">
        <f ca="1">IF(C131&gt;=70,0,IF($B131=" ",0,IF(Données!$Z171="non couvert"," ",Données!AA171)))</f>
        <v>0</v>
      </c>
      <c r="AD131" s="110">
        <f>IF($B131=" ",0,IF(Données!$Z171="exo",0,IF($AC131="ind",VLOOKUP($F131,taux,38),IF($AC131="fam",VLOOKUP($F131,taux,39),IF($AC131="mono",VLOOKUP($F131,taux,40),IF($AC131="couple",VLOOKUP($F131,taux,41),0))))))</f>
        <v>0</v>
      </c>
      <c r="AE131" s="112">
        <f>IF($B131=" ",0,IF(Données!$AB171="non couvert"," ",Données!AC171))</f>
        <v>0</v>
      </c>
      <c r="AF131" s="113">
        <f>IF($B131=" ",0,IF(Données!$AB171="exo",0,IF($AE131="ind",VLOOKUP($F131,taux,42),IF($AE131="fam",VLOOKUP($F131,taux,43),IF($AE131="mono",VLOOKUP($F131,taux,44),IF($AE131="couple",VLOOKUP($F131,taux,45),0))))))</f>
        <v>0</v>
      </c>
      <c r="AG131" s="114">
        <f t="shared" ca="1" si="15"/>
        <v>0</v>
      </c>
      <c r="AH131" s="114">
        <f>IF($B131=" ",0,IF(Données!J171="Manitoba",(Facture!H131+Facture!J131+Facture!L131+Facture!P131+Facture!R131+Facture!T131)*0.08,(AG131-W131)*IF(Données!$J171="qc",0.09,IF(Données!$J171="on",0.08,0))+W131*VLOOKUP($F131,taux,28)))</f>
        <v>0</v>
      </c>
      <c r="AI131" s="106">
        <f t="shared" ca="1" si="16"/>
        <v>0</v>
      </c>
    </row>
    <row r="132" spans="1:35" s="64" customFormat="1">
      <c r="A132" s="90">
        <f t="shared" si="13"/>
        <v>118</v>
      </c>
      <c r="B132" s="99" t="str">
        <f>CONCATENATE(Données!B172," ",Données!C172)</f>
        <v xml:space="preserve"> </v>
      </c>
      <c r="C132" s="410">
        <f ca="1">IF(B132="",0,INT((TODAY()-Données!E172)/365.25))</f>
        <v>119</v>
      </c>
      <c r="D132" s="100">
        <f>Données!D172</f>
        <v>0</v>
      </c>
      <c r="E132" s="101">
        <f>Données!I172</f>
        <v>0</v>
      </c>
      <c r="F132" s="102" t="str">
        <f>Données!AD172</f>
        <v/>
      </c>
      <c r="G132" s="103">
        <f ca="1">INDEX({1;0.5;0},MATCH(C132,{1;65;70}))*M132</f>
        <v>0</v>
      </c>
      <c r="H132" s="104">
        <f>IF($B132=" ",0,IF(Données!$K172="exo",0,$G132/1000*VLOOKUP($F132,taux,2)))</f>
        <v>0</v>
      </c>
      <c r="I132" s="398">
        <f ca="1">IF(C132&gt;=65,0,Données!M172*5000)</f>
        <v>0</v>
      </c>
      <c r="J132" s="104">
        <f ca="1">I132/1000*(IF(I132=0,0,1)*VLOOKUP((1+(C132&gt;=20)+(C132&gt;=25)+(C132&gt;=30)+(C132&gt;=35)+(C132&gt;=40)+(C132&gt;=45)+(C132&gt;=50)+(C132&gt;=55)+(C132&gt;=60)+(C132&gt;=65)),Test,2+(IF(Données!F172="H",1,3))+(IF(Données!G172="F",1,0))))</f>
        <v>0</v>
      </c>
      <c r="K132" s="103">
        <f ca="1">INDEX({1;0.5;0},MATCH(C132,{1;65;70}))*M132</f>
        <v>0</v>
      </c>
      <c r="L132" s="104">
        <f>IF($B132=" ",0,IF(Données!$N172="exo",0,$K132/1000*VLOOKUP($F132,taux,6)))</f>
        <v>0</v>
      </c>
      <c r="M132" s="379">
        <f>IF($B132=" ",0,IF(Données!$K172="NON COUVERT",0,IF(AND(Données!$L172="oui",Données!$K172=0.5),MIN(VLOOKUP($F132,taux,5)/2,ROUNDUP(VLOOKUP($F132,taux,3)*$E132,-3)/2),IF(Données!$K172=0.5,MIN(VLOOKUP($F132,taux,4)/2,ROUNDUP(VLOOKUP($F132,taux,3)*$E132,-3)/2),ROUNDUP(IF(Données!$L172="OUI",MIN(VLOOKUP($F132,taux,3)*$E132,VLOOKUP($F132,taux,5)),MIN(VLOOKUP($F132,taux,3)*$E132,VLOOKUP($F132,taux,4))),-3)))))</f>
        <v>0</v>
      </c>
      <c r="N132" s="379">
        <f>IF($B132=" ",0,IF(Données!$N172="NON COUVERT",0,IF(AND(Données!$O172="oui",Données!$N172=0.5),MIN(VLOOKUP($F132,taux,9)/2,ROUNDUP(VLOOKUP($F132,taux,7)*$E132,-3)/2),IF(Données!$N172=0.5,MIN(VLOOKUP($F132,taux,8)/2,ROUNDUP(VLOOKUP($F132,taux,7)*$E132,-3)/2),ROUNDUP(IF(Données!$O172="OUI",MIN(VLOOKUP($F132,taux,7)*$E132,VLOOKUP($F132,taux,9)),MIN(VLOOKUP($F132,taux,7)*$E132,VLOOKUP($F132,taux,8))),-3)))))</f>
        <v>0</v>
      </c>
      <c r="O132" s="105">
        <f ca="1">IF(C132&gt;=70,0,IF($B132=" ",0,IF(Données!P172="non couvert"," ",Données!Q172)))</f>
        <v>0</v>
      </c>
      <c r="P132" s="106">
        <f>IF($B132=" ",0,IF(Données!$P172="exo",0,IF($O132="FAM",VLOOKUP($F132,taux,10),IF($O132="MONO",VLOOKUP($F132,taux,11),IF($O132="COUPLE",VLOOKUP($F132,taux,12),0)))))</f>
        <v>0</v>
      </c>
      <c r="Q132" s="107">
        <f ca="1">IF(C132&gt;=70,0,IF($B132=" ",0,IF(Données!$R172="NON COUVERT",0,ROUNDUP(IF(Données!$S172="OUI",MIN($E132*VLOOKUP($F132,taux,15)/52,VLOOKUP($F132,taux,17)),MIN($E132*VLOOKUP($F132,taux,15)/52,VLOOKUP($F132,taux,16))),0))))</f>
        <v>0</v>
      </c>
      <c r="R132" s="108">
        <f>IF($B132=" ",0,IF(Données!$R172="EXO",0,$Q132*VLOOKUP($F132,taux,13)/10))</f>
        <v>0</v>
      </c>
      <c r="S132" s="109">
        <f t="shared" ca="1" si="11"/>
        <v>0</v>
      </c>
      <c r="T132" s="110">
        <f>IF(B132=" ",0,IF(Données!$T172="exo",0,$S132*VLOOKUP($F132,taux,18)/100))</f>
        <v>0</v>
      </c>
      <c r="U132" s="109">
        <f>IF($B132=" ",0,IF(Données!$V172="non couvert",0,IF(VLOOKUP($F132,taux,29)="fixe","s/o",IF(Données!$W172="oui",MIN(ROUNDUP(VLOOKUP($F132,taux,31)*$E132,-3),VLOOKUP($F132,taux,33)),MIN(ROUNDUP(VLOOKUP($F132,taux,31)*$E132,-3),VLOOKUP($F132,taux,32))))))</f>
        <v>0</v>
      </c>
      <c r="V132" s="110">
        <f>IF(B132=" ",0,IF(Données!$V172="exo",0,IF(VLOOKUP($F132,taux,29)="fixe",VLOOKUP($F132,taux,30),$U132/1000*VLOOKUP($F132,taux,30))))</f>
        <v>0</v>
      </c>
      <c r="W132" s="110">
        <f t="shared" si="8"/>
        <v>0</v>
      </c>
      <c r="X132" s="383">
        <f>IF(B132=" ",0,EDATE((Données!E172),780))</f>
        <v>0</v>
      </c>
      <c r="Y132" s="383">
        <f t="shared" si="14"/>
        <v>0</v>
      </c>
      <c r="Z132" s="384">
        <f>IF($B132=" ",0,IF(Données!$T172="non couvert",0,IF(Données!$U172="oui",MIN(VLOOKUP($F132,taux,26),ROUNDUP(IF($E132/12&gt;VLOOKUP($F132,taux,21)+VLOOKUP($F132,taux,23),(VLOOKUP($F132,taux,20)*VLOOKUP($F132,taux,21))+(VLOOKUP($F132,taux,22)*VLOOKUP($F132,taux,23))+($E132/12-VLOOKUP($F132,taux,21)-VLOOKUP($F132,taux,23))*VLOOKUP($F132,taux,24),IF($E132/12&gt;VLOOKUP($F132,taux,21),(VLOOKUP($F132,taux,20)*VLOOKUP($F132,taux,21))+($E132/12-VLOOKUP($F132,taux,21))*VLOOKUP($F132,taux,22),$E132/12*VLOOKUP($F132,taux,20))),0)),MIN(VLOOKUP($F132,taux,25),ROUNDUP(IF($E132/12&gt;VLOOKUP($F132,taux,21)+VLOOKUP($F132,taux,23),(VLOOKUP($F132,taux,20)*VLOOKUP($F132,taux,21))+(VLOOKUP($F132,taux,22)*VLOOKUP($F132,taux,23))+($E132/12-VLOOKUP($F132,taux,21)-VLOOKUP($F132,taux,23))*VLOOKUP($F132,taux,24),IF($E132/12&gt;VLOOKUP($F132,taux,21),(VLOOKUP($F132,taux,20)*VLOOKUP($F132,taux,21))+($E132/12-VLOOKUP($F132,taux,21))*VLOOKUP($F132,taux,22),$E132/12*VLOOKUP($F132,taux,20))),0)))))</f>
        <v>0</v>
      </c>
      <c r="AA132" s="111">
        <f ca="1">IF(C132&gt;=70,0,IF($B132=" ",0,IF(Données!$X172="non couvert"," ",Données!Y172)))</f>
        <v>0</v>
      </c>
      <c r="AB132" s="110">
        <f>IF($B132=" ",0,IF(Données!$X172="exo",0,IF($AA132="ind",VLOOKUP($F132,taux,34),IF($AA132="fam",VLOOKUP($F132,taux,35),IF($AA132="mono",VLOOKUP($F132,taux,36),IF($AA132="couple",VLOOKUP($F132,taux,37),0))))))</f>
        <v>0</v>
      </c>
      <c r="AC132" s="111">
        <f ca="1">IF(C132&gt;=70,0,IF($B132=" ",0,IF(Données!$Z172="non couvert"," ",Données!AA172)))</f>
        <v>0</v>
      </c>
      <c r="AD132" s="110">
        <f>IF($B132=" ",0,IF(Données!$Z172="exo",0,IF($AC132="ind",VLOOKUP($F132,taux,38),IF($AC132="fam",VLOOKUP($F132,taux,39),IF($AC132="mono",VLOOKUP($F132,taux,40),IF($AC132="couple",VLOOKUP($F132,taux,41),0))))))</f>
        <v>0</v>
      </c>
      <c r="AE132" s="112">
        <f>IF($B132=" ",0,IF(Données!$AB172="non couvert"," ",Données!AC172))</f>
        <v>0</v>
      </c>
      <c r="AF132" s="113">
        <f>IF($B132=" ",0,IF(Données!$AB172="exo",0,IF($AE132="ind",VLOOKUP($F132,taux,42),IF($AE132="fam",VLOOKUP($F132,taux,43),IF($AE132="mono",VLOOKUP($F132,taux,44),IF($AE132="couple",VLOOKUP($F132,taux,45),0))))))</f>
        <v>0</v>
      </c>
      <c r="AG132" s="114">
        <f t="shared" ca="1" si="15"/>
        <v>0</v>
      </c>
      <c r="AH132" s="114">
        <f>IF($B132=" ",0,IF(Données!J172="Manitoba",(Facture!H132+Facture!J132+Facture!L132+Facture!P132+Facture!R132+Facture!T132)*0.08,(AG132-W132)*IF(Données!$J172="qc",0.09,IF(Données!$J172="on",0.08,0))+W132*VLOOKUP($F132,taux,28)))</f>
        <v>0</v>
      </c>
      <c r="AI132" s="106">
        <f t="shared" ca="1" si="16"/>
        <v>0</v>
      </c>
    </row>
    <row r="133" spans="1:35" s="64" customFormat="1">
      <c r="A133" s="90">
        <f t="shared" si="13"/>
        <v>119</v>
      </c>
      <c r="B133" s="99" t="str">
        <f>CONCATENATE(Données!B173," ",Données!C173)</f>
        <v xml:space="preserve"> </v>
      </c>
      <c r="C133" s="410">
        <f ca="1">IF(B133="",0,INT((TODAY()-Données!E173)/365.25))</f>
        <v>119</v>
      </c>
      <c r="D133" s="100">
        <f>Données!D173</f>
        <v>0</v>
      </c>
      <c r="E133" s="101">
        <f>Données!I173</f>
        <v>0</v>
      </c>
      <c r="F133" s="102" t="str">
        <f>Données!AD173</f>
        <v/>
      </c>
      <c r="G133" s="103">
        <f ca="1">INDEX({1;0.5;0},MATCH(C133,{1;65;70}))*M133</f>
        <v>0</v>
      </c>
      <c r="H133" s="104">
        <f>IF($B133=" ",0,IF(Données!$K173="exo",0,$G133/1000*VLOOKUP($F133,taux,2)))</f>
        <v>0</v>
      </c>
      <c r="I133" s="398">
        <f ca="1">IF(C133&gt;=65,0,Données!M173*5000)</f>
        <v>0</v>
      </c>
      <c r="J133" s="104">
        <f ca="1">I133/1000*(IF(I133=0,0,1)*VLOOKUP((1+(C133&gt;=20)+(C133&gt;=25)+(C133&gt;=30)+(C133&gt;=35)+(C133&gt;=40)+(C133&gt;=45)+(C133&gt;=50)+(C133&gt;=55)+(C133&gt;=60)+(C133&gt;=65)),Test,2+(IF(Données!F173="H",1,3))+(IF(Données!G173="F",1,0))))</f>
        <v>0</v>
      </c>
      <c r="K133" s="103">
        <f ca="1">INDEX({1;0.5;0},MATCH(C133,{1;65;70}))*M133</f>
        <v>0</v>
      </c>
      <c r="L133" s="104">
        <f>IF($B133=" ",0,IF(Données!$N173="exo",0,$K133/1000*VLOOKUP($F133,taux,6)))</f>
        <v>0</v>
      </c>
      <c r="M133" s="379">
        <f>IF($B133=" ",0,IF(Données!$K173="NON COUVERT",0,IF(AND(Données!$L173="oui",Données!$K173=0.5),MIN(VLOOKUP($F133,taux,5)/2,ROUNDUP(VLOOKUP($F133,taux,3)*$E133,-3)/2),IF(Données!$K173=0.5,MIN(VLOOKUP($F133,taux,4)/2,ROUNDUP(VLOOKUP($F133,taux,3)*$E133,-3)/2),ROUNDUP(IF(Données!$L173="OUI",MIN(VLOOKUP($F133,taux,3)*$E133,VLOOKUP($F133,taux,5)),MIN(VLOOKUP($F133,taux,3)*$E133,VLOOKUP($F133,taux,4))),-3)))))</f>
        <v>0</v>
      </c>
      <c r="N133" s="379">
        <f>IF($B133=" ",0,IF(Données!$N173="NON COUVERT",0,IF(AND(Données!$O173="oui",Données!$N173=0.5),MIN(VLOOKUP($F133,taux,9)/2,ROUNDUP(VLOOKUP($F133,taux,7)*$E133,-3)/2),IF(Données!$N173=0.5,MIN(VLOOKUP($F133,taux,8)/2,ROUNDUP(VLOOKUP($F133,taux,7)*$E133,-3)/2),ROUNDUP(IF(Données!$O173="OUI",MIN(VLOOKUP($F133,taux,7)*$E133,VLOOKUP($F133,taux,9)),MIN(VLOOKUP($F133,taux,7)*$E133,VLOOKUP($F133,taux,8))),-3)))))</f>
        <v>0</v>
      </c>
      <c r="O133" s="105">
        <f ca="1">IF(C133&gt;=70,0,IF($B133=" ",0,IF(Données!P173="non couvert"," ",Données!Q173)))</f>
        <v>0</v>
      </c>
      <c r="P133" s="106">
        <f>IF($B133=" ",0,IF(Données!$P173="exo",0,IF($O133="FAM",VLOOKUP($F133,taux,10),IF($O133="MONO",VLOOKUP($F133,taux,11),IF($O133="COUPLE",VLOOKUP($F133,taux,12),0)))))</f>
        <v>0</v>
      </c>
      <c r="Q133" s="107">
        <f ca="1">IF(C133&gt;=70,0,IF($B133=" ",0,IF(Données!$R173="NON COUVERT",0,ROUNDUP(IF(Données!$S173="OUI",MIN($E133*VLOOKUP($F133,taux,15)/52,VLOOKUP($F133,taux,17)),MIN($E133*VLOOKUP($F133,taux,15)/52,VLOOKUP($F133,taux,16))),0))))</f>
        <v>0</v>
      </c>
      <c r="R133" s="108">
        <f>IF($B133=" ",0,IF(Données!$R173="EXO",0,$Q133*VLOOKUP($F133,taux,13)/10))</f>
        <v>0</v>
      </c>
      <c r="S133" s="109">
        <f t="shared" ca="1" si="11"/>
        <v>0</v>
      </c>
      <c r="T133" s="110">
        <f>IF(B133=" ",0,IF(Données!$T173="exo",0,$S133*VLOOKUP($F133,taux,18)/100))</f>
        <v>0</v>
      </c>
      <c r="U133" s="109">
        <f>IF($B133=" ",0,IF(Données!$V173="non couvert",0,IF(VLOOKUP($F133,taux,29)="fixe","s/o",IF(Données!$W173="oui",MIN(ROUNDUP(VLOOKUP($F133,taux,31)*$E133,-3),VLOOKUP($F133,taux,33)),MIN(ROUNDUP(VLOOKUP($F133,taux,31)*$E133,-3),VLOOKUP($F133,taux,32))))))</f>
        <v>0</v>
      </c>
      <c r="V133" s="110">
        <f>IF(B133=" ",0,IF(Données!$V173="exo",0,IF(VLOOKUP($F133,taux,29)="fixe",VLOOKUP($F133,taux,30),$U133/1000*VLOOKUP($F133,taux,30))))</f>
        <v>0</v>
      </c>
      <c r="W133" s="110">
        <f t="shared" si="8"/>
        <v>0</v>
      </c>
      <c r="X133" s="383">
        <f>IF(B133=" ",0,EDATE((Données!E173),780))</f>
        <v>0</v>
      </c>
      <c r="Y133" s="383">
        <f t="shared" si="14"/>
        <v>0</v>
      </c>
      <c r="Z133" s="384">
        <f>IF($B133=" ",0,IF(Données!$T173="non couvert",0,IF(Données!$U173="oui",MIN(VLOOKUP($F133,taux,26),ROUNDUP(IF($E133/12&gt;VLOOKUP($F133,taux,21)+VLOOKUP($F133,taux,23),(VLOOKUP($F133,taux,20)*VLOOKUP($F133,taux,21))+(VLOOKUP($F133,taux,22)*VLOOKUP($F133,taux,23))+($E133/12-VLOOKUP($F133,taux,21)-VLOOKUP($F133,taux,23))*VLOOKUP($F133,taux,24),IF($E133/12&gt;VLOOKUP($F133,taux,21),(VLOOKUP($F133,taux,20)*VLOOKUP($F133,taux,21))+($E133/12-VLOOKUP($F133,taux,21))*VLOOKUP($F133,taux,22),$E133/12*VLOOKUP($F133,taux,20))),0)),MIN(VLOOKUP($F133,taux,25),ROUNDUP(IF($E133/12&gt;VLOOKUP($F133,taux,21)+VLOOKUP($F133,taux,23),(VLOOKUP($F133,taux,20)*VLOOKUP($F133,taux,21))+(VLOOKUP($F133,taux,22)*VLOOKUP($F133,taux,23))+($E133/12-VLOOKUP($F133,taux,21)-VLOOKUP($F133,taux,23))*VLOOKUP($F133,taux,24),IF($E133/12&gt;VLOOKUP($F133,taux,21),(VLOOKUP($F133,taux,20)*VLOOKUP($F133,taux,21))+($E133/12-VLOOKUP($F133,taux,21))*VLOOKUP($F133,taux,22),$E133/12*VLOOKUP($F133,taux,20))),0)))))</f>
        <v>0</v>
      </c>
      <c r="AA133" s="111">
        <f ca="1">IF(C133&gt;=70,0,IF($B133=" ",0,IF(Données!$X173="non couvert"," ",Données!Y173)))</f>
        <v>0</v>
      </c>
      <c r="AB133" s="110">
        <f>IF($B133=" ",0,IF(Données!$X173="exo",0,IF($AA133="ind",VLOOKUP($F133,taux,34),IF($AA133="fam",VLOOKUP($F133,taux,35),IF($AA133="mono",VLOOKUP($F133,taux,36),IF($AA133="couple",VLOOKUP($F133,taux,37),0))))))</f>
        <v>0</v>
      </c>
      <c r="AC133" s="111">
        <f ca="1">IF(C133&gt;=70,0,IF($B133=" ",0,IF(Données!$Z173="non couvert"," ",Données!AA173)))</f>
        <v>0</v>
      </c>
      <c r="AD133" s="110">
        <f>IF($B133=" ",0,IF(Données!$Z173="exo",0,IF($AC133="ind",VLOOKUP($F133,taux,38),IF($AC133="fam",VLOOKUP($F133,taux,39),IF($AC133="mono",VLOOKUP($F133,taux,40),IF($AC133="couple",VLOOKUP($F133,taux,41),0))))))</f>
        <v>0</v>
      </c>
      <c r="AE133" s="112">
        <f>IF($B133=" ",0,IF(Données!$AB173="non couvert"," ",Données!AC173))</f>
        <v>0</v>
      </c>
      <c r="AF133" s="113">
        <f>IF($B133=" ",0,IF(Données!$AB173="exo",0,IF($AE133="ind",VLOOKUP($F133,taux,42),IF($AE133="fam",VLOOKUP($F133,taux,43),IF($AE133="mono",VLOOKUP($F133,taux,44),IF($AE133="couple",VLOOKUP($F133,taux,45),0))))))</f>
        <v>0</v>
      </c>
      <c r="AG133" s="114">
        <f t="shared" ca="1" si="15"/>
        <v>0</v>
      </c>
      <c r="AH133" s="114">
        <f>IF($B133=" ",0,IF(Données!J173="Manitoba",(Facture!H133+Facture!J133+Facture!L133+Facture!P133+Facture!R133+Facture!T133)*0.08,(AG133-W133)*IF(Données!$J173="qc",0.09,IF(Données!$J173="on",0.08,0))+W133*VLOOKUP($F133,taux,28)))</f>
        <v>0</v>
      </c>
      <c r="AI133" s="106">
        <f t="shared" ca="1" si="16"/>
        <v>0</v>
      </c>
    </row>
    <row r="134" spans="1:35" s="64" customFormat="1">
      <c r="A134" s="90">
        <f t="shared" si="13"/>
        <v>120</v>
      </c>
      <c r="B134" s="99" t="str">
        <f>CONCATENATE(Données!B174," ",Données!C174)</f>
        <v xml:space="preserve"> </v>
      </c>
      <c r="C134" s="410">
        <f ca="1">IF(B134="",0,INT((TODAY()-Données!E174)/365.25))</f>
        <v>119</v>
      </c>
      <c r="D134" s="100">
        <f>Données!D174</f>
        <v>0</v>
      </c>
      <c r="E134" s="101">
        <f>Données!I174</f>
        <v>0</v>
      </c>
      <c r="F134" s="102" t="str">
        <f>Données!AD174</f>
        <v/>
      </c>
      <c r="G134" s="103">
        <f ca="1">INDEX({1;0.5;0},MATCH(C134,{1;65;70}))*M134</f>
        <v>0</v>
      </c>
      <c r="H134" s="104">
        <f>IF($B134=" ",0,IF(Données!$K174="exo",0,$G134/1000*VLOOKUP($F134,taux,2)))</f>
        <v>0</v>
      </c>
      <c r="I134" s="398">
        <f ca="1">IF(C134&gt;=65,0,Données!M174*5000)</f>
        <v>0</v>
      </c>
      <c r="J134" s="104">
        <f ca="1">I134/1000*(IF(I134=0,0,1)*VLOOKUP((1+(C134&gt;=20)+(C134&gt;=25)+(C134&gt;=30)+(C134&gt;=35)+(C134&gt;=40)+(C134&gt;=45)+(C134&gt;=50)+(C134&gt;=55)+(C134&gt;=60)+(C134&gt;=65)),Test,2+(IF(Données!F174="H",1,3))+(IF(Données!G174="F",1,0))))</f>
        <v>0</v>
      </c>
      <c r="K134" s="103">
        <f ca="1">INDEX({1;0.5;0},MATCH(C134,{1;65;70}))*M134</f>
        <v>0</v>
      </c>
      <c r="L134" s="104">
        <f>IF($B134=" ",0,IF(Données!$N174="exo",0,$K134/1000*VLOOKUP($F134,taux,6)))</f>
        <v>0</v>
      </c>
      <c r="M134" s="379">
        <f>IF($B134=" ",0,IF(Données!$K174="NON COUVERT",0,IF(AND(Données!$L174="oui",Données!$K174=0.5),MIN(VLOOKUP($F134,taux,5)/2,ROUNDUP(VLOOKUP($F134,taux,3)*$E134,-3)/2),IF(Données!$K174=0.5,MIN(VLOOKUP($F134,taux,4)/2,ROUNDUP(VLOOKUP($F134,taux,3)*$E134,-3)/2),ROUNDUP(IF(Données!$L174="OUI",MIN(VLOOKUP($F134,taux,3)*$E134,VLOOKUP($F134,taux,5)),MIN(VLOOKUP($F134,taux,3)*$E134,VLOOKUP($F134,taux,4))),-3)))))</f>
        <v>0</v>
      </c>
      <c r="N134" s="379">
        <f>IF($B134=" ",0,IF(Données!$N174="NON COUVERT",0,IF(AND(Données!$O174="oui",Données!$N174=0.5),MIN(VLOOKUP($F134,taux,9)/2,ROUNDUP(VLOOKUP($F134,taux,7)*$E134,-3)/2),IF(Données!$N174=0.5,MIN(VLOOKUP($F134,taux,8)/2,ROUNDUP(VLOOKUP($F134,taux,7)*$E134,-3)/2),ROUNDUP(IF(Données!$O174="OUI",MIN(VLOOKUP($F134,taux,7)*$E134,VLOOKUP($F134,taux,9)),MIN(VLOOKUP($F134,taux,7)*$E134,VLOOKUP($F134,taux,8))),-3)))))</f>
        <v>0</v>
      </c>
      <c r="O134" s="105">
        <f ca="1">IF(C134&gt;=70,0,IF($B134=" ",0,IF(Données!P174="non couvert"," ",Données!Q174)))</f>
        <v>0</v>
      </c>
      <c r="P134" s="106">
        <f>IF($B134=" ",0,IF(Données!$P174="exo",0,IF($O134="FAM",VLOOKUP($F134,taux,10),IF($O134="MONO",VLOOKUP($F134,taux,11),IF($O134="COUPLE",VLOOKUP($F134,taux,12),0)))))</f>
        <v>0</v>
      </c>
      <c r="Q134" s="107">
        <f ca="1">IF(C134&gt;=70,0,IF($B134=" ",0,IF(Données!$R174="NON COUVERT",0,ROUNDUP(IF(Données!$S174="OUI",MIN($E134*VLOOKUP($F134,taux,15)/52,VLOOKUP($F134,taux,17)),MIN($E134*VLOOKUP($F134,taux,15)/52,VLOOKUP($F134,taux,16))),0))))</f>
        <v>0</v>
      </c>
      <c r="R134" s="108">
        <f>IF($B134=" ",0,IF(Données!$R174="EXO",0,$Q134*VLOOKUP($F134,taux,13)/10))</f>
        <v>0</v>
      </c>
      <c r="S134" s="109">
        <f t="shared" ca="1" si="11"/>
        <v>0</v>
      </c>
      <c r="T134" s="110">
        <f>IF(B134=" ",0,IF(Données!$T174="exo",0,$S134*VLOOKUP($F134,taux,18)/100))</f>
        <v>0</v>
      </c>
      <c r="U134" s="109">
        <f>IF($B134=" ",0,IF(Données!$V174="non couvert",0,IF(VLOOKUP($F134,taux,29)="fixe","s/o",IF(Données!$W174="oui",MIN(ROUNDUP(VLOOKUP($F134,taux,31)*$E134,-3),VLOOKUP($F134,taux,33)),MIN(ROUNDUP(VLOOKUP($F134,taux,31)*$E134,-3),VLOOKUP($F134,taux,32))))))</f>
        <v>0</v>
      </c>
      <c r="V134" s="110">
        <f>IF(B134=" ",0,IF(Données!$V174="exo",0,IF(VLOOKUP($F134,taux,29)="fixe",VLOOKUP($F134,taux,30),$U134/1000*VLOOKUP($F134,taux,30))))</f>
        <v>0</v>
      </c>
      <c r="W134" s="110">
        <f t="shared" si="8"/>
        <v>0</v>
      </c>
      <c r="X134" s="383">
        <f>IF(B134=" ",0,EDATE((Données!E174),780))</f>
        <v>0</v>
      </c>
      <c r="Y134" s="383">
        <f t="shared" si="14"/>
        <v>0</v>
      </c>
      <c r="Z134" s="384">
        <f>IF($B134=" ",0,IF(Données!$T174="non couvert",0,IF(Données!$U174="oui",MIN(VLOOKUP($F134,taux,26),ROUNDUP(IF($E134/12&gt;VLOOKUP($F134,taux,21)+VLOOKUP($F134,taux,23),(VLOOKUP($F134,taux,20)*VLOOKUP($F134,taux,21))+(VLOOKUP($F134,taux,22)*VLOOKUP($F134,taux,23))+($E134/12-VLOOKUP($F134,taux,21)-VLOOKUP($F134,taux,23))*VLOOKUP($F134,taux,24),IF($E134/12&gt;VLOOKUP($F134,taux,21),(VLOOKUP($F134,taux,20)*VLOOKUP($F134,taux,21))+($E134/12-VLOOKUP($F134,taux,21))*VLOOKUP($F134,taux,22),$E134/12*VLOOKUP($F134,taux,20))),0)),MIN(VLOOKUP($F134,taux,25),ROUNDUP(IF($E134/12&gt;VLOOKUP($F134,taux,21)+VLOOKUP($F134,taux,23),(VLOOKUP($F134,taux,20)*VLOOKUP($F134,taux,21))+(VLOOKUP($F134,taux,22)*VLOOKUP($F134,taux,23))+($E134/12-VLOOKUP($F134,taux,21)-VLOOKUP($F134,taux,23))*VLOOKUP($F134,taux,24),IF($E134/12&gt;VLOOKUP($F134,taux,21),(VLOOKUP($F134,taux,20)*VLOOKUP($F134,taux,21))+($E134/12-VLOOKUP($F134,taux,21))*VLOOKUP($F134,taux,22),$E134/12*VLOOKUP($F134,taux,20))),0)))))</f>
        <v>0</v>
      </c>
      <c r="AA134" s="111">
        <f ca="1">IF(C134&gt;=70,0,IF($B134=" ",0,IF(Données!$X174="non couvert"," ",Données!Y174)))</f>
        <v>0</v>
      </c>
      <c r="AB134" s="110">
        <f>IF($B134=" ",0,IF(Données!$X174="exo",0,IF($AA134="ind",VLOOKUP($F134,taux,34),IF($AA134="fam",VLOOKUP($F134,taux,35),IF($AA134="mono",VLOOKUP($F134,taux,36),IF($AA134="couple",VLOOKUP($F134,taux,37),0))))))</f>
        <v>0</v>
      </c>
      <c r="AC134" s="111">
        <f ca="1">IF(C134&gt;=70,0,IF($B134=" ",0,IF(Données!$Z174="non couvert"," ",Données!AA174)))</f>
        <v>0</v>
      </c>
      <c r="AD134" s="110">
        <f>IF($B134=" ",0,IF(Données!$Z174="exo",0,IF($AC134="ind",VLOOKUP($F134,taux,38),IF($AC134="fam",VLOOKUP($F134,taux,39),IF($AC134="mono",VLOOKUP($F134,taux,40),IF($AC134="couple",VLOOKUP($F134,taux,41),0))))))</f>
        <v>0</v>
      </c>
      <c r="AE134" s="112">
        <f>IF($B134=" ",0,IF(Données!$AB174="non couvert"," ",Données!AC174))</f>
        <v>0</v>
      </c>
      <c r="AF134" s="113">
        <f>IF($B134=" ",0,IF(Données!$AB174="exo",0,IF($AE134="ind",VLOOKUP($F134,taux,42),IF($AE134="fam",VLOOKUP($F134,taux,43),IF($AE134="mono",VLOOKUP($F134,taux,44),IF($AE134="couple",VLOOKUP($F134,taux,45),0))))))</f>
        <v>0</v>
      </c>
      <c r="AG134" s="114">
        <f t="shared" ca="1" si="15"/>
        <v>0</v>
      </c>
      <c r="AH134" s="114">
        <f>IF($B134=" ",0,IF(Données!J174="Manitoba",(Facture!H134+Facture!J134+Facture!L134+Facture!P134+Facture!R134+Facture!T134)*0.08,(AG134-W134)*IF(Données!$J174="qc",0.09,IF(Données!$J174="on",0.08,0))+W134*VLOOKUP($F134,taux,28)))</f>
        <v>0</v>
      </c>
      <c r="AI134" s="106">
        <f t="shared" ca="1" si="16"/>
        <v>0</v>
      </c>
    </row>
    <row r="135" spans="1:35" s="64" customFormat="1">
      <c r="A135" s="90">
        <f t="shared" si="13"/>
        <v>121</v>
      </c>
      <c r="B135" s="99" t="str">
        <f>CONCATENATE(Données!B175," ",Données!C175)</f>
        <v xml:space="preserve"> </v>
      </c>
      <c r="C135" s="410">
        <f ca="1">IF(B135="",0,INT((TODAY()-Données!E175)/365.25))</f>
        <v>119</v>
      </c>
      <c r="D135" s="100">
        <f>Données!D175</f>
        <v>0</v>
      </c>
      <c r="E135" s="101">
        <f>Données!I175</f>
        <v>0</v>
      </c>
      <c r="F135" s="102" t="str">
        <f>Données!AD175</f>
        <v/>
      </c>
      <c r="G135" s="103">
        <f ca="1">INDEX({1;0.5;0},MATCH(C135,{1;65;70}))*M135</f>
        <v>0</v>
      </c>
      <c r="H135" s="104">
        <f>IF($B135=" ",0,IF(Données!$K175="exo",0,$G135/1000*VLOOKUP($F135,taux,2)))</f>
        <v>0</v>
      </c>
      <c r="I135" s="398">
        <f ca="1">IF(C135&gt;=65,0,Données!M175*5000)</f>
        <v>0</v>
      </c>
      <c r="J135" s="104">
        <f ca="1">I135/1000*(IF(I135=0,0,1)*VLOOKUP((1+(C135&gt;=20)+(C135&gt;=25)+(C135&gt;=30)+(C135&gt;=35)+(C135&gt;=40)+(C135&gt;=45)+(C135&gt;=50)+(C135&gt;=55)+(C135&gt;=60)+(C135&gt;=65)),Test,2+(IF(Données!F175="H",1,3))+(IF(Données!G175="F",1,0))))</f>
        <v>0</v>
      </c>
      <c r="K135" s="103">
        <f ca="1">INDEX({1;0.5;0},MATCH(C135,{1;65;70}))*M135</f>
        <v>0</v>
      </c>
      <c r="L135" s="104">
        <f>IF($B135=" ",0,IF(Données!$N175="exo",0,$K135/1000*VLOOKUP($F135,taux,6)))</f>
        <v>0</v>
      </c>
      <c r="M135" s="379">
        <f>IF($B135=" ",0,IF(Données!$K175="NON COUVERT",0,IF(AND(Données!$L175="oui",Données!$K175=0.5),MIN(VLOOKUP($F135,taux,5)/2,ROUNDUP(VLOOKUP($F135,taux,3)*$E135,-3)/2),IF(Données!$K175=0.5,MIN(VLOOKUP($F135,taux,4)/2,ROUNDUP(VLOOKUP($F135,taux,3)*$E135,-3)/2),ROUNDUP(IF(Données!$L175="OUI",MIN(VLOOKUP($F135,taux,3)*$E135,VLOOKUP($F135,taux,5)),MIN(VLOOKUP($F135,taux,3)*$E135,VLOOKUP($F135,taux,4))),-3)))))</f>
        <v>0</v>
      </c>
      <c r="N135" s="379">
        <f>IF($B135=" ",0,IF(Données!$N175="NON COUVERT",0,IF(AND(Données!$O175="oui",Données!$N175=0.5),MIN(VLOOKUP($F135,taux,9)/2,ROUNDUP(VLOOKUP($F135,taux,7)*$E135,-3)/2),IF(Données!$N175=0.5,MIN(VLOOKUP($F135,taux,8)/2,ROUNDUP(VLOOKUP($F135,taux,7)*$E135,-3)/2),ROUNDUP(IF(Données!$O175="OUI",MIN(VLOOKUP($F135,taux,7)*$E135,VLOOKUP($F135,taux,9)),MIN(VLOOKUP($F135,taux,7)*$E135,VLOOKUP($F135,taux,8))),-3)))))</f>
        <v>0</v>
      </c>
      <c r="O135" s="105">
        <f ca="1">IF(C135&gt;=70,0,IF($B135=" ",0,IF(Données!P175="non couvert"," ",Données!Q175)))</f>
        <v>0</v>
      </c>
      <c r="P135" s="106">
        <f>IF($B135=" ",0,IF(Données!$P175="exo",0,IF($O135="FAM",VLOOKUP($F135,taux,10),IF($O135="MONO",VLOOKUP($F135,taux,11),IF($O135="COUPLE",VLOOKUP($F135,taux,12),0)))))</f>
        <v>0</v>
      </c>
      <c r="Q135" s="107">
        <f ca="1">IF(C135&gt;=70,0,IF($B135=" ",0,IF(Données!$R175="NON COUVERT",0,ROUNDUP(IF(Données!$S175="OUI",MIN($E135*VLOOKUP($F135,taux,15)/52,VLOOKUP($F135,taux,17)),MIN($E135*VLOOKUP($F135,taux,15)/52,VLOOKUP($F135,taux,16))),0))))</f>
        <v>0</v>
      </c>
      <c r="R135" s="108">
        <f>IF($B135=" ",0,IF(Données!$R175="EXO",0,$Q135*VLOOKUP($F135,taux,13)/10))</f>
        <v>0</v>
      </c>
      <c r="S135" s="109">
        <f t="shared" ca="1" si="11"/>
        <v>0</v>
      </c>
      <c r="T135" s="110">
        <f>IF(B135=" ",0,IF(Données!$T175="exo",0,$S135*VLOOKUP($F135,taux,18)/100))</f>
        <v>0</v>
      </c>
      <c r="U135" s="109">
        <f>IF($B135=" ",0,IF(Données!$V175="non couvert",0,IF(VLOOKUP($F135,taux,29)="fixe","s/o",IF(Données!$W175="oui",MIN(ROUNDUP(VLOOKUP($F135,taux,31)*$E135,-3),VLOOKUP($F135,taux,33)),MIN(ROUNDUP(VLOOKUP($F135,taux,31)*$E135,-3),VLOOKUP($F135,taux,32))))))</f>
        <v>0</v>
      </c>
      <c r="V135" s="110">
        <f>IF(B135=" ",0,IF(Données!$V175="exo",0,IF(VLOOKUP($F135,taux,29)="fixe",VLOOKUP($F135,taux,30),$U135/1000*VLOOKUP($F135,taux,30))))</f>
        <v>0</v>
      </c>
      <c r="W135" s="110">
        <f t="shared" si="8"/>
        <v>0</v>
      </c>
      <c r="X135" s="383">
        <f>IF(B135=" ",0,EDATE((Données!E175),780))</f>
        <v>0</v>
      </c>
      <c r="Y135" s="383">
        <f t="shared" si="14"/>
        <v>0</v>
      </c>
      <c r="Z135" s="384">
        <f>IF($B135=" ",0,IF(Données!$T175="non couvert",0,IF(Données!$U175="oui",MIN(VLOOKUP($F135,taux,26),ROUNDUP(IF($E135/12&gt;VLOOKUP($F135,taux,21)+VLOOKUP($F135,taux,23),(VLOOKUP($F135,taux,20)*VLOOKUP($F135,taux,21))+(VLOOKUP($F135,taux,22)*VLOOKUP($F135,taux,23))+($E135/12-VLOOKUP($F135,taux,21)-VLOOKUP($F135,taux,23))*VLOOKUP($F135,taux,24),IF($E135/12&gt;VLOOKUP($F135,taux,21),(VLOOKUP($F135,taux,20)*VLOOKUP($F135,taux,21))+($E135/12-VLOOKUP($F135,taux,21))*VLOOKUP($F135,taux,22),$E135/12*VLOOKUP($F135,taux,20))),0)),MIN(VLOOKUP($F135,taux,25),ROUNDUP(IF($E135/12&gt;VLOOKUP($F135,taux,21)+VLOOKUP($F135,taux,23),(VLOOKUP($F135,taux,20)*VLOOKUP($F135,taux,21))+(VLOOKUP($F135,taux,22)*VLOOKUP($F135,taux,23))+($E135/12-VLOOKUP($F135,taux,21)-VLOOKUP($F135,taux,23))*VLOOKUP($F135,taux,24),IF($E135/12&gt;VLOOKUP($F135,taux,21),(VLOOKUP($F135,taux,20)*VLOOKUP($F135,taux,21))+($E135/12-VLOOKUP($F135,taux,21))*VLOOKUP($F135,taux,22),$E135/12*VLOOKUP($F135,taux,20))),0)))))</f>
        <v>0</v>
      </c>
      <c r="AA135" s="111">
        <f ca="1">IF(C135&gt;=70,0,IF($B135=" ",0,IF(Données!$X175="non couvert"," ",Données!Y175)))</f>
        <v>0</v>
      </c>
      <c r="AB135" s="110">
        <f>IF($B135=" ",0,IF(Données!$X175="exo",0,IF($AA135="ind",VLOOKUP($F135,taux,34),IF($AA135="fam",VLOOKUP($F135,taux,35),IF($AA135="mono",VLOOKUP($F135,taux,36),IF($AA135="couple",VLOOKUP($F135,taux,37),0))))))</f>
        <v>0</v>
      </c>
      <c r="AC135" s="111">
        <f ca="1">IF(C135&gt;=70,0,IF($B135=" ",0,IF(Données!$Z175="non couvert"," ",Données!AA175)))</f>
        <v>0</v>
      </c>
      <c r="AD135" s="110">
        <f>IF($B135=" ",0,IF(Données!$Z175="exo",0,IF($AC135="ind",VLOOKUP($F135,taux,38),IF($AC135="fam",VLOOKUP($F135,taux,39),IF($AC135="mono",VLOOKUP($F135,taux,40),IF($AC135="couple",VLOOKUP($F135,taux,41),0))))))</f>
        <v>0</v>
      </c>
      <c r="AE135" s="112">
        <f>IF($B135=" ",0,IF(Données!$AB175="non couvert"," ",Données!AC175))</f>
        <v>0</v>
      </c>
      <c r="AF135" s="113">
        <f>IF($B135=" ",0,IF(Données!$AB175="exo",0,IF($AE135="ind",VLOOKUP($F135,taux,42),IF($AE135="fam",VLOOKUP($F135,taux,43),IF($AE135="mono",VLOOKUP($F135,taux,44),IF($AE135="couple",VLOOKUP($F135,taux,45),0))))))</f>
        <v>0</v>
      </c>
      <c r="AG135" s="114">
        <f t="shared" ca="1" si="15"/>
        <v>0</v>
      </c>
      <c r="AH135" s="114">
        <f>IF($B135=" ",0,IF(Données!J175="Manitoba",(Facture!H135+Facture!J135+Facture!L135+Facture!P135+Facture!R135+Facture!T135)*0.08,(AG135-W135)*IF(Données!$J175="qc",0.09,IF(Données!$J175="on",0.08,0))+W135*VLOOKUP($F135,taux,28)))</f>
        <v>0</v>
      </c>
      <c r="AI135" s="106">
        <f t="shared" ca="1" si="16"/>
        <v>0</v>
      </c>
    </row>
    <row r="136" spans="1:35" s="64" customFormat="1">
      <c r="A136" s="90">
        <f t="shared" si="13"/>
        <v>122</v>
      </c>
      <c r="B136" s="99" t="str">
        <f>CONCATENATE(Données!B176," ",Données!C176)</f>
        <v xml:space="preserve"> </v>
      </c>
      <c r="C136" s="410">
        <f ca="1">IF(B136="",0,INT((TODAY()-Données!E176)/365.25))</f>
        <v>119</v>
      </c>
      <c r="D136" s="100">
        <f>Données!D176</f>
        <v>0</v>
      </c>
      <c r="E136" s="101">
        <f>Données!I176</f>
        <v>0</v>
      </c>
      <c r="F136" s="102" t="str">
        <f>Données!AD176</f>
        <v/>
      </c>
      <c r="G136" s="103">
        <f ca="1">INDEX({1;0.5;0},MATCH(C136,{1;65;70}))*M136</f>
        <v>0</v>
      </c>
      <c r="H136" s="104">
        <f>IF($B136=" ",0,IF(Données!$K176="exo",0,$G136/1000*VLOOKUP($F136,taux,2)))</f>
        <v>0</v>
      </c>
      <c r="I136" s="398">
        <f ca="1">IF(C136&gt;=65,0,Données!M176*5000)</f>
        <v>0</v>
      </c>
      <c r="J136" s="104">
        <f ca="1">I136/1000*(IF(I136=0,0,1)*VLOOKUP((1+(C136&gt;=20)+(C136&gt;=25)+(C136&gt;=30)+(C136&gt;=35)+(C136&gt;=40)+(C136&gt;=45)+(C136&gt;=50)+(C136&gt;=55)+(C136&gt;=60)+(C136&gt;=65)),Test,2+(IF(Données!F176="H",1,3))+(IF(Données!G176="F",1,0))))</f>
        <v>0</v>
      </c>
      <c r="K136" s="103">
        <f ca="1">INDEX({1;0.5;0},MATCH(C136,{1;65;70}))*M136</f>
        <v>0</v>
      </c>
      <c r="L136" s="104">
        <f>IF($B136=" ",0,IF(Données!$N176="exo",0,$K136/1000*VLOOKUP($F136,taux,6)))</f>
        <v>0</v>
      </c>
      <c r="M136" s="379">
        <f>IF($B136=" ",0,IF(Données!$K176="NON COUVERT",0,IF(AND(Données!$L176="oui",Données!$K176=0.5),MIN(VLOOKUP($F136,taux,5)/2,ROUNDUP(VLOOKUP($F136,taux,3)*$E136,-3)/2),IF(Données!$K176=0.5,MIN(VLOOKUP($F136,taux,4)/2,ROUNDUP(VLOOKUP($F136,taux,3)*$E136,-3)/2),ROUNDUP(IF(Données!$L176="OUI",MIN(VLOOKUP($F136,taux,3)*$E136,VLOOKUP($F136,taux,5)),MIN(VLOOKUP($F136,taux,3)*$E136,VLOOKUP($F136,taux,4))),-3)))))</f>
        <v>0</v>
      </c>
      <c r="N136" s="379">
        <f>IF($B136=" ",0,IF(Données!$N176="NON COUVERT",0,IF(AND(Données!$O176="oui",Données!$N176=0.5),MIN(VLOOKUP($F136,taux,9)/2,ROUNDUP(VLOOKUP($F136,taux,7)*$E136,-3)/2),IF(Données!$N176=0.5,MIN(VLOOKUP($F136,taux,8)/2,ROUNDUP(VLOOKUP($F136,taux,7)*$E136,-3)/2),ROUNDUP(IF(Données!$O176="OUI",MIN(VLOOKUP($F136,taux,7)*$E136,VLOOKUP($F136,taux,9)),MIN(VLOOKUP($F136,taux,7)*$E136,VLOOKUP($F136,taux,8))),-3)))))</f>
        <v>0</v>
      </c>
      <c r="O136" s="105">
        <f ca="1">IF(C136&gt;=70,0,IF($B136=" ",0,IF(Données!P176="non couvert"," ",Données!Q176)))</f>
        <v>0</v>
      </c>
      <c r="P136" s="106">
        <f>IF($B136=" ",0,IF(Données!$P176="exo",0,IF($O136="FAM",VLOOKUP($F136,taux,10),IF($O136="MONO",VLOOKUP($F136,taux,11),IF($O136="COUPLE",VLOOKUP($F136,taux,12),0)))))</f>
        <v>0</v>
      </c>
      <c r="Q136" s="107">
        <f ca="1">IF(C136&gt;=70,0,IF($B136=" ",0,IF(Données!$R176="NON COUVERT",0,ROUNDUP(IF(Données!$S176="OUI",MIN($E136*VLOOKUP($F136,taux,15)/52,VLOOKUP($F136,taux,17)),MIN($E136*VLOOKUP($F136,taux,15)/52,VLOOKUP($F136,taux,16))),0))))</f>
        <v>0</v>
      </c>
      <c r="R136" s="108">
        <f>IF($B136=" ",0,IF(Données!$R176="EXO",0,$Q136*VLOOKUP($F136,taux,13)/10))</f>
        <v>0</v>
      </c>
      <c r="S136" s="109">
        <f t="shared" ca="1" si="11"/>
        <v>0</v>
      </c>
      <c r="T136" s="110">
        <f>IF(B136=" ",0,IF(Données!$T176="exo",0,$S136*VLOOKUP($F136,taux,18)/100))</f>
        <v>0</v>
      </c>
      <c r="U136" s="109">
        <f>IF($B136=" ",0,IF(Données!$V176="non couvert",0,IF(VLOOKUP($F136,taux,29)="fixe","s/o",IF(Données!$W176="oui",MIN(ROUNDUP(VLOOKUP($F136,taux,31)*$E136,-3),VLOOKUP($F136,taux,33)),MIN(ROUNDUP(VLOOKUP($F136,taux,31)*$E136,-3),VLOOKUP($F136,taux,32))))))</f>
        <v>0</v>
      </c>
      <c r="V136" s="110">
        <f>IF(B136=" ",0,IF(Données!$V176="exo",0,IF(VLOOKUP($F136,taux,29)="fixe",VLOOKUP($F136,taux,30),$U136/1000*VLOOKUP($F136,taux,30))))</f>
        <v>0</v>
      </c>
      <c r="W136" s="110">
        <f t="shared" si="8"/>
        <v>0</v>
      </c>
      <c r="X136" s="383">
        <f>IF(B136=" ",0,EDATE((Données!E176),780))</f>
        <v>0</v>
      </c>
      <c r="Y136" s="383">
        <f t="shared" si="14"/>
        <v>0</v>
      </c>
      <c r="Z136" s="384">
        <f>IF($B136=" ",0,IF(Données!$T176="non couvert",0,IF(Données!$U176="oui",MIN(VLOOKUP($F136,taux,26),ROUNDUP(IF($E136/12&gt;VLOOKUP($F136,taux,21)+VLOOKUP($F136,taux,23),(VLOOKUP($F136,taux,20)*VLOOKUP($F136,taux,21))+(VLOOKUP($F136,taux,22)*VLOOKUP($F136,taux,23))+($E136/12-VLOOKUP($F136,taux,21)-VLOOKUP($F136,taux,23))*VLOOKUP($F136,taux,24),IF($E136/12&gt;VLOOKUP($F136,taux,21),(VLOOKUP($F136,taux,20)*VLOOKUP($F136,taux,21))+($E136/12-VLOOKUP($F136,taux,21))*VLOOKUP($F136,taux,22),$E136/12*VLOOKUP($F136,taux,20))),0)),MIN(VLOOKUP($F136,taux,25),ROUNDUP(IF($E136/12&gt;VLOOKUP($F136,taux,21)+VLOOKUP($F136,taux,23),(VLOOKUP($F136,taux,20)*VLOOKUP($F136,taux,21))+(VLOOKUP($F136,taux,22)*VLOOKUP($F136,taux,23))+($E136/12-VLOOKUP($F136,taux,21)-VLOOKUP($F136,taux,23))*VLOOKUP($F136,taux,24),IF($E136/12&gt;VLOOKUP($F136,taux,21),(VLOOKUP($F136,taux,20)*VLOOKUP($F136,taux,21))+($E136/12-VLOOKUP($F136,taux,21))*VLOOKUP($F136,taux,22),$E136/12*VLOOKUP($F136,taux,20))),0)))))</f>
        <v>0</v>
      </c>
      <c r="AA136" s="111">
        <f ca="1">IF(C136&gt;=70,0,IF($B136=" ",0,IF(Données!$X176="non couvert"," ",Données!Y176)))</f>
        <v>0</v>
      </c>
      <c r="AB136" s="110">
        <f>IF($B136=" ",0,IF(Données!$X176="exo",0,IF($AA136="ind",VLOOKUP($F136,taux,34),IF($AA136="fam",VLOOKUP($F136,taux,35),IF($AA136="mono",VLOOKUP($F136,taux,36),IF($AA136="couple",VLOOKUP($F136,taux,37),0))))))</f>
        <v>0</v>
      </c>
      <c r="AC136" s="111">
        <f ca="1">IF(C136&gt;=70,0,IF($B136=" ",0,IF(Données!$Z176="non couvert"," ",Données!AA176)))</f>
        <v>0</v>
      </c>
      <c r="AD136" s="110">
        <f>IF($B136=" ",0,IF(Données!$Z176="exo",0,IF($AC136="ind",VLOOKUP($F136,taux,38),IF($AC136="fam",VLOOKUP($F136,taux,39),IF($AC136="mono",VLOOKUP($F136,taux,40),IF($AC136="couple",VLOOKUP($F136,taux,41),0))))))</f>
        <v>0</v>
      </c>
      <c r="AE136" s="112">
        <f>IF($B136=" ",0,IF(Données!$AB176="non couvert"," ",Données!AC176))</f>
        <v>0</v>
      </c>
      <c r="AF136" s="113">
        <f>IF($B136=" ",0,IF(Données!$AB176="exo",0,IF($AE136="ind",VLOOKUP($F136,taux,42),IF($AE136="fam",VLOOKUP($F136,taux,43),IF($AE136="mono",VLOOKUP($F136,taux,44),IF($AE136="couple",VLOOKUP($F136,taux,45),0))))))</f>
        <v>0</v>
      </c>
      <c r="AG136" s="114">
        <f t="shared" ca="1" si="15"/>
        <v>0</v>
      </c>
      <c r="AH136" s="114">
        <f>IF($B136=" ",0,IF(Données!J176="Manitoba",(Facture!H136+Facture!J136+Facture!L136+Facture!P136+Facture!R136+Facture!T136)*0.08,(AG136-W136)*IF(Données!$J176="qc",0.09,IF(Données!$J176="on",0.08,0))+W136*VLOOKUP($F136,taux,28)))</f>
        <v>0</v>
      </c>
      <c r="AI136" s="106">
        <f t="shared" ca="1" si="16"/>
        <v>0</v>
      </c>
    </row>
    <row r="137" spans="1:35" s="64" customFormat="1">
      <c r="A137" s="90">
        <f t="shared" si="13"/>
        <v>123</v>
      </c>
      <c r="B137" s="99" t="str">
        <f>CONCATENATE(Données!B177," ",Données!C177)</f>
        <v xml:space="preserve"> </v>
      </c>
      <c r="C137" s="410">
        <f ca="1">IF(B137="",0,INT((TODAY()-Données!E177)/365.25))</f>
        <v>119</v>
      </c>
      <c r="D137" s="100">
        <f>Données!D177</f>
        <v>0</v>
      </c>
      <c r="E137" s="101">
        <f>Données!I177</f>
        <v>0</v>
      </c>
      <c r="F137" s="102" t="str">
        <f>Données!AD177</f>
        <v/>
      </c>
      <c r="G137" s="103">
        <f ca="1">INDEX({1;0.5;0},MATCH(C137,{1;65;70}))*M137</f>
        <v>0</v>
      </c>
      <c r="H137" s="104">
        <f>IF($B137=" ",0,IF(Données!$K177="exo",0,$G137/1000*VLOOKUP($F137,taux,2)))</f>
        <v>0</v>
      </c>
      <c r="I137" s="398">
        <f ca="1">IF(C137&gt;=65,0,Données!M177*5000)</f>
        <v>0</v>
      </c>
      <c r="J137" s="104">
        <f ca="1">I137/1000*(IF(I137=0,0,1)*VLOOKUP((1+(C137&gt;=20)+(C137&gt;=25)+(C137&gt;=30)+(C137&gt;=35)+(C137&gt;=40)+(C137&gt;=45)+(C137&gt;=50)+(C137&gt;=55)+(C137&gt;=60)+(C137&gt;=65)),Test,2+(IF(Données!F177="H",1,3))+(IF(Données!G177="F",1,0))))</f>
        <v>0</v>
      </c>
      <c r="K137" s="103">
        <f ca="1">INDEX({1;0.5;0},MATCH(C137,{1;65;70}))*M137</f>
        <v>0</v>
      </c>
      <c r="L137" s="104">
        <f>IF($B137=" ",0,IF(Données!$N177="exo",0,$K137/1000*VLOOKUP($F137,taux,6)))</f>
        <v>0</v>
      </c>
      <c r="M137" s="379">
        <f>IF($B137=" ",0,IF(Données!$K177="NON COUVERT",0,IF(AND(Données!$L177="oui",Données!$K177=0.5),MIN(VLOOKUP($F137,taux,5)/2,ROUNDUP(VLOOKUP($F137,taux,3)*$E137,-3)/2),IF(Données!$K177=0.5,MIN(VLOOKUP($F137,taux,4)/2,ROUNDUP(VLOOKUP($F137,taux,3)*$E137,-3)/2),ROUNDUP(IF(Données!$L177="OUI",MIN(VLOOKUP($F137,taux,3)*$E137,VLOOKUP($F137,taux,5)),MIN(VLOOKUP($F137,taux,3)*$E137,VLOOKUP($F137,taux,4))),-3)))))</f>
        <v>0</v>
      </c>
      <c r="N137" s="379">
        <f>IF($B137=" ",0,IF(Données!$N177="NON COUVERT",0,IF(AND(Données!$O177="oui",Données!$N177=0.5),MIN(VLOOKUP($F137,taux,9)/2,ROUNDUP(VLOOKUP($F137,taux,7)*$E137,-3)/2),IF(Données!$N177=0.5,MIN(VLOOKUP($F137,taux,8)/2,ROUNDUP(VLOOKUP($F137,taux,7)*$E137,-3)/2),ROUNDUP(IF(Données!$O177="OUI",MIN(VLOOKUP($F137,taux,7)*$E137,VLOOKUP($F137,taux,9)),MIN(VLOOKUP($F137,taux,7)*$E137,VLOOKUP($F137,taux,8))),-3)))))</f>
        <v>0</v>
      </c>
      <c r="O137" s="105">
        <f ca="1">IF(C137&gt;=70,0,IF($B137=" ",0,IF(Données!P177="non couvert"," ",Données!Q177)))</f>
        <v>0</v>
      </c>
      <c r="P137" s="106">
        <f>IF($B137=" ",0,IF(Données!$P177="exo",0,IF($O137="FAM",VLOOKUP($F137,taux,10),IF($O137="MONO",VLOOKUP($F137,taux,11),IF($O137="COUPLE",VLOOKUP($F137,taux,12),0)))))</f>
        <v>0</v>
      </c>
      <c r="Q137" s="107">
        <f ca="1">IF(C137&gt;=70,0,IF($B137=" ",0,IF(Données!$R177="NON COUVERT",0,ROUNDUP(IF(Données!$S177="OUI",MIN($E137*VLOOKUP($F137,taux,15)/52,VLOOKUP($F137,taux,17)),MIN($E137*VLOOKUP($F137,taux,15)/52,VLOOKUP($F137,taux,16))),0))))</f>
        <v>0</v>
      </c>
      <c r="R137" s="108">
        <f>IF($B137=" ",0,IF(Données!$R177="EXO",0,$Q137*VLOOKUP($F137,taux,13)/10))</f>
        <v>0</v>
      </c>
      <c r="S137" s="109">
        <f t="shared" ca="1" si="11"/>
        <v>0</v>
      </c>
      <c r="T137" s="110">
        <f>IF(B137=" ",0,IF(Données!$T177="exo",0,$S137*VLOOKUP($F137,taux,18)/100))</f>
        <v>0</v>
      </c>
      <c r="U137" s="109">
        <f>IF($B137=" ",0,IF(Données!$V177="non couvert",0,IF(VLOOKUP($F137,taux,29)="fixe","s/o",IF(Données!$W177="oui",MIN(ROUNDUP(VLOOKUP($F137,taux,31)*$E137,-3),VLOOKUP($F137,taux,33)),MIN(ROUNDUP(VLOOKUP($F137,taux,31)*$E137,-3),VLOOKUP($F137,taux,32))))))</f>
        <v>0</v>
      </c>
      <c r="V137" s="110">
        <f>IF(B137=" ",0,IF(Données!$V177="exo",0,IF(VLOOKUP($F137,taux,29)="fixe",VLOOKUP($F137,taux,30),$U137/1000*VLOOKUP($F137,taux,30))))</f>
        <v>0</v>
      </c>
      <c r="W137" s="110">
        <f t="shared" si="8"/>
        <v>0</v>
      </c>
      <c r="X137" s="383">
        <f>IF(B137=" ",0,EDATE((Données!E177),780))</f>
        <v>0</v>
      </c>
      <c r="Y137" s="383">
        <f t="shared" si="14"/>
        <v>0</v>
      </c>
      <c r="Z137" s="384">
        <f>IF($B137=" ",0,IF(Données!$T177="non couvert",0,IF(Données!$U177="oui",MIN(VLOOKUP($F137,taux,26),ROUNDUP(IF($E137/12&gt;VLOOKUP($F137,taux,21)+VLOOKUP($F137,taux,23),(VLOOKUP($F137,taux,20)*VLOOKUP($F137,taux,21))+(VLOOKUP($F137,taux,22)*VLOOKUP($F137,taux,23))+($E137/12-VLOOKUP($F137,taux,21)-VLOOKUP($F137,taux,23))*VLOOKUP($F137,taux,24),IF($E137/12&gt;VLOOKUP($F137,taux,21),(VLOOKUP($F137,taux,20)*VLOOKUP($F137,taux,21))+($E137/12-VLOOKUP($F137,taux,21))*VLOOKUP($F137,taux,22),$E137/12*VLOOKUP($F137,taux,20))),0)),MIN(VLOOKUP($F137,taux,25),ROUNDUP(IF($E137/12&gt;VLOOKUP($F137,taux,21)+VLOOKUP($F137,taux,23),(VLOOKUP($F137,taux,20)*VLOOKUP($F137,taux,21))+(VLOOKUP($F137,taux,22)*VLOOKUP($F137,taux,23))+($E137/12-VLOOKUP($F137,taux,21)-VLOOKUP($F137,taux,23))*VLOOKUP($F137,taux,24),IF($E137/12&gt;VLOOKUP($F137,taux,21),(VLOOKUP($F137,taux,20)*VLOOKUP($F137,taux,21))+($E137/12-VLOOKUP($F137,taux,21))*VLOOKUP($F137,taux,22),$E137/12*VLOOKUP($F137,taux,20))),0)))))</f>
        <v>0</v>
      </c>
      <c r="AA137" s="111">
        <f ca="1">IF(C137&gt;=70,0,IF($B137=" ",0,IF(Données!$X177="non couvert"," ",Données!Y177)))</f>
        <v>0</v>
      </c>
      <c r="AB137" s="110">
        <f>IF($B137=" ",0,IF(Données!$X177="exo",0,IF($AA137="ind",VLOOKUP($F137,taux,34),IF($AA137="fam",VLOOKUP($F137,taux,35),IF($AA137="mono",VLOOKUP($F137,taux,36),IF($AA137="couple",VLOOKUP($F137,taux,37),0))))))</f>
        <v>0</v>
      </c>
      <c r="AC137" s="111">
        <f ca="1">IF(C137&gt;=70,0,IF($B137=" ",0,IF(Données!$Z177="non couvert"," ",Données!AA177)))</f>
        <v>0</v>
      </c>
      <c r="AD137" s="110">
        <f>IF($B137=" ",0,IF(Données!$Z177="exo",0,IF($AC137="ind",VLOOKUP($F137,taux,38),IF($AC137="fam",VLOOKUP($F137,taux,39),IF($AC137="mono",VLOOKUP($F137,taux,40),IF($AC137="couple",VLOOKUP($F137,taux,41),0))))))</f>
        <v>0</v>
      </c>
      <c r="AE137" s="112">
        <f>IF($B137=" ",0,IF(Données!$AB177="non couvert"," ",Données!AC177))</f>
        <v>0</v>
      </c>
      <c r="AF137" s="113">
        <f>IF($B137=" ",0,IF(Données!$AB177="exo",0,IF($AE137="ind",VLOOKUP($F137,taux,42),IF($AE137="fam",VLOOKUP($F137,taux,43),IF($AE137="mono",VLOOKUP($F137,taux,44),IF($AE137="couple",VLOOKUP($F137,taux,45),0))))))</f>
        <v>0</v>
      </c>
      <c r="AG137" s="114">
        <f t="shared" ca="1" si="15"/>
        <v>0</v>
      </c>
      <c r="AH137" s="114">
        <f>IF($B137=" ",0,IF(Données!J177="Manitoba",(Facture!H137+Facture!J137+Facture!L137+Facture!P137+Facture!R137+Facture!T137)*0.08,(AG137-W137)*IF(Données!$J177="qc",0.09,IF(Données!$J177="on",0.08,0))+W137*VLOOKUP($F137,taux,28)))</f>
        <v>0</v>
      </c>
      <c r="AI137" s="106">
        <f t="shared" ca="1" si="16"/>
        <v>0</v>
      </c>
    </row>
    <row r="138" spans="1:35" s="64" customFormat="1">
      <c r="A138" s="90">
        <f t="shared" si="13"/>
        <v>124</v>
      </c>
      <c r="B138" s="99" t="str">
        <f>CONCATENATE(Données!B178," ",Données!C178)</f>
        <v xml:space="preserve"> </v>
      </c>
      <c r="C138" s="410">
        <f ca="1">IF(B138="",0,INT((TODAY()-Données!E178)/365.25))</f>
        <v>119</v>
      </c>
      <c r="D138" s="100">
        <f>Données!D178</f>
        <v>0</v>
      </c>
      <c r="E138" s="101">
        <f>Données!I178</f>
        <v>0</v>
      </c>
      <c r="F138" s="102" t="str">
        <f>Données!AD178</f>
        <v/>
      </c>
      <c r="G138" s="103">
        <f ca="1">INDEX({1;0.5;0},MATCH(C138,{1;65;70}))*M138</f>
        <v>0</v>
      </c>
      <c r="H138" s="104">
        <f>IF($B138=" ",0,IF(Données!$K178="exo",0,$G138/1000*VLOOKUP($F138,taux,2)))</f>
        <v>0</v>
      </c>
      <c r="I138" s="398">
        <f ca="1">IF(C138&gt;=65,0,Données!M178*5000)</f>
        <v>0</v>
      </c>
      <c r="J138" s="104">
        <f ca="1">I138/1000*(IF(I138=0,0,1)*VLOOKUP((1+(C138&gt;=20)+(C138&gt;=25)+(C138&gt;=30)+(C138&gt;=35)+(C138&gt;=40)+(C138&gt;=45)+(C138&gt;=50)+(C138&gt;=55)+(C138&gt;=60)+(C138&gt;=65)),Test,2+(IF(Données!F178="H",1,3))+(IF(Données!G178="F",1,0))))</f>
        <v>0</v>
      </c>
      <c r="K138" s="103">
        <f ca="1">INDEX({1;0.5;0},MATCH(C138,{1;65;70}))*M138</f>
        <v>0</v>
      </c>
      <c r="L138" s="104">
        <f>IF($B138=" ",0,IF(Données!$N178="exo",0,$K138/1000*VLOOKUP($F138,taux,6)))</f>
        <v>0</v>
      </c>
      <c r="M138" s="379">
        <f>IF($B138=" ",0,IF(Données!$K178="NON COUVERT",0,IF(AND(Données!$L178="oui",Données!$K178=0.5),MIN(VLOOKUP($F138,taux,5)/2,ROUNDUP(VLOOKUP($F138,taux,3)*$E138,-3)/2),IF(Données!$K178=0.5,MIN(VLOOKUP($F138,taux,4)/2,ROUNDUP(VLOOKUP($F138,taux,3)*$E138,-3)/2),ROUNDUP(IF(Données!$L178="OUI",MIN(VLOOKUP($F138,taux,3)*$E138,VLOOKUP($F138,taux,5)),MIN(VLOOKUP($F138,taux,3)*$E138,VLOOKUP($F138,taux,4))),-3)))))</f>
        <v>0</v>
      </c>
      <c r="N138" s="379">
        <f>IF($B138=" ",0,IF(Données!$N178="NON COUVERT",0,IF(AND(Données!$O178="oui",Données!$N178=0.5),MIN(VLOOKUP($F138,taux,9)/2,ROUNDUP(VLOOKUP($F138,taux,7)*$E138,-3)/2),IF(Données!$N178=0.5,MIN(VLOOKUP($F138,taux,8)/2,ROUNDUP(VLOOKUP($F138,taux,7)*$E138,-3)/2),ROUNDUP(IF(Données!$O178="OUI",MIN(VLOOKUP($F138,taux,7)*$E138,VLOOKUP($F138,taux,9)),MIN(VLOOKUP($F138,taux,7)*$E138,VLOOKUP($F138,taux,8))),-3)))))</f>
        <v>0</v>
      </c>
      <c r="O138" s="105">
        <f ca="1">IF(C138&gt;=70,0,IF($B138=" ",0,IF(Données!P178="non couvert"," ",Données!Q178)))</f>
        <v>0</v>
      </c>
      <c r="P138" s="106">
        <f>IF($B138=" ",0,IF(Données!$P178="exo",0,IF($O138="FAM",VLOOKUP($F138,taux,10),IF($O138="MONO",VLOOKUP($F138,taux,11),IF($O138="COUPLE",VLOOKUP($F138,taux,12),0)))))</f>
        <v>0</v>
      </c>
      <c r="Q138" s="107">
        <f ca="1">IF(C138&gt;=70,0,IF($B138=" ",0,IF(Données!$R178="NON COUVERT",0,ROUNDUP(IF(Données!$S178="OUI",MIN($E138*VLOOKUP($F138,taux,15)/52,VLOOKUP($F138,taux,17)),MIN($E138*VLOOKUP($F138,taux,15)/52,VLOOKUP($F138,taux,16))),0))))</f>
        <v>0</v>
      </c>
      <c r="R138" s="108">
        <f>IF($B138=" ",0,IF(Données!$R178="EXO",0,$Q138*VLOOKUP($F138,taux,13)/10))</f>
        <v>0</v>
      </c>
      <c r="S138" s="109">
        <f t="shared" ca="1" si="11"/>
        <v>0</v>
      </c>
      <c r="T138" s="110">
        <f>IF(B138=" ",0,IF(Données!$T178="exo",0,$S138*VLOOKUP($F138,taux,18)/100))</f>
        <v>0</v>
      </c>
      <c r="U138" s="109">
        <f>IF($B138=" ",0,IF(Données!$V178="non couvert",0,IF(VLOOKUP($F138,taux,29)="fixe","s/o",IF(Données!$W178="oui",MIN(ROUNDUP(VLOOKUP($F138,taux,31)*$E138,-3),VLOOKUP($F138,taux,33)),MIN(ROUNDUP(VLOOKUP($F138,taux,31)*$E138,-3),VLOOKUP($F138,taux,32))))))</f>
        <v>0</v>
      </c>
      <c r="V138" s="110">
        <f>IF(B138=" ",0,IF(Données!$V178="exo",0,IF(VLOOKUP($F138,taux,29)="fixe",VLOOKUP($F138,taux,30),$U138/1000*VLOOKUP($F138,taux,30))))</f>
        <v>0</v>
      </c>
      <c r="W138" s="110">
        <f t="shared" si="8"/>
        <v>0</v>
      </c>
      <c r="X138" s="383">
        <f>IF(B138=" ",0,EDATE((Données!E178),780))</f>
        <v>0</v>
      </c>
      <c r="Y138" s="383">
        <f t="shared" si="14"/>
        <v>0</v>
      </c>
      <c r="Z138" s="384">
        <f>IF($B138=" ",0,IF(Données!$T178="non couvert",0,IF(Données!$U178="oui",MIN(VLOOKUP($F138,taux,26),ROUNDUP(IF($E138/12&gt;VLOOKUP($F138,taux,21)+VLOOKUP($F138,taux,23),(VLOOKUP($F138,taux,20)*VLOOKUP($F138,taux,21))+(VLOOKUP($F138,taux,22)*VLOOKUP($F138,taux,23))+($E138/12-VLOOKUP($F138,taux,21)-VLOOKUP($F138,taux,23))*VLOOKUP($F138,taux,24),IF($E138/12&gt;VLOOKUP($F138,taux,21),(VLOOKUP($F138,taux,20)*VLOOKUP($F138,taux,21))+($E138/12-VLOOKUP($F138,taux,21))*VLOOKUP($F138,taux,22),$E138/12*VLOOKUP($F138,taux,20))),0)),MIN(VLOOKUP($F138,taux,25),ROUNDUP(IF($E138/12&gt;VLOOKUP($F138,taux,21)+VLOOKUP($F138,taux,23),(VLOOKUP($F138,taux,20)*VLOOKUP($F138,taux,21))+(VLOOKUP($F138,taux,22)*VLOOKUP($F138,taux,23))+($E138/12-VLOOKUP($F138,taux,21)-VLOOKUP($F138,taux,23))*VLOOKUP($F138,taux,24),IF($E138/12&gt;VLOOKUP($F138,taux,21),(VLOOKUP($F138,taux,20)*VLOOKUP($F138,taux,21))+($E138/12-VLOOKUP($F138,taux,21))*VLOOKUP($F138,taux,22),$E138/12*VLOOKUP($F138,taux,20))),0)))))</f>
        <v>0</v>
      </c>
      <c r="AA138" s="111">
        <f ca="1">IF(C138&gt;=70,0,IF($B138=" ",0,IF(Données!$X178="non couvert"," ",Données!Y178)))</f>
        <v>0</v>
      </c>
      <c r="AB138" s="110">
        <f>IF($B138=" ",0,IF(Données!$X178="exo",0,IF($AA138="ind",VLOOKUP($F138,taux,34),IF($AA138="fam",VLOOKUP($F138,taux,35),IF($AA138="mono",VLOOKUP($F138,taux,36),IF($AA138="couple",VLOOKUP($F138,taux,37),0))))))</f>
        <v>0</v>
      </c>
      <c r="AC138" s="111">
        <f ca="1">IF(C138&gt;=70,0,IF($B138=" ",0,IF(Données!$Z178="non couvert"," ",Données!AA178)))</f>
        <v>0</v>
      </c>
      <c r="AD138" s="110">
        <f>IF($B138=" ",0,IF(Données!$Z178="exo",0,IF($AC138="ind",VLOOKUP($F138,taux,38),IF($AC138="fam",VLOOKUP($F138,taux,39),IF($AC138="mono",VLOOKUP($F138,taux,40),IF($AC138="couple",VLOOKUP($F138,taux,41),0))))))</f>
        <v>0</v>
      </c>
      <c r="AE138" s="112">
        <f>IF($B138=" ",0,IF(Données!$AB178="non couvert"," ",Données!AC178))</f>
        <v>0</v>
      </c>
      <c r="AF138" s="113">
        <f>IF($B138=" ",0,IF(Données!$AB178="exo",0,IF($AE138="ind",VLOOKUP($F138,taux,42),IF($AE138="fam",VLOOKUP($F138,taux,43),IF($AE138="mono",VLOOKUP($F138,taux,44),IF($AE138="couple",VLOOKUP($F138,taux,45),0))))))</f>
        <v>0</v>
      </c>
      <c r="AG138" s="114">
        <f t="shared" ca="1" si="15"/>
        <v>0</v>
      </c>
      <c r="AH138" s="114">
        <f>IF($B138=" ",0,IF(Données!J178="Manitoba",(Facture!H138+Facture!J138+Facture!L138+Facture!P138+Facture!R138+Facture!T138)*0.08,(AG138-W138)*IF(Données!$J178="qc",0.09,IF(Données!$J178="on",0.08,0))+W138*VLOOKUP($F138,taux,28)))</f>
        <v>0</v>
      </c>
      <c r="AI138" s="106">
        <f t="shared" ca="1" si="16"/>
        <v>0</v>
      </c>
    </row>
    <row r="139" spans="1:35" s="64" customFormat="1">
      <c r="A139" s="90">
        <f t="shared" si="13"/>
        <v>125</v>
      </c>
      <c r="B139" s="99" t="str">
        <f>CONCATENATE(Données!B179," ",Données!C179)</f>
        <v xml:space="preserve"> </v>
      </c>
      <c r="C139" s="410">
        <f ca="1">IF(B139="",0,INT((TODAY()-Données!E179)/365.25))</f>
        <v>119</v>
      </c>
      <c r="D139" s="100">
        <f>Données!D179</f>
        <v>0</v>
      </c>
      <c r="E139" s="101">
        <f>Données!I179</f>
        <v>0</v>
      </c>
      <c r="F139" s="102" t="str">
        <f>Données!AD179</f>
        <v/>
      </c>
      <c r="G139" s="103">
        <f ca="1">INDEX({1;0.5;0},MATCH(C139,{1;65;70}))*M139</f>
        <v>0</v>
      </c>
      <c r="H139" s="104">
        <f>IF($B139=" ",0,IF(Données!$K179="exo",0,$G139/1000*VLOOKUP($F139,taux,2)))</f>
        <v>0</v>
      </c>
      <c r="I139" s="398">
        <f ca="1">IF(C139&gt;=65,0,Données!M179*5000)</f>
        <v>0</v>
      </c>
      <c r="J139" s="104">
        <f ca="1">I139/1000*(IF(I139=0,0,1)*VLOOKUP((1+(C139&gt;=20)+(C139&gt;=25)+(C139&gt;=30)+(C139&gt;=35)+(C139&gt;=40)+(C139&gt;=45)+(C139&gt;=50)+(C139&gt;=55)+(C139&gt;=60)+(C139&gt;=65)),Test,2+(IF(Données!F179="H",1,3))+(IF(Données!G179="F",1,0))))</f>
        <v>0</v>
      </c>
      <c r="K139" s="103">
        <f ca="1">INDEX({1;0.5;0},MATCH(C139,{1;65;70}))*M139</f>
        <v>0</v>
      </c>
      <c r="L139" s="104">
        <f>IF($B139=" ",0,IF(Données!$N179="exo",0,$K139/1000*VLOOKUP($F139,taux,6)))</f>
        <v>0</v>
      </c>
      <c r="M139" s="379">
        <f>IF($B139=" ",0,IF(Données!$K179="NON COUVERT",0,IF(AND(Données!$L179="oui",Données!$K179=0.5),MIN(VLOOKUP($F139,taux,5)/2,ROUNDUP(VLOOKUP($F139,taux,3)*$E139,-3)/2),IF(Données!$K179=0.5,MIN(VLOOKUP($F139,taux,4)/2,ROUNDUP(VLOOKUP($F139,taux,3)*$E139,-3)/2),ROUNDUP(IF(Données!$L179="OUI",MIN(VLOOKUP($F139,taux,3)*$E139,VLOOKUP($F139,taux,5)),MIN(VLOOKUP($F139,taux,3)*$E139,VLOOKUP($F139,taux,4))),-3)))))</f>
        <v>0</v>
      </c>
      <c r="N139" s="379">
        <f>IF($B139=" ",0,IF(Données!$N179="NON COUVERT",0,IF(AND(Données!$O179="oui",Données!$N179=0.5),MIN(VLOOKUP($F139,taux,9)/2,ROUNDUP(VLOOKUP($F139,taux,7)*$E139,-3)/2),IF(Données!$N179=0.5,MIN(VLOOKUP($F139,taux,8)/2,ROUNDUP(VLOOKUP($F139,taux,7)*$E139,-3)/2),ROUNDUP(IF(Données!$O179="OUI",MIN(VLOOKUP($F139,taux,7)*$E139,VLOOKUP($F139,taux,9)),MIN(VLOOKUP($F139,taux,7)*$E139,VLOOKUP($F139,taux,8))),-3)))))</f>
        <v>0</v>
      </c>
      <c r="O139" s="105">
        <f ca="1">IF(C139&gt;=70,0,IF($B139=" ",0,IF(Données!P179="non couvert"," ",Données!Q179)))</f>
        <v>0</v>
      </c>
      <c r="P139" s="106">
        <f>IF($B139=" ",0,IF(Données!$P179="exo",0,IF($O139="FAM",VLOOKUP($F139,taux,10),IF($O139="MONO",VLOOKUP($F139,taux,11),IF($O139="COUPLE",VLOOKUP($F139,taux,12),0)))))</f>
        <v>0</v>
      </c>
      <c r="Q139" s="107">
        <f ca="1">IF(C139&gt;=70,0,IF($B139=" ",0,IF(Données!$R179="NON COUVERT",0,ROUNDUP(IF(Données!$S179="OUI",MIN($E139*VLOOKUP($F139,taux,15)/52,VLOOKUP($F139,taux,17)),MIN($E139*VLOOKUP($F139,taux,15)/52,VLOOKUP($F139,taux,16))),0))))</f>
        <v>0</v>
      </c>
      <c r="R139" s="108">
        <f>IF($B139=" ",0,IF(Données!$R179="EXO",0,$Q139*VLOOKUP($F139,taux,13)/10))</f>
        <v>0</v>
      </c>
      <c r="S139" s="109">
        <f t="shared" ca="1" si="11"/>
        <v>0</v>
      </c>
      <c r="T139" s="110">
        <f>IF(B139=" ",0,IF(Données!$T179="exo",0,$S139*VLOOKUP($F139,taux,18)/100))</f>
        <v>0</v>
      </c>
      <c r="U139" s="109">
        <f>IF($B139=" ",0,IF(Données!$V179="non couvert",0,IF(VLOOKUP($F139,taux,29)="fixe","s/o",IF(Données!$W179="oui",MIN(ROUNDUP(VLOOKUP($F139,taux,31)*$E139,-3),VLOOKUP($F139,taux,33)),MIN(ROUNDUP(VLOOKUP($F139,taux,31)*$E139,-3),VLOOKUP($F139,taux,32))))))</f>
        <v>0</v>
      </c>
      <c r="V139" s="110">
        <f>IF(B139=" ",0,IF(Données!$V179="exo",0,IF(VLOOKUP($F139,taux,29)="fixe",VLOOKUP($F139,taux,30),$U139/1000*VLOOKUP($F139,taux,30))))</f>
        <v>0</v>
      </c>
      <c r="W139" s="110">
        <f t="shared" si="8"/>
        <v>0</v>
      </c>
      <c r="X139" s="383">
        <f>IF(B139=" ",0,EDATE((Données!E179),780))</f>
        <v>0</v>
      </c>
      <c r="Y139" s="383">
        <f t="shared" si="14"/>
        <v>0</v>
      </c>
      <c r="Z139" s="109">
        <f>IF($B139=" ",0,IF(Données!$T179="non couvert",0,IF(Données!$U179="oui",MIN(VLOOKUP($F139,taux,26),ROUNDUP(IF($E139/12&gt;VLOOKUP($F139,taux,21)+VLOOKUP($F139,taux,23),(VLOOKUP($F139,taux,20)*VLOOKUP($F139,taux,21))+(VLOOKUP($F139,taux,22)*VLOOKUP($F139,taux,23))+($E139/12-VLOOKUP($F139,taux,21)-VLOOKUP($F139,taux,23))*VLOOKUP($F139,taux,24),IF($E139/12&gt;VLOOKUP($F139,taux,21),(VLOOKUP($F139,taux,20)*VLOOKUP($F139,taux,21))+($E139/12-VLOOKUP($F139,taux,21))*VLOOKUP($F139,taux,22),$E139/12*VLOOKUP($F139,taux,20))),0)),MIN(VLOOKUP($F139,taux,25),ROUNDUP(IF($E139/12&gt;VLOOKUP($F139,taux,21)+VLOOKUP($F139,taux,23),(VLOOKUP($F139,taux,20)*VLOOKUP($F139,taux,21))+(VLOOKUP($F139,taux,22)*VLOOKUP($F139,taux,23))+($E139/12-VLOOKUP($F139,taux,21)-VLOOKUP($F139,taux,23))*VLOOKUP($F139,taux,24),IF($E139/12&gt;VLOOKUP($F139,taux,21),(VLOOKUP($F139,taux,20)*VLOOKUP($F139,taux,21))+($E139/12-VLOOKUP($F139,taux,21))*VLOOKUP($F139,taux,22),$E139/12*VLOOKUP($F139,taux,20))),0)))))</f>
        <v>0</v>
      </c>
      <c r="AA139" s="111">
        <f ca="1">IF(C139&gt;=70,0,IF($B139=" ",0,IF(Données!$X179="non couvert"," ",Données!Y179)))</f>
        <v>0</v>
      </c>
      <c r="AB139" s="110">
        <f>IF($B139=" ",0,IF(Données!$X179="exo",0,IF($AA139="ind",VLOOKUP($F139,taux,34),IF($AA139="fam",VLOOKUP($F139,taux,35),IF($AA139="mono",VLOOKUP($F139,taux,36),IF($AA139="couple",VLOOKUP($F139,taux,37),0))))))</f>
        <v>0</v>
      </c>
      <c r="AC139" s="111">
        <f ca="1">IF(C139&gt;=70,0,IF($B139=" ",0,IF(Données!$Z179="non couvert"," ",Données!AA179)))</f>
        <v>0</v>
      </c>
      <c r="AD139" s="110">
        <f>IF($B139=" ",0,IF(Données!$Z179="exo",0,IF($AC139="ind",VLOOKUP($F139,taux,38),IF($AC139="fam",VLOOKUP($F139,taux,39),IF($AC139="mono",VLOOKUP($F139,taux,40),IF($AC139="couple",VLOOKUP($F139,taux,41),0))))))</f>
        <v>0</v>
      </c>
      <c r="AE139" s="112">
        <f>IF($B139=" ",0,IF(Données!$AB179="non couvert"," ",Données!AC179))</f>
        <v>0</v>
      </c>
      <c r="AF139" s="113">
        <f>IF($B139=" ",0,IF(Données!$AB179="exo",0,IF($AE139="ind",VLOOKUP($F139,taux,42),IF($AE139="fam",VLOOKUP($F139,taux,43),IF($AE139="mono",VLOOKUP($F139,taux,44),IF($AE139="couple",VLOOKUP($F139,taux,45),0))))))</f>
        <v>0</v>
      </c>
      <c r="AG139" s="114">
        <f t="shared" ca="1" si="15"/>
        <v>0</v>
      </c>
      <c r="AH139" s="114">
        <f>IF($B139=" ",0,IF(Données!J179="Manitoba",(Facture!H139+Facture!J139+Facture!L139+Facture!P139+Facture!R139+Facture!T139)*0.08,(AG139-W139)*IF(Données!$J179="qc",0.09,IF(Données!$J179="on",0.08,0))+W139*VLOOKUP($F139,taux,28)))</f>
        <v>0</v>
      </c>
      <c r="AI139" s="106">
        <f t="shared" ca="1" si="16"/>
        <v>0</v>
      </c>
    </row>
    <row r="140" spans="1:35" s="64" customFormat="1">
      <c r="A140" s="90">
        <f t="shared" si="13"/>
        <v>126</v>
      </c>
      <c r="B140" s="99" t="str">
        <f>CONCATENATE(Données!B180," ",Données!C180)</f>
        <v xml:space="preserve"> </v>
      </c>
      <c r="C140" s="410">
        <f ca="1">IF(B140="",0,INT((TODAY()-Données!E180)/365.25))</f>
        <v>119</v>
      </c>
      <c r="D140" s="100">
        <f>Données!D180</f>
        <v>0</v>
      </c>
      <c r="E140" s="101">
        <f>Données!I180</f>
        <v>0</v>
      </c>
      <c r="F140" s="102" t="str">
        <f>Données!AD180</f>
        <v/>
      </c>
      <c r="G140" s="103">
        <f ca="1">INDEX({1;0.5;0},MATCH(C140,{1;65;70}))*M140</f>
        <v>0</v>
      </c>
      <c r="H140" s="104">
        <f>IF($B140=" ",0,IF(Données!$K180="exo",0,$G140/1000*VLOOKUP($F140,taux,2)))</f>
        <v>0</v>
      </c>
      <c r="I140" s="398">
        <f ca="1">IF(C140&gt;=65,0,Données!M180*5000)</f>
        <v>0</v>
      </c>
      <c r="J140" s="104">
        <f ca="1">I140/1000*(IF(I140=0,0,1)*VLOOKUP((1+(C140&gt;=20)+(C140&gt;=25)+(C140&gt;=30)+(C140&gt;=35)+(C140&gt;=40)+(C140&gt;=45)+(C140&gt;=50)+(C140&gt;=55)+(C140&gt;=60)+(C140&gt;=65)),Test,2+(IF(Données!F180="H",1,3))+(IF(Données!G180="F",1,0))))</f>
        <v>0</v>
      </c>
      <c r="K140" s="103">
        <f ca="1">INDEX({1;0.5;0},MATCH(C140,{1;65;70}))*M140</f>
        <v>0</v>
      </c>
      <c r="L140" s="104">
        <f>IF($B140=" ",0,IF(Données!$N180="exo",0,$K140/1000*VLOOKUP($F140,taux,6)))</f>
        <v>0</v>
      </c>
      <c r="M140" s="379">
        <f>IF($B140=" ",0,IF(Données!$K180="NON COUVERT",0,IF(AND(Données!$L180="oui",Données!$K180=0.5),MIN(VLOOKUP($F140,taux,5)/2,ROUNDUP(VLOOKUP($F140,taux,3)*$E140,-3)/2),IF(Données!$K180=0.5,MIN(VLOOKUP($F140,taux,4)/2,ROUNDUP(VLOOKUP($F140,taux,3)*$E140,-3)/2),ROUNDUP(IF(Données!$L180="OUI",MIN(VLOOKUP($F140,taux,3)*$E140,VLOOKUP($F140,taux,5)),MIN(VLOOKUP($F140,taux,3)*$E140,VLOOKUP($F140,taux,4))),-3)))))</f>
        <v>0</v>
      </c>
      <c r="N140" s="379">
        <f>IF($B140=" ",0,IF(Données!$N180="NON COUVERT",0,IF(AND(Données!$O180="oui",Données!$N180=0.5),MIN(VLOOKUP($F140,taux,9)/2,ROUNDUP(VLOOKUP($F140,taux,7)*$E140,-3)/2),IF(Données!$N180=0.5,MIN(VLOOKUP($F140,taux,8)/2,ROUNDUP(VLOOKUP($F140,taux,7)*$E140,-3)/2),ROUNDUP(IF(Données!$O180="OUI",MIN(VLOOKUP($F140,taux,7)*$E140,VLOOKUP($F140,taux,9)),MIN(VLOOKUP($F140,taux,7)*$E140,VLOOKUP($F140,taux,8))),-3)))))</f>
        <v>0</v>
      </c>
      <c r="O140" s="105">
        <f ca="1">IF(C140&gt;=70,0,IF($B140=" ",0,IF(Données!P180="non couvert"," ",Données!Q180)))</f>
        <v>0</v>
      </c>
      <c r="P140" s="106">
        <f>IF($B140=" ",0,IF(Données!$P180="exo",0,IF($O140="FAM",VLOOKUP($F140,taux,10),IF($O140="MONO",VLOOKUP($F140,taux,11),IF($O140="COUPLE",VLOOKUP($F140,taux,12),0)))))</f>
        <v>0</v>
      </c>
      <c r="Q140" s="107">
        <f ca="1">IF(C140&gt;=70,0,IF($B140=" ",0,IF(Données!$R180="NON COUVERT",0,ROUNDUP(IF(Données!$S180="OUI",MIN($E140*VLOOKUP($F140,taux,15)/52,VLOOKUP($F140,taux,17)),MIN($E140*VLOOKUP($F140,taux,15)/52,VLOOKUP($F140,taux,16))),0))))</f>
        <v>0</v>
      </c>
      <c r="R140" s="108">
        <f>IF($B140=" ",0,IF(Données!$R180="EXO",0,$Q140*VLOOKUP($F140,taux,13)/10))</f>
        <v>0</v>
      </c>
      <c r="S140" s="109">
        <f t="shared" ca="1" si="11"/>
        <v>0</v>
      </c>
      <c r="T140" s="110">
        <f>IF(B140=" ",0,IF(Données!$T180="exo",0,$S140*VLOOKUP($F140,taux,18)/100))</f>
        <v>0</v>
      </c>
      <c r="U140" s="109">
        <f>IF($B140=" ",0,IF(Données!$V180="non couvert",0,IF(VLOOKUP($F140,taux,29)="fixe","s/o",IF(Données!$W180="oui",MIN(ROUNDUP(VLOOKUP($F140,taux,31)*$E140,-3),VLOOKUP($F140,taux,33)),MIN(ROUNDUP(VLOOKUP($F140,taux,31)*$E140,-3),VLOOKUP($F140,taux,32))))))</f>
        <v>0</v>
      </c>
      <c r="V140" s="110">
        <f>IF(B140=" ",0,IF(Données!$V180="exo",0,IF(VLOOKUP($F140,taux,29)="fixe",VLOOKUP($F140,taux,30),$U140/1000*VLOOKUP($F140,taux,30))))</f>
        <v>0</v>
      </c>
      <c r="W140" s="110">
        <f t="shared" si="8"/>
        <v>0</v>
      </c>
      <c r="X140" s="383">
        <f>IF(B140=" ",0,EDATE((Données!E180),780))</f>
        <v>0</v>
      </c>
      <c r="Y140" s="383">
        <f t="shared" si="14"/>
        <v>0</v>
      </c>
      <c r="Z140" s="109">
        <f>IF($B140=" ",0,IF(Données!$T180="non couvert",0,IF(Données!$U180="oui",MIN(VLOOKUP($F140,taux,26),ROUNDUP(IF($E140/12&gt;VLOOKUP($F140,taux,21)+VLOOKUP($F140,taux,23),(VLOOKUP($F140,taux,20)*VLOOKUP($F140,taux,21))+(VLOOKUP($F140,taux,22)*VLOOKUP($F140,taux,23))+($E140/12-VLOOKUP($F140,taux,21)-VLOOKUP($F140,taux,23))*VLOOKUP($F140,taux,24),IF($E140/12&gt;VLOOKUP($F140,taux,21),(VLOOKUP($F140,taux,20)*VLOOKUP($F140,taux,21))+($E140/12-VLOOKUP($F140,taux,21))*VLOOKUP($F140,taux,22),$E140/12*VLOOKUP($F140,taux,20))),0)),MIN(VLOOKUP($F140,taux,25),ROUNDUP(IF($E140/12&gt;VLOOKUP($F140,taux,21)+VLOOKUP($F140,taux,23),(VLOOKUP($F140,taux,20)*VLOOKUP($F140,taux,21))+(VLOOKUP($F140,taux,22)*VLOOKUP($F140,taux,23))+($E140/12-VLOOKUP($F140,taux,21)-VLOOKUP($F140,taux,23))*VLOOKUP($F140,taux,24),IF($E140/12&gt;VLOOKUP($F140,taux,21),(VLOOKUP($F140,taux,20)*VLOOKUP($F140,taux,21))+($E140/12-VLOOKUP($F140,taux,21))*VLOOKUP($F140,taux,22),$E140/12*VLOOKUP($F140,taux,20))),0)))))</f>
        <v>0</v>
      </c>
      <c r="AA140" s="111">
        <f ca="1">IF(C140&gt;=70,0,IF($B140=" ",0,IF(Données!$X180="non couvert"," ",Données!Y180)))</f>
        <v>0</v>
      </c>
      <c r="AB140" s="110">
        <f>IF($B140=" ",0,IF(Données!$X180="exo",0,IF($AA140="ind",VLOOKUP($F140,taux,34),IF($AA140="fam",VLOOKUP($F140,taux,35),IF($AA140="mono",VLOOKUP($F140,taux,36),IF($AA140="couple",VLOOKUP($F140,taux,37),0))))))</f>
        <v>0</v>
      </c>
      <c r="AC140" s="111">
        <f ca="1">IF(C140&gt;=70,0,IF($B140=" ",0,IF(Données!$Z180="non couvert"," ",Données!AA180)))</f>
        <v>0</v>
      </c>
      <c r="AD140" s="110">
        <f>IF($B140=" ",0,IF(Données!$Z180="exo",0,IF($AC140="ind",VLOOKUP($F140,taux,38),IF($AC140="fam",VLOOKUP($F140,taux,39),IF($AC140="mono",VLOOKUP($F140,taux,40),IF($AC140="couple",VLOOKUP($F140,taux,41),0))))))</f>
        <v>0</v>
      </c>
      <c r="AE140" s="112">
        <f>IF($B140=" ",0,IF(Données!$AB180="non couvert"," ",Données!AC180))</f>
        <v>0</v>
      </c>
      <c r="AF140" s="113">
        <f>IF($B140=" ",0,IF(Données!$AB180="exo",0,IF($AE140="ind",VLOOKUP($F140,taux,42),IF($AE140="fam",VLOOKUP($F140,taux,43),IF($AE140="mono",VLOOKUP($F140,taux,44),IF($AE140="couple",VLOOKUP($F140,taux,45),0))))))</f>
        <v>0</v>
      </c>
      <c r="AG140" s="114">
        <f t="shared" ca="1" si="15"/>
        <v>0</v>
      </c>
      <c r="AH140" s="114">
        <f>IF($B140=" ",0,IF(Données!J180="Manitoba",(Facture!H140+Facture!J140+Facture!L140+Facture!P140+Facture!R140+Facture!T140)*0.08,(AG140-W140)*IF(Données!$J180="qc",0.09,IF(Données!$J180="on",0.08,0))+W140*VLOOKUP($F140,taux,28)))</f>
        <v>0</v>
      </c>
      <c r="AI140" s="106">
        <f t="shared" ca="1" si="16"/>
        <v>0</v>
      </c>
    </row>
    <row r="141" spans="1:35" s="64" customFormat="1">
      <c r="A141" s="90">
        <f t="shared" si="13"/>
        <v>127</v>
      </c>
      <c r="B141" s="99" t="str">
        <f>CONCATENATE(Données!B181," ",Données!C181)</f>
        <v xml:space="preserve"> </v>
      </c>
      <c r="C141" s="410">
        <f ca="1">IF(B141="",0,INT((TODAY()-Données!E181)/365.25))</f>
        <v>119</v>
      </c>
      <c r="D141" s="100">
        <f>Données!D181</f>
        <v>0</v>
      </c>
      <c r="E141" s="101">
        <f>Données!I181</f>
        <v>0</v>
      </c>
      <c r="F141" s="102" t="str">
        <f>Données!AD181</f>
        <v/>
      </c>
      <c r="G141" s="103">
        <f ca="1">INDEX({1;0.5;0},MATCH(C141,{1;65;70}))*M141</f>
        <v>0</v>
      </c>
      <c r="H141" s="104">
        <f>IF($B141=" ",0,IF(Données!$K181="exo",0,$G141/1000*VLOOKUP($F141,taux,2)))</f>
        <v>0</v>
      </c>
      <c r="I141" s="398">
        <f ca="1">IF(C141&gt;=65,0,Données!M181*5000)</f>
        <v>0</v>
      </c>
      <c r="J141" s="104">
        <f ca="1">I141/1000*(IF(I141=0,0,1)*VLOOKUP((1+(C141&gt;=20)+(C141&gt;=25)+(C141&gt;=30)+(C141&gt;=35)+(C141&gt;=40)+(C141&gt;=45)+(C141&gt;=50)+(C141&gt;=55)+(C141&gt;=60)+(C141&gt;=65)),Test,2+(IF(Données!F181="H",1,3))+(IF(Données!G181="F",1,0))))</f>
        <v>0</v>
      </c>
      <c r="K141" s="103">
        <f ca="1">INDEX({1;0.5;0},MATCH(C141,{1;65;70}))*M141</f>
        <v>0</v>
      </c>
      <c r="L141" s="104">
        <f>IF($B141=" ",0,IF(Données!$N181="exo",0,$K141/1000*VLOOKUP($F141,taux,6)))</f>
        <v>0</v>
      </c>
      <c r="M141" s="379">
        <f>IF($B141=" ",0,IF(Données!$K181="NON COUVERT",0,IF(AND(Données!$L181="oui",Données!$K181=0.5),MIN(VLOOKUP($F141,taux,5)/2,ROUNDUP(VLOOKUP($F141,taux,3)*$E141,-3)/2),IF(Données!$K181=0.5,MIN(VLOOKUP($F141,taux,4)/2,ROUNDUP(VLOOKUP($F141,taux,3)*$E141,-3)/2),ROUNDUP(IF(Données!$L181="OUI",MIN(VLOOKUP($F141,taux,3)*$E141,VLOOKUP($F141,taux,5)),MIN(VLOOKUP($F141,taux,3)*$E141,VLOOKUP($F141,taux,4))),-3)))))</f>
        <v>0</v>
      </c>
      <c r="N141" s="379">
        <f>IF($B141=" ",0,IF(Données!$N181="NON COUVERT",0,IF(AND(Données!$O181="oui",Données!$N181=0.5),MIN(VLOOKUP($F141,taux,9)/2,ROUNDUP(VLOOKUP($F141,taux,7)*$E141,-3)/2),IF(Données!$N181=0.5,MIN(VLOOKUP($F141,taux,8)/2,ROUNDUP(VLOOKUP($F141,taux,7)*$E141,-3)/2),ROUNDUP(IF(Données!$O181="OUI",MIN(VLOOKUP($F141,taux,7)*$E141,VLOOKUP($F141,taux,9)),MIN(VLOOKUP($F141,taux,7)*$E141,VLOOKUP($F141,taux,8))),-3)))))</f>
        <v>0</v>
      </c>
      <c r="O141" s="105">
        <f ca="1">IF(C141&gt;=70,0,IF($B141=" ",0,IF(Données!P181="non couvert"," ",Données!Q181)))</f>
        <v>0</v>
      </c>
      <c r="P141" s="106">
        <f>IF($B141=" ",0,IF(Données!$P181="exo",0,IF($O141="FAM",VLOOKUP($F141,taux,10),IF($O141="MONO",VLOOKUP($F141,taux,11),IF($O141="COUPLE",VLOOKUP($F141,taux,12),0)))))</f>
        <v>0</v>
      </c>
      <c r="Q141" s="107">
        <f ca="1">IF(C141&gt;=70,0,IF($B141=" ",0,IF(Données!$R181="NON COUVERT",0,ROUNDUP(IF(Données!$S181="OUI",MIN($E141*VLOOKUP($F141,taux,15)/52,VLOOKUP($F141,taux,17)),MIN($E141*VLOOKUP($F141,taux,15)/52,VLOOKUP($F141,taux,16))),0))))</f>
        <v>0</v>
      </c>
      <c r="R141" s="108">
        <f>IF($B141=" ",0,IF(Données!$R181="EXO",0,$Q141*VLOOKUP($F141,taux,13)/10))</f>
        <v>0</v>
      </c>
      <c r="S141" s="109">
        <f t="shared" ca="1" si="11"/>
        <v>0</v>
      </c>
      <c r="T141" s="110">
        <f>IF(B141=" ",0,IF(Données!$T181="exo",0,$S141*VLOOKUP($F141,taux,18)/100))</f>
        <v>0</v>
      </c>
      <c r="U141" s="109">
        <f>IF($B141=" ",0,IF(Données!$V181="non couvert",0,IF(VLOOKUP($F141,taux,29)="fixe","s/o",IF(Données!$W181="oui",MIN(ROUNDUP(VLOOKUP($F141,taux,31)*$E141,-3),VLOOKUP($F141,taux,33)),MIN(ROUNDUP(VLOOKUP($F141,taux,31)*$E141,-3),VLOOKUP($F141,taux,32))))))</f>
        <v>0</v>
      </c>
      <c r="V141" s="110">
        <f>IF(B141=" ",0,IF(Données!$V181="exo",0,IF(VLOOKUP($F141,taux,29)="fixe",VLOOKUP($F141,taux,30),$U141/1000*VLOOKUP($F141,taux,30))))</f>
        <v>0</v>
      </c>
      <c r="W141" s="110">
        <f t="shared" si="8"/>
        <v>0</v>
      </c>
      <c r="X141" s="383">
        <f>IF(B141=" ",0,EDATE((Données!E181),780))</f>
        <v>0</v>
      </c>
      <c r="Y141" s="383">
        <f t="shared" si="14"/>
        <v>0</v>
      </c>
      <c r="Z141" s="109">
        <f>IF($B141=" ",0,IF(Données!$T181="non couvert",0,IF(Données!$U181="oui",MIN(VLOOKUP($F141,taux,26),ROUNDUP(IF($E141/12&gt;VLOOKUP($F141,taux,21)+VLOOKUP($F141,taux,23),(VLOOKUP($F141,taux,20)*VLOOKUP($F141,taux,21))+(VLOOKUP($F141,taux,22)*VLOOKUP($F141,taux,23))+($E141/12-VLOOKUP($F141,taux,21)-VLOOKUP($F141,taux,23))*VLOOKUP($F141,taux,24),IF($E141/12&gt;VLOOKUP($F141,taux,21),(VLOOKUP($F141,taux,20)*VLOOKUP($F141,taux,21))+($E141/12-VLOOKUP($F141,taux,21))*VLOOKUP($F141,taux,22),$E141/12*VLOOKUP($F141,taux,20))),0)),MIN(VLOOKUP($F141,taux,25),ROUNDUP(IF($E141/12&gt;VLOOKUP($F141,taux,21)+VLOOKUP($F141,taux,23),(VLOOKUP($F141,taux,20)*VLOOKUP($F141,taux,21))+(VLOOKUP($F141,taux,22)*VLOOKUP($F141,taux,23))+($E141/12-VLOOKUP($F141,taux,21)-VLOOKUP($F141,taux,23))*VLOOKUP($F141,taux,24),IF($E141/12&gt;VLOOKUP($F141,taux,21),(VLOOKUP($F141,taux,20)*VLOOKUP($F141,taux,21))+($E141/12-VLOOKUP($F141,taux,21))*VLOOKUP($F141,taux,22),$E141/12*VLOOKUP($F141,taux,20))),0)))))</f>
        <v>0</v>
      </c>
      <c r="AA141" s="111">
        <f ca="1">IF(C141&gt;=70,0,IF($B141=" ",0,IF(Données!$X181="non couvert"," ",Données!Y181)))</f>
        <v>0</v>
      </c>
      <c r="AB141" s="110">
        <f>IF($B141=" ",0,IF(Données!$X181="exo",0,IF($AA141="ind",VLOOKUP($F141,taux,34),IF($AA141="fam",VLOOKUP($F141,taux,35),IF($AA141="mono",VLOOKUP($F141,taux,36),IF($AA141="couple",VLOOKUP($F141,taux,37),0))))))</f>
        <v>0</v>
      </c>
      <c r="AC141" s="111">
        <f ca="1">IF(C141&gt;=70,0,IF($B141=" ",0,IF(Données!$Z181="non couvert"," ",Données!AA181)))</f>
        <v>0</v>
      </c>
      <c r="AD141" s="110">
        <f>IF($B141=" ",0,IF(Données!$Z181="exo",0,IF($AC141="ind",VLOOKUP($F141,taux,38),IF($AC141="fam",VLOOKUP($F141,taux,39),IF($AC141="mono",VLOOKUP($F141,taux,40),IF($AC141="couple",VLOOKUP($F141,taux,41),0))))))</f>
        <v>0</v>
      </c>
      <c r="AE141" s="112">
        <f>IF($B141=" ",0,IF(Données!$AB181="non couvert"," ",Données!AC181))</f>
        <v>0</v>
      </c>
      <c r="AF141" s="113">
        <f>IF($B141=" ",0,IF(Données!$AB181="exo",0,IF($AE141="ind",VLOOKUP($F141,taux,42),IF($AE141="fam",VLOOKUP($F141,taux,43),IF($AE141="mono",VLOOKUP($F141,taux,44),IF($AE141="couple",VLOOKUP($F141,taux,45),0))))))</f>
        <v>0</v>
      </c>
      <c r="AG141" s="114">
        <f t="shared" ca="1" si="15"/>
        <v>0</v>
      </c>
      <c r="AH141" s="114">
        <f>IF($B141=" ",0,IF(Données!J181="Manitoba",(Facture!H141+Facture!J141+Facture!L141+Facture!P141+Facture!R141+Facture!T141)*0.08,(AG141-W141)*IF(Données!$J181="qc",0.09,IF(Données!$J181="on",0.08,0))+W141*VLOOKUP($F141,taux,28)))</f>
        <v>0</v>
      </c>
      <c r="AI141" s="106">
        <f t="shared" ca="1" si="16"/>
        <v>0</v>
      </c>
    </row>
    <row r="142" spans="1:35" s="64" customFormat="1">
      <c r="A142" s="90">
        <f t="shared" si="13"/>
        <v>128</v>
      </c>
      <c r="B142" s="99" t="str">
        <f>CONCATENATE(Données!B182," ",Données!C182)</f>
        <v xml:space="preserve"> </v>
      </c>
      <c r="C142" s="410">
        <f ca="1">IF(B142="",0,INT((TODAY()-Données!E182)/365.25))</f>
        <v>119</v>
      </c>
      <c r="D142" s="100">
        <f>Données!D182</f>
        <v>0</v>
      </c>
      <c r="E142" s="101">
        <f>Données!I182</f>
        <v>0</v>
      </c>
      <c r="F142" s="102" t="str">
        <f>Données!AD182</f>
        <v/>
      </c>
      <c r="G142" s="103">
        <f ca="1">INDEX({1;0.5;0},MATCH(C142,{1;65;70}))*M142</f>
        <v>0</v>
      </c>
      <c r="H142" s="104">
        <f>IF($B142=" ",0,IF(Données!$K182="exo",0,$G142/1000*VLOOKUP($F142,taux,2)))</f>
        <v>0</v>
      </c>
      <c r="I142" s="398">
        <f ca="1">IF(C142&gt;=65,0,Données!M182*5000)</f>
        <v>0</v>
      </c>
      <c r="J142" s="104">
        <f ca="1">I142/1000*(IF(I142=0,0,1)*VLOOKUP((1+(C142&gt;=20)+(C142&gt;=25)+(C142&gt;=30)+(C142&gt;=35)+(C142&gt;=40)+(C142&gt;=45)+(C142&gt;=50)+(C142&gt;=55)+(C142&gt;=60)+(C142&gt;=65)),Test,2+(IF(Données!F182="H",1,3))+(IF(Données!G182="F",1,0))))</f>
        <v>0</v>
      </c>
      <c r="K142" s="103">
        <f ca="1">INDEX({1;0.5;0},MATCH(C142,{1;65;70}))*M142</f>
        <v>0</v>
      </c>
      <c r="L142" s="104">
        <f>IF($B142=" ",0,IF(Données!$N182="exo",0,$K142/1000*VLOOKUP($F142,taux,6)))</f>
        <v>0</v>
      </c>
      <c r="M142" s="379">
        <f>IF($B142=" ",0,IF(Données!$K182="NON COUVERT",0,IF(AND(Données!$L182="oui",Données!$K182=0.5),MIN(VLOOKUP($F142,taux,5)/2,ROUNDUP(VLOOKUP($F142,taux,3)*$E142,-3)/2),IF(Données!$K182=0.5,MIN(VLOOKUP($F142,taux,4)/2,ROUNDUP(VLOOKUP($F142,taux,3)*$E142,-3)/2),ROUNDUP(IF(Données!$L182="OUI",MIN(VLOOKUP($F142,taux,3)*$E142,VLOOKUP($F142,taux,5)),MIN(VLOOKUP($F142,taux,3)*$E142,VLOOKUP($F142,taux,4))),-3)))))</f>
        <v>0</v>
      </c>
      <c r="N142" s="379">
        <f>IF($B142=" ",0,IF(Données!$N182="NON COUVERT",0,IF(AND(Données!$O182="oui",Données!$N182=0.5),MIN(VLOOKUP($F142,taux,9)/2,ROUNDUP(VLOOKUP($F142,taux,7)*$E142,-3)/2),IF(Données!$N182=0.5,MIN(VLOOKUP($F142,taux,8)/2,ROUNDUP(VLOOKUP($F142,taux,7)*$E142,-3)/2),ROUNDUP(IF(Données!$O182="OUI",MIN(VLOOKUP($F142,taux,7)*$E142,VLOOKUP($F142,taux,9)),MIN(VLOOKUP($F142,taux,7)*$E142,VLOOKUP($F142,taux,8))),-3)))))</f>
        <v>0</v>
      </c>
      <c r="O142" s="105">
        <f ca="1">IF(C142&gt;=70,0,IF($B142=" ",0,IF(Données!P182="non couvert"," ",Données!Q182)))</f>
        <v>0</v>
      </c>
      <c r="P142" s="106">
        <f>IF($B142=" ",0,IF(Données!$P182="exo",0,IF($O142="FAM",VLOOKUP($F142,taux,10),IF($O142="MONO",VLOOKUP($F142,taux,11),IF($O142="COUPLE",VLOOKUP($F142,taux,12),0)))))</f>
        <v>0</v>
      </c>
      <c r="Q142" s="107">
        <f ca="1">IF(C142&gt;=70,0,IF($B142=" ",0,IF(Données!$R182="NON COUVERT",0,ROUNDUP(IF(Données!$S182="OUI",MIN($E142*VLOOKUP($F142,taux,15)/52,VLOOKUP($F142,taux,17)),MIN($E142*VLOOKUP($F142,taux,15)/52,VLOOKUP($F142,taux,16))),0))))</f>
        <v>0</v>
      </c>
      <c r="R142" s="108">
        <f>IF($B142=" ",0,IF(Données!$R182="EXO",0,$Q142*VLOOKUP($F142,taux,13)/10))</f>
        <v>0</v>
      </c>
      <c r="S142" s="109">
        <f t="shared" ca="1" si="11"/>
        <v>0</v>
      </c>
      <c r="T142" s="110">
        <f>IF(B142=" ",0,IF(Données!$T182="exo",0,$S142*VLOOKUP($F142,taux,18)/100))</f>
        <v>0</v>
      </c>
      <c r="U142" s="109">
        <f>IF($B142=" ",0,IF(Données!$V182="non couvert",0,IF(VLOOKUP($F142,taux,29)="fixe","s/o",IF(Données!$W182="oui",MIN(ROUNDUP(VLOOKUP($F142,taux,31)*$E142,-3),VLOOKUP($F142,taux,33)),MIN(ROUNDUP(VLOOKUP($F142,taux,31)*$E142,-3),VLOOKUP($F142,taux,32))))))</f>
        <v>0</v>
      </c>
      <c r="V142" s="110">
        <f>IF(B142=" ",0,IF(Données!$V182="exo",0,IF(VLOOKUP($F142,taux,29)="fixe",VLOOKUP($F142,taux,30),$U142/1000*VLOOKUP($F142,taux,30))))</f>
        <v>0</v>
      </c>
      <c r="W142" s="110">
        <f t="shared" si="8"/>
        <v>0</v>
      </c>
      <c r="X142" s="383">
        <f>IF(B142=" ",0,EDATE((Données!E182),780))</f>
        <v>0</v>
      </c>
      <c r="Y142" s="383">
        <f t="shared" si="14"/>
        <v>0</v>
      </c>
      <c r="Z142" s="109">
        <f>IF($B142=" ",0,IF(Données!$T182="non couvert",0,IF(Données!$U182="oui",MIN(VLOOKUP($F142,taux,26),ROUNDUP(IF($E142/12&gt;VLOOKUP($F142,taux,21)+VLOOKUP($F142,taux,23),(VLOOKUP($F142,taux,20)*VLOOKUP($F142,taux,21))+(VLOOKUP($F142,taux,22)*VLOOKUP($F142,taux,23))+($E142/12-VLOOKUP($F142,taux,21)-VLOOKUP($F142,taux,23))*VLOOKUP($F142,taux,24),IF($E142/12&gt;VLOOKUP($F142,taux,21),(VLOOKUP($F142,taux,20)*VLOOKUP($F142,taux,21))+($E142/12-VLOOKUP($F142,taux,21))*VLOOKUP($F142,taux,22),$E142/12*VLOOKUP($F142,taux,20))),0)),MIN(VLOOKUP($F142,taux,25),ROUNDUP(IF($E142/12&gt;VLOOKUP($F142,taux,21)+VLOOKUP($F142,taux,23),(VLOOKUP($F142,taux,20)*VLOOKUP($F142,taux,21))+(VLOOKUP($F142,taux,22)*VLOOKUP($F142,taux,23))+($E142/12-VLOOKUP($F142,taux,21)-VLOOKUP($F142,taux,23))*VLOOKUP($F142,taux,24),IF($E142/12&gt;VLOOKUP($F142,taux,21),(VLOOKUP($F142,taux,20)*VLOOKUP($F142,taux,21))+($E142/12-VLOOKUP($F142,taux,21))*VLOOKUP($F142,taux,22),$E142/12*VLOOKUP($F142,taux,20))),0)))))</f>
        <v>0</v>
      </c>
      <c r="AA142" s="111">
        <f ca="1">IF(C142&gt;=70,0,IF($B142=" ",0,IF(Données!$X182="non couvert"," ",Données!Y182)))</f>
        <v>0</v>
      </c>
      <c r="AB142" s="110">
        <f>IF($B142=" ",0,IF(Données!$X182="exo",0,IF($AA142="ind",VLOOKUP($F142,taux,34),IF($AA142="fam",VLOOKUP($F142,taux,35),IF($AA142="mono",VLOOKUP($F142,taux,36),IF($AA142="couple",VLOOKUP($F142,taux,37),0))))))</f>
        <v>0</v>
      </c>
      <c r="AC142" s="111">
        <f ca="1">IF(C142&gt;=70,0,IF($B142=" ",0,IF(Données!$Z182="non couvert"," ",Données!AA182)))</f>
        <v>0</v>
      </c>
      <c r="AD142" s="110">
        <f>IF($B142=" ",0,IF(Données!$Z182="exo",0,IF($AC142="ind",VLOOKUP($F142,taux,38),IF($AC142="fam",VLOOKUP($F142,taux,39),IF($AC142="mono",VLOOKUP($F142,taux,40),IF($AC142="couple",VLOOKUP($F142,taux,41),0))))))</f>
        <v>0</v>
      </c>
      <c r="AE142" s="112">
        <f>IF($B142=" ",0,IF(Données!$AB182="non couvert"," ",Données!AC182))</f>
        <v>0</v>
      </c>
      <c r="AF142" s="113">
        <f>IF($B142=" ",0,IF(Données!$AB182="exo",0,IF($AE142="ind",VLOOKUP($F142,taux,42),IF($AE142="fam",VLOOKUP($F142,taux,43),IF($AE142="mono",VLOOKUP($F142,taux,44),IF($AE142="couple",VLOOKUP($F142,taux,45),0))))))</f>
        <v>0</v>
      </c>
      <c r="AG142" s="114">
        <f t="shared" ca="1" si="15"/>
        <v>0</v>
      </c>
      <c r="AH142" s="114">
        <f>IF($B142=" ",0,IF(Données!J182="Manitoba",(Facture!H142+Facture!J142+Facture!L142+Facture!P142+Facture!R142+Facture!T142)*0.08,(AG142-W142)*IF(Données!$J182="qc",0.09,IF(Données!$J182="on",0.08,0))+W142*VLOOKUP($F142,taux,28)))</f>
        <v>0</v>
      </c>
      <c r="AI142" s="106">
        <f t="shared" ca="1" si="16"/>
        <v>0</v>
      </c>
    </row>
    <row r="143" spans="1:35" s="64" customFormat="1">
      <c r="A143" s="90">
        <f t="shared" si="13"/>
        <v>129</v>
      </c>
      <c r="B143" s="99" t="str">
        <f>CONCATENATE(Données!B183," ",Données!C183)</f>
        <v xml:space="preserve"> </v>
      </c>
      <c r="C143" s="410">
        <f ca="1">IF(B143="",0,INT((TODAY()-Données!E183)/365.25))</f>
        <v>119</v>
      </c>
      <c r="D143" s="100">
        <f>Données!D183</f>
        <v>0</v>
      </c>
      <c r="E143" s="101">
        <f>Données!I183</f>
        <v>0</v>
      </c>
      <c r="F143" s="102" t="str">
        <f>Données!AD183</f>
        <v/>
      </c>
      <c r="G143" s="103">
        <f ca="1">INDEX({1;0.5;0},MATCH(C143,{1;65;70}))*M143</f>
        <v>0</v>
      </c>
      <c r="H143" s="104">
        <f>IF($B143=" ",0,IF(Données!$K183="exo",0,$G143/1000*VLOOKUP($F143,taux,2)))</f>
        <v>0</v>
      </c>
      <c r="I143" s="398">
        <f ca="1">IF(C143&gt;=65,0,Données!M183*5000)</f>
        <v>0</v>
      </c>
      <c r="J143" s="104">
        <f ca="1">I143/1000*(IF(I143=0,0,1)*VLOOKUP((1+(C143&gt;=20)+(C143&gt;=25)+(C143&gt;=30)+(C143&gt;=35)+(C143&gt;=40)+(C143&gt;=45)+(C143&gt;=50)+(C143&gt;=55)+(C143&gt;=60)+(C143&gt;=65)),Test,2+(IF(Données!F183="H",1,3))+(IF(Données!G183="F",1,0))))</f>
        <v>0</v>
      </c>
      <c r="K143" s="103">
        <f ca="1">INDEX({1;0.5;0},MATCH(C143,{1;65;70}))*M143</f>
        <v>0</v>
      </c>
      <c r="L143" s="104">
        <f>IF($B143=" ",0,IF(Données!$N183="exo",0,$K143/1000*VLOOKUP($F143,taux,6)))</f>
        <v>0</v>
      </c>
      <c r="M143" s="379">
        <f>IF($B143=" ",0,IF(Données!$K183="NON COUVERT",0,IF(AND(Données!$L183="oui",Données!$K183=0.5),MIN(VLOOKUP($F143,taux,5)/2,ROUNDUP(VLOOKUP($F143,taux,3)*$E143,-3)/2),IF(Données!$K183=0.5,MIN(VLOOKUP($F143,taux,4)/2,ROUNDUP(VLOOKUP($F143,taux,3)*$E143,-3)/2),ROUNDUP(IF(Données!$L183="OUI",MIN(VLOOKUP($F143,taux,3)*$E143,VLOOKUP($F143,taux,5)),MIN(VLOOKUP($F143,taux,3)*$E143,VLOOKUP($F143,taux,4))),-3)))))</f>
        <v>0</v>
      </c>
      <c r="N143" s="379">
        <f>IF($B143=" ",0,IF(Données!$N183="NON COUVERT",0,IF(AND(Données!$O183="oui",Données!$N183=0.5),MIN(VLOOKUP($F143,taux,9)/2,ROUNDUP(VLOOKUP($F143,taux,7)*$E143,-3)/2),IF(Données!$N183=0.5,MIN(VLOOKUP($F143,taux,8)/2,ROUNDUP(VLOOKUP($F143,taux,7)*$E143,-3)/2),ROUNDUP(IF(Données!$O183="OUI",MIN(VLOOKUP($F143,taux,7)*$E143,VLOOKUP($F143,taux,9)),MIN(VLOOKUP($F143,taux,7)*$E143,VLOOKUP($F143,taux,8))),-3)))))</f>
        <v>0</v>
      </c>
      <c r="O143" s="105">
        <f ca="1">IF(C143&gt;=70,0,IF($B143=" ",0,IF(Données!P183="non couvert"," ",Données!Q183)))</f>
        <v>0</v>
      </c>
      <c r="P143" s="106">
        <f>IF($B143=" ",0,IF(Données!$P183="exo",0,IF($O143="FAM",VLOOKUP($F143,taux,10),IF($O143="MONO",VLOOKUP($F143,taux,11),IF($O143="COUPLE",VLOOKUP($F143,taux,12),0)))))</f>
        <v>0</v>
      </c>
      <c r="Q143" s="107">
        <f ca="1">IF(C143&gt;=70,0,IF($B143=" ",0,IF(Données!$R183="NON COUVERT",0,ROUNDUP(IF(Données!$S183="OUI",MIN($E143*VLOOKUP($F143,taux,15)/52,VLOOKUP($F143,taux,17)),MIN($E143*VLOOKUP($F143,taux,15)/52,VLOOKUP($F143,taux,16))),0))))</f>
        <v>0</v>
      </c>
      <c r="R143" s="108">
        <f>IF($B143=" ",0,IF(Données!$R183="EXO",0,$Q143*VLOOKUP($F143,taux,13)/10))</f>
        <v>0</v>
      </c>
      <c r="S143" s="109">
        <f t="shared" ca="1" si="11"/>
        <v>0</v>
      </c>
      <c r="T143" s="110">
        <f>IF(B143=" ",0,IF(Données!$T183="exo",0,$S143*VLOOKUP($F143,taux,18)/100))</f>
        <v>0</v>
      </c>
      <c r="U143" s="109">
        <f>IF($B143=" ",0,IF(Données!$V183="non couvert",0,IF(VLOOKUP($F143,taux,29)="fixe","s/o",IF(Données!$W183="oui",MIN(ROUNDUP(VLOOKUP($F143,taux,31)*$E143,-3),VLOOKUP($F143,taux,33)),MIN(ROUNDUP(VLOOKUP($F143,taux,31)*$E143,-3),VLOOKUP($F143,taux,32))))))</f>
        <v>0</v>
      </c>
      <c r="V143" s="110">
        <f>IF(B143=" ",0,IF(Données!$V183="exo",0,IF(VLOOKUP($F143,taux,29)="fixe",VLOOKUP($F143,taux,30),$U143/1000*VLOOKUP($F143,taux,30))))</f>
        <v>0</v>
      </c>
      <c r="W143" s="110">
        <f t="shared" ref="W143:W200" si="17">IF($B143=" ",0,VLOOKUP($F143,taux,27))</f>
        <v>0</v>
      </c>
      <c r="X143" s="383">
        <f>IF(B143=" ",0,EDATE((Données!E183),780))</f>
        <v>0</v>
      </c>
      <c r="Y143" s="383">
        <f t="shared" ref="Y143:Y174" si="18">IF(B143=" ",0,DATE(YEAR(X143)+0,MONTH(X143)+0,DAY(X143)-Y$7))</f>
        <v>0</v>
      </c>
      <c r="Z143" s="109">
        <f>IF($B143=" ",0,IF(Données!$T183="non couvert",0,IF(Données!$U183="oui",MIN(VLOOKUP($F143,taux,26),ROUNDUP(IF($E143/12&gt;VLOOKUP($F143,taux,21)+VLOOKUP($F143,taux,23),(VLOOKUP($F143,taux,20)*VLOOKUP($F143,taux,21))+(VLOOKUP($F143,taux,22)*VLOOKUP($F143,taux,23))+($E143/12-VLOOKUP($F143,taux,21)-VLOOKUP($F143,taux,23))*VLOOKUP($F143,taux,24),IF($E143/12&gt;VLOOKUP($F143,taux,21),(VLOOKUP($F143,taux,20)*VLOOKUP($F143,taux,21))+($E143/12-VLOOKUP($F143,taux,21))*VLOOKUP($F143,taux,22),$E143/12*VLOOKUP($F143,taux,20))),0)),MIN(VLOOKUP($F143,taux,25),ROUNDUP(IF($E143/12&gt;VLOOKUP($F143,taux,21)+VLOOKUP($F143,taux,23),(VLOOKUP($F143,taux,20)*VLOOKUP($F143,taux,21))+(VLOOKUP($F143,taux,22)*VLOOKUP($F143,taux,23))+($E143/12-VLOOKUP($F143,taux,21)-VLOOKUP($F143,taux,23))*VLOOKUP($F143,taux,24),IF($E143/12&gt;VLOOKUP($F143,taux,21),(VLOOKUP($F143,taux,20)*VLOOKUP($F143,taux,21))+($E143/12-VLOOKUP($F143,taux,21))*VLOOKUP($F143,taux,22),$E143/12*VLOOKUP($F143,taux,20))),0)))))</f>
        <v>0</v>
      </c>
      <c r="AA143" s="111">
        <f ca="1">IF(C143&gt;=70,0,IF($B143=" ",0,IF(Données!$X183="non couvert"," ",Données!Y183)))</f>
        <v>0</v>
      </c>
      <c r="AB143" s="110">
        <f>IF($B143=" ",0,IF(Données!$X183="exo",0,IF($AA143="ind",VLOOKUP($F143,taux,34),IF($AA143="fam",VLOOKUP($F143,taux,35),IF($AA143="mono",VLOOKUP($F143,taux,36),IF($AA143="couple",VLOOKUP($F143,taux,37),0))))))</f>
        <v>0</v>
      </c>
      <c r="AC143" s="111">
        <f ca="1">IF(C143&gt;=70,0,IF($B143=" ",0,IF(Données!$Z183="non couvert"," ",Données!AA183)))</f>
        <v>0</v>
      </c>
      <c r="AD143" s="110">
        <f>IF($B143=" ",0,IF(Données!$Z183="exo",0,IF($AC143="ind",VLOOKUP($F143,taux,38),IF($AC143="fam",VLOOKUP($F143,taux,39),IF($AC143="mono",VLOOKUP($F143,taux,40),IF($AC143="couple",VLOOKUP($F143,taux,41),0))))))</f>
        <v>0</v>
      </c>
      <c r="AE143" s="112">
        <f>IF($B143=" ",0,IF(Données!$AB183="non couvert"," ",Données!AC183))</f>
        <v>0</v>
      </c>
      <c r="AF143" s="113">
        <f>IF($B143=" ",0,IF(Données!$AB183="exo",0,IF($AE143="ind",VLOOKUP($F143,taux,42),IF($AE143="fam",VLOOKUP($F143,taux,43),IF($AE143="mono",VLOOKUP($F143,taux,44),IF($AE143="couple",VLOOKUP($F143,taux,45),0))))))</f>
        <v>0</v>
      </c>
      <c r="AG143" s="114">
        <f t="shared" ref="AG143:AG174" ca="1" si="19">H143+J143+L143+P143+R143+T143+V143+W143+AB143+AD143+AF143</f>
        <v>0</v>
      </c>
      <c r="AH143" s="114">
        <f>IF($B143=" ",0,IF(Données!J183="Manitoba",(Facture!H143+Facture!J143+Facture!L143+Facture!P143+Facture!R143+Facture!T143)*0.08,(AG143-W143)*IF(Données!$J183="qc",0.09,IF(Données!$J183="on",0.08,0))+W143*VLOOKUP($F143,taux,28)))</f>
        <v>0</v>
      </c>
      <c r="AI143" s="106">
        <f t="shared" ca="1" si="16"/>
        <v>0</v>
      </c>
    </row>
    <row r="144" spans="1:35" s="64" customFormat="1">
      <c r="A144" s="90">
        <f t="shared" si="13"/>
        <v>130</v>
      </c>
      <c r="B144" s="99" t="str">
        <f>CONCATENATE(Données!B184," ",Données!C184)</f>
        <v xml:space="preserve"> </v>
      </c>
      <c r="C144" s="410">
        <f ca="1">IF(B144="",0,INT((TODAY()-Données!E184)/365.25))</f>
        <v>119</v>
      </c>
      <c r="D144" s="100">
        <f>Données!D184</f>
        <v>0</v>
      </c>
      <c r="E144" s="101">
        <f>Données!I184</f>
        <v>0</v>
      </c>
      <c r="F144" s="102" t="str">
        <f>Données!AD184</f>
        <v/>
      </c>
      <c r="G144" s="103">
        <f ca="1">INDEX({1;0.5;0},MATCH(C144,{1;65;70}))*M144</f>
        <v>0</v>
      </c>
      <c r="H144" s="104">
        <f>IF($B144=" ",0,IF(Données!$K184="exo",0,$G144/1000*VLOOKUP($F144,taux,2)))</f>
        <v>0</v>
      </c>
      <c r="I144" s="398">
        <f ca="1">IF(C144&gt;=65,0,Données!M184*5000)</f>
        <v>0</v>
      </c>
      <c r="J144" s="104">
        <f ca="1">I144/1000*(IF(I144=0,0,1)*VLOOKUP((1+(C144&gt;=20)+(C144&gt;=25)+(C144&gt;=30)+(C144&gt;=35)+(C144&gt;=40)+(C144&gt;=45)+(C144&gt;=50)+(C144&gt;=55)+(C144&gt;=60)+(C144&gt;=65)),Test,2+(IF(Données!F184="H",1,3))+(IF(Données!G184="F",1,0))))</f>
        <v>0</v>
      </c>
      <c r="K144" s="103">
        <f ca="1">INDEX({1;0.5;0},MATCH(C144,{1;65;70}))*M144</f>
        <v>0</v>
      </c>
      <c r="L144" s="104">
        <f>IF($B144=" ",0,IF(Données!$N184="exo",0,$K144/1000*VLOOKUP($F144,taux,6)))</f>
        <v>0</v>
      </c>
      <c r="M144" s="379">
        <f>IF($B144=" ",0,IF(Données!$K184="NON COUVERT",0,IF(AND(Données!$L184="oui",Données!$K184=0.5),MIN(VLOOKUP($F144,taux,5)/2,ROUNDUP(VLOOKUP($F144,taux,3)*$E144,-3)/2),IF(Données!$K184=0.5,MIN(VLOOKUP($F144,taux,4)/2,ROUNDUP(VLOOKUP($F144,taux,3)*$E144,-3)/2),ROUNDUP(IF(Données!$L184="OUI",MIN(VLOOKUP($F144,taux,3)*$E144,VLOOKUP($F144,taux,5)),MIN(VLOOKUP($F144,taux,3)*$E144,VLOOKUP($F144,taux,4))),-3)))))</f>
        <v>0</v>
      </c>
      <c r="N144" s="379">
        <f>IF($B144=" ",0,IF(Données!$N184="NON COUVERT",0,IF(AND(Données!$O184="oui",Données!$N184=0.5),MIN(VLOOKUP($F144,taux,9)/2,ROUNDUP(VLOOKUP($F144,taux,7)*$E144,-3)/2),IF(Données!$N184=0.5,MIN(VLOOKUP($F144,taux,8)/2,ROUNDUP(VLOOKUP($F144,taux,7)*$E144,-3)/2),ROUNDUP(IF(Données!$O184="OUI",MIN(VLOOKUP($F144,taux,7)*$E144,VLOOKUP($F144,taux,9)),MIN(VLOOKUP($F144,taux,7)*$E144,VLOOKUP($F144,taux,8))),-3)))))</f>
        <v>0</v>
      </c>
      <c r="O144" s="105">
        <f ca="1">IF(C144&gt;=70,0,IF($B144=" ",0,IF(Données!P184="non couvert"," ",Données!Q184)))</f>
        <v>0</v>
      </c>
      <c r="P144" s="106">
        <f>IF($B144=" ",0,IF(Données!$P184="exo",0,IF($O144="FAM",VLOOKUP($F144,taux,10),IF($O144="MONO",VLOOKUP($F144,taux,11),IF($O144="COUPLE",VLOOKUP($F144,taux,12),0)))))</f>
        <v>0</v>
      </c>
      <c r="Q144" s="107">
        <f ca="1">IF(C144&gt;=70,0,IF($B144=" ",0,IF(Données!$R184="NON COUVERT",0,ROUNDUP(IF(Données!$S184="OUI",MIN($E144*VLOOKUP($F144,taux,15)/52,VLOOKUP($F144,taux,17)),MIN($E144*VLOOKUP($F144,taux,15)/52,VLOOKUP($F144,taux,16))),0))))</f>
        <v>0</v>
      </c>
      <c r="R144" s="108">
        <f>IF($B144=" ",0,IF(Données!$R184="EXO",0,$Q144*VLOOKUP($F144,taux,13)/10))</f>
        <v>0</v>
      </c>
      <c r="S144" s="109">
        <f t="shared" ref="S144:S200" ca="1" si="20">IF(C144&gt;=65,0,IF(B144=" ",0,IF(TODAY()&gt;=Y144,0,Z144)))</f>
        <v>0</v>
      </c>
      <c r="T144" s="110">
        <f>IF(B144=" ",0,IF(Données!$T184="exo",0,$S144*VLOOKUP($F144,taux,18)/100))</f>
        <v>0</v>
      </c>
      <c r="U144" s="109">
        <f>IF($B144=" ",0,IF(Données!$V184="non couvert",0,IF(VLOOKUP($F144,taux,29)="fixe","s/o",IF(Données!$W184="oui",MIN(ROUNDUP(VLOOKUP($F144,taux,31)*$E144,-3),VLOOKUP($F144,taux,33)),MIN(ROUNDUP(VLOOKUP($F144,taux,31)*$E144,-3),VLOOKUP($F144,taux,32))))))</f>
        <v>0</v>
      </c>
      <c r="V144" s="110">
        <f>IF(B144=" ",0,IF(Données!$V184="exo",0,IF(VLOOKUP($F144,taux,29)="fixe",VLOOKUP($F144,taux,30),$U144/1000*VLOOKUP($F144,taux,30))))</f>
        <v>0</v>
      </c>
      <c r="W144" s="110">
        <f t="shared" si="17"/>
        <v>0</v>
      </c>
      <c r="X144" s="383">
        <f>IF(B144=" ",0,EDATE((Données!E184),780))</f>
        <v>0</v>
      </c>
      <c r="Y144" s="383">
        <f t="shared" si="18"/>
        <v>0</v>
      </c>
      <c r="Z144" s="109">
        <f>IF($B144=" ",0,IF(Données!$T184="non couvert",0,IF(Données!$U184="oui",MIN(VLOOKUP($F144,taux,26),ROUNDUP(IF($E144/12&gt;VLOOKUP($F144,taux,21)+VLOOKUP($F144,taux,23),(VLOOKUP($F144,taux,20)*VLOOKUP($F144,taux,21))+(VLOOKUP($F144,taux,22)*VLOOKUP($F144,taux,23))+($E144/12-VLOOKUP($F144,taux,21)-VLOOKUP($F144,taux,23))*VLOOKUP($F144,taux,24),IF($E144/12&gt;VLOOKUP($F144,taux,21),(VLOOKUP($F144,taux,20)*VLOOKUP($F144,taux,21))+($E144/12-VLOOKUP($F144,taux,21))*VLOOKUP($F144,taux,22),$E144/12*VLOOKUP($F144,taux,20))),0)),MIN(VLOOKUP($F144,taux,25),ROUNDUP(IF($E144/12&gt;VLOOKUP($F144,taux,21)+VLOOKUP($F144,taux,23),(VLOOKUP($F144,taux,20)*VLOOKUP($F144,taux,21))+(VLOOKUP($F144,taux,22)*VLOOKUP($F144,taux,23))+($E144/12-VLOOKUP($F144,taux,21)-VLOOKUP($F144,taux,23))*VLOOKUP($F144,taux,24),IF($E144/12&gt;VLOOKUP($F144,taux,21),(VLOOKUP($F144,taux,20)*VLOOKUP($F144,taux,21))+($E144/12-VLOOKUP($F144,taux,21))*VLOOKUP($F144,taux,22),$E144/12*VLOOKUP($F144,taux,20))),0)))))</f>
        <v>0</v>
      </c>
      <c r="AA144" s="111">
        <f ca="1">IF(C144&gt;=70,0,IF($B144=" ",0,IF(Données!$X184="non couvert"," ",Données!Y184)))</f>
        <v>0</v>
      </c>
      <c r="AB144" s="110">
        <f>IF($B144=" ",0,IF(Données!$X184="exo",0,IF($AA144="ind",VLOOKUP($F144,taux,34),IF($AA144="fam",VLOOKUP($F144,taux,35),IF($AA144="mono",VLOOKUP($F144,taux,36),IF($AA144="couple",VLOOKUP($F144,taux,37),0))))))</f>
        <v>0</v>
      </c>
      <c r="AC144" s="111">
        <f ca="1">IF(C144&gt;=70,0,IF($B144=" ",0,IF(Données!$Z184="non couvert"," ",Données!AA184)))</f>
        <v>0</v>
      </c>
      <c r="AD144" s="110">
        <f>IF($B144=" ",0,IF(Données!$Z184="exo",0,IF($AC144="ind",VLOOKUP($F144,taux,38),IF($AC144="fam",VLOOKUP($F144,taux,39),IF($AC144="mono",VLOOKUP($F144,taux,40),IF($AC144="couple",VLOOKUP($F144,taux,41),0))))))</f>
        <v>0</v>
      </c>
      <c r="AE144" s="112">
        <f>IF($B144=" ",0,IF(Données!$AB184="non couvert"," ",Données!AC184))</f>
        <v>0</v>
      </c>
      <c r="AF144" s="113">
        <f>IF($B144=" ",0,IF(Données!$AB184="exo",0,IF($AE144="ind",VLOOKUP($F144,taux,42),IF($AE144="fam",VLOOKUP($F144,taux,43),IF($AE144="mono",VLOOKUP($F144,taux,44),IF($AE144="couple",VLOOKUP($F144,taux,45),0))))))</f>
        <v>0</v>
      </c>
      <c r="AG144" s="114">
        <f t="shared" ca="1" si="19"/>
        <v>0</v>
      </c>
      <c r="AH144" s="114">
        <f>IF($B144=" ",0,IF(Données!J184="Manitoba",(Facture!H144+Facture!J144+Facture!L144+Facture!P144+Facture!R144+Facture!T144)*0.08,(AG144-W144)*IF(Données!$J184="qc",0.09,IF(Données!$J184="on",0.08,0))+W144*VLOOKUP($F144,taux,28)))</f>
        <v>0</v>
      </c>
      <c r="AI144" s="106">
        <f t="shared" ca="1" si="16"/>
        <v>0</v>
      </c>
    </row>
    <row r="145" spans="1:35" s="64" customFormat="1">
      <c r="A145" s="90">
        <f t="shared" ref="A145:A200" si="21">A144+1</f>
        <v>131</v>
      </c>
      <c r="B145" s="99" t="str">
        <f>CONCATENATE(Données!B185," ",Données!C185)</f>
        <v xml:space="preserve"> </v>
      </c>
      <c r="C145" s="410">
        <f ca="1">IF(B145="",0,INT((TODAY()-Données!E185)/365.25))</f>
        <v>119</v>
      </c>
      <c r="D145" s="100">
        <f>Données!D185</f>
        <v>0</v>
      </c>
      <c r="E145" s="101">
        <f>Données!I185</f>
        <v>0</v>
      </c>
      <c r="F145" s="102" t="str">
        <f>Données!AD185</f>
        <v/>
      </c>
      <c r="G145" s="103">
        <f ca="1">INDEX({1;0.5;0},MATCH(C145,{1;65;70}))*M145</f>
        <v>0</v>
      </c>
      <c r="H145" s="104">
        <f>IF($B145=" ",0,IF(Données!$K185="exo",0,$G145/1000*VLOOKUP($F145,taux,2)))</f>
        <v>0</v>
      </c>
      <c r="I145" s="398">
        <f ca="1">IF(C145&gt;=65,0,Données!M185*5000)</f>
        <v>0</v>
      </c>
      <c r="J145" s="104">
        <f ca="1">I145/1000*(IF(I145=0,0,1)*VLOOKUP((1+(C145&gt;=20)+(C145&gt;=25)+(C145&gt;=30)+(C145&gt;=35)+(C145&gt;=40)+(C145&gt;=45)+(C145&gt;=50)+(C145&gt;=55)+(C145&gt;=60)+(C145&gt;=65)),Test,2+(IF(Données!F185="H",1,3))+(IF(Données!G185="F",1,0))))</f>
        <v>0</v>
      </c>
      <c r="K145" s="103">
        <f ca="1">INDEX({1;0.5;0},MATCH(C145,{1;65;70}))*M145</f>
        <v>0</v>
      </c>
      <c r="L145" s="104">
        <f>IF($B145=" ",0,IF(Données!$N185="exo",0,$K145/1000*VLOOKUP($F145,taux,6)))</f>
        <v>0</v>
      </c>
      <c r="M145" s="379">
        <f>IF($B145=" ",0,IF(Données!$K185="NON COUVERT",0,IF(AND(Données!$L185="oui",Données!$K185=0.5),MIN(VLOOKUP($F145,taux,5)/2,ROUNDUP(VLOOKUP($F145,taux,3)*$E145,-3)/2),IF(Données!$K185=0.5,MIN(VLOOKUP($F145,taux,4)/2,ROUNDUP(VLOOKUP($F145,taux,3)*$E145,-3)/2),ROUNDUP(IF(Données!$L185="OUI",MIN(VLOOKUP($F145,taux,3)*$E145,VLOOKUP($F145,taux,5)),MIN(VLOOKUP($F145,taux,3)*$E145,VLOOKUP($F145,taux,4))),-3)))))</f>
        <v>0</v>
      </c>
      <c r="N145" s="379">
        <f>IF($B145=" ",0,IF(Données!$N185="NON COUVERT",0,IF(AND(Données!$O185="oui",Données!$N185=0.5),MIN(VLOOKUP($F145,taux,9)/2,ROUNDUP(VLOOKUP($F145,taux,7)*$E145,-3)/2),IF(Données!$N185=0.5,MIN(VLOOKUP($F145,taux,8)/2,ROUNDUP(VLOOKUP($F145,taux,7)*$E145,-3)/2),ROUNDUP(IF(Données!$O185="OUI",MIN(VLOOKUP($F145,taux,7)*$E145,VLOOKUP($F145,taux,9)),MIN(VLOOKUP($F145,taux,7)*$E145,VLOOKUP($F145,taux,8))),-3)))))</f>
        <v>0</v>
      </c>
      <c r="O145" s="105">
        <f ca="1">IF(C145&gt;=70,0,IF($B145=" ",0,IF(Données!P185="non couvert"," ",Données!Q185)))</f>
        <v>0</v>
      </c>
      <c r="P145" s="106">
        <f>IF($B145=" ",0,IF(Données!$P185="exo",0,IF($O145="FAM",VLOOKUP($F145,taux,10),IF($O145="MONO",VLOOKUP($F145,taux,11),IF($O145="COUPLE",VLOOKUP($F145,taux,12),0)))))</f>
        <v>0</v>
      </c>
      <c r="Q145" s="107">
        <f ca="1">IF(C145&gt;=70,0,IF($B145=" ",0,IF(Données!$R185="NON COUVERT",0,ROUNDUP(IF(Données!$S185="OUI",MIN($E145*VLOOKUP($F145,taux,15)/52,VLOOKUP($F145,taux,17)),MIN($E145*VLOOKUP($F145,taux,15)/52,VLOOKUP($F145,taux,16))),0))))</f>
        <v>0</v>
      </c>
      <c r="R145" s="108">
        <f>IF($B145=" ",0,IF(Données!$R185="EXO",0,$Q145*VLOOKUP($F145,taux,13)/10))</f>
        <v>0</v>
      </c>
      <c r="S145" s="109">
        <f t="shared" ca="1" si="20"/>
        <v>0</v>
      </c>
      <c r="T145" s="110">
        <f>IF(B145=" ",0,IF(Données!$T185="exo",0,$S145*VLOOKUP($F145,taux,18)/100))</f>
        <v>0</v>
      </c>
      <c r="U145" s="109">
        <f>IF($B145=" ",0,IF(Données!$V185="non couvert",0,IF(VLOOKUP($F145,taux,29)="fixe","s/o",IF(Données!$W185="oui",MIN(ROUNDUP(VLOOKUP($F145,taux,31)*$E145,-3),VLOOKUP($F145,taux,33)),MIN(ROUNDUP(VLOOKUP($F145,taux,31)*$E145,-3),VLOOKUP($F145,taux,32))))))</f>
        <v>0</v>
      </c>
      <c r="V145" s="110">
        <f>IF(B145=" ",0,IF(Données!$V185="exo",0,IF(VLOOKUP($F145,taux,29)="fixe",VLOOKUP($F145,taux,30),$U145/1000*VLOOKUP($F145,taux,30))))</f>
        <v>0</v>
      </c>
      <c r="W145" s="110">
        <f t="shared" si="17"/>
        <v>0</v>
      </c>
      <c r="X145" s="383">
        <f>IF(B145=" ",0,EDATE((Données!E185),780))</f>
        <v>0</v>
      </c>
      <c r="Y145" s="383">
        <f t="shared" si="18"/>
        <v>0</v>
      </c>
      <c r="Z145" s="109">
        <f>IF($B145=" ",0,IF(Données!$T185="non couvert",0,IF(Données!$U185="oui",MIN(VLOOKUP($F145,taux,26),ROUNDUP(IF($E145/12&gt;VLOOKUP($F145,taux,21)+VLOOKUP($F145,taux,23),(VLOOKUP($F145,taux,20)*VLOOKUP($F145,taux,21))+(VLOOKUP($F145,taux,22)*VLOOKUP($F145,taux,23))+($E145/12-VLOOKUP($F145,taux,21)-VLOOKUP($F145,taux,23))*VLOOKUP($F145,taux,24),IF($E145/12&gt;VLOOKUP($F145,taux,21),(VLOOKUP($F145,taux,20)*VLOOKUP($F145,taux,21))+($E145/12-VLOOKUP($F145,taux,21))*VLOOKUP($F145,taux,22),$E145/12*VLOOKUP($F145,taux,20))),0)),MIN(VLOOKUP($F145,taux,25),ROUNDUP(IF($E145/12&gt;VLOOKUP($F145,taux,21)+VLOOKUP($F145,taux,23),(VLOOKUP($F145,taux,20)*VLOOKUP($F145,taux,21))+(VLOOKUP($F145,taux,22)*VLOOKUP($F145,taux,23))+($E145/12-VLOOKUP($F145,taux,21)-VLOOKUP($F145,taux,23))*VLOOKUP($F145,taux,24),IF($E145/12&gt;VLOOKUP($F145,taux,21),(VLOOKUP($F145,taux,20)*VLOOKUP($F145,taux,21))+($E145/12-VLOOKUP($F145,taux,21))*VLOOKUP($F145,taux,22),$E145/12*VLOOKUP($F145,taux,20))),0)))))</f>
        <v>0</v>
      </c>
      <c r="AA145" s="111">
        <f ca="1">IF(C145&gt;=70,0,IF($B145=" ",0,IF(Données!$X185="non couvert"," ",Données!Y185)))</f>
        <v>0</v>
      </c>
      <c r="AB145" s="110">
        <f>IF($B145=" ",0,IF(Données!$X185="exo",0,IF($AA145="ind",VLOOKUP($F145,taux,34),IF($AA145="fam",VLOOKUP($F145,taux,35),IF($AA145="mono",VLOOKUP($F145,taux,36),IF($AA145="couple",VLOOKUP($F145,taux,37),0))))))</f>
        <v>0</v>
      </c>
      <c r="AC145" s="111">
        <f ca="1">IF(C145&gt;=70,0,IF($B145=" ",0,IF(Données!$Z185="non couvert"," ",Données!AA185)))</f>
        <v>0</v>
      </c>
      <c r="AD145" s="110">
        <f>IF($B145=" ",0,IF(Données!$Z185="exo",0,IF($AC145="ind",VLOOKUP($F145,taux,38),IF($AC145="fam",VLOOKUP($F145,taux,39),IF($AC145="mono",VLOOKUP($F145,taux,40),IF($AC145="couple",VLOOKUP($F145,taux,41),0))))))</f>
        <v>0</v>
      </c>
      <c r="AE145" s="112">
        <f>IF($B145=" ",0,IF(Données!$AB185="non couvert"," ",Données!AC185))</f>
        <v>0</v>
      </c>
      <c r="AF145" s="113">
        <f>IF($B145=" ",0,IF(Données!$AB185="exo",0,IF($AE145="ind",VLOOKUP($F145,taux,42),IF($AE145="fam",VLOOKUP($F145,taux,43),IF($AE145="mono",VLOOKUP($F145,taux,44),IF($AE145="couple",VLOOKUP($F145,taux,45),0))))))</f>
        <v>0</v>
      </c>
      <c r="AG145" s="114">
        <f t="shared" ca="1" si="19"/>
        <v>0</v>
      </c>
      <c r="AH145" s="114">
        <f>IF($B145=" ",0,IF(Données!J185="Manitoba",(Facture!H145+Facture!J145+Facture!L145+Facture!P145+Facture!R145+Facture!T145)*0.08,(AG145-W145)*IF(Données!$J185="qc",0.09,IF(Données!$J185="on",0.08,0))+W145*VLOOKUP($F145,taux,28)))</f>
        <v>0</v>
      </c>
      <c r="AI145" s="106">
        <f t="shared" ca="1" si="16"/>
        <v>0</v>
      </c>
    </row>
    <row r="146" spans="1:35" s="64" customFormat="1">
      <c r="A146" s="90">
        <f t="shared" si="21"/>
        <v>132</v>
      </c>
      <c r="B146" s="99" t="str">
        <f>CONCATENATE(Données!B186," ",Données!C186)</f>
        <v xml:space="preserve"> </v>
      </c>
      <c r="C146" s="410">
        <f ca="1">IF(B146="",0,INT((TODAY()-Données!E186)/365.25))</f>
        <v>119</v>
      </c>
      <c r="D146" s="100">
        <f>Données!D186</f>
        <v>0</v>
      </c>
      <c r="E146" s="101">
        <f>Données!I186</f>
        <v>0</v>
      </c>
      <c r="F146" s="102" t="str">
        <f>Données!AD186</f>
        <v/>
      </c>
      <c r="G146" s="103">
        <f ca="1">INDEX({1;0.5;0},MATCH(C146,{1;65;70}))*M146</f>
        <v>0</v>
      </c>
      <c r="H146" s="104">
        <f>IF($B146=" ",0,IF(Données!$K186="exo",0,$G146/1000*VLOOKUP($F146,taux,2)))</f>
        <v>0</v>
      </c>
      <c r="I146" s="398">
        <f ca="1">IF(C146&gt;=65,0,Données!M186*5000)</f>
        <v>0</v>
      </c>
      <c r="J146" s="104">
        <f ca="1">I146/1000*(IF(I146=0,0,1)*VLOOKUP((1+(C146&gt;=20)+(C146&gt;=25)+(C146&gt;=30)+(C146&gt;=35)+(C146&gt;=40)+(C146&gt;=45)+(C146&gt;=50)+(C146&gt;=55)+(C146&gt;=60)+(C146&gt;=65)),Test,2+(IF(Données!F186="H",1,3))+(IF(Données!G186="F",1,0))))</f>
        <v>0</v>
      </c>
      <c r="K146" s="103">
        <f ca="1">INDEX({1;0.5;0},MATCH(C146,{1;65;70}))*M146</f>
        <v>0</v>
      </c>
      <c r="L146" s="104">
        <f>IF($B146=" ",0,IF(Données!$N186="exo",0,$K146/1000*VLOOKUP($F146,taux,6)))</f>
        <v>0</v>
      </c>
      <c r="M146" s="379">
        <f>IF($B146=" ",0,IF(Données!$K186="NON COUVERT",0,IF(AND(Données!$L186="oui",Données!$K186=0.5),MIN(VLOOKUP($F146,taux,5)/2,ROUNDUP(VLOOKUP($F146,taux,3)*$E146,-3)/2),IF(Données!$K186=0.5,MIN(VLOOKUP($F146,taux,4)/2,ROUNDUP(VLOOKUP($F146,taux,3)*$E146,-3)/2),ROUNDUP(IF(Données!$L186="OUI",MIN(VLOOKUP($F146,taux,3)*$E146,VLOOKUP($F146,taux,5)),MIN(VLOOKUP($F146,taux,3)*$E146,VLOOKUP($F146,taux,4))),-3)))))</f>
        <v>0</v>
      </c>
      <c r="N146" s="379">
        <f>IF($B146=" ",0,IF(Données!$N186="NON COUVERT",0,IF(AND(Données!$O186="oui",Données!$N186=0.5),MIN(VLOOKUP($F146,taux,9)/2,ROUNDUP(VLOOKUP($F146,taux,7)*$E146,-3)/2),IF(Données!$N186=0.5,MIN(VLOOKUP($F146,taux,8)/2,ROUNDUP(VLOOKUP($F146,taux,7)*$E146,-3)/2),ROUNDUP(IF(Données!$O186="OUI",MIN(VLOOKUP($F146,taux,7)*$E146,VLOOKUP($F146,taux,9)),MIN(VLOOKUP($F146,taux,7)*$E146,VLOOKUP($F146,taux,8))),-3)))))</f>
        <v>0</v>
      </c>
      <c r="O146" s="105">
        <f ca="1">IF(C146&gt;=70,0,IF($B146=" ",0,IF(Données!P186="non couvert"," ",Données!Q186)))</f>
        <v>0</v>
      </c>
      <c r="P146" s="106">
        <f>IF($B146=" ",0,IF(Données!$P186="exo",0,IF($O146="FAM",VLOOKUP($F146,taux,10),IF($O146="MONO",VLOOKUP($F146,taux,11),IF($O146="COUPLE",VLOOKUP($F146,taux,12),0)))))</f>
        <v>0</v>
      </c>
      <c r="Q146" s="107">
        <f ca="1">IF(C146&gt;=70,0,IF($B146=" ",0,IF(Données!$R186="NON COUVERT",0,ROUNDUP(IF(Données!$S186="OUI",MIN($E146*VLOOKUP($F146,taux,15)/52,VLOOKUP($F146,taux,17)),MIN($E146*VLOOKUP($F146,taux,15)/52,VLOOKUP($F146,taux,16))),0))))</f>
        <v>0</v>
      </c>
      <c r="R146" s="108">
        <f>IF($B146=" ",0,IF(Données!$R186="EXO",0,$Q146*VLOOKUP($F146,taux,13)/10))</f>
        <v>0</v>
      </c>
      <c r="S146" s="109">
        <f t="shared" ca="1" si="20"/>
        <v>0</v>
      </c>
      <c r="T146" s="110">
        <f>IF(B146=" ",0,IF(Données!$T186="exo",0,$S146*VLOOKUP($F146,taux,18)/100))</f>
        <v>0</v>
      </c>
      <c r="U146" s="109">
        <f>IF($B146=" ",0,IF(Données!$V186="non couvert",0,IF(VLOOKUP($F146,taux,29)="fixe","s/o",IF(Données!$W186="oui",MIN(ROUNDUP(VLOOKUP($F146,taux,31)*$E146,-3),VLOOKUP($F146,taux,33)),MIN(ROUNDUP(VLOOKUP($F146,taux,31)*$E146,-3),VLOOKUP($F146,taux,32))))))</f>
        <v>0</v>
      </c>
      <c r="V146" s="110">
        <f>IF(B146=" ",0,IF(Données!$V186="exo",0,IF(VLOOKUP($F146,taux,29)="fixe",VLOOKUP($F146,taux,30),$U146/1000*VLOOKUP($F146,taux,30))))</f>
        <v>0</v>
      </c>
      <c r="W146" s="110">
        <f t="shared" si="17"/>
        <v>0</v>
      </c>
      <c r="X146" s="383">
        <f>IF(B146=" ",0,EDATE((Données!E186),780))</f>
        <v>0</v>
      </c>
      <c r="Y146" s="383">
        <f t="shared" si="18"/>
        <v>0</v>
      </c>
      <c r="Z146" s="109">
        <f>IF($B146=" ",0,IF(Données!$T186="non couvert",0,IF(Données!$U186="oui",MIN(VLOOKUP($F146,taux,26),ROUNDUP(IF($E146/12&gt;VLOOKUP($F146,taux,21)+VLOOKUP($F146,taux,23),(VLOOKUP($F146,taux,20)*VLOOKUP($F146,taux,21))+(VLOOKUP($F146,taux,22)*VLOOKUP($F146,taux,23))+($E146/12-VLOOKUP($F146,taux,21)-VLOOKUP($F146,taux,23))*VLOOKUP($F146,taux,24),IF($E146/12&gt;VLOOKUP($F146,taux,21),(VLOOKUP($F146,taux,20)*VLOOKUP($F146,taux,21))+($E146/12-VLOOKUP($F146,taux,21))*VLOOKUP($F146,taux,22),$E146/12*VLOOKUP($F146,taux,20))),0)),MIN(VLOOKUP($F146,taux,25),ROUNDUP(IF($E146/12&gt;VLOOKUP($F146,taux,21)+VLOOKUP($F146,taux,23),(VLOOKUP($F146,taux,20)*VLOOKUP($F146,taux,21))+(VLOOKUP($F146,taux,22)*VLOOKUP($F146,taux,23))+($E146/12-VLOOKUP($F146,taux,21)-VLOOKUP($F146,taux,23))*VLOOKUP($F146,taux,24),IF($E146/12&gt;VLOOKUP($F146,taux,21),(VLOOKUP($F146,taux,20)*VLOOKUP($F146,taux,21))+($E146/12-VLOOKUP($F146,taux,21))*VLOOKUP($F146,taux,22),$E146/12*VLOOKUP($F146,taux,20))),0)))))</f>
        <v>0</v>
      </c>
      <c r="AA146" s="111">
        <f ca="1">IF(C146&gt;=70,0,IF($B146=" ",0,IF(Données!$X186="non couvert"," ",Données!Y186)))</f>
        <v>0</v>
      </c>
      <c r="AB146" s="110">
        <f>IF($B146=" ",0,IF(Données!$X186="exo",0,IF($AA146="ind",VLOOKUP($F146,taux,34),IF($AA146="fam",VLOOKUP($F146,taux,35),IF($AA146="mono",VLOOKUP($F146,taux,36),IF($AA146="couple",VLOOKUP($F146,taux,37),0))))))</f>
        <v>0</v>
      </c>
      <c r="AC146" s="111">
        <f ca="1">IF(C146&gt;=70,0,IF($B146=" ",0,IF(Données!$Z186="non couvert"," ",Données!AA186)))</f>
        <v>0</v>
      </c>
      <c r="AD146" s="110">
        <f>IF($B146=" ",0,IF(Données!$Z186="exo",0,IF($AC146="ind",VLOOKUP($F146,taux,38),IF($AC146="fam",VLOOKUP($F146,taux,39),IF($AC146="mono",VLOOKUP($F146,taux,40),IF($AC146="couple",VLOOKUP($F146,taux,41),0))))))</f>
        <v>0</v>
      </c>
      <c r="AE146" s="112">
        <f>IF($B146=" ",0,IF(Données!$AB186="non couvert"," ",Données!AC186))</f>
        <v>0</v>
      </c>
      <c r="AF146" s="113">
        <f>IF($B146=" ",0,IF(Données!$AB186="exo",0,IF($AE146="ind",VLOOKUP($F146,taux,42),IF($AE146="fam",VLOOKUP($F146,taux,43),IF($AE146="mono",VLOOKUP($F146,taux,44),IF($AE146="couple",VLOOKUP($F146,taux,45),0))))))</f>
        <v>0</v>
      </c>
      <c r="AG146" s="114">
        <f t="shared" ca="1" si="19"/>
        <v>0</v>
      </c>
      <c r="AH146" s="114">
        <f>IF($B146=" ",0,IF(Données!J186="Manitoba",(Facture!H146+Facture!J146+Facture!L146+Facture!P146+Facture!R146+Facture!T146)*0.08,(AG146-W146)*IF(Données!$J186="qc",0.09,IF(Données!$J186="on",0.08,0))+W146*VLOOKUP($F146,taux,28)))</f>
        <v>0</v>
      </c>
      <c r="AI146" s="106">
        <f t="shared" ca="1" si="16"/>
        <v>0</v>
      </c>
    </row>
    <row r="147" spans="1:35" s="64" customFormat="1">
      <c r="A147" s="90">
        <f t="shared" si="21"/>
        <v>133</v>
      </c>
      <c r="B147" s="99" t="str">
        <f>CONCATENATE(Données!B187," ",Données!C187)</f>
        <v xml:space="preserve"> </v>
      </c>
      <c r="C147" s="410">
        <f ca="1">IF(B147="",0,INT((TODAY()-Données!E187)/365.25))</f>
        <v>119</v>
      </c>
      <c r="D147" s="100">
        <f>Données!D187</f>
        <v>0</v>
      </c>
      <c r="E147" s="101">
        <f>Données!I187</f>
        <v>0</v>
      </c>
      <c r="F147" s="102" t="str">
        <f>Données!AD187</f>
        <v/>
      </c>
      <c r="G147" s="103">
        <f ca="1">INDEX({1;0.5;0},MATCH(C147,{1;65;70}))*M147</f>
        <v>0</v>
      </c>
      <c r="H147" s="104">
        <f>IF($B147=" ",0,IF(Données!$K187="exo",0,$G147/1000*VLOOKUP($F147,taux,2)))</f>
        <v>0</v>
      </c>
      <c r="I147" s="398">
        <f ca="1">IF(C147&gt;=65,0,Données!M187*5000)</f>
        <v>0</v>
      </c>
      <c r="J147" s="104">
        <f ca="1">I147/1000*(IF(I147=0,0,1)*VLOOKUP((1+(C147&gt;=20)+(C147&gt;=25)+(C147&gt;=30)+(C147&gt;=35)+(C147&gt;=40)+(C147&gt;=45)+(C147&gt;=50)+(C147&gt;=55)+(C147&gt;=60)+(C147&gt;=65)),Test,2+(IF(Données!F187="H",1,3))+(IF(Données!G187="F",1,0))))</f>
        <v>0</v>
      </c>
      <c r="K147" s="103">
        <f ca="1">INDEX({1;0.5;0},MATCH(C147,{1;65;70}))*M147</f>
        <v>0</v>
      </c>
      <c r="L147" s="104">
        <f>IF($B147=" ",0,IF(Données!$N187="exo",0,$K147/1000*VLOOKUP($F147,taux,6)))</f>
        <v>0</v>
      </c>
      <c r="M147" s="379">
        <f>IF($B147=" ",0,IF(Données!$K187="NON COUVERT",0,IF(AND(Données!$L187="oui",Données!$K187=0.5),MIN(VLOOKUP($F147,taux,5)/2,ROUNDUP(VLOOKUP($F147,taux,3)*$E147,-3)/2),IF(Données!$K187=0.5,MIN(VLOOKUP($F147,taux,4)/2,ROUNDUP(VLOOKUP($F147,taux,3)*$E147,-3)/2),ROUNDUP(IF(Données!$L187="OUI",MIN(VLOOKUP($F147,taux,3)*$E147,VLOOKUP($F147,taux,5)),MIN(VLOOKUP($F147,taux,3)*$E147,VLOOKUP($F147,taux,4))),-3)))))</f>
        <v>0</v>
      </c>
      <c r="N147" s="379">
        <f>IF($B147=" ",0,IF(Données!$N187="NON COUVERT",0,IF(AND(Données!$O187="oui",Données!$N187=0.5),MIN(VLOOKUP($F147,taux,9)/2,ROUNDUP(VLOOKUP($F147,taux,7)*$E147,-3)/2),IF(Données!$N187=0.5,MIN(VLOOKUP($F147,taux,8)/2,ROUNDUP(VLOOKUP($F147,taux,7)*$E147,-3)/2),ROUNDUP(IF(Données!$O187="OUI",MIN(VLOOKUP($F147,taux,7)*$E147,VLOOKUP($F147,taux,9)),MIN(VLOOKUP($F147,taux,7)*$E147,VLOOKUP($F147,taux,8))),-3)))))</f>
        <v>0</v>
      </c>
      <c r="O147" s="105">
        <f ca="1">IF(C147&gt;=70,0,IF($B147=" ",0,IF(Données!P187="non couvert"," ",Données!Q187)))</f>
        <v>0</v>
      </c>
      <c r="P147" s="106">
        <f>IF($B147=" ",0,IF(Données!$P187="exo",0,IF($O147="FAM",VLOOKUP($F147,taux,10),IF($O147="MONO",VLOOKUP($F147,taux,11),IF($O147="COUPLE",VLOOKUP($F147,taux,12),0)))))</f>
        <v>0</v>
      </c>
      <c r="Q147" s="107">
        <f ca="1">IF(C147&gt;=70,0,IF($B147=" ",0,IF(Données!$R187="NON COUVERT",0,ROUNDUP(IF(Données!$S187="OUI",MIN($E147*VLOOKUP($F147,taux,15)/52,VLOOKUP($F147,taux,17)),MIN($E147*VLOOKUP($F147,taux,15)/52,VLOOKUP($F147,taux,16))),0))))</f>
        <v>0</v>
      </c>
      <c r="R147" s="108">
        <f>IF($B147=" ",0,IF(Données!$R187="EXO",0,$Q147*VLOOKUP($F147,taux,13)/10))</f>
        <v>0</v>
      </c>
      <c r="S147" s="109">
        <f t="shared" ca="1" si="20"/>
        <v>0</v>
      </c>
      <c r="T147" s="110">
        <f>IF(B147=" ",0,IF(Données!$T187="exo",0,$S147*VLOOKUP($F147,taux,18)/100))</f>
        <v>0</v>
      </c>
      <c r="U147" s="109">
        <f>IF($B147=" ",0,IF(Données!$V187="non couvert",0,IF(VLOOKUP($F147,taux,29)="fixe","s/o",IF(Données!$W187="oui",MIN(ROUNDUP(VLOOKUP($F147,taux,31)*$E147,-3),VLOOKUP($F147,taux,33)),MIN(ROUNDUP(VLOOKUP($F147,taux,31)*$E147,-3),VLOOKUP($F147,taux,32))))))</f>
        <v>0</v>
      </c>
      <c r="V147" s="110">
        <f>IF(B147=" ",0,IF(Données!$V187="exo",0,IF(VLOOKUP($F147,taux,29)="fixe",VLOOKUP($F147,taux,30),$U147/1000*VLOOKUP($F147,taux,30))))</f>
        <v>0</v>
      </c>
      <c r="W147" s="110">
        <f t="shared" si="17"/>
        <v>0</v>
      </c>
      <c r="X147" s="383">
        <f>IF(B147=" ",0,EDATE((Données!E187),780))</f>
        <v>0</v>
      </c>
      <c r="Y147" s="383">
        <f t="shared" si="18"/>
        <v>0</v>
      </c>
      <c r="Z147" s="109">
        <f>IF($B147=" ",0,IF(Données!$T187="non couvert",0,IF(Données!$U187="oui",MIN(VLOOKUP($F147,taux,26),ROUNDUP(IF($E147/12&gt;VLOOKUP($F147,taux,21)+VLOOKUP($F147,taux,23),(VLOOKUP($F147,taux,20)*VLOOKUP($F147,taux,21))+(VLOOKUP($F147,taux,22)*VLOOKUP($F147,taux,23))+($E147/12-VLOOKUP($F147,taux,21)-VLOOKUP($F147,taux,23))*VLOOKUP($F147,taux,24),IF($E147/12&gt;VLOOKUP($F147,taux,21),(VLOOKUP($F147,taux,20)*VLOOKUP($F147,taux,21))+($E147/12-VLOOKUP($F147,taux,21))*VLOOKUP($F147,taux,22),$E147/12*VLOOKUP($F147,taux,20))),0)),MIN(VLOOKUP($F147,taux,25),ROUNDUP(IF($E147/12&gt;VLOOKUP($F147,taux,21)+VLOOKUP($F147,taux,23),(VLOOKUP($F147,taux,20)*VLOOKUP($F147,taux,21))+(VLOOKUP($F147,taux,22)*VLOOKUP($F147,taux,23))+($E147/12-VLOOKUP($F147,taux,21)-VLOOKUP($F147,taux,23))*VLOOKUP($F147,taux,24),IF($E147/12&gt;VLOOKUP($F147,taux,21),(VLOOKUP($F147,taux,20)*VLOOKUP($F147,taux,21))+($E147/12-VLOOKUP($F147,taux,21))*VLOOKUP($F147,taux,22),$E147/12*VLOOKUP($F147,taux,20))),0)))))</f>
        <v>0</v>
      </c>
      <c r="AA147" s="111">
        <f ca="1">IF(C147&gt;=70,0,IF($B147=" ",0,IF(Données!$X187="non couvert"," ",Données!Y187)))</f>
        <v>0</v>
      </c>
      <c r="AB147" s="110">
        <f>IF($B147=" ",0,IF(Données!$X187="exo",0,IF($AA147="ind",VLOOKUP($F147,taux,34),IF($AA147="fam",VLOOKUP($F147,taux,35),IF($AA147="mono",VLOOKUP($F147,taux,36),IF($AA147="couple",VLOOKUP($F147,taux,37),0))))))</f>
        <v>0</v>
      </c>
      <c r="AC147" s="111">
        <f ca="1">IF(C147&gt;=70,0,IF($B147=" ",0,IF(Données!$Z187="non couvert"," ",Données!AA187)))</f>
        <v>0</v>
      </c>
      <c r="AD147" s="110">
        <f>IF($B147=" ",0,IF(Données!$Z187="exo",0,IF($AC147="ind",VLOOKUP($F147,taux,38),IF($AC147="fam",VLOOKUP($F147,taux,39),IF($AC147="mono",VLOOKUP($F147,taux,40),IF($AC147="couple",VLOOKUP($F147,taux,41),0))))))</f>
        <v>0</v>
      </c>
      <c r="AE147" s="112">
        <f>IF($B147=" ",0,IF(Données!$AB187="non couvert"," ",Données!AC187))</f>
        <v>0</v>
      </c>
      <c r="AF147" s="113">
        <f>IF($B147=" ",0,IF(Données!$AB187="exo",0,IF($AE147="ind",VLOOKUP($F147,taux,42),IF($AE147="fam",VLOOKUP($F147,taux,43),IF($AE147="mono",VLOOKUP($F147,taux,44),IF($AE147="couple",VLOOKUP($F147,taux,45),0))))))</f>
        <v>0</v>
      </c>
      <c r="AG147" s="114">
        <f t="shared" ca="1" si="19"/>
        <v>0</v>
      </c>
      <c r="AH147" s="114">
        <f>IF($B147=" ",0,IF(Données!J187="Manitoba",(Facture!H147+Facture!J147+Facture!L147+Facture!P147+Facture!R147+Facture!T147)*0.08,(AG147-W147)*IF(Données!$J187="qc",0.09,IF(Données!$J187="on",0.08,0))+W147*VLOOKUP($F147,taux,28)))</f>
        <v>0</v>
      </c>
      <c r="AI147" s="106">
        <f t="shared" ca="1" si="16"/>
        <v>0</v>
      </c>
    </row>
    <row r="148" spans="1:35" s="64" customFormat="1">
      <c r="A148" s="90">
        <f t="shared" si="21"/>
        <v>134</v>
      </c>
      <c r="B148" s="99" t="str">
        <f>CONCATENATE(Données!B188," ",Données!C188)</f>
        <v xml:space="preserve"> </v>
      </c>
      <c r="C148" s="410">
        <f ca="1">IF(B148="",0,INT((TODAY()-Données!E188)/365.25))</f>
        <v>119</v>
      </c>
      <c r="D148" s="100">
        <f>Données!D188</f>
        <v>0</v>
      </c>
      <c r="E148" s="101">
        <f>Données!I188</f>
        <v>0</v>
      </c>
      <c r="F148" s="102" t="str">
        <f>Données!AD188</f>
        <v/>
      </c>
      <c r="G148" s="103">
        <f ca="1">INDEX({1;0.5;0},MATCH(C148,{1;65;70}))*M148</f>
        <v>0</v>
      </c>
      <c r="H148" s="104">
        <f>IF($B148=" ",0,IF(Données!$K188="exo",0,$G148/1000*VLOOKUP($F148,taux,2)))</f>
        <v>0</v>
      </c>
      <c r="I148" s="398">
        <f ca="1">IF(C148&gt;=65,0,Données!M188*5000)</f>
        <v>0</v>
      </c>
      <c r="J148" s="104">
        <f ca="1">I148/1000*(IF(I148=0,0,1)*VLOOKUP((1+(C148&gt;=20)+(C148&gt;=25)+(C148&gt;=30)+(C148&gt;=35)+(C148&gt;=40)+(C148&gt;=45)+(C148&gt;=50)+(C148&gt;=55)+(C148&gt;=60)+(C148&gt;=65)),Test,2+(IF(Données!F188="H",1,3))+(IF(Données!G188="F",1,0))))</f>
        <v>0</v>
      </c>
      <c r="K148" s="103">
        <f ca="1">INDEX({1;0.5;0},MATCH(C148,{1;65;70}))*M148</f>
        <v>0</v>
      </c>
      <c r="L148" s="104">
        <f>IF($B148=" ",0,IF(Données!$N188="exo",0,$K148/1000*VLOOKUP($F148,taux,6)))</f>
        <v>0</v>
      </c>
      <c r="M148" s="379">
        <f>IF($B148=" ",0,IF(Données!$K188="NON COUVERT",0,IF(AND(Données!$L188="oui",Données!$K188=0.5),MIN(VLOOKUP($F148,taux,5)/2,ROUNDUP(VLOOKUP($F148,taux,3)*$E148,-3)/2),IF(Données!$K188=0.5,MIN(VLOOKUP($F148,taux,4)/2,ROUNDUP(VLOOKUP($F148,taux,3)*$E148,-3)/2),ROUNDUP(IF(Données!$L188="OUI",MIN(VLOOKUP($F148,taux,3)*$E148,VLOOKUP($F148,taux,5)),MIN(VLOOKUP($F148,taux,3)*$E148,VLOOKUP($F148,taux,4))),-3)))))</f>
        <v>0</v>
      </c>
      <c r="N148" s="379">
        <f>IF($B148=" ",0,IF(Données!$N188="NON COUVERT",0,IF(AND(Données!$O188="oui",Données!$N188=0.5),MIN(VLOOKUP($F148,taux,9)/2,ROUNDUP(VLOOKUP($F148,taux,7)*$E148,-3)/2),IF(Données!$N188=0.5,MIN(VLOOKUP($F148,taux,8)/2,ROUNDUP(VLOOKUP($F148,taux,7)*$E148,-3)/2),ROUNDUP(IF(Données!$O188="OUI",MIN(VLOOKUP($F148,taux,7)*$E148,VLOOKUP($F148,taux,9)),MIN(VLOOKUP($F148,taux,7)*$E148,VLOOKUP($F148,taux,8))),-3)))))</f>
        <v>0</v>
      </c>
      <c r="O148" s="105">
        <f ca="1">IF(C148&gt;=70,0,IF($B148=" ",0,IF(Données!P188="non couvert"," ",Données!Q188)))</f>
        <v>0</v>
      </c>
      <c r="P148" s="106">
        <f>IF($B148=" ",0,IF(Données!$P188="exo",0,IF($O148="FAM",VLOOKUP($F148,taux,10),IF($O148="MONO",VLOOKUP($F148,taux,11),IF($O148="COUPLE",VLOOKUP($F148,taux,12),0)))))</f>
        <v>0</v>
      </c>
      <c r="Q148" s="107">
        <f ca="1">IF(C148&gt;=70,0,IF($B148=" ",0,IF(Données!$R188="NON COUVERT",0,ROUNDUP(IF(Données!$S188="OUI",MIN($E148*VLOOKUP($F148,taux,15)/52,VLOOKUP($F148,taux,17)),MIN($E148*VLOOKUP($F148,taux,15)/52,VLOOKUP($F148,taux,16))),0))))</f>
        <v>0</v>
      </c>
      <c r="R148" s="108">
        <f>IF($B148=" ",0,IF(Données!$R188="EXO",0,$Q148*VLOOKUP($F148,taux,13)/10))</f>
        <v>0</v>
      </c>
      <c r="S148" s="109">
        <f t="shared" ca="1" si="20"/>
        <v>0</v>
      </c>
      <c r="T148" s="110">
        <f>IF(B148=" ",0,IF(Données!$T188="exo",0,$S148*VLOOKUP($F148,taux,18)/100))</f>
        <v>0</v>
      </c>
      <c r="U148" s="109">
        <f>IF($B148=" ",0,IF(Données!$V188="non couvert",0,IF(VLOOKUP($F148,taux,29)="fixe","s/o",IF(Données!$W188="oui",MIN(ROUNDUP(VLOOKUP($F148,taux,31)*$E148,-3),VLOOKUP($F148,taux,33)),MIN(ROUNDUP(VLOOKUP($F148,taux,31)*$E148,-3),VLOOKUP($F148,taux,32))))))</f>
        <v>0</v>
      </c>
      <c r="V148" s="110">
        <f>IF(B148=" ",0,IF(Données!$V188="exo",0,IF(VLOOKUP($F148,taux,29)="fixe",VLOOKUP($F148,taux,30),$U148/1000*VLOOKUP($F148,taux,30))))</f>
        <v>0</v>
      </c>
      <c r="W148" s="110">
        <f t="shared" si="17"/>
        <v>0</v>
      </c>
      <c r="X148" s="383">
        <f>IF(B148=" ",0,EDATE((Données!E188),780))</f>
        <v>0</v>
      </c>
      <c r="Y148" s="383">
        <f t="shared" si="18"/>
        <v>0</v>
      </c>
      <c r="Z148" s="109">
        <f>IF($B148=" ",0,IF(Données!$T188="non couvert",0,IF(Données!$U188="oui",MIN(VLOOKUP($F148,taux,26),ROUNDUP(IF($E148/12&gt;VLOOKUP($F148,taux,21)+VLOOKUP($F148,taux,23),(VLOOKUP($F148,taux,20)*VLOOKUP($F148,taux,21))+(VLOOKUP($F148,taux,22)*VLOOKUP($F148,taux,23))+($E148/12-VLOOKUP($F148,taux,21)-VLOOKUP($F148,taux,23))*VLOOKUP($F148,taux,24),IF($E148/12&gt;VLOOKUP($F148,taux,21),(VLOOKUP($F148,taux,20)*VLOOKUP($F148,taux,21))+($E148/12-VLOOKUP($F148,taux,21))*VLOOKUP($F148,taux,22),$E148/12*VLOOKUP($F148,taux,20))),0)),MIN(VLOOKUP($F148,taux,25),ROUNDUP(IF($E148/12&gt;VLOOKUP($F148,taux,21)+VLOOKUP($F148,taux,23),(VLOOKUP($F148,taux,20)*VLOOKUP($F148,taux,21))+(VLOOKUP($F148,taux,22)*VLOOKUP($F148,taux,23))+($E148/12-VLOOKUP($F148,taux,21)-VLOOKUP($F148,taux,23))*VLOOKUP($F148,taux,24),IF($E148/12&gt;VLOOKUP($F148,taux,21),(VLOOKUP($F148,taux,20)*VLOOKUP($F148,taux,21))+($E148/12-VLOOKUP($F148,taux,21))*VLOOKUP($F148,taux,22),$E148/12*VLOOKUP($F148,taux,20))),0)))))</f>
        <v>0</v>
      </c>
      <c r="AA148" s="111">
        <f ca="1">IF(C148&gt;=70,0,IF($B148=" ",0,IF(Données!$X188="non couvert"," ",Données!Y188)))</f>
        <v>0</v>
      </c>
      <c r="AB148" s="110">
        <f>IF($B148=" ",0,IF(Données!$X188="exo",0,IF($AA148="ind",VLOOKUP($F148,taux,34),IF($AA148="fam",VLOOKUP($F148,taux,35),IF($AA148="mono",VLOOKUP($F148,taux,36),IF($AA148="couple",VLOOKUP($F148,taux,37),0))))))</f>
        <v>0</v>
      </c>
      <c r="AC148" s="111">
        <f ca="1">IF(C148&gt;=70,0,IF($B148=" ",0,IF(Données!$Z188="non couvert"," ",Données!AA188)))</f>
        <v>0</v>
      </c>
      <c r="AD148" s="110">
        <f>IF($B148=" ",0,IF(Données!$Z188="exo",0,IF($AC148="ind",VLOOKUP($F148,taux,38),IF($AC148="fam",VLOOKUP($F148,taux,39),IF($AC148="mono",VLOOKUP($F148,taux,40),IF($AC148="couple",VLOOKUP($F148,taux,41),0))))))</f>
        <v>0</v>
      </c>
      <c r="AE148" s="112">
        <f>IF($B148=" ",0,IF(Données!$AB188="non couvert"," ",Données!AC188))</f>
        <v>0</v>
      </c>
      <c r="AF148" s="113">
        <f>IF($B148=" ",0,IF(Données!$AB188="exo",0,IF($AE148="ind",VLOOKUP($F148,taux,42),IF($AE148="fam",VLOOKUP($F148,taux,43),IF($AE148="mono",VLOOKUP($F148,taux,44),IF($AE148="couple",VLOOKUP($F148,taux,45),0))))))</f>
        <v>0</v>
      </c>
      <c r="AG148" s="114">
        <f t="shared" ca="1" si="19"/>
        <v>0</v>
      </c>
      <c r="AH148" s="114">
        <f>IF($B148=" ",0,IF(Données!J188="Manitoba",(Facture!H148+Facture!J148+Facture!L148+Facture!P148+Facture!R148+Facture!T148)*0.08,(AG148-W148)*IF(Données!$J188="qc",0.09,IF(Données!$J188="on",0.08,0))+W148*VLOOKUP($F148,taux,28)))</f>
        <v>0</v>
      </c>
      <c r="AI148" s="106">
        <f t="shared" ca="1" si="16"/>
        <v>0</v>
      </c>
    </row>
    <row r="149" spans="1:35" s="64" customFormat="1">
      <c r="A149" s="90">
        <f t="shared" si="21"/>
        <v>135</v>
      </c>
      <c r="B149" s="99" t="str">
        <f>CONCATENATE(Données!B189," ",Données!C189)</f>
        <v xml:space="preserve"> </v>
      </c>
      <c r="C149" s="410">
        <f ca="1">IF(B149="",0,INT((TODAY()-Données!E189)/365.25))</f>
        <v>119</v>
      </c>
      <c r="D149" s="100">
        <f>Données!D189</f>
        <v>0</v>
      </c>
      <c r="E149" s="101">
        <f>Données!I189</f>
        <v>0</v>
      </c>
      <c r="F149" s="102" t="str">
        <f>Données!AD189</f>
        <v/>
      </c>
      <c r="G149" s="103">
        <f ca="1">INDEX({1;0.5;0},MATCH(C149,{1;65;70}))*M149</f>
        <v>0</v>
      </c>
      <c r="H149" s="104">
        <f>IF($B149=" ",0,IF(Données!$K189="exo",0,$G149/1000*VLOOKUP($F149,taux,2)))</f>
        <v>0</v>
      </c>
      <c r="I149" s="398">
        <f ca="1">IF(C149&gt;=65,0,Données!M189*5000)</f>
        <v>0</v>
      </c>
      <c r="J149" s="104">
        <f ca="1">I149/1000*(IF(I149=0,0,1)*VLOOKUP((1+(C149&gt;=20)+(C149&gt;=25)+(C149&gt;=30)+(C149&gt;=35)+(C149&gt;=40)+(C149&gt;=45)+(C149&gt;=50)+(C149&gt;=55)+(C149&gt;=60)+(C149&gt;=65)),Test,2+(IF(Données!F189="H",1,3))+(IF(Données!G189="F",1,0))))</f>
        <v>0</v>
      </c>
      <c r="K149" s="103">
        <f ca="1">INDEX({1;0.5;0},MATCH(C149,{1;65;70}))*M149</f>
        <v>0</v>
      </c>
      <c r="L149" s="104">
        <f>IF($B149=" ",0,IF(Données!$N189="exo",0,$K149/1000*VLOOKUP($F149,taux,6)))</f>
        <v>0</v>
      </c>
      <c r="M149" s="379">
        <f>IF($B149=" ",0,IF(Données!$K189="NON COUVERT",0,IF(AND(Données!$L189="oui",Données!$K189=0.5),MIN(VLOOKUP($F149,taux,5)/2,ROUNDUP(VLOOKUP($F149,taux,3)*$E149,-3)/2),IF(Données!$K189=0.5,MIN(VLOOKUP($F149,taux,4)/2,ROUNDUP(VLOOKUP($F149,taux,3)*$E149,-3)/2),ROUNDUP(IF(Données!$L189="OUI",MIN(VLOOKUP($F149,taux,3)*$E149,VLOOKUP($F149,taux,5)),MIN(VLOOKUP($F149,taux,3)*$E149,VLOOKUP($F149,taux,4))),-3)))))</f>
        <v>0</v>
      </c>
      <c r="N149" s="379">
        <f>IF($B149=" ",0,IF(Données!$N189="NON COUVERT",0,IF(AND(Données!$O189="oui",Données!$N189=0.5),MIN(VLOOKUP($F149,taux,9)/2,ROUNDUP(VLOOKUP($F149,taux,7)*$E149,-3)/2),IF(Données!$N189=0.5,MIN(VLOOKUP($F149,taux,8)/2,ROUNDUP(VLOOKUP($F149,taux,7)*$E149,-3)/2),ROUNDUP(IF(Données!$O189="OUI",MIN(VLOOKUP($F149,taux,7)*$E149,VLOOKUP($F149,taux,9)),MIN(VLOOKUP($F149,taux,7)*$E149,VLOOKUP($F149,taux,8))),-3)))))</f>
        <v>0</v>
      </c>
      <c r="O149" s="105">
        <f ca="1">IF(C149&gt;=70,0,IF($B149=" ",0,IF(Données!P189="non couvert"," ",Données!Q189)))</f>
        <v>0</v>
      </c>
      <c r="P149" s="106">
        <f>IF($B149=" ",0,IF(Données!$P189="exo",0,IF($O149="FAM",VLOOKUP($F149,taux,10),IF($O149="MONO",VLOOKUP($F149,taux,11),IF($O149="COUPLE",VLOOKUP($F149,taux,12),0)))))</f>
        <v>0</v>
      </c>
      <c r="Q149" s="107">
        <f ca="1">IF(C149&gt;=70,0,IF($B149=" ",0,IF(Données!$R189="NON COUVERT",0,ROUNDUP(IF(Données!$S189="OUI",MIN($E149*VLOOKUP($F149,taux,15)/52,VLOOKUP($F149,taux,17)),MIN($E149*VLOOKUP($F149,taux,15)/52,VLOOKUP($F149,taux,16))),0))))</f>
        <v>0</v>
      </c>
      <c r="R149" s="108">
        <f>IF($B149=" ",0,IF(Données!$R189="EXO",0,$Q149*VLOOKUP($F149,taux,13)/10))</f>
        <v>0</v>
      </c>
      <c r="S149" s="109">
        <f t="shared" ca="1" si="20"/>
        <v>0</v>
      </c>
      <c r="T149" s="110">
        <f>IF(B149=" ",0,IF(Données!$T189="exo",0,$S149*VLOOKUP($F149,taux,18)/100))</f>
        <v>0</v>
      </c>
      <c r="U149" s="109">
        <f>IF($B149=" ",0,IF(Données!$V189="non couvert",0,IF(VLOOKUP($F149,taux,29)="fixe","s/o",IF(Données!$W189="oui",MIN(ROUNDUP(VLOOKUP($F149,taux,31)*$E149,-3),VLOOKUP($F149,taux,33)),MIN(ROUNDUP(VLOOKUP($F149,taux,31)*$E149,-3),VLOOKUP($F149,taux,32))))))</f>
        <v>0</v>
      </c>
      <c r="V149" s="110">
        <f>IF(B149=" ",0,IF(Données!$V189="exo",0,IF(VLOOKUP($F149,taux,29)="fixe",VLOOKUP($F149,taux,30),$U149/1000*VLOOKUP($F149,taux,30))))</f>
        <v>0</v>
      </c>
      <c r="W149" s="110">
        <f t="shared" si="17"/>
        <v>0</v>
      </c>
      <c r="X149" s="383">
        <f>IF(B149=" ",0,EDATE((Données!E189),780))</f>
        <v>0</v>
      </c>
      <c r="Y149" s="383">
        <f t="shared" si="18"/>
        <v>0</v>
      </c>
      <c r="Z149" s="109">
        <f>IF($B149=" ",0,IF(Données!$T189="non couvert",0,IF(Données!$U189="oui",MIN(VLOOKUP($F149,taux,26),ROUNDUP(IF($E149/12&gt;VLOOKUP($F149,taux,21)+VLOOKUP($F149,taux,23),(VLOOKUP($F149,taux,20)*VLOOKUP($F149,taux,21))+(VLOOKUP($F149,taux,22)*VLOOKUP($F149,taux,23))+($E149/12-VLOOKUP($F149,taux,21)-VLOOKUP($F149,taux,23))*VLOOKUP($F149,taux,24),IF($E149/12&gt;VLOOKUP($F149,taux,21),(VLOOKUP($F149,taux,20)*VLOOKUP($F149,taux,21))+($E149/12-VLOOKUP($F149,taux,21))*VLOOKUP($F149,taux,22),$E149/12*VLOOKUP($F149,taux,20))),0)),MIN(VLOOKUP($F149,taux,25),ROUNDUP(IF($E149/12&gt;VLOOKUP($F149,taux,21)+VLOOKUP($F149,taux,23),(VLOOKUP($F149,taux,20)*VLOOKUP($F149,taux,21))+(VLOOKUP($F149,taux,22)*VLOOKUP($F149,taux,23))+($E149/12-VLOOKUP($F149,taux,21)-VLOOKUP($F149,taux,23))*VLOOKUP($F149,taux,24),IF($E149/12&gt;VLOOKUP($F149,taux,21),(VLOOKUP($F149,taux,20)*VLOOKUP($F149,taux,21))+($E149/12-VLOOKUP($F149,taux,21))*VLOOKUP($F149,taux,22),$E149/12*VLOOKUP($F149,taux,20))),0)))))</f>
        <v>0</v>
      </c>
      <c r="AA149" s="111">
        <f ca="1">IF(C149&gt;=70,0,IF($B149=" ",0,IF(Données!$X189="non couvert"," ",Données!Y189)))</f>
        <v>0</v>
      </c>
      <c r="AB149" s="110">
        <f>IF($B149=" ",0,IF(Données!$X189="exo",0,IF($AA149="ind",VLOOKUP($F149,taux,34),IF($AA149="fam",VLOOKUP($F149,taux,35),IF($AA149="mono",VLOOKUP($F149,taux,36),IF($AA149="couple",VLOOKUP($F149,taux,37),0))))))</f>
        <v>0</v>
      </c>
      <c r="AC149" s="111">
        <f ca="1">IF(C149&gt;=70,0,IF($B149=" ",0,IF(Données!$Z189="non couvert"," ",Données!AA189)))</f>
        <v>0</v>
      </c>
      <c r="AD149" s="110">
        <f>IF($B149=" ",0,IF(Données!$Z189="exo",0,IF($AC149="ind",VLOOKUP($F149,taux,38),IF($AC149="fam",VLOOKUP($F149,taux,39),IF($AC149="mono",VLOOKUP($F149,taux,40),IF($AC149="couple",VLOOKUP($F149,taux,41),0))))))</f>
        <v>0</v>
      </c>
      <c r="AE149" s="112">
        <f>IF($B149=" ",0,IF(Données!$AB189="non couvert"," ",Données!AC189))</f>
        <v>0</v>
      </c>
      <c r="AF149" s="113">
        <f>IF($B149=" ",0,IF(Données!$AB189="exo",0,IF($AE149="ind",VLOOKUP($F149,taux,42),IF($AE149="fam",VLOOKUP($F149,taux,43),IF($AE149="mono",VLOOKUP($F149,taux,44),IF($AE149="couple",VLOOKUP($F149,taux,45),0))))))</f>
        <v>0</v>
      </c>
      <c r="AG149" s="114">
        <f t="shared" ca="1" si="19"/>
        <v>0</v>
      </c>
      <c r="AH149" s="114">
        <f>IF($B149=" ",0,IF(Données!J189="Manitoba",(Facture!H149+Facture!J149+Facture!L149+Facture!P149+Facture!R149+Facture!T149)*0.08,(AG149-W149)*IF(Données!$J189="qc",0.09,IF(Données!$J189="on",0.08,0))+W149*VLOOKUP($F149,taux,28)))</f>
        <v>0</v>
      </c>
      <c r="AI149" s="106">
        <f t="shared" ca="1" si="16"/>
        <v>0</v>
      </c>
    </row>
    <row r="150" spans="1:35" s="64" customFormat="1">
      <c r="A150" s="90">
        <f t="shared" si="21"/>
        <v>136</v>
      </c>
      <c r="B150" s="99" t="str">
        <f>CONCATENATE(Données!B190," ",Données!C190)</f>
        <v xml:space="preserve"> </v>
      </c>
      <c r="C150" s="410">
        <f ca="1">IF(B150="",0,INT((TODAY()-Données!E190)/365.25))</f>
        <v>119</v>
      </c>
      <c r="D150" s="100">
        <f>Données!D190</f>
        <v>0</v>
      </c>
      <c r="E150" s="101">
        <f>Données!I190</f>
        <v>0</v>
      </c>
      <c r="F150" s="102" t="str">
        <f>Données!AD190</f>
        <v/>
      </c>
      <c r="G150" s="103">
        <f ca="1">INDEX({1;0.5;0},MATCH(C150,{1;65;70}))*M150</f>
        <v>0</v>
      </c>
      <c r="H150" s="104">
        <f>IF($B150=" ",0,IF(Données!$K190="exo",0,$G150/1000*VLOOKUP($F150,taux,2)))</f>
        <v>0</v>
      </c>
      <c r="I150" s="398">
        <f ca="1">IF(C150&gt;=65,0,Données!M190*5000)</f>
        <v>0</v>
      </c>
      <c r="J150" s="104">
        <f ca="1">I150/1000*(IF(I150=0,0,1)*VLOOKUP((1+(C150&gt;=20)+(C150&gt;=25)+(C150&gt;=30)+(C150&gt;=35)+(C150&gt;=40)+(C150&gt;=45)+(C150&gt;=50)+(C150&gt;=55)+(C150&gt;=60)+(C150&gt;=65)),Test,2+(IF(Données!F190="H",1,3))+(IF(Données!G190="F",1,0))))</f>
        <v>0</v>
      </c>
      <c r="K150" s="103">
        <f ca="1">INDEX({1;0.5;0},MATCH(C150,{1;65;70}))*M150</f>
        <v>0</v>
      </c>
      <c r="L150" s="104">
        <f>IF($B150=" ",0,IF(Données!$N190="exo",0,$K150/1000*VLOOKUP($F150,taux,6)))</f>
        <v>0</v>
      </c>
      <c r="M150" s="379">
        <f>IF($B150=" ",0,IF(Données!$K190="NON COUVERT",0,IF(AND(Données!$L190="oui",Données!$K190=0.5),MIN(VLOOKUP($F150,taux,5)/2,ROUNDUP(VLOOKUP($F150,taux,3)*$E150,-3)/2),IF(Données!$K190=0.5,MIN(VLOOKUP($F150,taux,4)/2,ROUNDUP(VLOOKUP($F150,taux,3)*$E150,-3)/2),ROUNDUP(IF(Données!$L190="OUI",MIN(VLOOKUP($F150,taux,3)*$E150,VLOOKUP($F150,taux,5)),MIN(VLOOKUP($F150,taux,3)*$E150,VLOOKUP($F150,taux,4))),-3)))))</f>
        <v>0</v>
      </c>
      <c r="N150" s="379">
        <f>IF($B150=" ",0,IF(Données!$N190="NON COUVERT",0,IF(AND(Données!$O190="oui",Données!$N190=0.5),MIN(VLOOKUP($F150,taux,9)/2,ROUNDUP(VLOOKUP($F150,taux,7)*$E150,-3)/2),IF(Données!$N190=0.5,MIN(VLOOKUP($F150,taux,8)/2,ROUNDUP(VLOOKUP($F150,taux,7)*$E150,-3)/2),ROUNDUP(IF(Données!$O190="OUI",MIN(VLOOKUP($F150,taux,7)*$E150,VLOOKUP($F150,taux,9)),MIN(VLOOKUP($F150,taux,7)*$E150,VLOOKUP($F150,taux,8))),-3)))))</f>
        <v>0</v>
      </c>
      <c r="O150" s="105">
        <f ca="1">IF(C150&gt;=70,0,IF($B150=" ",0,IF(Données!P190="non couvert"," ",Données!Q190)))</f>
        <v>0</v>
      </c>
      <c r="P150" s="106">
        <f>IF($B150=" ",0,IF(Données!$P190="exo",0,IF($O150="FAM",VLOOKUP($F150,taux,10),IF($O150="MONO",VLOOKUP($F150,taux,11),IF($O150="COUPLE",VLOOKUP($F150,taux,12),0)))))</f>
        <v>0</v>
      </c>
      <c r="Q150" s="107">
        <f ca="1">IF(C150&gt;=70,0,IF($B150=" ",0,IF(Données!$R190="NON COUVERT",0,ROUNDUP(IF(Données!$S190="OUI",MIN($E150*VLOOKUP($F150,taux,15)/52,VLOOKUP($F150,taux,17)),MIN($E150*VLOOKUP($F150,taux,15)/52,VLOOKUP($F150,taux,16))),0))))</f>
        <v>0</v>
      </c>
      <c r="R150" s="108">
        <f>IF($B150=" ",0,IF(Données!$R190="EXO",0,$Q150*VLOOKUP($F150,taux,13)/10))</f>
        <v>0</v>
      </c>
      <c r="S150" s="109">
        <f t="shared" ca="1" si="20"/>
        <v>0</v>
      </c>
      <c r="T150" s="110">
        <f>IF(B150=" ",0,IF(Données!$T190="exo",0,$S150*VLOOKUP($F150,taux,18)/100))</f>
        <v>0</v>
      </c>
      <c r="U150" s="109">
        <f>IF($B150=" ",0,IF(Données!$V190="non couvert",0,IF(VLOOKUP($F150,taux,29)="fixe","s/o",IF(Données!$W190="oui",MIN(ROUNDUP(VLOOKUP($F150,taux,31)*$E150,-3),VLOOKUP($F150,taux,33)),MIN(ROUNDUP(VLOOKUP($F150,taux,31)*$E150,-3),VLOOKUP($F150,taux,32))))))</f>
        <v>0</v>
      </c>
      <c r="V150" s="110">
        <f>IF(B150=" ",0,IF(Données!$V190="exo",0,IF(VLOOKUP($F150,taux,29)="fixe",VLOOKUP($F150,taux,30),$U150/1000*VLOOKUP($F150,taux,30))))</f>
        <v>0</v>
      </c>
      <c r="W150" s="110">
        <f t="shared" si="17"/>
        <v>0</v>
      </c>
      <c r="X150" s="383">
        <f>IF(B150=" ",0,EDATE((Données!E190),780))</f>
        <v>0</v>
      </c>
      <c r="Y150" s="383">
        <f t="shared" si="18"/>
        <v>0</v>
      </c>
      <c r="Z150" s="109">
        <f>IF($B150=" ",0,IF(Données!$T190="non couvert",0,IF(Données!$U190="oui",MIN(VLOOKUP($F150,taux,26),ROUNDUP(IF($E150/12&gt;VLOOKUP($F150,taux,21)+VLOOKUP($F150,taux,23),(VLOOKUP($F150,taux,20)*VLOOKUP($F150,taux,21))+(VLOOKUP($F150,taux,22)*VLOOKUP($F150,taux,23))+($E150/12-VLOOKUP($F150,taux,21)-VLOOKUP($F150,taux,23))*VLOOKUP($F150,taux,24),IF($E150/12&gt;VLOOKUP($F150,taux,21),(VLOOKUP($F150,taux,20)*VLOOKUP($F150,taux,21))+($E150/12-VLOOKUP($F150,taux,21))*VLOOKUP($F150,taux,22),$E150/12*VLOOKUP($F150,taux,20))),0)),MIN(VLOOKUP($F150,taux,25),ROUNDUP(IF($E150/12&gt;VLOOKUP($F150,taux,21)+VLOOKUP($F150,taux,23),(VLOOKUP($F150,taux,20)*VLOOKUP($F150,taux,21))+(VLOOKUP($F150,taux,22)*VLOOKUP($F150,taux,23))+($E150/12-VLOOKUP($F150,taux,21)-VLOOKUP($F150,taux,23))*VLOOKUP($F150,taux,24),IF($E150/12&gt;VLOOKUP($F150,taux,21),(VLOOKUP($F150,taux,20)*VLOOKUP($F150,taux,21))+($E150/12-VLOOKUP($F150,taux,21))*VLOOKUP($F150,taux,22),$E150/12*VLOOKUP($F150,taux,20))),0)))))</f>
        <v>0</v>
      </c>
      <c r="AA150" s="111">
        <f ca="1">IF(C150&gt;=70,0,IF($B150=" ",0,IF(Données!$X190="non couvert"," ",Données!Y190)))</f>
        <v>0</v>
      </c>
      <c r="AB150" s="110">
        <f>IF($B150=" ",0,IF(Données!$X190="exo",0,IF($AA150="ind",VLOOKUP($F150,taux,34),IF($AA150="fam",VLOOKUP($F150,taux,35),IF($AA150="mono",VLOOKUP($F150,taux,36),IF($AA150="couple",VLOOKUP($F150,taux,37),0))))))</f>
        <v>0</v>
      </c>
      <c r="AC150" s="111">
        <f ca="1">IF(C150&gt;=70,0,IF($B150=" ",0,IF(Données!$Z190="non couvert"," ",Données!AA190)))</f>
        <v>0</v>
      </c>
      <c r="AD150" s="110">
        <f>IF($B150=" ",0,IF(Données!$Z190="exo",0,IF($AC150="ind",VLOOKUP($F150,taux,38),IF($AC150="fam",VLOOKUP($F150,taux,39),IF($AC150="mono",VLOOKUP($F150,taux,40),IF($AC150="couple",VLOOKUP($F150,taux,41),0))))))</f>
        <v>0</v>
      </c>
      <c r="AE150" s="112">
        <f>IF($B150=" ",0,IF(Données!$AB190="non couvert"," ",Données!AC190))</f>
        <v>0</v>
      </c>
      <c r="AF150" s="113">
        <f>IF($B150=" ",0,IF(Données!$AB190="exo",0,IF($AE150="ind",VLOOKUP($F150,taux,42),IF($AE150="fam",VLOOKUP($F150,taux,43),IF($AE150="mono",VLOOKUP($F150,taux,44),IF($AE150="couple",VLOOKUP($F150,taux,45),0))))))</f>
        <v>0</v>
      </c>
      <c r="AG150" s="114">
        <f t="shared" ca="1" si="19"/>
        <v>0</v>
      </c>
      <c r="AH150" s="114">
        <f>IF($B150=" ",0,IF(Données!J190="Manitoba",(Facture!H150+Facture!J150+Facture!L150+Facture!P150+Facture!R150+Facture!T150)*0.08,(AG150-W150)*IF(Données!$J190="qc",0.09,IF(Données!$J190="on",0.08,0))+W150*VLOOKUP($F150,taux,28)))</f>
        <v>0</v>
      </c>
      <c r="AI150" s="106">
        <f t="shared" ca="1" si="16"/>
        <v>0</v>
      </c>
    </row>
    <row r="151" spans="1:35" s="64" customFormat="1">
      <c r="A151" s="90">
        <f t="shared" si="21"/>
        <v>137</v>
      </c>
      <c r="B151" s="99" t="str">
        <f>CONCATENATE(Données!B191," ",Données!C191)</f>
        <v xml:space="preserve"> </v>
      </c>
      <c r="C151" s="410">
        <f ca="1">IF(B151="",0,INT((TODAY()-Données!E191)/365.25))</f>
        <v>119</v>
      </c>
      <c r="D151" s="100">
        <f>Données!D191</f>
        <v>0</v>
      </c>
      <c r="E151" s="101">
        <f>Données!I191</f>
        <v>0</v>
      </c>
      <c r="F151" s="102" t="str">
        <f>Données!AD191</f>
        <v/>
      </c>
      <c r="G151" s="103">
        <f ca="1">INDEX({1;0.5;0},MATCH(C151,{1;65;70}))*M151</f>
        <v>0</v>
      </c>
      <c r="H151" s="104">
        <f>IF($B151=" ",0,IF(Données!$K191="exo",0,$G151/1000*VLOOKUP($F151,taux,2)))</f>
        <v>0</v>
      </c>
      <c r="I151" s="398">
        <f ca="1">IF(C151&gt;=65,0,Données!M191*5000)</f>
        <v>0</v>
      </c>
      <c r="J151" s="104">
        <f ca="1">I151/1000*(IF(I151=0,0,1)*VLOOKUP((1+(C151&gt;=20)+(C151&gt;=25)+(C151&gt;=30)+(C151&gt;=35)+(C151&gt;=40)+(C151&gt;=45)+(C151&gt;=50)+(C151&gt;=55)+(C151&gt;=60)+(C151&gt;=65)),Test,2+(IF(Données!F191="H",1,3))+(IF(Données!G191="F",1,0))))</f>
        <v>0</v>
      </c>
      <c r="K151" s="103">
        <f ca="1">INDEX({1;0.5;0},MATCH(C151,{1;65;70}))*M151</f>
        <v>0</v>
      </c>
      <c r="L151" s="104">
        <f>IF($B151=" ",0,IF(Données!$N191="exo",0,$K151/1000*VLOOKUP($F151,taux,6)))</f>
        <v>0</v>
      </c>
      <c r="M151" s="379">
        <f>IF($B151=" ",0,IF(Données!$K191="NON COUVERT",0,IF(AND(Données!$L191="oui",Données!$K191=0.5),MIN(VLOOKUP($F151,taux,5)/2,ROUNDUP(VLOOKUP($F151,taux,3)*$E151,-3)/2),IF(Données!$K191=0.5,MIN(VLOOKUP($F151,taux,4)/2,ROUNDUP(VLOOKUP($F151,taux,3)*$E151,-3)/2),ROUNDUP(IF(Données!$L191="OUI",MIN(VLOOKUP($F151,taux,3)*$E151,VLOOKUP($F151,taux,5)),MIN(VLOOKUP($F151,taux,3)*$E151,VLOOKUP($F151,taux,4))),-3)))))</f>
        <v>0</v>
      </c>
      <c r="N151" s="379">
        <f>IF($B151=" ",0,IF(Données!$N191="NON COUVERT",0,IF(AND(Données!$O191="oui",Données!$N191=0.5),MIN(VLOOKUP($F151,taux,9)/2,ROUNDUP(VLOOKUP($F151,taux,7)*$E151,-3)/2),IF(Données!$N191=0.5,MIN(VLOOKUP($F151,taux,8)/2,ROUNDUP(VLOOKUP($F151,taux,7)*$E151,-3)/2),ROUNDUP(IF(Données!$O191="OUI",MIN(VLOOKUP($F151,taux,7)*$E151,VLOOKUP($F151,taux,9)),MIN(VLOOKUP($F151,taux,7)*$E151,VLOOKUP($F151,taux,8))),-3)))))</f>
        <v>0</v>
      </c>
      <c r="O151" s="105">
        <f ca="1">IF(C151&gt;=70,0,IF($B151=" ",0,IF(Données!P191="non couvert"," ",Données!Q191)))</f>
        <v>0</v>
      </c>
      <c r="P151" s="106">
        <f>IF($B151=" ",0,IF(Données!$P191="exo",0,IF($O151="FAM",VLOOKUP($F151,taux,10),IF($O151="MONO",VLOOKUP($F151,taux,11),IF($O151="COUPLE",VLOOKUP($F151,taux,12),0)))))</f>
        <v>0</v>
      </c>
      <c r="Q151" s="107">
        <f ca="1">IF(C151&gt;=70,0,IF($B151=" ",0,IF(Données!$R191="NON COUVERT",0,ROUNDUP(IF(Données!$S191="OUI",MIN($E151*VLOOKUP($F151,taux,15)/52,VLOOKUP($F151,taux,17)),MIN($E151*VLOOKUP($F151,taux,15)/52,VLOOKUP($F151,taux,16))),0))))</f>
        <v>0</v>
      </c>
      <c r="R151" s="108">
        <f>IF($B151=" ",0,IF(Données!$R191="EXO",0,$Q151*VLOOKUP($F151,taux,13)/10))</f>
        <v>0</v>
      </c>
      <c r="S151" s="109">
        <f t="shared" ca="1" si="20"/>
        <v>0</v>
      </c>
      <c r="T151" s="110">
        <f>IF(B151=" ",0,IF(Données!$T191="exo",0,$S151*VLOOKUP($F151,taux,18)/100))</f>
        <v>0</v>
      </c>
      <c r="U151" s="109">
        <f>IF($B151=" ",0,IF(Données!$V191="non couvert",0,IF(VLOOKUP($F151,taux,29)="fixe","s/o",IF(Données!$W191="oui",MIN(ROUNDUP(VLOOKUP($F151,taux,31)*$E151,-3),VLOOKUP($F151,taux,33)),MIN(ROUNDUP(VLOOKUP($F151,taux,31)*$E151,-3),VLOOKUP($F151,taux,32))))))</f>
        <v>0</v>
      </c>
      <c r="V151" s="110">
        <f>IF(B151=" ",0,IF(Données!$V191="exo",0,IF(VLOOKUP($F151,taux,29)="fixe",VLOOKUP($F151,taux,30),$U151/1000*VLOOKUP($F151,taux,30))))</f>
        <v>0</v>
      </c>
      <c r="W151" s="110">
        <f t="shared" si="17"/>
        <v>0</v>
      </c>
      <c r="X151" s="383">
        <f>IF(B151=" ",0,EDATE((Données!E191),780))</f>
        <v>0</v>
      </c>
      <c r="Y151" s="383">
        <f t="shared" si="18"/>
        <v>0</v>
      </c>
      <c r="Z151" s="109">
        <f>IF($B151=" ",0,IF(Données!$T191="non couvert",0,IF(Données!$U191="oui",MIN(VLOOKUP($F151,taux,26),ROUNDUP(IF($E151/12&gt;VLOOKUP($F151,taux,21)+VLOOKUP($F151,taux,23),(VLOOKUP($F151,taux,20)*VLOOKUP($F151,taux,21))+(VLOOKUP($F151,taux,22)*VLOOKUP($F151,taux,23))+($E151/12-VLOOKUP($F151,taux,21)-VLOOKUP($F151,taux,23))*VLOOKUP($F151,taux,24),IF($E151/12&gt;VLOOKUP($F151,taux,21),(VLOOKUP($F151,taux,20)*VLOOKUP($F151,taux,21))+($E151/12-VLOOKUP($F151,taux,21))*VLOOKUP($F151,taux,22),$E151/12*VLOOKUP($F151,taux,20))),0)),MIN(VLOOKUP($F151,taux,25),ROUNDUP(IF($E151/12&gt;VLOOKUP($F151,taux,21)+VLOOKUP($F151,taux,23),(VLOOKUP($F151,taux,20)*VLOOKUP($F151,taux,21))+(VLOOKUP($F151,taux,22)*VLOOKUP($F151,taux,23))+($E151/12-VLOOKUP($F151,taux,21)-VLOOKUP($F151,taux,23))*VLOOKUP($F151,taux,24),IF($E151/12&gt;VLOOKUP($F151,taux,21),(VLOOKUP($F151,taux,20)*VLOOKUP($F151,taux,21))+($E151/12-VLOOKUP($F151,taux,21))*VLOOKUP($F151,taux,22),$E151/12*VLOOKUP($F151,taux,20))),0)))))</f>
        <v>0</v>
      </c>
      <c r="AA151" s="111">
        <f ca="1">IF(C151&gt;=70,0,IF($B151=" ",0,IF(Données!$X191="non couvert"," ",Données!Y191)))</f>
        <v>0</v>
      </c>
      <c r="AB151" s="110">
        <f>IF($B151=" ",0,IF(Données!$X191="exo",0,IF($AA151="ind",VLOOKUP($F151,taux,34),IF($AA151="fam",VLOOKUP($F151,taux,35),IF($AA151="mono",VLOOKUP($F151,taux,36),IF($AA151="couple",VLOOKUP($F151,taux,37),0))))))</f>
        <v>0</v>
      </c>
      <c r="AC151" s="111">
        <f ca="1">IF(C151&gt;=70,0,IF($B151=" ",0,IF(Données!$Z191="non couvert"," ",Données!AA191)))</f>
        <v>0</v>
      </c>
      <c r="AD151" s="110">
        <f>IF($B151=" ",0,IF(Données!$Z191="exo",0,IF($AC151="ind",VLOOKUP($F151,taux,38),IF($AC151="fam",VLOOKUP($F151,taux,39),IF($AC151="mono",VLOOKUP($F151,taux,40),IF($AC151="couple",VLOOKUP($F151,taux,41),0))))))</f>
        <v>0</v>
      </c>
      <c r="AE151" s="112">
        <f>IF($B151=" ",0,IF(Données!$AB191="non couvert"," ",Données!AC191))</f>
        <v>0</v>
      </c>
      <c r="AF151" s="113">
        <f>IF($B151=" ",0,IF(Données!$AB191="exo",0,IF($AE151="ind",VLOOKUP($F151,taux,42),IF($AE151="fam",VLOOKUP($F151,taux,43),IF($AE151="mono",VLOOKUP($F151,taux,44),IF($AE151="couple",VLOOKUP($F151,taux,45),0))))))</f>
        <v>0</v>
      </c>
      <c r="AG151" s="114">
        <f t="shared" ca="1" si="19"/>
        <v>0</v>
      </c>
      <c r="AH151" s="114">
        <f>IF($B151=" ",0,IF(Données!J191="Manitoba",(Facture!H151+Facture!J151+Facture!L151+Facture!P151+Facture!R151+Facture!T151)*0.08,(AG151-W151)*IF(Données!$J191="qc",0.09,IF(Données!$J191="on",0.08,0))+W151*VLOOKUP($F151,taux,28)))</f>
        <v>0</v>
      </c>
      <c r="AI151" s="106">
        <f t="shared" ca="1" si="16"/>
        <v>0</v>
      </c>
    </row>
    <row r="152" spans="1:35" s="64" customFormat="1">
      <c r="A152" s="90">
        <f t="shared" si="21"/>
        <v>138</v>
      </c>
      <c r="B152" s="99" t="str">
        <f>CONCATENATE(Données!B192," ",Données!C192)</f>
        <v xml:space="preserve"> </v>
      </c>
      <c r="C152" s="410">
        <f ca="1">IF(B152="",0,INT((TODAY()-Données!E192)/365.25))</f>
        <v>119</v>
      </c>
      <c r="D152" s="100">
        <f>Données!D192</f>
        <v>0</v>
      </c>
      <c r="E152" s="101">
        <f>Données!I192</f>
        <v>0</v>
      </c>
      <c r="F152" s="102" t="str">
        <f>Données!AD192</f>
        <v/>
      </c>
      <c r="G152" s="103">
        <f ca="1">INDEX({1;0.5;0},MATCH(C152,{1;65;70}))*M152</f>
        <v>0</v>
      </c>
      <c r="H152" s="104">
        <f>IF($B152=" ",0,IF(Données!$K192="exo",0,$G152/1000*VLOOKUP($F152,taux,2)))</f>
        <v>0</v>
      </c>
      <c r="I152" s="398">
        <f ca="1">IF(C152&gt;=65,0,Données!M192*5000)</f>
        <v>0</v>
      </c>
      <c r="J152" s="104">
        <f ca="1">I152/1000*(IF(I152=0,0,1)*VLOOKUP((1+(C152&gt;=20)+(C152&gt;=25)+(C152&gt;=30)+(C152&gt;=35)+(C152&gt;=40)+(C152&gt;=45)+(C152&gt;=50)+(C152&gt;=55)+(C152&gt;=60)+(C152&gt;=65)),Test,2+(IF(Données!F192="H",1,3))+(IF(Données!G192="F",1,0))))</f>
        <v>0</v>
      </c>
      <c r="K152" s="103">
        <f ca="1">INDEX({1;0.5;0},MATCH(C152,{1;65;70}))*M152</f>
        <v>0</v>
      </c>
      <c r="L152" s="104">
        <f>IF($B152=" ",0,IF(Données!$N192="exo",0,$K152/1000*VLOOKUP($F152,taux,6)))</f>
        <v>0</v>
      </c>
      <c r="M152" s="379">
        <f>IF($B152=" ",0,IF(Données!$K192="NON COUVERT",0,IF(AND(Données!$L192="oui",Données!$K192=0.5),MIN(VLOOKUP($F152,taux,5)/2,ROUNDUP(VLOOKUP($F152,taux,3)*$E152,-3)/2),IF(Données!$K192=0.5,MIN(VLOOKUP($F152,taux,4)/2,ROUNDUP(VLOOKUP($F152,taux,3)*$E152,-3)/2),ROUNDUP(IF(Données!$L192="OUI",MIN(VLOOKUP($F152,taux,3)*$E152,VLOOKUP($F152,taux,5)),MIN(VLOOKUP($F152,taux,3)*$E152,VLOOKUP($F152,taux,4))),-3)))))</f>
        <v>0</v>
      </c>
      <c r="N152" s="379">
        <f>IF($B152=" ",0,IF(Données!$N192="NON COUVERT",0,IF(AND(Données!$O192="oui",Données!$N192=0.5),MIN(VLOOKUP($F152,taux,9)/2,ROUNDUP(VLOOKUP($F152,taux,7)*$E152,-3)/2),IF(Données!$N192=0.5,MIN(VLOOKUP($F152,taux,8)/2,ROUNDUP(VLOOKUP($F152,taux,7)*$E152,-3)/2),ROUNDUP(IF(Données!$O192="OUI",MIN(VLOOKUP($F152,taux,7)*$E152,VLOOKUP($F152,taux,9)),MIN(VLOOKUP($F152,taux,7)*$E152,VLOOKUP($F152,taux,8))),-3)))))</f>
        <v>0</v>
      </c>
      <c r="O152" s="105">
        <f ca="1">IF(C152&gt;=70,0,IF($B152=" ",0,IF(Données!P192="non couvert"," ",Données!Q192)))</f>
        <v>0</v>
      </c>
      <c r="P152" s="106">
        <f>IF($B152=" ",0,IF(Données!$P192="exo",0,IF($O152="FAM",VLOOKUP($F152,taux,10),IF($O152="MONO",VLOOKUP($F152,taux,11),IF($O152="COUPLE",VLOOKUP($F152,taux,12),0)))))</f>
        <v>0</v>
      </c>
      <c r="Q152" s="107">
        <f ca="1">IF(C152&gt;=70,0,IF($B152=" ",0,IF(Données!$R192="NON COUVERT",0,ROUNDUP(IF(Données!$S192="OUI",MIN($E152*VLOOKUP($F152,taux,15)/52,VLOOKUP($F152,taux,17)),MIN($E152*VLOOKUP($F152,taux,15)/52,VLOOKUP($F152,taux,16))),0))))</f>
        <v>0</v>
      </c>
      <c r="R152" s="108">
        <f>IF($B152=" ",0,IF(Données!$R192="EXO",0,$Q152*VLOOKUP($F152,taux,13)/10))</f>
        <v>0</v>
      </c>
      <c r="S152" s="109">
        <f t="shared" ca="1" si="20"/>
        <v>0</v>
      </c>
      <c r="T152" s="110">
        <f>IF(B152=" ",0,IF(Données!$T192="exo",0,$S152*VLOOKUP($F152,taux,18)/100))</f>
        <v>0</v>
      </c>
      <c r="U152" s="109">
        <f>IF($B152=" ",0,IF(Données!$V192="non couvert",0,IF(VLOOKUP($F152,taux,29)="fixe","s/o",IF(Données!$W192="oui",MIN(ROUNDUP(VLOOKUP($F152,taux,31)*$E152,-3),VLOOKUP($F152,taux,33)),MIN(ROUNDUP(VLOOKUP($F152,taux,31)*$E152,-3),VLOOKUP($F152,taux,32))))))</f>
        <v>0</v>
      </c>
      <c r="V152" s="110">
        <f>IF(B152=" ",0,IF(Données!$V192="exo",0,IF(VLOOKUP($F152,taux,29)="fixe",VLOOKUP($F152,taux,30),$U152/1000*VLOOKUP($F152,taux,30))))</f>
        <v>0</v>
      </c>
      <c r="W152" s="110">
        <f t="shared" si="17"/>
        <v>0</v>
      </c>
      <c r="X152" s="383">
        <f>IF(B152=" ",0,EDATE((Données!E192),780))</f>
        <v>0</v>
      </c>
      <c r="Y152" s="383">
        <f t="shared" si="18"/>
        <v>0</v>
      </c>
      <c r="Z152" s="109">
        <f>IF($B152=" ",0,IF(Données!$T192="non couvert",0,IF(Données!$U192="oui",MIN(VLOOKUP($F152,taux,26),ROUNDUP(IF($E152/12&gt;VLOOKUP($F152,taux,21)+VLOOKUP($F152,taux,23),(VLOOKUP($F152,taux,20)*VLOOKUP($F152,taux,21))+(VLOOKUP($F152,taux,22)*VLOOKUP($F152,taux,23))+($E152/12-VLOOKUP($F152,taux,21)-VLOOKUP($F152,taux,23))*VLOOKUP($F152,taux,24),IF($E152/12&gt;VLOOKUP($F152,taux,21),(VLOOKUP($F152,taux,20)*VLOOKUP($F152,taux,21))+($E152/12-VLOOKUP($F152,taux,21))*VLOOKUP($F152,taux,22),$E152/12*VLOOKUP($F152,taux,20))),0)),MIN(VLOOKUP($F152,taux,25),ROUNDUP(IF($E152/12&gt;VLOOKUP($F152,taux,21)+VLOOKUP($F152,taux,23),(VLOOKUP($F152,taux,20)*VLOOKUP($F152,taux,21))+(VLOOKUP($F152,taux,22)*VLOOKUP($F152,taux,23))+($E152/12-VLOOKUP($F152,taux,21)-VLOOKUP($F152,taux,23))*VLOOKUP($F152,taux,24),IF($E152/12&gt;VLOOKUP($F152,taux,21),(VLOOKUP($F152,taux,20)*VLOOKUP($F152,taux,21))+($E152/12-VLOOKUP($F152,taux,21))*VLOOKUP($F152,taux,22),$E152/12*VLOOKUP($F152,taux,20))),0)))))</f>
        <v>0</v>
      </c>
      <c r="AA152" s="111">
        <f ca="1">IF(C152&gt;=70,0,IF($B152=" ",0,IF(Données!$X192="non couvert"," ",Données!Y192)))</f>
        <v>0</v>
      </c>
      <c r="AB152" s="110">
        <f>IF($B152=" ",0,IF(Données!$X192="exo",0,IF($AA152="ind",VLOOKUP($F152,taux,34),IF($AA152="fam",VLOOKUP($F152,taux,35),IF($AA152="mono",VLOOKUP($F152,taux,36),IF($AA152="couple",VLOOKUP($F152,taux,37),0))))))</f>
        <v>0</v>
      </c>
      <c r="AC152" s="111">
        <f ca="1">IF(C152&gt;=70,0,IF($B152=" ",0,IF(Données!$Z192="non couvert"," ",Données!AA192)))</f>
        <v>0</v>
      </c>
      <c r="AD152" s="110">
        <f>IF($B152=" ",0,IF(Données!$Z192="exo",0,IF($AC152="ind",VLOOKUP($F152,taux,38),IF($AC152="fam",VLOOKUP($F152,taux,39),IF($AC152="mono",VLOOKUP($F152,taux,40),IF($AC152="couple",VLOOKUP($F152,taux,41),0))))))</f>
        <v>0</v>
      </c>
      <c r="AE152" s="112">
        <f>IF($B152=" ",0,IF(Données!$AB192="non couvert"," ",Données!AC192))</f>
        <v>0</v>
      </c>
      <c r="AF152" s="113">
        <f>IF($B152=" ",0,IF(Données!$AB192="exo",0,IF($AE152="ind",VLOOKUP($F152,taux,42),IF($AE152="fam",VLOOKUP($F152,taux,43),IF($AE152="mono",VLOOKUP($F152,taux,44),IF($AE152="couple",VLOOKUP($F152,taux,45),0))))))</f>
        <v>0</v>
      </c>
      <c r="AG152" s="114">
        <f t="shared" ca="1" si="19"/>
        <v>0</v>
      </c>
      <c r="AH152" s="114">
        <f>IF($B152=" ",0,IF(Données!J192="Manitoba",(Facture!H152+Facture!J152+Facture!L152+Facture!P152+Facture!R152+Facture!T152)*0.08,(AG152-W152)*IF(Données!$J192="qc",0.09,IF(Données!$J192="on",0.08,0))+W152*VLOOKUP($F152,taux,28)))</f>
        <v>0</v>
      </c>
      <c r="AI152" s="106">
        <f t="shared" ca="1" si="16"/>
        <v>0</v>
      </c>
    </row>
    <row r="153" spans="1:35" s="64" customFormat="1">
      <c r="A153" s="90">
        <f t="shared" si="21"/>
        <v>139</v>
      </c>
      <c r="B153" s="99" t="str">
        <f>CONCATENATE(Données!B193," ",Données!C193)</f>
        <v xml:space="preserve"> </v>
      </c>
      <c r="C153" s="410">
        <f ca="1">IF(B153="",0,INT((TODAY()-Données!E193)/365.25))</f>
        <v>119</v>
      </c>
      <c r="D153" s="100">
        <f>Données!D193</f>
        <v>0</v>
      </c>
      <c r="E153" s="101">
        <f>Données!I193</f>
        <v>0</v>
      </c>
      <c r="F153" s="102" t="str">
        <f>Données!AD193</f>
        <v/>
      </c>
      <c r="G153" s="103">
        <f ca="1">INDEX({1;0.5;0},MATCH(C153,{1;65;70}))*M153</f>
        <v>0</v>
      </c>
      <c r="H153" s="104">
        <f>IF($B153=" ",0,IF(Données!$K193="exo",0,$G153/1000*VLOOKUP($F153,taux,2)))</f>
        <v>0</v>
      </c>
      <c r="I153" s="398">
        <f ca="1">IF(C153&gt;=65,0,Données!M193*5000)</f>
        <v>0</v>
      </c>
      <c r="J153" s="104">
        <f ca="1">I153/1000*(IF(I153=0,0,1)*VLOOKUP((1+(C153&gt;=20)+(C153&gt;=25)+(C153&gt;=30)+(C153&gt;=35)+(C153&gt;=40)+(C153&gt;=45)+(C153&gt;=50)+(C153&gt;=55)+(C153&gt;=60)+(C153&gt;=65)),Test,2+(IF(Données!F193="H",1,3))+(IF(Données!G193="F",1,0))))</f>
        <v>0</v>
      </c>
      <c r="K153" s="103">
        <f ca="1">INDEX({1;0.5;0},MATCH(C153,{1;65;70}))*M153</f>
        <v>0</v>
      </c>
      <c r="L153" s="104">
        <f>IF($B153=" ",0,IF(Données!$N193="exo",0,$K153/1000*VLOOKUP($F153,taux,6)))</f>
        <v>0</v>
      </c>
      <c r="M153" s="379">
        <f>IF($B153=" ",0,IF(Données!$K193="NON COUVERT",0,IF(AND(Données!$L193="oui",Données!$K193=0.5),MIN(VLOOKUP($F153,taux,5)/2,ROUNDUP(VLOOKUP($F153,taux,3)*$E153,-3)/2),IF(Données!$K193=0.5,MIN(VLOOKUP($F153,taux,4)/2,ROUNDUP(VLOOKUP($F153,taux,3)*$E153,-3)/2),ROUNDUP(IF(Données!$L193="OUI",MIN(VLOOKUP($F153,taux,3)*$E153,VLOOKUP($F153,taux,5)),MIN(VLOOKUP($F153,taux,3)*$E153,VLOOKUP($F153,taux,4))),-3)))))</f>
        <v>0</v>
      </c>
      <c r="N153" s="379">
        <f>IF($B153=" ",0,IF(Données!$N193="NON COUVERT",0,IF(AND(Données!$O193="oui",Données!$N193=0.5),MIN(VLOOKUP($F153,taux,9)/2,ROUNDUP(VLOOKUP($F153,taux,7)*$E153,-3)/2),IF(Données!$N193=0.5,MIN(VLOOKUP($F153,taux,8)/2,ROUNDUP(VLOOKUP($F153,taux,7)*$E153,-3)/2),ROUNDUP(IF(Données!$O193="OUI",MIN(VLOOKUP($F153,taux,7)*$E153,VLOOKUP($F153,taux,9)),MIN(VLOOKUP($F153,taux,7)*$E153,VLOOKUP($F153,taux,8))),-3)))))</f>
        <v>0</v>
      </c>
      <c r="O153" s="105">
        <f ca="1">IF(C153&gt;=70,0,IF($B153=" ",0,IF(Données!P193="non couvert"," ",Données!Q193)))</f>
        <v>0</v>
      </c>
      <c r="P153" s="106">
        <f>IF($B153=" ",0,IF(Données!$P193="exo",0,IF($O153="FAM",VLOOKUP($F153,taux,10),IF($O153="MONO",VLOOKUP($F153,taux,11),IF($O153="COUPLE",VLOOKUP($F153,taux,12),0)))))</f>
        <v>0</v>
      </c>
      <c r="Q153" s="107">
        <f ca="1">IF(C153&gt;=70,0,IF($B153=" ",0,IF(Données!$R193="NON COUVERT",0,ROUNDUP(IF(Données!$S193="OUI",MIN($E153*VLOOKUP($F153,taux,15)/52,VLOOKUP($F153,taux,17)),MIN($E153*VLOOKUP($F153,taux,15)/52,VLOOKUP($F153,taux,16))),0))))</f>
        <v>0</v>
      </c>
      <c r="R153" s="108">
        <f>IF($B153=" ",0,IF(Données!$R193="EXO",0,$Q153*VLOOKUP($F153,taux,13)/10))</f>
        <v>0</v>
      </c>
      <c r="S153" s="109">
        <f t="shared" ca="1" si="20"/>
        <v>0</v>
      </c>
      <c r="T153" s="110">
        <f>IF(B153=" ",0,IF(Données!$T193="exo",0,$S153*VLOOKUP($F153,taux,18)/100))</f>
        <v>0</v>
      </c>
      <c r="U153" s="109">
        <f>IF($B153=" ",0,IF(Données!$V193="non couvert",0,IF(VLOOKUP($F153,taux,29)="fixe","s/o",IF(Données!$W193="oui",MIN(ROUNDUP(VLOOKUP($F153,taux,31)*$E153,-3),VLOOKUP($F153,taux,33)),MIN(ROUNDUP(VLOOKUP($F153,taux,31)*$E153,-3),VLOOKUP($F153,taux,32))))))</f>
        <v>0</v>
      </c>
      <c r="V153" s="110">
        <f>IF(B153=" ",0,IF(Données!$V193="exo",0,IF(VLOOKUP($F153,taux,29)="fixe",VLOOKUP($F153,taux,30),$U153/1000*VLOOKUP($F153,taux,30))))</f>
        <v>0</v>
      </c>
      <c r="W153" s="110">
        <f t="shared" si="17"/>
        <v>0</v>
      </c>
      <c r="X153" s="383">
        <f>IF(B153=" ",0,EDATE((Données!E193),780))</f>
        <v>0</v>
      </c>
      <c r="Y153" s="383">
        <f t="shared" si="18"/>
        <v>0</v>
      </c>
      <c r="Z153" s="109">
        <f>IF($B153=" ",0,IF(Données!$T193="non couvert",0,IF(Données!$U193="oui",MIN(VLOOKUP($F153,taux,26),ROUNDUP(IF($E153/12&gt;VLOOKUP($F153,taux,21)+VLOOKUP($F153,taux,23),(VLOOKUP($F153,taux,20)*VLOOKUP($F153,taux,21))+(VLOOKUP($F153,taux,22)*VLOOKUP($F153,taux,23))+($E153/12-VLOOKUP($F153,taux,21)-VLOOKUP($F153,taux,23))*VLOOKUP($F153,taux,24),IF($E153/12&gt;VLOOKUP($F153,taux,21),(VLOOKUP($F153,taux,20)*VLOOKUP($F153,taux,21))+($E153/12-VLOOKUP($F153,taux,21))*VLOOKUP($F153,taux,22),$E153/12*VLOOKUP($F153,taux,20))),0)),MIN(VLOOKUP($F153,taux,25),ROUNDUP(IF($E153/12&gt;VLOOKUP($F153,taux,21)+VLOOKUP($F153,taux,23),(VLOOKUP($F153,taux,20)*VLOOKUP($F153,taux,21))+(VLOOKUP($F153,taux,22)*VLOOKUP($F153,taux,23))+($E153/12-VLOOKUP($F153,taux,21)-VLOOKUP($F153,taux,23))*VLOOKUP($F153,taux,24),IF($E153/12&gt;VLOOKUP($F153,taux,21),(VLOOKUP($F153,taux,20)*VLOOKUP($F153,taux,21))+($E153/12-VLOOKUP($F153,taux,21))*VLOOKUP($F153,taux,22),$E153/12*VLOOKUP($F153,taux,20))),0)))))</f>
        <v>0</v>
      </c>
      <c r="AA153" s="111">
        <f ca="1">IF(C153&gt;=70,0,IF($B153=" ",0,IF(Données!$X193="non couvert"," ",Données!Y193)))</f>
        <v>0</v>
      </c>
      <c r="AB153" s="110">
        <f>IF($B153=" ",0,IF(Données!$X193="exo",0,IF($AA153="ind",VLOOKUP($F153,taux,34),IF($AA153="fam",VLOOKUP($F153,taux,35),IF($AA153="mono",VLOOKUP($F153,taux,36),IF($AA153="couple",VLOOKUP($F153,taux,37),0))))))</f>
        <v>0</v>
      </c>
      <c r="AC153" s="111">
        <f ca="1">IF(C153&gt;=70,0,IF($B153=" ",0,IF(Données!$Z193="non couvert"," ",Données!AA193)))</f>
        <v>0</v>
      </c>
      <c r="AD153" s="110">
        <f>IF($B153=" ",0,IF(Données!$Z193="exo",0,IF($AC153="ind",VLOOKUP($F153,taux,38),IF($AC153="fam",VLOOKUP($F153,taux,39),IF($AC153="mono",VLOOKUP($F153,taux,40),IF($AC153="couple",VLOOKUP($F153,taux,41),0))))))</f>
        <v>0</v>
      </c>
      <c r="AE153" s="112">
        <f>IF($B153=" ",0,IF(Données!$AB193="non couvert"," ",Données!AC193))</f>
        <v>0</v>
      </c>
      <c r="AF153" s="113">
        <f>IF($B153=" ",0,IF(Données!$AB193="exo",0,IF($AE153="ind",VLOOKUP($F153,taux,42),IF($AE153="fam",VLOOKUP($F153,taux,43),IF($AE153="mono",VLOOKUP($F153,taux,44),IF($AE153="couple",VLOOKUP($F153,taux,45),0))))))</f>
        <v>0</v>
      </c>
      <c r="AG153" s="114">
        <f t="shared" ca="1" si="19"/>
        <v>0</v>
      </c>
      <c r="AH153" s="114">
        <f>IF($B153=" ",0,IF(Données!J193="Manitoba",(Facture!H153+Facture!J153+Facture!L153+Facture!P153+Facture!R153+Facture!T153)*0.08,(AG153-W153)*IF(Données!$J193="qc",0.09,IF(Données!$J193="on",0.08,0))+W153*VLOOKUP($F153,taux,28)))</f>
        <v>0</v>
      </c>
      <c r="AI153" s="106">
        <f t="shared" ca="1" si="16"/>
        <v>0</v>
      </c>
    </row>
    <row r="154" spans="1:35" s="64" customFormat="1">
      <c r="A154" s="90">
        <f t="shared" si="21"/>
        <v>140</v>
      </c>
      <c r="B154" s="99" t="str">
        <f>CONCATENATE(Données!B245," ",Données!C245)</f>
        <v xml:space="preserve"> </v>
      </c>
      <c r="C154" s="410">
        <f ca="1">IF(B154="",0,INT((TODAY()-Données!E194)/365.25))</f>
        <v>119</v>
      </c>
      <c r="D154" s="100">
        <f>Données!D245</f>
        <v>0</v>
      </c>
      <c r="E154" s="101">
        <f>Données!I245</f>
        <v>0</v>
      </c>
      <c r="F154" s="102" t="str">
        <f>Données!AD245</f>
        <v/>
      </c>
      <c r="G154" s="103">
        <f ca="1">INDEX({1;0.5;0},MATCH(C154,{1;65;70}))*M154</f>
        <v>0</v>
      </c>
      <c r="H154" s="104">
        <f>IF($B154=" ",0,IF(Données!$K245="exo",0,$G154/1000*VLOOKUP($F154,taux,2)))</f>
        <v>0</v>
      </c>
      <c r="I154" s="398">
        <f ca="1">IF(C154&gt;=65,0,Données!M194*5000)</f>
        <v>0</v>
      </c>
      <c r="J154" s="104">
        <f ca="1">I154/1000*(IF(I154=0,0,1)*VLOOKUP((1+(C154&gt;=20)+(C154&gt;=25)+(C154&gt;=30)+(C154&gt;=35)+(C154&gt;=40)+(C154&gt;=45)+(C154&gt;=50)+(C154&gt;=55)+(C154&gt;=60)+(C154&gt;=65)),Test,2+(IF(Données!F194="H",1,3))+(IF(Données!G194="F",1,0))))</f>
        <v>0</v>
      </c>
      <c r="K154" s="103">
        <f ca="1">INDEX({1;0.5;0},MATCH(C154,{1;65;70}))*M154</f>
        <v>0</v>
      </c>
      <c r="L154" s="104">
        <f>IF($B154=" ",0,IF(Données!$N245="exo",0,$K154/1000*VLOOKUP($F154,taux,6)))</f>
        <v>0</v>
      </c>
      <c r="M154" s="379">
        <f>IF($B154=" ",0,IF(Données!$K194="NON COUVERT",0,IF(AND(Données!$L194="oui",Données!$K194=0.5),MIN(VLOOKUP($F154,taux,5)/2,ROUNDUP(VLOOKUP($F154,taux,3)*$E154,-3)/2),IF(Données!$K194=0.5,MIN(VLOOKUP($F154,taux,4)/2,ROUNDUP(VLOOKUP($F154,taux,3)*$E154,-3)/2),ROUNDUP(IF(Données!$L194="OUI",MIN(VLOOKUP($F154,taux,3)*$E154,VLOOKUP($F154,taux,5)),MIN(VLOOKUP($F154,taux,3)*$E154,VLOOKUP($F154,taux,4))),-3)))))</f>
        <v>0</v>
      </c>
      <c r="N154" s="379">
        <f>IF($B154=" ",0,IF(Données!$N194="NON COUVERT",0,IF(AND(Données!$O194="oui",Données!$N194=0.5),MIN(VLOOKUP($F154,taux,9)/2,ROUNDUP(VLOOKUP($F154,taux,7)*$E154,-3)/2),IF(Données!$N194=0.5,MIN(VLOOKUP($F154,taux,8)/2,ROUNDUP(VLOOKUP($F154,taux,7)*$E154,-3)/2),ROUNDUP(IF(Données!$O194="OUI",MIN(VLOOKUP($F154,taux,7)*$E154,VLOOKUP($F154,taux,9)),MIN(VLOOKUP($F154,taux,7)*$E154,VLOOKUP($F154,taux,8))),-3)))))</f>
        <v>0</v>
      </c>
      <c r="O154" s="105">
        <f ca="1">IF(C154&gt;=70,0,IF($B154=" ",0,IF(Données!P194="non couvert"," ",Données!Q194)))</f>
        <v>0</v>
      </c>
      <c r="P154" s="106">
        <f>IF($B154=" ",0,IF(Données!$P245="exo",0,IF($O154="FAM",VLOOKUP($F154,taux,10),IF($O154="MONO",VLOOKUP($F154,taux,11),IF($O154="COUPLE",VLOOKUP($F154,taux,12),0)))))</f>
        <v>0</v>
      </c>
      <c r="Q154" s="107">
        <f ca="1">IF(C154&gt;=70,0,IF($B154=" ",0,IF(Données!$R194="NON COUVERT",0,ROUNDUP(IF(Données!$S194="OUI",MIN($E154*VLOOKUP($F154,taux,15)/52,VLOOKUP($F154,taux,17)),MIN($E154*VLOOKUP($F154,taux,15)/52,VLOOKUP($F154,taux,16))),0))))</f>
        <v>0</v>
      </c>
      <c r="R154" s="108">
        <f>IF($B154=" ",0,IF(Données!$R245="EXO",0,$Q154*VLOOKUP($F154,taux,13)/10))</f>
        <v>0</v>
      </c>
      <c r="S154" s="109">
        <f t="shared" ca="1" si="20"/>
        <v>0</v>
      </c>
      <c r="T154" s="110">
        <f>IF(B154=" ",0,IF(Données!$T245="exo",0,$S154*VLOOKUP($F154,taux,18)/100))</f>
        <v>0</v>
      </c>
      <c r="U154" s="109">
        <f>IF($B154=" ",0,IF(Données!$V245="non couvert",0,IF(VLOOKUP($F154,taux,29)="fixe","s/o",IF(Données!$W245="oui",MIN(ROUNDUP(VLOOKUP($F154,taux,31)*$E154,-3),VLOOKUP($F154,taux,33)),MIN(ROUNDUP(VLOOKUP($F154,taux,31)*$E154,-3),VLOOKUP($F154,taux,32))))))</f>
        <v>0</v>
      </c>
      <c r="V154" s="110">
        <f>IF(B154=" ",0,IF(Données!$V245="exo",0,IF(VLOOKUP($F154,taux,29)="fixe",VLOOKUP($F154,taux,30),$U154/1000*VLOOKUP($F154,taux,30))))</f>
        <v>0</v>
      </c>
      <c r="W154" s="110">
        <f t="shared" si="17"/>
        <v>0</v>
      </c>
      <c r="X154" s="383">
        <f>IF(B154=" ",0,EDATE((Données!E194),780))</f>
        <v>0</v>
      </c>
      <c r="Y154" s="383">
        <f t="shared" si="18"/>
        <v>0</v>
      </c>
      <c r="Z154" s="109">
        <f>IF($B154=" ",0,IF(Données!$T194="non couvert",0,IF(Données!$U194="oui",MIN(VLOOKUP($F154,taux,26),ROUNDUP(IF($E154/12&gt;VLOOKUP($F154,taux,21)+VLOOKUP($F154,taux,23),(VLOOKUP($F154,taux,20)*VLOOKUP($F154,taux,21))+(VLOOKUP($F154,taux,22)*VLOOKUP($F154,taux,23))+($E154/12-VLOOKUP($F154,taux,21)-VLOOKUP($F154,taux,23))*VLOOKUP($F154,taux,24),IF($E154/12&gt;VLOOKUP($F154,taux,21),(VLOOKUP($F154,taux,20)*VLOOKUP($F154,taux,21))+($E154/12-VLOOKUP($F154,taux,21))*VLOOKUP($F154,taux,22),$E154/12*VLOOKUP($F154,taux,20))),0)),MIN(VLOOKUP($F154,taux,25),ROUNDUP(IF($E154/12&gt;VLOOKUP($F154,taux,21)+VLOOKUP($F154,taux,23),(VLOOKUP($F154,taux,20)*VLOOKUP($F154,taux,21))+(VLOOKUP($F154,taux,22)*VLOOKUP($F154,taux,23))+($E154/12-VLOOKUP($F154,taux,21)-VLOOKUP($F154,taux,23))*VLOOKUP($F154,taux,24),IF($E154/12&gt;VLOOKUP($F154,taux,21),(VLOOKUP($F154,taux,20)*VLOOKUP($F154,taux,21))+($E154/12-VLOOKUP($F154,taux,21))*VLOOKUP($F154,taux,22),$E154/12*VLOOKUP($F154,taux,20))),0)))))</f>
        <v>0</v>
      </c>
      <c r="AA154" s="111">
        <f ca="1">IF(C154&gt;=70,0,IF($B154=" ",0,IF(Données!$X194="non couvert"," ",Données!Y194)))</f>
        <v>0</v>
      </c>
      <c r="AB154" s="110">
        <f>IF($B154=" ",0,IF(Données!$X245="exo",0,IF($AA154="ind",VLOOKUP($F154,taux,34),IF($AA154="fam",VLOOKUP($F154,taux,35),IF($AA154="mono",VLOOKUP($F154,taux,36),IF($AA154="couple",VLOOKUP($F154,taux,37),0))))))</f>
        <v>0</v>
      </c>
      <c r="AC154" s="111">
        <f ca="1">IF(C154&gt;=70,0,IF($B154=" ",0,IF(Données!$Z194="non couvert"," ",Données!AA194)))</f>
        <v>0</v>
      </c>
      <c r="AD154" s="110">
        <f>IF($B154=" ",0,IF(Données!$Z245="exo",0,IF($AC154="ind",VLOOKUP($F154,taux,38),IF($AC154="fam",VLOOKUP($F154,taux,39),IF($AC154="mono",VLOOKUP($F154,taux,40),IF($AC154="couple",VLOOKUP($F154,taux,41),0))))))</f>
        <v>0</v>
      </c>
      <c r="AE154" s="112">
        <f>IF($B154=" ",0,IF(Données!$AB245="non couvert"," ",Données!AC245))</f>
        <v>0</v>
      </c>
      <c r="AF154" s="113">
        <f>IF($B154=" ",0,IF(Données!$AB245="exo",0,IF($AE154="ind",VLOOKUP($F154,taux,42),IF($AE154="fam",VLOOKUP($F154,taux,43),IF($AE154="mono",VLOOKUP($F154,taux,44),IF($AE154="couple",VLOOKUP($F154,taux,45),0))))))</f>
        <v>0</v>
      </c>
      <c r="AG154" s="114">
        <f t="shared" ca="1" si="19"/>
        <v>0</v>
      </c>
      <c r="AH154" s="114">
        <f>IF($B154=" ",0,IF(Données!J194="Manitoba",(Facture!H154+Facture!J154+Facture!L154+Facture!P154+Facture!R154+Facture!T154)*0.08,(AG154-W154)*IF(Données!$J194="qc",0.09,IF(Données!$J194="on",0.08,0))+W154*VLOOKUP($F154,taux,28)))</f>
        <v>0</v>
      </c>
      <c r="AI154" s="106">
        <f t="shared" ref="AI154:AI200" ca="1" si="22">AH154+AG154</f>
        <v>0</v>
      </c>
    </row>
    <row r="155" spans="1:35" s="64" customFormat="1">
      <c r="A155" s="90">
        <f t="shared" si="21"/>
        <v>141</v>
      </c>
      <c r="B155" s="99" t="str">
        <f>CONCATENATE(Données!B246," ",Données!C246)</f>
        <v xml:space="preserve"> </v>
      </c>
      <c r="C155" s="410">
        <f ca="1">IF(B155="",0,INT((TODAY()-Données!E195)/365.25))</f>
        <v>119</v>
      </c>
      <c r="D155" s="100">
        <f>Données!D246</f>
        <v>0</v>
      </c>
      <c r="E155" s="101">
        <f>Données!I246</f>
        <v>0</v>
      </c>
      <c r="F155" s="102">
        <f>Données!AD246</f>
        <v>0</v>
      </c>
      <c r="G155" s="103">
        <f ca="1">INDEX({1;0.5;0},MATCH(C155,{1;65;70}))*M155</f>
        <v>0</v>
      </c>
      <c r="H155" s="104">
        <f>IF($B155=" ",0,IF(Données!$K246="exo",0,$G155/1000*VLOOKUP($F155,taux,2)))</f>
        <v>0</v>
      </c>
      <c r="I155" s="398">
        <f ca="1">IF(C155&gt;=65,0,Données!M195*5000)</f>
        <v>0</v>
      </c>
      <c r="J155" s="104">
        <f ca="1">I155/1000*(IF(I155=0,0,1)*VLOOKUP((1+(C155&gt;=20)+(C155&gt;=25)+(C155&gt;=30)+(C155&gt;=35)+(C155&gt;=40)+(C155&gt;=45)+(C155&gt;=50)+(C155&gt;=55)+(C155&gt;=60)+(C155&gt;=65)),Test,2+(IF(Données!F195="H",1,3))+(IF(Données!G195="F",1,0))))</f>
        <v>0</v>
      </c>
      <c r="K155" s="103">
        <f ca="1">INDEX({1;0.5;0},MATCH(C155,{1;65;70}))*M155</f>
        <v>0</v>
      </c>
      <c r="L155" s="104">
        <f>IF($B155=" ",0,IF(Données!$N246="exo",0,$K155/1000*VLOOKUP($F155,taux,6)))</f>
        <v>0</v>
      </c>
      <c r="M155" s="379">
        <f>IF($B155=" ",0,IF(Données!$K195="NON COUVERT",0,IF(AND(Données!$L195="oui",Données!$K195=0.5),MIN(VLOOKUP($F155,taux,5)/2,ROUNDUP(VLOOKUP($F155,taux,3)*$E155,-3)/2),IF(Données!$K195=0.5,MIN(VLOOKUP($F155,taux,4)/2,ROUNDUP(VLOOKUP($F155,taux,3)*$E155,-3)/2),ROUNDUP(IF(Données!$L195="OUI",MIN(VLOOKUP($F155,taux,3)*$E155,VLOOKUP($F155,taux,5)),MIN(VLOOKUP($F155,taux,3)*$E155,VLOOKUP($F155,taux,4))),-3)))))</f>
        <v>0</v>
      </c>
      <c r="N155" s="379">
        <f>IF($B155=" ",0,IF(Données!$N195="NON COUVERT",0,IF(AND(Données!$O195="oui",Données!$N195=0.5),MIN(VLOOKUP($F155,taux,9)/2,ROUNDUP(VLOOKUP($F155,taux,7)*$E155,-3)/2),IF(Données!$N195=0.5,MIN(VLOOKUP($F155,taux,8)/2,ROUNDUP(VLOOKUP($F155,taux,7)*$E155,-3)/2),ROUNDUP(IF(Données!$O195="OUI",MIN(VLOOKUP($F155,taux,7)*$E155,VLOOKUP($F155,taux,9)),MIN(VLOOKUP($F155,taux,7)*$E155,VLOOKUP($F155,taux,8))),-3)))))</f>
        <v>0</v>
      </c>
      <c r="O155" s="105">
        <f ca="1">IF(C155&gt;=70,0,IF($B155=" ",0,IF(Données!P195="non couvert"," ",Données!Q195)))</f>
        <v>0</v>
      </c>
      <c r="P155" s="106">
        <f>IF($B155=" ",0,IF(Données!$P246="exo",0,IF($O155="FAM",VLOOKUP($F155,taux,10),IF($O155="MONO",VLOOKUP($F155,taux,11),IF($O155="COUPLE",VLOOKUP($F155,taux,12),0)))))</f>
        <v>0</v>
      </c>
      <c r="Q155" s="107">
        <f ca="1">IF(C155&gt;=70,0,IF($B155=" ",0,IF(Données!$R195="NON COUVERT",0,ROUNDUP(IF(Données!$S195="OUI",MIN($E155*VLOOKUP($F155,taux,15)/52,VLOOKUP($F155,taux,17)),MIN($E155*VLOOKUP($F155,taux,15)/52,VLOOKUP($F155,taux,16))),0))))</f>
        <v>0</v>
      </c>
      <c r="R155" s="108">
        <f>IF($B155=" ",0,IF(Données!$R246="EXO",0,$Q155*VLOOKUP($F155,taux,13)/10))</f>
        <v>0</v>
      </c>
      <c r="S155" s="109">
        <f t="shared" ca="1" si="20"/>
        <v>0</v>
      </c>
      <c r="T155" s="110">
        <f>IF(B155=" ",0,IF(Données!$T246="exo",0,$S155*VLOOKUP($F155,taux,18)/100))</f>
        <v>0</v>
      </c>
      <c r="U155" s="109">
        <f>IF($B155=" ",0,IF(Données!$V246="non couvert",0,IF(VLOOKUP($F155,taux,29)="fixe","s/o",IF(Données!$W246="oui",MIN(ROUNDUP(VLOOKUP($F155,taux,31)*$E155,-3),VLOOKUP($F155,taux,33)),MIN(ROUNDUP(VLOOKUP($F155,taux,31)*$E155,-3),VLOOKUP($F155,taux,32))))))</f>
        <v>0</v>
      </c>
      <c r="V155" s="110">
        <f>IF(B155=" ",0,IF(Données!$V246="exo",0,IF(VLOOKUP($F155,taux,29)="fixe",VLOOKUP($F155,taux,30),$U155/1000*VLOOKUP($F155,taux,30))))</f>
        <v>0</v>
      </c>
      <c r="W155" s="110">
        <f t="shared" si="17"/>
        <v>0</v>
      </c>
      <c r="X155" s="383">
        <f>IF(B155=" ",0,EDATE((Données!E195),780))</f>
        <v>0</v>
      </c>
      <c r="Y155" s="383">
        <f t="shared" si="18"/>
        <v>0</v>
      </c>
      <c r="Z155" s="109">
        <f>IF($B155=" ",0,IF(Données!$T195="non couvert",0,IF(Données!$U195="oui",MIN(VLOOKUP($F155,taux,26),ROUNDUP(IF($E155/12&gt;VLOOKUP($F155,taux,21)+VLOOKUP($F155,taux,23),(VLOOKUP($F155,taux,20)*VLOOKUP($F155,taux,21))+(VLOOKUP($F155,taux,22)*VLOOKUP($F155,taux,23))+($E155/12-VLOOKUP($F155,taux,21)-VLOOKUP($F155,taux,23))*VLOOKUP($F155,taux,24),IF($E155/12&gt;VLOOKUP($F155,taux,21),(VLOOKUP($F155,taux,20)*VLOOKUP($F155,taux,21))+($E155/12-VLOOKUP($F155,taux,21))*VLOOKUP($F155,taux,22),$E155/12*VLOOKUP($F155,taux,20))),0)),MIN(VLOOKUP($F155,taux,25),ROUNDUP(IF($E155/12&gt;VLOOKUP($F155,taux,21)+VLOOKUP($F155,taux,23),(VLOOKUP($F155,taux,20)*VLOOKUP($F155,taux,21))+(VLOOKUP($F155,taux,22)*VLOOKUP($F155,taux,23))+($E155/12-VLOOKUP($F155,taux,21)-VLOOKUP($F155,taux,23))*VLOOKUP($F155,taux,24),IF($E155/12&gt;VLOOKUP($F155,taux,21),(VLOOKUP($F155,taux,20)*VLOOKUP($F155,taux,21))+($E155/12-VLOOKUP($F155,taux,21))*VLOOKUP($F155,taux,22),$E155/12*VLOOKUP($F155,taux,20))),0)))))</f>
        <v>0</v>
      </c>
      <c r="AA155" s="111">
        <f ca="1">IF(C155&gt;=70,0,IF($B155=" ",0,IF(Données!$X195="non couvert"," ",Données!Y195)))</f>
        <v>0</v>
      </c>
      <c r="AB155" s="110">
        <f>IF($B155=" ",0,IF(Données!$X246="exo",0,IF($AA155="ind",VLOOKUP($F155,taux,34),IF($AA155="fam",VLOOKUP($F155,taux,35),IF($AA155="mono",VLOOKUP($F155,taux,36),IF($AA155="couple",VLOOKUP($F155,taux,37),0))))))</f>
        <v>0</v>
      </c>
      <c r="AC155" s="111">
        <f ca="1">IF(C155&gt;=70,0,IF($B155=" ",0,IF(Données!$Z195="non couvert"," ",Données!AA195)))</f>
        <v>0</v>
      </c>
      <c r="AD155" s="110">
        <f>IF($B155=" ",0,IF(Données!$Z246="exo",0,IF($AC155="ind",VLOOKUP($F155,taux,38),IF($AC155="fam",VLOOKUP($F155,taux,39),IF($AC155="mono",VLOOKUP($F155,taux,40),IF($AC155="couple",VLOOKUP($F155,taux,41),0))))))</f>
        <v>0</v>
      </c>
      <c r="AE155" s="112">
        <f>IF($B155=" ",0,IF(Données!$AB246="non couvert"," ",Données!AC246))</f>
        <v>0</v>
      </c>
      <c r="AF155" s="113">
        <f>IF($B155=" ",0,IF(Données!$AB246="exo",0,IF($AE155="ind",VLOOKUP($F155,taux,42),IF($AE155="fam",VLOOKUP($F155,taux,43),IF($AE155="mono",VLOOKUP($F155,taux,44),IF($AE155="couple",VLOOKUP($F155,taux,45),0))))))</f>
        <v>0</v>
      </c>
      <c r="AG155" s="114">
        <f t="shared" ca="1" si="19"/>
        <v>0</v>
      </c>
      <c r="AH155" s="114">
        <f>IF($B155=" ",0,IF(Données!J195="Manitoba",(Facture!H155+Facture!J155+Facture!L155+Facture!P155+Facture!R155+Facture!T155)*0.08,(AG155-W155)*IF(Données!$J195="qc",0.09,IF(Données!$J195="on",0.08,0))+W155*VLOOKUP($F155,taux,28)))</f>
        <v>0</v>
      </c>
      <c r="AI155" s="106">
        <f t="shared" ca="1" si="22"/>
        <v>0</v>
      </c>
    </row>
    <row r="156" spans="1:35" s="64" customFormat="1">
      <c r="A156" s="90">
        <f t="shared" si="21"/>
        <v>142</v>
      </c>
      <c r="B156" s="99" t="str">
        <f>CONCATENATE(Données!B247," ",Données!C247)</f>
        <v xml:space="preserve"> </v>
      </c>
      <c r="C156" s="410">
        <f ca="1">IF(B156="",0,INT((TODAY()-Données!E196)/365.25))</f>
        <v>119</v>
      </c>
      <c r="D156" s="100">
        <f>Données!D247</f>
        <v>0</v>
      </c>
      <c r="E156" s="101">
        <f>Données!I247</f>
        <v>0</v>
      </c>
      <c r="F156" s="102">
        <f>Données!AD247</f>
        <v>0</v>
      </c>
      <c r="G156" s="103">
        <f ca="1">INDEX({1;0.5;0},MATCH(C156,{1;65;70}))*M156</f>
        <v>0</v>
      </c>
      <c r="H156" s="104">
        <f>IF($B156=" ",0,IF(Données!$K247="exo",0,$G156/1000*VLOOKUP($F156,taux,2)))</f>
        <v>0</v>
      </c>
      <c r="I156" s="398">
        <f ca="1">IF(C156&gt;=65,0,Données!M196*5000)</f>
        <v>0</v>
      </c>
      <c r="J156" s="104">
        <f ca="1">I156/1000*(IF(I156=0,0,1)*VLOOKUP((1+(C156&gt;=20)+(C156&gt;=25)+(C156&gt;=30)+(C156&gt;=35)+(C156&gt;=40)+(C156&gt;=45)+(C156&gt;=50)+(C156&gt;=55)+(C156&gt;=60)+(C156&gt;=65)),Test,2+(IF(Données!F196="H",1,3))+(IF(Données!G196="F",1,0))))</f>
        <v>0</v>
      </c>
      <c r="K156" s="103">
        <f ca="1">INDEX({1;0.5;0},MATCH(C156,{1;65;70}))*M156</f>
        <v>0</v>
      </c>
      <c r="L156" s="104">
        <f>IF($B156=" ",0,IF(Données!$N247="exo",0,$K156/1000*VLOOKUP($F156,taux,6)))</f>
        <v>0</v>
      </c>
      <c r="M156" s="379">
        <f>IF($B156=" ",0,IF(Données!$K196="NON COUVERT",0,IF(AND(Données!$L196="oui",Données!$K196=0.5),MIN(VLOOKUP($F156,taux,5)/2,ROUNDUP(VLOOKUP($F156,taux,3)*$E156,-3)/2),IF(Données!$K196=0.5,MIN(VLOOKUP($F156,taux,4)/2,ROUNDUP(VLOOKUP($F156,taux,3)*$E156,-3)/2),ROUNDUP(IF(Données!$L196="OUI",MIN(VLOOKUP($F156,taux,3)*$E156,VLOOKUP($F156,taux,5)),MIN(VLOOKUP($F156,taux,3)*$E156,VLOOKUP($F156,taux,4))),-3)))))</f>
        <v>0</v>
      </c>
      <c r="N156" s="379">
        <f>IF($B156=" ",0,IF(Données!$N196="NON COUVERT",0,IF(AND(Données!$O196="oui",Données!$N196=0.5),MIN(VLOOKUP($F156,taux,9)/2,ROUNDUP(VLOOKUP($F156,taux,7)*$E156,-3)/2),IF(Données!$N196=0.5,MIN(VLOOKUP($F156,taux,8)/2,ROUNDUP(VLOOKUP($F156,taux,7)*$E156,-3)/2),ROUNDUP(IF(Données!$O196="OUI",MIN(VLOOKUP($F156,taux,7)*$E156,VLOOKUP($F156,taux,9)),MIN(VLOOKUP($F156,taux,7)*$E156,VLOOKUP($F156,taux,8))),-3)))))</f>
        <v>0</v>
      </c>
      <c r="O156" s="105">
        <f ca="1">IF(C156&gt;=70,0,IF($B156=" ",0,IF(Données!P196="non couvert"," ",Données!Q196)))</f>
        <v>0</v>
      </c>
      <c r="P156" s="106">
        <f>IF($B156=" ",0,IF(Données!$P247="exo",0,IF($O156="FAM",VLOOKUP($F156,taux,10),IF($O156="MONO",VLOOKUP($F156,taux,11),IF($O156="COUPLE",VLOOKUP($F156,taux,12),0)))))</f>
        <v>0</v>
      </c>
      <c r="Q156" s="107">
        <f ca="1">IF(C156&gt;=70,0,IF($B156=" ",0,IF(Données!$R196="NON COUVERT",0,ROUNDUP(IF(Données!$S196="OUI",MIN($E156*VLOOKUP($F156,taux,15)/52,VLOOKUP($F156,taux,17)),MIN($E156*VLOOKUP($F156,taux,15)/52,VLOOKUP($F156,taux,16))),0))))</f>
        <v>0</v>
      </c>
      <c r="R156" s="108">
        <f>IF($B156=" ",0,IF(Données!$R247="EXO",0,$Q156*VLOOKUP($F156,taux,13)/10))</f>
        <v>0</v>
      </c>
      <c r="S156" s="109">
        <f t="shared" ca="1" si="20"/>
        <v>0</v>
      </c>
      <c r="T156" s="110">
        <f>IF(B156=" ",0,IF(Données!$T247="exo",0,$S156*VLOOKUP($F156,taux,18)/100))</f>
        <v>0</v>
      </c>
      <c r="U156" s="109">
        <f>IF($B156=" ",0,IF(Données!$V247="non couvert",0,IF(VLOOKUP($F156,taux,29)="fixe","s/o",IF(Données!$W247="oui",MIN(ROUNDUP(VLOOKUP($F156,taux,31)*$E156,-3),VLOOKUP($F156,taux,33)),MIN(ROUNDUP(VLOOKUP($F156,taux,31)*$E156,-3),VLOOKUP($F156,taux,32))))))</f>
        <v>0</v>
      </c>
      <c r="V156" s="110">
        <f>IF(B156=" ",0,IF(Données!$V247="exo",0,IF(VLOOKUP($F156,taux,29)="fixe",VLOOKUP($F156,taux,30),$U156/1000*VLOOKUP($F156,taux,30))))</f>
        <v>0</v>
      </c>
      <c r="W156" s="110">
        <f t="shared" si="17"/>
        <v>0</v>
      </c>
      <c r="X156" s="383">
        <f>IF(B156=" ",0,EDATE((Données!E196),780))</f>
        <v>0</v>
      </c>
      <c r="Y156" s="383">
        <f t="shared" si="18"/>
        <v>0</v>
      </c>
      <c r="Z156" s="109">
        <f>IF($B156=" ",0,IF(Données!$T196="non couvert",0,IF(Données!$U196="oui",MIN(VLOOKUP($F156,taux,26),ROUNDUP(IF($E156/12&gt;VLOOKUP($F156,taux,21)+VLOOKUP($F156,taux,23),(VLOOKUP($F156,taux,20)*VLOOKUP($F156,taux,21))+(VLOOKUP($F156,taux,22)*VLOOKUP($F156,taux,23))+($E156/12-VLOOKUP($F156,taux,21)-VLOOKUP($F156,taux,23))*VLOOKUP($F156,taux,24),IF($E156/12&gt;VLOOKUP($F156,taux,21),(VLOOKUP($F156,taux,20)*VLOOKUP($F156,taux,21))+($E156/12-VLOOKUP($F156,taux,21))*VLOOKUP($F156,taux,22),$E156/12*VLOOKUP($F156,taux,20))),0)),MIN(VLOOKUP($F156,taux,25),ROUNDUP(IF($E156/12&gt;VLOOKUP($F156,taux,21)+VLOOKUP($F156,taux,23),(VLOOKUP($F156,taux,20)*VLOOKUP($F156,taux,21))+(VLOOKUP($F156,taux,22)*VLOOKUP($F156,taux,23))+($E156/12-VLOOKUP($F156,taux,21)-VLOOKUP($F156,taux,23))*VLOOKUP($F156,taux,24),IF($E156/12&gt;VLOOKUP($F156,taux,21),(VLOOKUP($F156,taux,20)*VLOOKUP($F156,taux,21))+($E156/12-VLOOKUP($F156,taux,21))*VLOOKUP($F156,taux,22),$E156/12*VLOOKUP($F156,taux,20))),0)))))</f>
        <v>0</v>
      </c>
      <c r="AA156" s="111">
        <f ca="1">IF(C156&gt;=70,0,IF($B156=" ",0,IF(Données!$X196="non couvert"," ",Données!Y196)))</f>
        <v>0</v>
      </c>
      <c r="AB156" s="110">
        <f>IF($B156=" ",0,IF(Données!$X247="exo",0,IF($AA156="ind",VLOOKUP($F156,taux,34),IF($AA156="fam",VLOOKUP($F156,taux,35),IF($AA156="mono",VLOOKUP($F156,taux,36),IF($AA156="couple",VLOOKUP($F156,taux,37),0))))))</f>
        <v>0</v>
      </c>
      <c r="AC156" s="111">
        <f ca="1">IF(C156&gt;=70,0,IF($B156=" ",0,IF(Données!$Z196="non couvert"," ",Données!AA196)))</f>
        <v>0</v>
      </c>
      <c r="AD156" s="110">
        <f>IF($B156=" ",0,IF(Données!$Z247="exo",0,IF($AC156="ind",VLOOKUP($F156,taux,38),IF($AC156="fam",VLOOKUP($F156,taux,39),IF($AC156="mono",VLOOKUP($F156,taux,40),IF($AC156="couple",VLOOKUP($F156,taux,41),0))))))</f>
        <v>0</v>
      </c>
      <c r="AE156" s="112">
        <f>IF($B156=" ",0,IF(Données!$AB247="non couvert"," ",Données!AC247))</f>
        <v>0</v>
      </c>
      <c r="AF156" s="113">
        <f>IF($B156=" ",0,IF(Données!$AB247="exo",0,IF($AE156="ind",VLOOKUP($F156,taux,42),IF($AE156="fam",VLOOKUP($F156,taux,43),IF($AE156="mono",VLOOKUP($F156,taux,44),IF($AE156="couple",VLOOKUP($F156,taux,45),0))))))</f>
        <v>0</v>
      </c>
      <c r="AG156" s="114">
        <f t="shared" ca="1" si="19"/>
        <v>0</v>
      </c>
      <c r="AH156" s="114">
        <f>IF($B156=" ",0,IF(Données!J196="Manitoba",(Facture!H156+Facture!J156+Facture!L156+Facture!P156+Facture!R156+Facture!T156)*0.08,(AG156-W156)*IF(Données!$J196="qc",0.09,IF(Données!$J196="on",0.08,0))+W156*VLOOKUP($F156,taux,28)))</f>
        <v>0</v>
      </c>
      <c r="AI156" s="106">
        <f t="shared" ca="1" si="22"/>
        <v>0</v>
      </c>
    </row>
    <row r="157" spans="1:35" s="64" customFormat="1">
      <c r="A157" s="90">
        <f t="shared" si="21"/>
        <v>143</v>
      </c>
      <c r="B157" s="99" t="str">
        <f>CONCATENATE(Données!B248," ",Données!C248)</f>
        <v xml:space="preserve"> </v>
      </c>
      <c r="C157" s="410">
        <f ca="1">IF(B157="",0,INT((TODAY()-Données!E197)/365.25))</f>
        <v>119</v>
      </c>
      <c r="D157" s="100">
        <f>Données!D248</f>
        <v>0</v>
      </c>
      <c r="E157" s="101">
        <f>Données!I248</f>
        <v>0</v>
      </c>
      <c r="F157" s="102">
        <f>Données!AD248</f>
        <v>0</v>
      </c>
      <c r="G157" s="103">
        <f ca="1">INDEX({1;0.5;0},MATCH(C157,{1;65;70}))*M157</f>
        <v>0</v>
      </c>
      <c r="H157" s="104">
        <f>IF($B157=" ",0,IF(Données!$K248="exo",0,$G157/1000*VLOOKUP($F157,taux,2)))</f>
        <v>0</v>
      </c>
      <c r="I157" s="398">
        <f ca="1">IF(C157&gt;=65,0,Données!M197*5000)</f>
        <v>0</v>
      </c>
      <c r="J157" s="104">
        <f ca="1">I157/1000*(IF(I157=0,0,1)*VLOOKUP((1+(C157&gt;=20)+(C157&gt;=25)+(C157&gt;=30)+(C157&gt;=35)+(C157&gt;=40)+(C157&gt;=45)+(C157&gt;=50)+(C157&gt;=55)+(C157&gt;=60)+(C157&gt;=65)),Test,2+(IF(Données!F197="H",1,3))+(IF(Données!G197="F",1,0))))</f>
        <v>0</v>
      </c>
      <c r="K157" s="103">
        <f ca="1">INDEX({1;0.5;0},MATCH(C157,{1;65;70}))*M157</f>
        <v>0</v>
      </c>
      <c r="L157" s="104">
        <f>IF($B157=" ",0,IF(Données!$N248="exo",0,$K157/1000*VLOOKUP($F157,taux,6)))</f>
        <v>0</v>
      </c>
      <c r="M157" s="379">
        <f>IF($B157=" ",0,IF(Données!$K197="NON COUVERT",0,IF(AND(Données!$L197="oui",Données!$K197=0.5),MIN(VLOOKUP($F157,taux,5)/2,ROUNDUP(VLOOKUP($F157,taux,3)*$E157,-3)/2),IF(Données!$K197=0.5,MIN(VLOOKUP($F157,taux,4)/2,ROUNDUP(VLOOKUP($F157,taux,3)*$E157,-3)/2),ROUNDUP(IF(Données!$L197="OUI",MIN(VLOOKUP($F157,taux,3)*$E157,VLOOKUP($F157,taux,5)),MIN(VLOOKUP($F157,taux,3)*$E157,VLOOKUP($F157,taux,4))),-3)))))</f>
        <v>0</v>
      </c>
      <c r="N157" s="379">
        <f>IF($B157=" ",0,IF(Données!$N197="NON COUVERT",0,IF(AND(Données!$O197="oui",Données!$N197=0.5),MIN(VLOOKUP($F157,taux,9)/2,ROUNDUP(VLOOKUP($F157,taux,7)*$E157,-3)/2),IF(Données!$N197=0.5,MIN(VLOOKUP($F157,taux,8)/2,ROUNDUP(VLOOKUP($F157,taux,7)*$E157,-3)/2),ROUNDUP(IF(Données!$O197="OUI",MIN(VLOOKUP($F157,taux,7)*$E157,VLOOKUP($F157,taux,9)),MIN(VLOOKUP($F157,taux,7)*$E157,VLOOKUP($F157,taux,8))),-3)))))</f>
        <v>0</v>
      </c>
      <c r="O157" s="105">
        <f ca="1">IF(C157&gt;=70,0,IF($B157=" ",0,IF(Données!P197="non couvert"," ",Données!Q197)))</f>
        <v>0</v>
      </c>
      <c r="P157" s="106">
        <f>IF($B157=" ",0,IF(Données!$P248="exo",0,IF($O157="FAM",VLOOKUP($F157,taux,10),IF($O157="MONO",VLOOKUP($F157,taux,11),IF($O157="COUPLE",VLOOKUP($F157,taux,12),0)))))</f>
        <v>0</v>
      </c>
      <c r="Q157" s="107">
        <f ca="1">IF(C157&gt;=70,0,IF($B157=" ",0,IF(Données!$R197="NON COUVERT",0,ROUNDUP(IF(Données!$S197="OUI",MIN($E157*VLOOKUP($F157,taux,15)/52,VLOOKUP($F157,taux,17)),MIN($E157*VLOOKUP($F157,taux,15)/52,VLOOKUP($F157,taux,16))),0))))</f>
        <v>0</v>
      </c>
      <c r="R157" s="108">
        <f>IF($B157=" ",0,IF(Données!$R248="EXO",0,$Q157*VLOOKUP($F157,taux,13)/10))</f>
        <v>0</v>
      </c>
      <c r="S157" s="109">
        <f t="shared" ca="1" si="20"/>
        <v>0</v>
      </c>
      <c r="T157" s="110">
        <f>IF(B157=" ",0,IF(Données!$T248="exo",0,$S157*VLOOKUP($F157,taux,18)/100))</f>
        <v>0</v>
      </c>
      <c r="U157" s="109">
        <f>IF($B157=" ",0,IF(Données!$V248="non couvert",0,IF(VLOOKUP($F157,taux,29)="fixe","s/o",IF(Données!$W248="oui",MIN(ROUNDUP(VLOOKUP($F157,taux,31)*$E157,-3),VLOOKUP($F157,taux,33)),MIN(ROUNDUP(VLOOKUP($F157,taux,31)*$E157,-3),VLOOKUP($F157,taux,32))))))</f>
        <v>0</v>
      </c>
      <c r="V157" s="110">
        <f>IF(B157=" ",0,IF(Données!$V248="exo",0,IF(VLOOKUP($F157,taux,29)="fixe",VLOOKUP($F157,taux,30),$U157/1000*VLOOKUP($F157,taux,30))))</f>
        <v>0</v>
      </c>
      <c r="W157" s="110">
        <f t="shared" si="17"/>
        <v>0</v>
      </c>
      <c r="X157" s="383">
        <f>IF(B157=" ",0,EDATE((Données!E197),780))</f>
        <v>0</v>
      </c>
      <c r="Y157" s="383">
        <f t="shared" si="18"/>
        <v>0</v>
      </c>
      <c r="Z157" s="109">
        <f>IF($B157=" ",0,IF(Données!$T197="non couvert",0,IF(Données!$U197="oui",MIN(VLOOKUP($F157,taux,26),ROUNDUP(IF($E157/12&gt;VLOOKUP($F157,taux,21)+VLOOKUP($F157,taux,23),(VLOOKUP($F157,taux,20)*VLOOKUP($F157,taux,21))+(VLOOKUP($F157,taux,22)*VLOOKUP($F157,taux,23))+($E157/12-VLOOKUP($F157,taux,21)-VLOOKUP($F157,taux,23))*VLOOKUP($F157,taux,24),IF($E157/12&gt;VLOOKUP($F157,taux,21),(VLOOKUP($F157,taux,20)*VLOOKUP($F157,taux,21))+($E157/12-VLOOKUP($F157,taux,21))*VLOOKUP($F157,taux,22),$E157/12*VLOOKUP($F157,taux,20))),0)),MIN(VLOOKUP($F157,taux,25),ROUNDUP(IF($E157/12&gt;VLOOKUP($F157,taux,21)+VLOOKUP($F157,taux,23),(VLOOKUP($F157,taux,20)*VLOOKUP($F157,taux,21))+(VLOOKUP($F157,taux,22)*VLOOKUP($F157,taux,23))+($E157/12-VLOOKUP($F157,taux,21)-VLOOKUP($F157,taux,23))*VLOOKUP($F157,taux,24),IF($E157/12&gt;VLOOKUP($F157,taux,21),(VLOOKUP($F157,taux,20)*VLOOKUP($F157,taux,21))+($E157/12-VLOOKUP($F157,taux,21))*VLOOKUP($F157,taux,22),$E157/12*VLOOKUP($F157,taux,20))),0)))))</f>
        <v>0</v>
      </c>
      <c r="AA157" s="111">
        <f ca="1">IF(C157&gt;=70,0,IF($B157=" ",0,IF(Données!$X197="non couvert"," ",Données!Y197)))</f>
        <v>0</v>
      </c>
      <c r="AB157" s="110">
        <f>IF($B157=" ",0,IF(Données!$X248="exo",0,IF($AA157="ind",VLOOKUP($F157,taux,34),IF($AA157="fam",VLOOKUP($F157,taux,35),IF($AA157="mono",VLOOKUP($F157,taux,36),IF($AA157="couple",VLOOKUP($F157,taux,37),0))))))</f>
        <v>0</v>
      </c>
      <c r="AC157" s="111">
        <f ca="1">IF(C157&gt;=70,0,IF($B157=" ",0,IF(Données!$Z197="non couvert"," ",Données!AA197)))</f>
        <v>0</v>
      </c>
      <c r="AD157" s="110">
        <f>IF($B157=" ",0,IF(Données!$Z248="exo",0,IF($AC157="ind",VLOOKUP($F157,taux,38),IF($AC157="fam",VLOOKUP($F157,taux,39),IF($AC157="mono",VLOOKUP($F157,taux,40),IF($AC157="couple",VLOOKUP($F157,taux,41),0))))))</f>
        <v>0</v>
      </c>
      <c r="AE157" s="112">
        <f>IF($B157=" ",0,IF(Données!$AB248="non couvert"," ",Données!AC248))</f>
        <v>0</v>
      </c>
      <c r="AF157" s="113">
        <f>IF($B157=" ",0,IF(Données!$AB248="exo",0,IF($AE157="ind",VLOOKUP($F157,taux,42),IF($AE157="fam",VLOOKUP($F157,taux,43),IF($AE157="mono",VLOOKUP($F157,taux,44),IF($AE157="couple",VLOOKUP($F157,taux,45),0))))))</f>
        <v>0</v>
      </c>
      <c r="AG157" s="114">
        <f t="shared" ca="1" si="19"/>
        <v>0</v>
      </c>
      <c r="AH157" s="114">
        <f>IF($B157=" ",0,IF(Données!J197="Manitoba",(Facture!H157+Facture!J157+Facture!L157+Facture!P157+Facture!R157+Facture!T157)*0.08,(AG157-W157)*IF(Données!$J197="qc",0.09,IF(Données!$J197="on",0.08,0))+W157*VLOOKUP($F157,taux,28)))</f>
        <v>0</v>
      </c>
      <c r="AI157" s="106">
        <f t="shared" ca="1" si="22"/>
        <v>0</v>
      </c>
    </row>
    <row r="158" spans="1:35" s="64" customFormat="1">
      <c r="A158" s="90">
        <f t="shared" si="21"/>
        <v>144</v>
      </c>
      <c r="B158" s="99" t="str">
        <f>CONCATENATE(Données!B249," ",Données!C249)</f>
        <v xml:space="preserve"> </v>
      </c>
      <c r="C158" s="410">
        <f ca="1">IF(B158="",0,INT((TODAY()-Données!E198)/365.25))</f>
        <v>119</v>
      </c>
      <c r="D158" s="100">
        <f>Données!D249</f>
        <v>0</v>
      </c>
      <c r="E158" s="101">
        <f>Données!I249</f>
        <v>0</v>
      </c>
      <c r="F158" s="102">
        <f>Données!AD249</f>
        <v>0</v>
      </c>
      <c r="G158" s="103">
        <f ca="1">INDEX({1;0.5;0},MATCH(C158,{1;65;70}))*M158</f>
        <v>0</v>
      </c>
      <c r="H158" s="104">
        <f>IF($B158=" ",0,IF(Données!$K249="exo",0,$G158/1000*VLOOKUP($F158,taux,2)))</f>
        <v>0</v>
      </c>
      <c r="I158" s="398">
        <f ca="1">IF(C158&gt;=65,0,Données!M198*5000)</f>
        <v>0</v>
      </c>
      <c r="J158" s="104">
        <f ca="1">I158/1000*(IF(I158=0,0,1)*VLOOKUP((1+(C158&gt;=20)+(C158&gt;=25)+(C158&gt;=30)+(C158&gt;=35)+(C158&gt;=40)+(C158&gt;=45)+(C158&gt;=50)+(C158&gt;=55)+(C158&gt;=60)+(C158&gt;=65)),Test,2+(IF(Données!F198="H",1,3))+(IF(Données!G198="F",1,0))))</f>
        <v>0</v>
      </c>
      <c r="K158" s="103">
        <f ca="1">INDEX({1;0.5;0},MATCH(C158,{1;65;70}))*M158</f>
        <v>0</v>
      </c>
      <c r="L158" s="104">
        <f>IF($B158=" ",0,IF(Données!$N249="exo",0,$K158/1000*VLOOKUP($F158,taux,6)))</f>
        <v>0</v>
      </c>
      <c r="M158" s="379">
        <f>IF($B158=" ",0,IF(Données!$K198="NON COUVERT",0,IF(AND(Données!$L198="oui",Données!$K198=0.5),MIN(VLOOKUP($F158,taux,5)/2,ROUNDUP(VLOOKUP($F158,taux,3)*$E158,-3)/2),IF(Données!$K198=0.5,MIN(VLOOKUP($F158,taux,4)/2,ROUNDUP(VLOOKUP($F158,taux,3)*$E158,-3)/2),ROUNDUP(IF(Données!$L198="OUI",MIN(VLOOKUP($F158,taux,3)*$E158,VLOOKUP($F158,taux,5)),MIN(VLOOKUP($F158,taux,3)*$E158,VLOOKUP($F158,taux,4))),-3)))))</f>
        <v>0</v>
      </c>
      <c r="N158" s="379">
        <f>IF($B158=" ",0,IF(Données!$N198="NON COUVERT",0,IF(AND(Données!$O198="oui",Données!$N198=0.5),MIN(VLOOKUP($F158,taux,9)/2,ROUNDUP(VLOOKUP($F158,taux,7)*$E158,-3)/2),IF(Données!$N198=0.5,MIN(VLOOKUP($F158,taux,8)/2,ROUNDUP(VLOOKUP($F158,taux,7)*$E158,-3)/2),ROUNDUP(IF(Données!$O198="OUI",MIN(VLOOKUP($F158,taux,7)*$E158,VLOOKUP($F158,taux,9)),MIN(VLOOKUP($F158,taux,7)*$E158,VLOOKUP($F158,taux,8))),-3)))))</f>
        <v>0</v>
      </c>
      <c r="O158" s="105">
        <f ca="1">IF(C158&gt;=70,0,IF($B158=" ",0,IF(Données!P198="non couvert"," ",Données!Q198)))</f>
        <v>0</v>
      </c>
      <c r="P158" s="106">
        <f>IF($B158=" ",0,IF(Données!$P249="exo",0,IF($O158="FAM",VLOOKUP($F158,taux,10),IF($O158="MONO",VLOOKUP($F158,taux,11),IF($O158="COUPLE",VLOOKUP($F158,taux,12),0)))))</f>
        <v>0</v>
      </c>
      <c r="Q158" s="107">
        <f ca="1">IF(C158&gt;=70,0,IF($B158=" ",0,IF(Données!$R198="NON COUVERT",0,ROUNDUP(IF(Données!$S198="OUI",MIN($E158*VLOOKUP($F158,taux,15)/52,VLOOKUP($F158,taux,17)),MIN($E158*VLOOKUP($F158,taux,15)/52,VLOOKUP($F158,taux,16))),0))))</f>
        <v>0</v>
      </c>
      <c r="R158" s="108">
        <f>IF($B158=" ",0,IF(Données!$R249="EXO",0,$Q158*VLOOKUP($F158,taux,13)/10))</f>
        <v>0</v>
      </c>
      <c r="S158" s="109">
        <f t="shared" ca="1" si="20"/>
        <v>0</v>
      </c>
      <c r="T158" s="110">
        <f>IF(B158=" ",0,IF(Données!$T249="exo",0,$S158*VLOOKUP($F158,taux,18)/100))</f>
        <v>0</v>
      </c>
      <c r="U158" s="109">
        <f>IF($B158=" ",0,IF(Données!$V249="non couvert",0,IF(VLOOKUP($F158,taux,29)="fixe","s/o",IF(Données!$W249="oui",MIN(ROUNDUP(VLOOKUP($F158,taux,31)*$E158,-3),VLOOKUP($F158,taux,33)),MIN(ROUNDUP(VLOOKUP($F158,taux,31)*$E158,-3),VLOOKUP($F158,taux,32))))))</f>
        <v>0</v>
      </c>
      <c r="V158" s="110">
        <f>IF(B158=" ",0,IF(Données!$V249="exo",0,IF(VLOOKUP($F158,taux,29)="fixe",VLOOKUP($F158,taux,30),$U158/1000*VLOOKUP($F158,taux,30))))</f>
        <v>0</v>
      </c>
      <c r="W158" s="110">
        <f t="shared" si="17"/>
        <v>0</v>
      </c>
      <c r="X158" s="383">
        <f>IF(B158=" ",0,EDATE((Données!E198),780))</f>
        <v>0</v>
      </c>
      <c r="Y158" s="383">
        <f t="shared" si="18"/>
        <v>0</v>
      </c>
      <c r="Z158" s="109">
        <f>IF($B158=" ",0,IF(Données!$T198="non couvert",0,IF(Données!$U198="oui",MIN(VLOOKUP($F158,taux,26),ROUNDUP(IF($E158/12&gt;VLOOKUP($F158,taux,21)+VLOOKUP($F158,taux,23),(VLOOKUP($F158,taux,20)*VLOOKUP($F158,taux,21))+(VLOOKUP($F158,taux,22)*VLOOKUP($F158,taux,23))+($E158/12-VLOOKUP($F158,taux,21)-VLOOKUP($F158,taux,23))*VLOOKUP($F158,taux,24),IF($E158/12&gt;VLOOKUP($F158,taux,21),(VLOOKUP($F158,taux,20)*VLOOKUP($F158,taux,21))+($E158/12-VLOOKUP($F158,taux,21))*VLOOKUP($F158,taux,22),$E158/12*VLOOKUP($F158,taux,20))),0)),MIN(VLOOKUP($F158,taux,25),ROUNDUP(IF($E158/12&gt;VLOOKUP($F158,taux,21)+VLOOKUP($F158,taux,23),(VLOOKUP($F158,taux,20)*VLOOKUP($F158,taux,21))+(VLOOKUP($F158,taux,22)*VLOOKUP($F158,taux,23))+($E158/12-VLOOKUP($F158,taux,21)-VLOOKUP($F158,taux,23))*VLOOKUP($F158,taux,24),IF($E158/12&gt;VLOOKUP($F158,taux,21),(VLOOKUP($F158,taux,20)*VLOOKUP($F158,taux,21))+($E158/12-VLOOKUP($F158,taux,21))*VLOOKUP($F158,taux,22),$E158/12*VLOOKUP($F158,taux,20))),0)))))</f>
        <v>0</v>
      </c>
      <c r="AA158" s="111">
        <f ca="1">IF(C158&gt;=70,0,IF($B158=" ",0,IF(Données!$X198="non couvert"," ",Données!Y198)))</f>
        <v>0</v>
      </c>
      <c r="AB158" s="110">
        <f>IF($B158=" ",0,IF(Données!$X249="exo",0,IF($AA158="ind",VLOOKUP($F158,taux,34),IF($AA158="fam",VLOOKUP($F158,taux,35),IF($AA158="mono",VLOOKUP($F158,taux,36),IF($AA158="couple",VLOOKUP($F158,taux,37),0))))))</f>
        <v>0</v>
      </c>
      <c r="AC158" s="111">
        <f ca="1">IF(C158&gt;=70,0,IF($B158=" ",0,IF(Données!$Z198="non couvert"," ",Données!AA198)))</f>
        <v>0</v>
      </c>
      <c r="AD158" s="110">
        <f>IF($B158=" ",0,IF(Données!$Z249="exo",0,IF($AC158="ind",VLOOKUP($F158,taux,38),IF($AC158="fam",VLOOKUP($F158,taux,39),IF($AC158="mono",VLOOKUP($F158,taux,40),IF($AC158="couple",VLOOKUP($F158,taux,41),0))))))</f>
        <v>0</v>
      </c>
      <c r="AE158" s="112">
        <f>IF($B158=" ",0,IF(Données!$AB249="non couvert"," ",Données!AC249))</f>
        <v>0</v>
      </c>
      <c r="AF158" s="113">
        <f>IF($B158=" ",0,IF(Données!$AB249="exo",0,IF($AE158="ind",VLOOKUP($F158,taux,42),IF($AE158="fam",VLOOKUP($F158,taux,43),IF($AE158="mono",VLOOKUP($F158,taux,44),IF($AE158="couple",VLOOKUP($F158,taux,45),0))))))</f>
        <v>0</v>
      </c>
      <c r="AG158" s="114">
        <f t="shared" ca="1" si="19"/>
        <v>0</v>
      </c>
      <c r="AH158" s="114">
        <f>IF($B158=" ",0,IF(Données!J198="Manitoba",(Facture!H158+Facture!J158+Facture!L158+Facture!P158+Facture!R158+Facture!T158)*0.08,(AG158-W158)*IF(Données!$J198="qc",0.09,IF(Données!$J198="on",0.08,0))+W158*VLOOKUP($F158,taux,28)))</f>
        <v>0</v>
      </c>
      <c r="AI158" s="106">
        <f t="shared" ca="1" si="22"/>
        <v>0</v>
      </c>
    </row>
    <row r="159" spans="1:35" s="64" customFormat="1">
      <c r="A159" s="90">
        <f t="shared" si="21"/>
        <v>145</v>
      </c>
      <c r="B159" s="99" t="str">
        <f>CONCATENATE(Données!B250," ",Données!C250)</f>
        <v xml:space="preserve"> </v>
      </c>
      <c r="C159" s="410">
        <f ca="1">IF(B159="",0,INT((TODAY()-Données!E199)/365.25))</f>
        <v>119</v>
      </c>
      <c r="D159" s="100">
        <f>Données!D250</f>
        <v>0</v>
      </c>
      <c r="E159" s="101">
        <f>Données!I250</f>
        <v>0</v>
      </c>
      <c r="F159" s="102">
        <f>Données!AD250</f>
        <v>0</v>
      </c>
      <c r="G159" s="103">
        <f ca="1">INDEX({1;0.5;0},MATCH(C159,{1;65;70}))*M159</f>
        <v>0</v>
      </c>
      <c r="H159" s="104">
        <f>IF($B159=" ",0,IF(Données!$K250="exo",0,$G159/1000*VLOOKUP($F159,taux,2)))</f>
        <v>0</v>
      </c>
      <c r="I159" s="398">
        <f ca="1">IF(C159&gt;=65,0,Données!M199*5000)</f>
        <v>0</v>
      </c>
      <c r="J159" s="104">
        <f ca="1">I159/1000*(IF(I159=0,0,1)*VLOOKUP((1+(C159&gt;=20)+(C159&gt;=25)+(C159&gt;=30)+(C159&gt;=35)+(C159&gt;=40)+(C159&gt;=45)+(C159&gt;=50)+(C159&gt;=55)+(C159&gt;=60)+(C159&gt;=65)),Test,2+(IF(Données!F199="H",1,3))+(IF(Données!G199="F",1,0))))</f>
        <v>0</v>
      </c>
      <c r="K159" s="103">
        <f ca="1">INDEX({1;0.5;0},MATCH(C159,{1;65;70}))*M159</f>
        <v>0</v>
      </c>
      <c r="L159" s="104">
        <f>IF($B159=" ",0,IF(Données!$N250="exo",0,$K159/1000*VLOOKUP($F159,taux,6)))</f>
        <v>0</v>
      </c>
      <c r="M159" s="379">
        <f>IF($B159=" ",0,IF(Données!$K199="NON COUVERT",0,IF(AND(Données!$L199="oui",Données!$K199=0.5),MIN(VLOOKUP($F159,taux,5)/2,ROUNDUP(VLOOKUP($F159,taux,3)*$E159,-3)/2),IF(Données!$K199=0.5,MIN(VLOOKUP($F159,taux,4)/2,ROUNDUP(VLOOKUP($F159,taux,3)*$E159,-3)/2),ROUNDUP(IF(Données!$L199="OUI",MIN(VLOOKUP($F159,taux,3)*$E159,VLOOKUP($F159,taux,5)),MIN(VLOOKUP($F159,taux,3)*$E159,VLOOKUP($F159,taux,4))),-3)))))</f>
        <v>0</v>
      </c>
      <c r="N159" s="379">
        <f>IF($B159=" ",0,IF(Données!$N199="NON COUVERT",0,IF(AND(Données!$O199="oui",Données!$N199=0.5),MIN(VLOOKUP($F159,taux,9)/2,ROUNDUP(VLOOKUP($F159,taux,7)*$E159,-3)/2),IF(Données!$N199=0.5,MIN(VLOOKUP($F159,taux,8)/2,ROUNDUP(VLOOKUP($F159,taux,7)*$E159,-3)/2),ROUNDUP(IF(Données!$O199="OUI",MIN(VLOOKUP($F159,taux,7)*$E159,VLOOKUP($F159,taux,9)),MIN(VLOOKUP($F159,taux,7)*$E159,VLOOKUP($F159,taux,8))),-3)))))</f>
        <v>0</v>
      </c>
      <c r="O159" s="105">
        <f ca="1">IF(C159&gt;=70,0,IF($B159=" ",0,IF(Données!P199="non couvert"," ",Données!Q199)))</f>
        <v>0</v>
      </c>
      <c r="P159" s="106">
        <f>IF($B159=" ",0,IF(Données!$P250="exo",0,IF($O159="FAM",VLOOKUP($F159,taux,10),IF($O159="MONO",VLOOKUP($F159,taux,11),IF($O159="COUPLE",VLOOKUP($F159,taux,12),0)))))</f>
        <v>0</v>
      </c>
      <c r="Q159" s="107">
        <f ca="1">IF(C159&gt;=70,0,IF($B159=" ",0,IF(Données!$R199="NON COUVERT",0,ROUNDUP(IF(Données!$S199="OUI",MIN($E159*VLOOKUP($F159,taux,15)/52,VLOOKUP($F159,taux,17)),MIN($E159*VLOOKUP($F159,taux,15)/52,VLOOKUP($F159,taux,16))),0))))</f>
        <v>0</v>
      </c>
      <c r="R159" s="108">
        <f>IF($B159=" ",0,IF(Données!$R250="EXO",0,$Q159*VLOOKUP($F159,taux,13)/10))</f>
        <v>0</v>
      </c>
      <c r="S159" s="109">
        <f t="shared" ca="1" si="20"/>
        <v>0</v>
      </c>
      <c r="T159" s="110">
        <f>IF(B159=" ",0,IF(Données!$T250="exo",0,$S159*VLOOKUP($F159,taux,18)/100))</f>
        <v>0</v>
      </c>
      <c r="U159" s="109">
        <f>IF($B159=" ",0,IF(Données!$V250="non couvert",0,IF(VLOOKUP($F159,taux,29)="fixe","s/o",IF(Données!$W250="oui",MIN(ROUNDUP(VLOOKUP($F159,taux,31)*$E159,-3),VLOOKUP($F159,taux,33)),MIN(ROUNDUP(VLOOKUP($F159,taux,31)*$E159,-3),VLOOKUP($F159,taux,32))))))</f>
        <v>0</v>
      </c>
      <c r="V159" s="110">
        <f>IF(B159=" ",0,IF(Données!$V250="exo",0,IF(VLOOKUP($F159,taux,29)="fixe",VLOOKUP($F159,taux,30),$U159/1000*VLOOKUP($F159,taux,30))))</f>
        <v>0</v>
      </c>
      <c r="W159" s="110">
        <f t="shared" si="17"/>
        <v>0</v>
      </c>
      <c r="X159" s="383">
        <f>IF(B159=" ",0,EDATE((Données!E199),780))</f>
        <v>0</v>
      </c>
      <c r="Y159" s="383">
        <f t="shared" si="18"/>
        <v>0</v>
      </c>
      <c r="Z159" s="109">
        <f>IF($B159=" ",0,IF(Données!$T199="non couvert",0,IF(Données!$U199="oui",MIN(VLOOKUP($F159,taux,26),ROUNDUP(IF($E159/12&gt;VLOOKUP($F159,taux,21)+VLOOKUP($F159,taux,23),(VLOOKUP($F159,taux,20)*VLOOKUP($F159,taux,21))+(VLOOKUP($F159,taux,22)*VLOOKUP($F159,taux,23))+($E159/12-VLOOKUP($F159,taux,21)-VLOOKUP($F159,taux,23))*VLOOKUP($F159,taux,24),IF($E159/12&gt;VLOOKUP($F159,taux,21),(VLOOKUP($F159,taux,20)*VLOOKUP($F159,taux,21))+($E159/12-VLOOKUP($F159,taux,21))*VLOOKUP($F159,taux,22),$E159/12*VLOOKUP($F159,taux,20))),0)),MIN(VLOOKUP($F159,taux,25),ROUNDUP(IF($E159/12&gt;VLOOKUP($F159,taux,21)+VLOOKUP($F159,taux,23),(VLOOKUP($F159,taux,20)*VLOOKUP($F159,taux,21))+(VLOOKUP($F159,taux,22)*VLOOKUP($F159,taux,23))+($E159/12-VLOOKUP($F159,taux,21)-VLOOKUP($F159,taux,23))*VLOOKUP($F159,taux,24),IF($E159/12&gt;VLOOKUP($F159,taux,21),(VLOOKUP($F159,taux,20)*VLOOKUP($F159,taux,21))+($E159/12-VLOOKUP($F159,taux,21))*VLOOKUP($F159,taux,22),$E159/12*VLOOKUP($F159,taux,20))),0)))))</f>
        <v>0</v>
      </c>
      <c r="AA159" s="111">
        <f ca="1">IF(C159&gt;=70,0,IF($B159=" ",0,IF(Données!$X199="non couvert"," ",Données!Y199)))</f>
        <v>0</v>
      </c>
      <c r="AB159" s="110">
        <f>IF($B159=" ",0,IF(Données!$X250="exo",0,IF($AA159="ind",VLOOKUP($F159,taux,34),IF($AA159="fam",VLOOKUP($F159,taux,35),IF($AA159="mono",VLOOKUP($F159,taux,36),IF($AA159="couple",VLOOKUP($F159,taux,37),0))))))</f>
        <v>0</v>
      </c>
      <c r="AC159" s="111">
        <f ca="1">IF(C159&gt;=70,0,IF($B159=" ",0,IF(Données!$Z199="non couvert"," ",Données!AA199)))</f>
        <v>0</v>
      </c>
      <c r="AD159" s="110">
        <f>IF($B159=" ",0,IF(Données!$Z250="exo",0,IF($AC159="ind",VLOOKUP($F159,taux,38),IF($AC159="fam",VLOOKUP($F159,taux,39),IF($AC159="mono",VLOOKUP($F159,taux,40),IF($AC159="couple",VLOOKUP($F159,taux,41),0))))))</f>
        <v>0</v>
      </c>
      <c r="AE159" s="112">
        <f>IF($B159=" ",0,IF(Données!$AB250="non couvert"," ",Données!AC250))</f>
        <v>0</v>
      </c>
      <c r="AF159" s="113">
        <f>IF($B159=" ",0,IF(Données!$AB250="exo",0,IF($AE159="ind",VLOOKUP($F159,taux,42),IF($AE159="fam",VLOOKUP($F159,taux,43),IF($AE159="mono",VLOOKUP($F159,taux,44),IF($AE159="couple",VLOOKUP($F159,taux,45),0))))))</f>
        <v>0</v>
      </c>
      <c r="AG159" s="114">
        <f t="shared" ca="1" si="19"/>
        <v>0</v>
      </c>
      <c r="AH159" s="114">
        <f>IF($B159=" ",0,IF(Données!J199="Manitoba",(Facture!H159+Facture!J159+Facture!L159+Facture!P159+Facture!R159+Facture!T159)*0.08,(AG159-W159)*IF(Données!$J199="qc",0.09,IF(Données!$J199="on",0.08,0))+W159*VLOOKUP($F159,taux,28)))</f>
        <v>0</v>
      </c>
      <c r="AI159" s="106">
        <f t="shared" ca="1" si="22"/>
        <v>0</v>
      </c>
    </row>
    <row r="160" spans="1:35" s="64" customFormat="1">
      <c r="A160" s="90">
        <f t="shared" si="21"/>
        <v>146</v>
      </c>
      <c r="B160" s="99" t="str">
        <f>CONCATENATE(Données!B251," ",Données!C251)</f>
        <v xml:space="preserve"> </v>
      </c>
      <c r="C160" s="410">
        <f ca="1">IF(B160="",0,INT((TODAY()-Données!E200)/365.25))</f>
        <v>119</v>
      </c>
      <c r="D160" s="100">
        <f>Données!D251</f>
        <v>0</v>
      </c>
      <c r="E160" s="101">
        <f>Données!I251</f>
        <v>0</v>
      </c>
      <c r="F160" s="102">
        <f>Données!AD251</f>
        <v>0</v>
      </c>
      <c r="G160" s="103">
        <f ca="1">INDEX({1;0.5;0},MATCH(C160,{1;65;70}))*M160</f>
        <v>0</v>
      </c>
      <c r="H160" s="104">
        <f>IF($B160=" ",0,IF(Données!$K251="exo",0,$G160/1000*VLOOKUP($F160,taux,2)))</f>
        <v>0</v>
      </c>
      <c r="I160" s="398">
        <f ca="1">IF(C160&gt;=65,0,Données!M200*5000)</f>
        <v>0</v>
      </c>
      <c r="J160" s="104">
        <f ca="1">I160/1000*(IF(I160=0,0,1)*VLOOKUP((1+(C160&gt;=20)+(C160&gt;=25)+(C160&gt;=30)+(C160&gt;=35)+(C160&gt;=40)+(C160&gt;=45)+(C160&gt;=50)+(C160&gt;=55)+(C160&gt;=60)+(C160&gt;=65)),Test,2+(IF(Données!F200="H",1,3))+(IF(Données!G200="F",1,0))))</f>
        <v>0</v>
      </c>
      <c r="K160" s="103">
        <f ca="1">INDEX({1;0.5;0},MATCH(C160,{1;65;70}))*M160</f>
        <v>0</v>
      </c>
      <c r="L160" s="104">
        <f>IF($B160=" ",0,IF(Données!$N251="exo",0,$K160/1000*VLOOKUP($F160,taux,6)))</f>
        <v>0</v>
      </c>
      <c r="M160" s="379">
        <f>IF($B160=" ",0,IF(Données!$K200="NON COUVERT",0,IF(AND(Données!$L200="oui",Données!$K200=0.5),MIN(VLOOKUP($F160,taux,5)/2,ROUNDUP(VLOOKUP($F160,taux,3)*$E160,-3)/2),IF(Données!$K200=0.5,MIN(VLOOKUP($F160,taux,4)/2,ROUNDUP(VLOOKUP($F160,taux,3)*$E160,-3)/2),ROUNDUP(IF(Données!$L200="OUI",MIN(VLOOKUP($F160,taux,3)*$E160,VLOOKUP($F160,taux,5)),MIN(VLOOKUP($F160,taux,3)*$E160,VLOOKUP($F160,taux,4))),-3)))))</f>
        <v>0</v>
      </c>
      <c r="N160" s="379">
        <f>IF($B160=" ",0,IF(Données!$N200="NON COUVERT",0,IF(AND(Données!$O200="oui",Données!$N200=0.5),MIN(VLOOKUP($F160,taux,9)/2,ROUNDUP(VLOOKUP($F160,taux,7)*$E160,-3)/2),IF(Données!$N200=0.5,MIN(VLOOKUP($F160,taux,8)/2,ROUNDUP(VLOOKUP($F160,taux,7)*$E160,-3)/2),ROUNDUP(IF(Données!$O200="OUI",MIN(VLOOKUP($F160,taux,7)*$E160,VLOOKUP($F160,taux,9)),MIN(VLOOKUP($F160,taux,7)*$E160,VLOOKUP($F160,taux,8))),-3)))))</f>
        <v>0</v>
      </c>
      <c r="O160" s="105">
        <f ca="1">IF(C160&gt;=70,0,IF($B160=" ",0,IF(Données!P200="non couvert"," ",Données!Q200)))</f>
        <v>0</v>
      </c>
      <c r="P160" s="106">
        <f>IF($B160=" ",0,IF(Données!$P251="exo",0,IF($O160="FAM",VLOOKUP($F160,taux,10),IF($O160="MONO",VLOOKUP($F160,taux,11),IF($O160="COUPLE",VLOOKUP($F160,taux,12),0)))))</f>
        <v>0</v>
      </c>
      <c r="Q160" s="107">
        <f ca="1">IF(C160&gt;=70,0,IF($B160=" ",0,IF(Données!$R200="NON COUVERT",0,ROUNDUP(IF(Données!$S200="OUI",MIN($E160*VLOOKUP($F160,taux,15)/52,VLOOKUP($F160,taux,17)),MIN($E160*VLOOKUP($F160,taux,15)/52,VLOOKUP($F160,taux,16))),0))))</f>
        <v>0</v>
      </c>
      <c r="R160" s="108">
        <f>IF($B160=" ",0,IF(Données!$R251="EXO",0,$Q160*VLOOKUP($F160,taux,13)/10))</f>
        <v>0</v>
      </c>
      <c r="S160" s="109">
        <f t="shared" ca="1" si="20"/>
        <v>0</v>
      </c>
      <c r="T160" s="110">
        <f>IF(B160=" ",0,IF(Données!$T251="exo",0,$S160*VLOOKUP($F160,taux,18)/100))</f>
        <v>0</v>
      </c>
      <c r="U160" s="109">
        <f>IF($B160=" ",0,IF(Données!$V251="non couvert",0,IF(VLOOKUP($F160,taux,29)="fixe","s/o",IF(Données!$W251="oui",MIN(ROUNDUP(VLOOKUP($F160,taux,31)*$E160,-3),VLOOKUP($F160,taux,33)),MIN(ROUNDUP(VLOOKUP($F160,taux,31)*$E160,-3),VLOOKUP($F160,taux,32))))))</f>
        <v>0</v>
      </c>
      <c r="V160" s="110">
        <f>IF(B160=" ",0,IF(Données!$V251="exo",0,IF(VLOOKUP($F160,taux,29)="fixe",VLOOKUP($F160,taux,30),$U160/1000*VLOOKUP($F160,taux,30))))</f>
        <v>0</v>
      </c>
      <c r="W160" s="110">
        <f t="shared" si="17"/>
        <v>0</v>
      </c>
      <c r="X160" s="383">
        <f>IF(B160=" ",0,EDATE((Données!E200),780))</f>
        <v>0</v>
      </c>
      <c r="Y160" s="383">
        <f t="shared" si="18"/>
        <v>0</v>
      </c>
      <c r="Z160" s="109">
        <f>IF($B160=" ",0,IF(Données!$T200="non couvert",0,IF(Données!$U200="oui",MIN(VLOOKUP($F160,taux,26),ROUNDUP(IF($E160/12&gt;VLOOKUP($F160,taux,21)+VLOOKUP($F160,taux,23),(VLOOKUP($F160,taux,20)*VLOOKUP($F160,taux,21))+(VLOOKUP($F160,taux,22)*VLOOKUP($F160,taux,23))+($E160/12-VLOOKUP($F160,taux,21)-VLOOKUP($F160,taux,23))*VLOOKUP($F160,taux,24),IF($E160/12&gt;VLOOKUP($F160,taux,21),(VLOOKUP($F160,taux,20)*VLOOKUP($F160,taux,21))+($E160/12-VLOOKUP($F160,taux,21))*VLOOKUP($F160,taux,22),$E160/12*VLOOKUP($F160,taux,20))),0)),MIN(VLOOKUP($F160,taux,25),ROUNDUP(IF($E160/12&gt;VLOOKUP($F160,taux,21)+VLOOKUP($F160,taux,23),(VLOOKUP($F160,taux,20)*VLOOKUP($F160,taux,21))+(VLOOKUP($F160,taux,22)*VLOOKUP($F160,taux,23))+($E160/12-VLOOKUP($F160,taux,21)-VLOOKUP($F160,taux,23))*VLOOKUP($F160,taux,24),IF($E160/12&gt;VLOOKUP($F160,taux,21),(VLOOKUP($F160,taux,20)*VLOOKUP($F160,taux,21))+($E160/12-VLOOKUP($F160,taux,21))*VLOOKUP($F160,taux,22),$E160/12*VLOOKUP($F160,taux,20))),0)))))</f>
        <v>0</v>
      </c>
      <c r="AA160" s="111">
        <f ca="1">IF(C160&gt;=70,0,IF($B160=" ",0,IF(Données!$X200="non couvert"," ",Données!Y200)))</f>
        <v>0</v>
      </c>
      <c r="AB160" s="110">
        <f>IF($B160=" ",0,IF(Données!$X251="exo",0,IF($AA160="ind",VLOOKUP($F160,taux,34),IF($AA160="fam",VLOOKUP($F160,taux,35),IF($AA160="mono",VLOOKUP($F160,taux,36),IF($AA160="couple",VLOOKUP($F160,taux,37),0))))))</f>
        <v>0</v>
      </c>
      <c r="AC160" s="111">
        <f ca="1">IF(C160&gt;=70,0,IF($B160=" ",0,IF(Données!$Z200="non couvert"," ",Données!AA200)))</f>
        <v>0</v>
      </c>
      <c r="AD160" s="110">
        <f>IF($B160=" ",0,IF(Données!$Z251="exo",0,IF($AC160="ind",VLOOKUP($F160,taux,38),IF($AC160="fam",VLOOKUP($F160,taux,39),IF($AC160="mono",VLOOKUP($F160,taux,40),IF($AC160="couple",VLOOKUP($F160,taux,41),0))))))</f>
        <v>0</v>
      </c>
      <c r="AE160" s="112">
        <f>IF($B160=" ",0,IF(Données!$AB251="non couvert"," ",Données!AC251))</f>
        <v>0</v>
      </c>
      <c r="AF160" s="113">
        <f>IF($B160=" ",0,IF(Données!$AB251="exo",0,IF($AE160="ind",VLOOKUP($F160,taux,42),IF($AE160="fam",VLOOKUP($F160,taux,43),IF($AE160="mono",VLOOKUP($F160,taux,44),IF($AE160="couple",VLOOKUP($F160,taux,45),0))))))</f>
        <v>0</v>
      </c>
      <c r="AG160" s="114">
        <f t="shared" ca="1" si="19"/>
        <v>0</v>
      </c>
      <c r="AH160" s="114">
        <f>IF($B160=" ",0,IF(Données!J200="Manitoba",(Facture!H160+Facture!J160+Facture!L160+Facture!P160+Facture!R160+Facture!T160)*0.08,(AG160-W160)*IF(Données!$J200="qc",0.09,IF(Données!$J200="on",0.08,0))+W160*VLOOKUP($F160,taux,28)))</f>
        <v>0</v>
      </c>
      <c r="AI160" s="106">
        <f t="shared" ca="1" si="22"/>
        <v>0</v>
      </c>
    </row>
    <row r="161" spans="1:35" s="64" customFormat="1">
      <c r="A161" s="90">
        <f t="shared" si="21"/>
        <v>147</v>
      </c>
      <c r="B161" s="99" t="str">
        <f>CONCATENATE(Données!B252," ",Données!C252)</f>
        <v xml:space="preserve"> </v>
      </c>
      <c r="C161" s="410">
        <f ca="1">IF(B161="",0,INT((TODAY()-Données!E201)/365.25))</f>
        <v>119</v>
      </c>
      <c r="D161" s="100">
        <f>Données!D252</f>
        <v>0</v>
      </c>
      <c r="E161" s="101">
        <f>Données!I252</f>
        <v>0</v>
      </c>
      <c r="F161" s="102">
        <f>Données!AD252</f>
        <v>0</v>
      </c>
      <c r="G161" s="103">
        <f ca="1">INDEX({1;0.5;0},MATCH(C161,{1;65;70}))*M161</f>
        <v>0</v>
      </c>
      <c r="H161" s="104">
        <f>IF($B161=" ",0,IF(Données!$K252="exo",0,$G161/1000*VLOOKUP($F161,taux,2)))</f>
        <v>0</v>
      </c>
      <c r="I161" s="398">
        <f ca="1">IF(C161&gt;=65,0,Données!M201*5000)</f>
        <v>0</v>
      </c>
      <c r="J161" s="104">
        <f ca="1">I161/1000*(IF(I161=0,0,1)*VLOOKUP((1+(C161&gt;=20)+(C161&gt;=25)+(C161&gt;=30)+(C161&gt;=35)+(C161&gt;=40)+(C161&gt;=45)+(C161&gt;=50)+(C161&gt;=55)+(C161&gt;=60)+(C161&gt;=65)),Test,2+(IF(Données!F201="H",1,3))+(IF(Données!G201="F",1,0))))</f>
        <v>0</v>
      </c>
      <c r="K161" s="103">
        <f ca="1">INDEX({1;0.5;0},MATCH(C161,{1;65;70}))*M161</f>
        <v>0</v>
      </c>
      <c r="L161" s="104">
        <f>IF($B161=" ",0,IF(Données!$N252="exo",0,$K161/1000*VLOOKUP($F161,taux,6)))</f>
        <v>0</v>
      </c>
      <c r="M161" s="379">
        <f>IF($B161=" ",0,IF(Données!$K201="NON COUVERT",0,IF(AND(Données!$L201="oui",Données!$K201=0.5),MIN(VLOOKUP($F161,taux,5)/2,ROUNDUP(VLOOKUP($F161,taux,3)*$E161,-3)/2),IF(Données!$K201=0.5,MIN(VLOOKUP($F161,taux,4)/2,ROUNDUP(VLOOKUP($F161,taux,3)*$E161,-3)/2),ROUNDUP(IF(Données!$L201="OUI",MIN(VLOOKUP($F161,taux,3)*$E161,VLOOKUP($F161,taux,5)),MIN(VLOOKUP($F161,taux,3)*$E161,VLOOKUP($F161,taux,4))),-3)))))</f>
        <v>0</v>
      </c>
      <c r="N161" s="379">
        <f>IF($B161=" ",0,IF(Données!$N201="NON COUVERT",0,IF(AND(Données!$O201="oui",Données!$N201=0.5),MIN(VLOOKUP($F161,taux,9)/2,ROUNDUP(VLOOKUP($F161,taux,7)*$E161,-3)/2),IF(Données!$N201=0.5,MIN(VLOOKUP($F161,taux,8)/2,ROUNDUP(VLOOKUP($F161,taux,7)*$E161,-3)/2),ROUNDUP(IF(Données!$O201="OUI",MIN(VLOOKUP($F161,taux,7)*$E161,VLOOKUP($F161,taux,9)),MIN(VLOOKUP($F161,taux,7)*$E161,VLOOKUP($F161,taux,8))),-3)))))</f>
        <v>0</v>
      </c>
      <c r="O161" s="105">
        <f ca="1">IF(C161&gt;=70,0,IF($B161=" ",0,IF(Données!P201="non couvert"," ",Données!Q201)))</f>
        <v>0</v>
      </c>
      <c r="P161" s="106">
        <f>IF($B161=" ",0,IF(Données!$P252="exo",0,IF($O161="FAM",VLOOKUP($F161,taux,10),IF($O161="MONO",VLOOKUP($F161,taux,11),IF($O161="COUPLE",VLOOKUP($F161,taux,12),0)))))</f>
        <v>0</v>
      </c>
      <c r="Q161" s="107">
        <f ca="1">IF(C161&gt;=70,0,IF($B161=" ",0,IF(Données!$R201="NON COUVERT",0,ROUNDUP(IF(Données!$S201="OUI",MIN($E161*VLOOKUP($F161,taux,15)/52,VLOOKUP($F161,taux,17)),MIN($E161*VLOOKUP($F161,taux,15)/52,VLOOKUP($F161,taux,16))),0))))</f>
        <v>0</v>
      </c>
      <c r="R161" s="108">
        <f>IF($B161=" ",0,IF(Données!$R252="EXO",0,$Q161*VLOOKUP($F161,taux,13)/10))</f>
        <v>0</v>
      </c>
      <c r="S161" s="109">
        <f t="shared" ca="1" si="20"/>
        <v>0</v>
      </c>
      <c r="T161" s="110">
        <f>IF(B161=" ",0,IF(Données!$T252="exo",0,$S161*VLOOKUP($F161,taux,18)/100))</f>
        <v>0</v>
      </c>
      <c r="U161" s="109">
        <f>IF($B161=" ",0,IF(Données!$V252="non couvert",0,IF(VLOOKUP($F161,taux,29)="fixe","s/o",IF(Données!$W252="oui",MIN(ROUNDUP(VLOOKUP($F161,taux,31)*$E161,-3),VLOOKUP($F161,taux,33)),MIN(ROUNDUP(VLOOKUP($F161,taux,31)*$E161,-3),VLOOKUP($F161,taux,32))))))</f>
        <v>0</v>
      </c>
      <c r="V161" s="110">
        <f>IF(B161=" ",0,IF(Données!$V252="exo",0,IF(VLOOKUP($F161,taux,29)="fixe",VLOOKUP($F161,taux,30),$U161/1000*VLOOKUP($F161,taux,30))))</f>
        <v>0</v>
      </c>
      <c r="W161" s="110">
        <f t="shared" si="17"/>
        <v>0</v>
      </c>
      <c r="X161" s="383">
        <f>IF(B161=" ",0,EDATE((Données!E201),780))</f>
        <v>0</v>
      </c>
      <c r="Y161" s="383">
        <f t="shared" si="18"/>
        <v>0</v>
      </c>
      <c r="Z161" s="109">
        <f>IF($B161=" ",0,IF(Données!$T201="non couvert",0,IF(Données!$U201="oui",MIN(VLOOKUP($F161,taux,26),ROUNDUP(IF($E161/12&gt;VLOOKUP($F161,taux,21)+VLOOKUP($F161,taux,23),(VLOOKUP($F161,taux,20)*VLOOKUP($F161,taux,21))+(VLOOKUP($F161,taux,22)*VLOOKUP($F161,taux,23))+($E161/12-VLOOKUP($F161,taux,21)-VLOOKUP($F161,taux,23))*VLOOKUP($F161,taux,24),IF($E161/12&gt;VLOOKUP($F161,taux,21),(VLOOKUP($F161,taux,20)*VLOOKUP($F161,taux,21))+($E161/12-VLOOKUP($F161,taux,21))*VLOOKUP($F161,taux,22),$E161/12*VLOOKUP($F161,taux,20))),0)),MIN(VLOOKUP($F161,taux,25),ROUNDUP(IF($E161/12&gt;VLOOKUP($F161,taux,21)+VLOOKUP($F161,taux,23),(VLOOKUP($F161,taux,20)*VLOOKUP($F161,taux,21))+(VLOOKUP($F161,taux,22)*VLOOKUP($F161,taux,23))+($E161/12-VLOOKUP($F161,taux,21)-VLOOKUP($F161,taux,23))*VLOOKUP($F161,taux,24),IF($E161/12&gt;VLOOKUP($F161,taux,21),(VLOOKUP($F161,taux,20)*VLOOKUP($F161,taux,21))+($E161/12-VLOOKUP($F161,taux,21))*VLOOKUP($F161,taux,22),$E161/12*VLOOKUP($F161,taux,20))),0)))))</f>
        <v>0</v>
      </c>
      <c r="AA161" s="111">
        <f ca="1">IF(C161&gt;=70,0,IF($B161=" ",0,IF(Données!$X201="non couvert"," ",Données!Y201)))</f>
        <v>0</v>
      </c>
      <c r="AB161" s="110">
        <f>IF($B161=" ",0,IF(Données!$X252="exo",0,IF($AA161="ind",VLOOKUP($F161,taux,34),IF($AA161="fam",VLOOKUP($F161,taux,35),IF($AA161="mono",VLOOKUP($F161,taux,36),IF($AA161="couple",VLOOKUP($F161,taux,37),0))))))</f>
        <v>0</v>
      </c>
      <c r="AC161" s="111">
        <f ca="1">IF(C161&gt;=70,0,IF($B161=" ",0,IF(Données!$Z201="non couvert"," ",Données!AA201)))</f>
        <v>0</v>
      </c>
      <c r="AD161" s="110">
        <f>IF($B161=" ",0,IF(Données!$Z252="exo",0,IF($AC161="ind",VLOOKUP($F161,taux,38),IF($AC161="fam",VLOOKUP($F161,taux,39),IF($AC161="mono",VLOOKUP($F161,taux,40),IF($AC161="couple",VLOOKUP($F161,taux,41),0))))))</f>
        <v>0</v>
      </c>
      <c r="AE161" s="112">
        <f>IF($B161=" ",0,IF(Données!$AB252="non couvert"," ",Données!AC252))</f>
        <v>0</v>
      </c>
      <c r="AF161" s="113">
        <f>IF($B161=" ",0,IF(Données!$AB252="exo",0,IF($AE161="ind",VLOOKUP($F161,taux,42),IF($AE161="fam",VLOOKUP($F161,taux,43),IF($AE161="mono",VLOOKUP($F161,taux,44),IF($AE161="couple",VLOOKUP($F161,taux,45),0))))))</f>
        <v>0</v>
      </c>
      <c r="AG161" s="114">
        <f t="shared" ca="1" si="19"/>
        <v>0</v>
      </c>
      <c r="AH161" s="114">
        <f>IF($B161=" ",0,IF(Données!J201="Manitoba",(Facture!H161+Facture!J161+Facture!L161+Facture!P161+Facture!R161+Facture!T161)*0.08,(AG161-W161)*IF(Données!$J201="qc",0.09,IF(Données!$J201="on",0.08,0))+W161*VLOOKUP($F161,taux,28)))</f>
        <v>0</v>
      </c>
      <c r="AI161" s="106">
        <f t="shared" ca="1" si="22"/>
        <v>0</v>
      </c>
    </row>
    <row r="162" spans="1:35" s="64" customFormat="1">
      <c r="A162" s="90">
        <f t="shared" si="21"/>
        <v>148</v>
      </c>
      <c r="B162" s="99" t="str">
        <f>CONCATENATE(Données!B253," ",Données!C253)</f>
        <v xml:space="preserve"> </v>
      </c>
      <c r="C162" s="410">
        <f ca="1">IF(B162="",0,INT((TODAY()-Données!E202)/365.25))</f>
        <v>119</v>
      </c>
      <c r="D162" s="100">
        <f>Données!D253</f>
        <v>0</v>
      </c>
      <c r="E162" s="101">
        <f>Données!I253</f>
        <v>0</v>
      </c>
      <c r="F162" s="102">
        <f>Données!AD253</f>
        <v>0</v>
      </c>
      <c r="G162" s="103">
        <f ca="1">INDEX({1;0.5;0},MATCH(C162,{1;65;70}))*M162</f>
        <v>0</v>
      </c>
      <c r="H162" s="104">
        <f>IF($B162=" ",0,IF(Données!$K253="exo",0,$G162/1000*VLOOKUP($F162,taux,2)))</f>
        <v>0</v>
      </c>
      <c r="I162" s="398">
        <f ca="1">IF(C162&gt;=65,0,Données!M202*5000)</f>
        <v>0</v>
      </c>
      <c r="J162" s="104">
        <f ca="1">I162/1000*(IF(I162=0,0,1)*VLOOKUP((1+(C162&gt;=20)+(C162&gt;=25)+(C162&gt;=30)+(C162&gt;=35)+(C162&gt;=40)+(C162&gt;=45)+(C162&gt;=50)+(C162&gt;=55)+(C162&gt;=60)+(C162&gt;=65)),Test,2+(IF(Données!F202="H",1,3))+(IF(Données!G202="F",1,0))))</f>
        <v>0</v>
      </c>
      <c r="K162" s="103">
        <f ca="1">INDEX({1;0.5;0},MATCH(C162,{1;65;70}))*M162</f>
        <v>0</v>
      </c>
      <c r="L162" s="104">
        <f>IF($B162=" ",0,IF(Données!$N253="exo",0,$K162/1000*VLOOKUP($F162,taux,6)))</f>
        <v>0</v>
      </c>
      <c r="M162" s="379">
        <f>IF($B162=" ",0,IF(Données!$K202="NON COUVERT",0,IF(AND(Données!$L202="oui",Données!$K202=0.5),MIN(VLOOKUP($F162,taux,5)/2,ROUNDUP(VLOOKUP($F162,taux,3)*$E162,-3)/2),IF(Données!$K202=0.5,MIN(VLOOKUP($F162,taux,4)/2,ROUNDUP(VLOOKUP($F162,taux,3)*$E162,-3)/2),ROUNDUP(IF(Données!$L202="OUI",MIN(VLOOKUP($F162,taux,3)*$E162,VLOOKUP($F162,taux,5)),MIN(VLOOKUP($F162,taux,3)*$E162,VLOOKUP($F162,taux,4))),-3)))))</f>
        <v>0</v>
      </c>
      <c r="N162" s="379">
        <f>IF($B162=" ",0,IF(Données!$N202="NON COUVERT",0,IF(AND(Données!$O202="oui",Données!$N202=0.5),MIN(VLOOKUP($F162,taux,9)/2,ROUNDUP(VLOOKUP($F162,taux,7)*$E162,-3)/2),IF(Données!$N202=0.5,MIN(VLOOKUP($F162,taux,8)/2,ROUNDUP(VLOOKUP($F162,taux,7)*$E162,-3)/2),ROUNDUP(IF(Données!$O202="OUI",MIN(VLOOKUP($F162,taux,7)*$E162,VLOOKUP($F162,taux,9)),MIN(VLOOKUP($F162,taux,7)*$E162,VLOOKUP($F162,taux,8))),-3)))))</f>
        <v>0</v>
      </c>
      <c r="O162" s="105">
        <f ca="1">IF(C162&gt;=70,0,IF($B162=" ",0,IF(Données!P202="non couvert"," ",Données!Q202)))</f>
        <v>0</v>
      </c>
      <c r="P162" s="106">
        <f>IF($B162=" ",0,IF(Données!$P253="exo",0,IF($O162="FAM",VLOOKUP($F162,taux,10),IF($O162="MONO",VLOOKUP($F162,taux,11),IF($O162="COUPLE",VLOOKUP($F162,taux,12),0)))))</f>
        <v>0</v>
      </c>
      <c r="Q162" s="107">
        <f ca="1">IF(C162&gt;=70,0,IF($B162=" ",0,IF(Données!$R202="NON COUVERT",0,ROUNDUP(IF(Données!$S202="OUI",MIN($E162*VLOOKUP($F162,taux,15)/52,VLOOKUP($F162,taux,17)),MIN($E162*VLOOKUP($F162,taux,15)/52,VLOOKUP($F162,taux,16))),0))))</f>
        <v>0</v>
      </c>
      <c r="R162" s="108">
        <f>IF($B162=" ",0,IF(Données!$R253="EXO",0,$Q162*VLOOKUP($F162,taux,13)/10))</f>
        <v>0</v>
      </c>
      <c r="S162" s="109">
        <f t="shared" ca="1" si="20"/>
        <v>0</v>
      </c>
      <c r="T162" s="110">
        <f>IF(B162=" ",0,IF(Données!$T253="exo",0,$S162*VLOOKUP($F162,taux,18)/100))</f>
        <v>0</v>
      </c>
      <c r="U162" s="109">
        <f>IF($B162=" ",0,IF(Données!$V253="non couvert",0,IF(VLOOKUP($F162,taux,29)="fixe","s/o",IF(Données!$W253="oui",MIN(ROUNDUP(VLOOKUP($F162,taux,31)*$E162,-3),VLOOKUP($F162,taux,33)),MIN(ROUNDUP(VLOOKUP($F162,taux,31)*$E162,-3),VLOOKUP($F162,taux,32))))))</f>
        <v>0</v>
      </c>
      <c r="V162" s="110">
        <f>IF(B162=" ",0,IF(Données!$V253="exo",0,IF(VLOOKUP($F162,taux,29)="fixe",VLOOKUP($F162,taux,30),$U162/1000*VLOOKUP($F162,taux,30))))</f>
        <v>0</v>
      </c>
      <c r="W162" s="110">
        <f t="shared" si="17"/>
        <v>0</v>
      </c>
      <c r="X162" s="383">
        <f>IF(B162=" ",0,EDATE((Données!E202),780))</f>
        <v>0</v>
      </c>
      <c r="Y162" s="383">
        <f t="shared" si="18"/>
        <v>0</v>
      </c>
      <c r="Z162" s="109">
        <f>IF($B162=" ",0,IF(Données!$T202="non couvert",0,IF(Données!$U202="oui",MIN(VLOOKUP($F162,taux,26),ROUNDUP(IF($E162/12&gt;VLOOKUP($F162,taux,21)+VLOOKUP($F162,taux,23),(VLOOKUP($F162,taux,20)*VLOOKUP($F162,taux,21))+(VLOOKUP($F162,taux,22)*VLOOKUP($F162,taux,23))+($E162/12-VLOOKUP($F162,taux,21)-VLOOKUP($F162,taux,23))*VLOOKUP($F162,taux,24),IF($E162/12&gt;VLOOKUP($F162,taux,21),(VLOOKUP($F162,taux,20)*VLOOKUP($F162,taux,21))+($E162/12-VLOOKUP($F162,taux,21))*VLOOKUP($F162,taux,22),$E162/12*VLOOKUP($F162,taux,20))),0)),MIN(VLOOKUP($F162,taux,25),ROUNDUP(IF($E162/12&gt;VLOOKUP($F162,taux,21)+VLOOKUP($F162,taux,23),(VLOOKUP($F162,taux,20)*VLOOKUP($F162,taux,21))+(VLOOKUP($F162,taux,22)*VLOOKUP($F162,taux,23))+($E162/12-VLOOKUP($F162,taux,21)-VLOOKUP($F162,taux,23))*VLOOKUP($F162,taux,24),IF($E162/12&gt;VLOOKUP($F162,taux,21),(VLOOKUP($F162,taux,20)*VLOOKUP($F162,taux,21))+($E162/12-VLOOKUP($F162,taux,21))*VLOOKUP($F162,taux,22),$E162/12*VLOOKUP($F162,taux,20))),0)))))</f>
        <v>0</v>
      </c>
      <c r="AA162" s="111">
        <f ca="1">IF(C162&gt;=70,0,IF($B162=" ",0,IF(Données!$X202="non couvert"," ",Données!Y202)))</f>
        <v>0</v>
      </c>
      <c r="AB162" s="110">
        <f>IF($B162=" ",0,IF(Données!$X253="exo",0,IF($AA162="ind",VLOOKUP($F162,taux,34),IF($AA162="fam",VLOOKUP($F162,taux,35),IF($AA162="mono",VLOOKUP($F162,taux,36),IF($AA162="couple",VLOOKUP($F162,taux,37),0))))))</f>
        <v>0</v>
      </c>
      <c r="AC162" s="111">
        <f ca="1">IF(C162&gt;=70,0,IF($B162=" ",0,IF(Données!$Z202="non couvert"," ",Données!AA202)))</f>
        <v>0</v>
      </c>
      <c r="AD162" s="110">
        <f>IF($B162=" ",0,IF(Données!$Z253="exo",0,IF($AC162="ind",VLOOKUP($F162,taux,38),IF($AC162="fam",VLOOKUP($F162,taux,39),IF($AC162="mono",VLOOKUP($F162,taux,40),IF($AC162="couple",VLOOKUP($F162,taux,41),0))))))</f>
        <v>0</v>
      </c>
      <c r="AE162" s="112">
        <f>IF($B162=" ",0,IF(Données!$AB253="non couvert"," ",Données!AC253))</f>
        <v>0</v>
      </c>
      <c r="AF162" s="113">
        <f>IF($B162=" ",0,IF(Données!$AB253="exo",0,IF($AE162="ind",VLOOKUP($F162,taux,42),IF($AE162="fam",VLOOKUP($F162,taux,43),IF($AE162="mono",VLOOKUP($F162,taux,44),IF($AE162="couple",VLOOKUP($F162,taux,45),0))))))</f>
        <v>0</v>
      </c>
      <c r="AG162" s="114">
        <f t="shared" ca="1" si="19"/>
        <v>0</v>
      </c>
      <c r="AH162" s="114">
        <f>IF($B162=" ",0,IF(Données!J202="Manitoba",(Facture!H162+Facture!J162+Facture!L162+Facture!P162+Facture!R162+Facture!T162)*0.08,(AG162-W162)*IF(Données!$J202="qc",0.09,IF(Données!$J202="on",0.08,0))+W162*VLOOKUP($F162,taux,28)))</f>
        <v>0</v>
      </c>
      <c r="AI162" s="106">
        <f t="shared" ca="1" si="22"/>
        <v>0</v>
      </c>
    </row>
    <row r="163" spans="1:35" s="64" customFormat="1">
      <c r="A163" s="90">
        <f t="shared" si="21"/>
        <v>149</v>
      </c>
      <c r="B163" s="99" t="str">
        <f>CONCATENATE(Données!B254," ",Données!C254)</f>
        <v xml:space="preserve"> </v>
      </c>
      <c r="C163" s="410">
        <f ca="1">IF(B163="",0,INT((TODAY()-Données!E203)/365.25))</f>
        <v>119</v>
      </c>
      <c r="D163" s="100">
        <f>Données!D254</f>
        <v>0</v>
      </c>
      <c r="E163" s="101">
        <f>Données!I254</f>
        <v>0</v>
      </c>
      <c r="F163" s="102">
        <f>Données!AD254</f>
        <v>0</v>
      </c>
      <c r="G163" s="103">
        <f ca="1">INDEX({1;0.5;0},MATCH(C163,{1;65;70}))*M163</f>
        <v>0</v>
      </c>
      <c r="H163" s="104">
        <f>IF($B163=" ",0,IF(Données!$K254="exo",0,$G163/1000*VLOOKUP($F163,taux,2)))</f>
        <v>0</v>
      </c>
      <c r="I163" s="398">
        <f ca="1">IF(C163&gt;=65,0,Données!M203*5000)</f>
        <v>0</v>
      </c>
      <c r="J163" s="104">
        <f ca="1">I163/1000*(IF(I163=0,0,1)*VLOOKUP((1+(C163&gt;=20)+(C163&gt;=25)+(C163&gt;=30)+(C163&gt;=35)+(C163&gt;=40)+(C163&gt;=45)+(C163&gt;=50)+(C163&gt;=55)+(C163&gt;=60)+(C163&gt;=65)),Test,2+(IF(Données!F203="H",1,3))+(IF(Données!G203="F",1,0))))</f>
        <v>0</v>
      </c>
      <c r="K163" s="103">
        <f ca="1">INDEX({1;0.5;0},MATCH(C163,{1;65;70}))*M163</f>
        <v>0</v>
      </c>
      <c r="L163" s="104">
        <f>IF($B163=" ",0,IF(Données!$N254="exo",0,$K163/1000*VLOOKUP($F163,taux,6)))</f>
        <v>0</v>
      </c>
      <c r="M163" s="379">
        <f>IF($B163=" ",0,IF(Données!$K203="NON COUVERT",0,IF(AND(Données!$L203="oui",Données!$K203=0.5),MIN(VLOOKUP($F163,taux,5)/2,ROUNDUP(VLOOKUP($F163,taux,3)*$E163,-3)/2),IF(Données!$K203=0.5,MIN(VLOOKUP($F163,taux,4)/2,ROUNDUP(VLOOKUP($F163,taux,3)*$E163,-3)/2),ROUNDUP(IF(Données!$L203="OUI",MIN(VLOOKUP($F163,taux,3)*$E163,VLOOKUP($F163,taux,5)),MIN(VLOOKUP($F163,taux,3)*$E163,VLOOKUP($F163,taux,4))),-3)))))</f>
        <v>0</v>
      </c>
      <c r="N163" s="379">
        <f>IF($B163=" ",0,IF(Données!$N203="NON COUVERT",0,IF(AND(Données!$O203="oui",Données!$N203=0.5),MIN(VLOOKUP($F163,taux,9)/2,ROUNDUP(VLOOKUP($F163,taux,7)*$E163,-3)/2),IF(Données!$N203=0.5,MIN(VLOOKUP($F163,taux,8)/2,ROUNDUP(VLOOKUP($F163,taux,7)*$E163,-3)/2),ROUNDUP(IF(Données!$O203="OUI",MIN(VLOOKUP($F163,taux,7)*$E163,VLOOKUP($F163,taux,9)),MIN(VLOOKUP($F163,taux,7)*$E163,VLOOKUP($F163,taux,8))),-3)))))</f>
        <v>0</v>
      </c>
      <c r="O163" s="105">
        <f ca="1">IF(C163&gt;=70,0,IF($B163=" ",0,IF(Données!P203="non couvert"," ",Données!Q203)))</f>
        <v>0</v>
      </c>
      <c r="P163" s="106">
        <f>IF($B163=" ",0,IF(Données!$P254="exo",0,IF($O163="FAM",VLOOKUP($F163,taux,10),IF($O163="MONO",VLOOKUP($F163,taux,11),IF($O163="COUPLE",VLOOKUP($F163,taux,12),0)))))</f>
        <v>0</v>
      </c>
      <c r="Q163" s="107">
        <f ca="1">IF(C163&gt;=70,0,IF($B163=" ",0,IF(Données!$R203="NON COUVERT",0,ROUNDUP(IF(Données!$S203="OUI",MIN($E163*VLOOKUP($F163,taux,15)/52,VLOOKUP($F163,taux,17)),MIN($E163*VLOOKUP($F163,taux,15)/52,VLOOKUP($F163,taux,16))),0))))</f>
        <v>0</v>
      </c>
      <c r="R163" s="108">
        <f>IF($B163=" ",0,IF(Données!$R254="EXO",0,$Q163*VLOOKUP($F163,taux,13)/10))</f>
        <v>0</v>
      </c>
      <c r="S163" s="109">
        <f t="shared" ca="1" si="20"/>
        <v>0</v>
      </c>
      <c r="T163" s="110">
        <f>IF(B163=" ",0,IF(Données!$T254="exo",0,$S163*VLOOKUP($F163,taux,18)/100))</f>
        <v>0</v>
      </c>
      <c r="U163" s="109">
        <f>IF($B163=" ",0,IF(Données!$V254="non couvert",0,IF(VLOOKUP($F163,taux,29)="fixe","s/o",IF(Données!$W254="oui",MIN(ROUNDUP(VLOOKUP($F163,taux,31)*$E163,-3),VLOOKUP($F163,taux,33)),MIN(ROUNDUP(VLOOKUP($F163,taux,31)*$E163,-3),VLOOKUP($F163,taux,32))))))</f>
        <v>0</v>
      </c>
      <c r="V163" s="110">
        <f>IF(B163=" ",0,IF(Données!$V254="exo",0,IF(VLOOKUP($F163,taux,29)="fixe",VLOOKUP($F163,taux,30),$U163/1000*VLOOKUP($F163,taux,30))))</f>
        <v>0</v>
      </c>
      <c r="W163" s="110">
        <f t="shared" si="17"/>
        <v>0</v>
      </c>
      <c r="X163" s="383">
        <f>IF(B163=" ",0,EDATE((Données!E203),780))</f>
        <v>0</v>
      </c>
      <c r="Y163" s="383">
        <f t="shared" si="18"/>
        <v>0</v>
      </c>
      <c r="Z163" s="109">
        <f>IF($B163=" ",0,IF(Données!$T203="non couvert",0,IF(Données!$U203="oui",MIN(VLOOKUP($F163,taux,26),ROUNDUP(IF($E163/12&gt;VLOOKUP($F163,taux,21)+VLOOKUP($F163,taux,23),(VLOOKUP($F163,taux,20)*VLOOKUP($F163,taux,21))+(VLOOKUP($F163,taux,22)*VLOOKUP($F163,taux,23))+($E163/12-VLOOKUP($F163,taux,21)-VLOOKUP($F163,taux,23))*VLOOKUP($F163,taux,24),IF($E163/12&gt;VLOOKUP($F163,taux,21),(VLOOKUP($F163,taux,20)*VLOOKUP($F163,taux,21))+($E163/12-VLOOKUP($F163,taux,21))*VLOOKUP($F163,taux,22),$E163/12*VLOOKUP($F163,taux,20))),0)),MIN(VLOOKUP($F163,taux,25),ROUNDUP(IF($E163/12&gt;VLOOKUP($F163,taux,21)+VLOOKUP($F163,taux,23),(VLOOKUP($F163,taux,20)*VLOOKUP($F163,taux,21))+(VLOOKUP($F163,taux,22)*VLOOKUP($F163,taux,23))+($E163/12-VLOOKUP($F163,taux,21)-VLOOKUP($F163,taux,23))*VLOOKUP($F163,taux,24),IF($E163/12&gt;VLOOKUP($F163,taux,21),(VLOOKUP($F163,taux,20)*VLOOKUP($F163,taux,21))+($E163/12-VLOOKUP($F163,taux,21))*VLOOKUP($F163,taux,22),$E163/12*VLOOKUP($F163,taux,20))),0)))))</f>
        <v>0</v>
      </c>
      <c r="AA163" s="111">
        <f ca="1">IF(C163&gt;=70,0,IF($B163=" ",0,IF(Données!$X203="non couvert"," ",Données!Y203)))</f>
        <v>0</v>
      </c>
      <c r="AB163" s="110">
        <f>IF($B163=" ",0,IF(Données!$X254="exo",0,IF($AA163="ind",VLOOKUP($F163,taux,34),IF($AA163="fam",VLOOKUP($F163,taux,35),IF($AA163="mono",VLOOKUP($F163,taux,36),IF($AA163="couple",VLOOKUP($F163,taux,37),0))))))</f>
        <v>0</v>
      </c>
      <c r="AC163" s="111">
        <f ca="1">IF(C163&gt;=70,0,IF($B163=" ",0,IF(Données!$Z203="non couvert"," ",Données!AA203)))</f>
        <v>0</v>
      </c>
      <c r="AD163" s="110">
        <f>IF($B163=" ",0,IF(Données!$Z254="exo",0,IF($AC163="ind",VLOOKUP($F163,taux,38),IF($AC163="fam",VLOOKUP($F163,taux,39),IF($AC163="mono",VLOOKUP($F163,taux,40),IF($AC163="couple",VLOOKUP($F163,taux,41),0))))))</f>
        <v>0</v>
      </c>
      <c r="AE163" s="112">
        <f>IF($B163=" ",0,IF(Données!$AB254="non couvert"," ",Données!AC254))</f>
        <v>0</v>
      </c>
      <c r="AF163" s="113">
        <f>IF($B163=" ",0,IF(Données!$AB254="exo",0,IF($AE163="ind",VLOOKUP($F163,taux,42),IF($AE163="fam",VLOOKUP($F163,taux,43),IF($AE163="mono",VLOOKUP($F163,taux,44),IF($AE163="couple",VLOOKUP($F163,taux,45),0))))))</f>
        <v>0</v>
      </c>
      <c r="AG163" s="114">
        <f t="shared" ca="1" si="19"/>
        <v>0</v>
      </c>
      <c r="AH163" s="114">
        <f>IF($B163=" ",0,IF(Données!J203="Manitoba",(Facture!H163+Facture!J163+Facture!L163+Facture!P163+Facture!R163+Facture!T163)*0.08,(AG163-W163)*IF(Données!$J203="qc",0.09,IF(Données!$J203="on",0.08,0))+W163*VLOOKUP($F163,taux,28)))</f>
        <v>0</v>
      </c>
      <c r="AI163" s="106">
        <f t="shared" ca="1" si="22"/>
        <v>0</v>
      </c>
    </row>
    <row r="164" spans="1:35" s="64" customFormat="1">
      <c r="A164" s="90">
        <f t="shared" si="21"/>
        <v>150</v>
      </c>
      <c r="B164" s="99" t="str">
        <f>CONCATENATE(Données!B255," ",Données!C255)</f>
        <v xml:space="preserve"> </v>
      </c>
      <c r="C164" s="410">
        <f ca="1">IF(B164="",0,INT((TODAY()-Données!E204)/365.25))</f>
        <v>119</v>
      </c>
      <c r="D164" s="100">
        <f>Données!D255</f>
        <v>0</v>
      </c>
      <c r="E164" s="101">
        <f>Données!I255</f>
        <v>0</v>
      </c>
      <c r="F164" s="102">
        <f>Données!AD255</f>
        <v>0</v>
      </c>
      <c r="G164" s="103">
        <f ca="1">INDEX({1;0.5;0},MATCH(C164,{1;65;70}))*M164</f>
        <v>0</v>
      </c>
      <c r="H164" s="104">
        <f>IF($B164=" ",0,IF(Données!$K255="exo",0,$G164/1000*VLOOKUP($F164,taux,2)))</f>
        <v>0</v>
      </c>
      <c r="I164" s="398">
        <f ca="1">IF(C164&gt;=65,0,Données!M204*5000)</f>
        <v>0</v>
      </c>
      <c r="J164" s="104">
        <f ca="1">I164/1000*(IF(I164=0,0,1)*VLOOKUP((1+(C164&gt;=20)+(C164&gt;=25)+(C164&gt;=30)+(C164&gt;=35)+(C164&gt;=40)+(C164&gt;=45)+(C164&gt;=50)+(C164&gt;=55)+(C164&gt;=60)+(C164&gt;=65)),Test,2+(IF(Données!F204="H",1,3))+(IF(Données!G204="F",1,0))))</f>
        <v>0</v>
      </c>
      <c r="K164" s="103">
        <f ca="1">INDEX({1;0.5;0},MATCH(C164,{1;65;70}))*M164</f>
        <v>0</v>
      </c>
      <c r="L164" s="104">
        <f>IF($B164=" ",0,IF(Données!$N255="exo",0,$K164/1000*VLOOKUP($F164,taux,6)))</f>
        <v>0</v>
      </c>
      <c r="M164" s="379">
        <f>IF($B164=" ",0,IF(Données!$K204="NON COUVERT",0,IF(AND(Données!$L204="oui",Données!$K204=0.5),MIN(VLOOKUP($F164,taux,5)/2,ROUNDUP(VLOOKUP($F164,taux,3)*$E164,-3)/2),IF(Données!$K204=0.5,MIN(VLOOKUP($F164,taux,4)/2,ROUNDUP(VLOOKUP($F164,taux,3)*$E164,-3)/2),ROUNDUP(IF(Données!$L204="OUI",MIN(VLOOKUP($F164,taux,3)*$E164,VLOOKUP($F164,taux,5)),MIN(VLOOKUP($F164,taux,3)*$E164,VLOOKUP($F164,taux,4))),-3)))))</f>
        <v>0</v>
      </c>
      <c r="N164" s="379">
        <f>IF($B164=" ",0,IF(Données!$N204="NON COUVERT",0,IF(AND(Données!$O204="oui",Données!$N204=0.5),MIN(VLOOKUP($F164,taux,9)/2,ROUNDUP(VLOOKUP($F164,taux,7)*$E164,-3)/2),IF(Données!$N204=0.5,MIN(VLOOKUP($F164,taux,8)/2,ROUNDUP(VLOOKUP($F164,taux,7)*$E164,-3)/2),ROUNDUP(IF(Données!$O204="OUI",MIN(VLOOKUP($F164,taux,7)*$E164,VLOOKUP($F164,taux,9)),MIN(VLOOKUP($F164,taux,7)*$E164,VLOOKUP($F164,taux,8))),-3)))))</f>
        <v>0</v>
      </c>
      <c r="O164" s="105">
        <f ca="1">IF(C164&gt;=70,0,IF($B164=" ",0,IF(Données!P204="non couvert"," ",Données!Q204)))</f>
        <v>0</v>
      </c>
      <c r="P164" s="106">
        <f>IF($B164=" ",0,IF(Données!$P255="exo",0,IF($O164="FAM",VLOOKUP($F164,taux,10),IF($O164="MONO",VLOOKUP($F164,taux,11),IF($O164="COUPLE",VLOOKUP($F164,taux,12),0)))))</f>
        <v>0</v>
      </c>
      <c r="Q164" s="107">
        <f ca="1">IF(C164&gt;=70,0,IF($B164=" ",0,IF(Données!$R204="NON COUVERT",0,ROUNDUP(IF(Données!$S204="OUI",MIN($E164*VLOOKUP($F164,taux,15)/52,VLOOKUP($F164,taux,17)),MIN($E164*VLOOKUP($F164,taux,15)/52,VLOOKUP($F164,taux,16))),0))))</f>
        <v>0</v>
      </c>
      <c r="R164" s="108">
        <f>IF($B164=" ",0,IF(Données!$R255="EXO",0,$Q164*VLOOKUP($F164,taux,13)/10))</f>
        <v>0</v>
      </c>
      <c r="S164" s="109">
        <f t="shared" ca="1" si="20"/>
        <v>0</v>
      </c>
      <c r="T164" s="110">
        <f>IF(B164=" ",0,IF(Données!$T255="exo",0,$S164*VLOOKUP($F164,taux,18)/100))</f>
        <v>0</v>
      </c>
      <c r="U164" s="109">
        <f>IF($B164=" ",0,IF(Données!$V255="non couvert",0,IF(VLOOKUP($F164,taux,29)="fixe","s/o",IF(Données!$W255="oui",MIN(ROUNDUP(VLOOKUP($F164,taux,31)*$E164,-3),VLOOKUP($F164,taux,33)),MIN(ROUNDUP(VLOOKUP($F164,taux,31)*$E164,-3),VLOOKUP($F164,taux,32))))))</f>
        <v>0</v>
      </c>
      <c r="V164" s="110">
        <f>IF(B164=" ",0,IF(Données!$V255="exo",0,IF(VLOOKUP($F164,taux,29)="fixe",VLOOKUP($F164,taux,30),$U164/1000*VLOOKUP($F164,taux,30))))</f>
        <v>0</v>
      </c>
      <c r="W164" s="110">
        <f t="shared" si="17"/>
        <v>0</v>
      </c>
      <c r="X164" s="383">
        <f>IF(B164=" ",0,EDATE((Données!E204),780))</f>
        <v>0</v>
      </c>
      <c r="Y164" s="383">
        <f t="shared" si="18"/>
        <v>0</v>
      </c>
      <c r="Z164" s="109">
        <f>IF($B164=" ",0,IF(Données!$T204="non couvert",0,IF(Données!$U204="oui",MIN(VLOOKUP($F164,taux,26),ROUNDUP(IF($E164/12&gt;VLOOKUP($F164,taux,21)+VLOOKUP($F164,taux,23),(VLOOKUP($F164,taux,20)*VLOOKUP($F164,taux,21))+(VLOOKUP($F164,taux,22)*VLOOKUP($F164,taux,23))+($E164/12-VLOOKUP($F164,taux,21)-VLOOKUP($F164,taux,23))*VLOOKUP($F164,taux,24),IF($E164/12&gt;VLOOKUP($F164,taux,21),(VLOOKUP($F164,taux,20)*VLOOKUP($F164,taux,21))+($E164/12-VLOOKUP($F164,taux,21))*VLOOKUP($F164,taux,22),$E164/12*VLOOKUP($F164,taux,20))),0)),MIN(VLOOKUP($F164,taux,25),ROUNDUP(IF($E164/12&gt;VLOOKUP($F164,taux,21)+VLOOKUP($F164,taux,23),(VLOOKUP($F164,taux,20)*VLOOKUP($F164,taux,21))+(VLOOKUP($F164,taux,22)*VLOOKUP($F164,taux,23))+($E164/12-VLOOKUP($F164,taux,21)-VLOOKUP($F164,taux,23))*VLOOKUP($F164,taux,24),IF($E164/12&gt;VLOOKUP($F164,taux,21),(VLOOKUP($F164,taux,20)*VLOOKUP($F164,taux,21))+($E164/12-VLOOKUP($F164,taux,21))*VLOOKUP($F164,taux,22),$E164/12*VLOOKUP($F164,taux,20))),0)))))</f>
        <v>0</v>
      </c>
      <c r="AA164" s="111">
        <f ca="1">IF(C164&gt;=70,0,IF($B164=" ",0,IF(Données!$X204="non couvert"," ",Données!Y204)))</f>
        <v>0</v>
      </c>
      <c r="AB164" s="110">
        <f>IF($B164=" ",0,IF(Données!$X255="exo",0,IF($AA164="ind",VLOOKUP($F164,taux,34),IF($AA164="fam",VLOOKUP($F164,taux,35),IF($AA164="mono",VLOOKUP($F164,taux,36),IF($AA164="couple",VLOOKUP($F164,taux,37),0))))))</f>
        <v>0</v>
      </c>
      <c r="AC164" s="111">
        <f ca="1">IF(C164&gt;=70,0,IF($B164=" ",0,IF(Données!$Z204="non couvert"," ",Données!AA204)))</f>
        <v>0</v>
      </c>
      <c r="AD164" s="110">
        <f>IF($B164=" ",0,IF(Données!$Z255="exo",0,IF($AC164="ind",VLOOKUP($F164,taux,38),IF($AC164="fam",VLOOKUP($F164,taux,39),IF($AC164="mono",VLOOKUP($F164,taux,40),IF($AC164="couple",VLOOKUP($F164,taux,41),0))))))</f>
        <v>0</v>
      </c>
      <c r="AE164" s="112">
        <f>IF($B164=" ",0,IF(Données!$AB255="non couvert"," ",Données!AC255))</f>
        <v>0</v>
      </c>
      <c r="AF164" s="113">
        <f>IF($B164=" ",0,IF(Données!$AB255="exo",0,IF($AE164="ind",VLOOKUP($F164,taux,42),IF($AE164="fam",VLOOKUP($F164,taux,43),IF($AE164="mono",VLOOKUP($F164,taux,44),IF($AE164="couple",VLOOKUP($F164,taux,45),0))))))</f>
        <v>0</v>
      </c>
      <c r="AG164" s="114">
        <f t="shared" ca="1" si="19"/>
        <v>0</v>
      </c>
      <c r="AH164" s="114">
        <f>IF($B164=" ",0,IF(Données!J204="Manitoba",(Facture!H164+Facture!J164+Facture!L164+Facture!P164+Facture!R164+Facture!T164)*0.08,(AG164-W164)*IF(Données!$J204="qc",0.09,IF(Données!$J204="on",0.08,0))+W164*VLOOKUP($F164,taux,28)))</f>
        <v>0</v>
      </c>
      <c r="AI164" s="106">
        <f t="shared" ca="1" si="22"/>
        <v>0</v>
      </c>
    </row>
    <row r="165" spans="1:35" s="64" customFormat="1">
      <c r="A165" s="90">
        <f t="shared" si="21"/>
        <v>151</v>
      </c>
      <c r="B165" s="99" t="str">
        <f>CONCATENATE(Données!B256," ",Données!C256)</f>
        <v xml:space="preserve"> </v>
      </c>
      <c r="C165" s="410">
        <f ca="1">IF(B165="",0,INT((TODAY()-Données!E205)/365.25))</f>
        <v>119</v>
      </c>
      <c r="D165" s="100">
        <f>Données!D256</f>
        <v>0</v>
      </c>
      <c r="E165" s="101">
        <f>Données!I256</f>
        <v>0</v>
      </c>
      <c r="F165" s="102">
        <f>Données!AD256</f>
        <v>0</v>
      </c>
      <c r="G165" s="103">
        <f ca="1">INDEX({1;0.5;0},MATCH(C165,{1;65;70}))*M165</f>
        <v>0</v>
      </c>
      <c r="H165" s="104">
        <f>IF($B165=" ",0,IF(Données!$K256="exo",0,$G165/1000*VLOOKUP($F165,taux,2)))</f>
        <v>0</v>
      </c>
      <c r="I165" s="398">
        <f ca="1">IF(C165&gt;=65,0,Données!M205*5000)</f>
        <v>0</v>
      </c>
      <c r="J165" s="104">
        <f ca="1">I165/1000*(IF(I165=0,0,1)*VLOOKUP((1+(C165&gt;=20)+(C165&gt;=25)+(C165&gt;=30)+(C165&gt;=35)+(C165&gt;=40)+(C165&gt;=45)+(C165&gt;=50)+(C165&gt;=55)+(C165&gt;=60)+(C165&gt;=65)),Test,2+(IF(Données!F205="H",1,3))+(IF(Données!G205="F",1,0))))</f>
        <v>0</v>
      </c>
      <c r="K165" s="103">
        <f ca="1">INDEX({1;0.5;0},MATCH(C165,{1;65;70}))*M165</f>
        <v>0</v>
      </c>
      <c r="L165" s="104">
        <f>IF($B165=" ",0,IF(Données!$N256="exo",0,$K165/1000*VLOOKUP($F165,taux,6)))</f>
        <v>0</v>
      </c>
      <c r="M165" s="379">
        <f>IF($B165=" ",0,IF(Données!$K205="NON COUVERT",0,IF(AND(Données!$L205="oui",Données!$K205=0.5),MIN(VLOOKUP($F165,taux,5)/2,ROUNDUP(VLOOKUP($F165,taux,3)*$E165,-3)/2),IF(Données!$K205=0.5,MIN(VLOOKUP($F165,taux,4)/2,ROUNDUP(VLOOKUP($F165,taux,3)*$E165,-3)/2),ROUNDUP(IF(Données!$L205="OUI",MIN(VLOOKUP($F165,taux,3)*$E165,VLOOKUP($F165,taux,5)),MIN(VLOOKUP($F165,taux,3)*$E165,VLOOKUP($F165,taux,4))),-3)))))</f>
        <v>0</v>
      </c>
      <c r="N165" s="379">
        <f>IF($B165=" ",0,IF(Données!$N205="NON COUVERT",0,IF(AND(Données!$O205="oui",Données!$N205=0.5),MIN(VLOOKUP($F165,taux,9)/2,ROUNDUP(VLOOKUP($F165,taux,7)*$E165,-3)/2),IF(Données!$N205=0.5,MIN(VLOOKUP($F165,taux,8)/2,ROUNDUP(VLOOKUP($F165,taux,7)*$E165,-3)/2),ROUNDUP(IF(Données!$O205="OUI",MIN(VLOOKUP($F165,taux,7)*$E165,VLOOKUP($F165,taux,9)),MIN(VLOOKUP($F165,taux,7)*$E165,VLOOKUP($F165,taux,8))),-3)))))</f>
        <v>0</v>
      </c>
      <c r="O165" s="105">
        <f ca="1">IF(C165&gt;=70,0,IF($B165=" ",0,IF(Données!P205="non couvert"," ",Données!Q205)))</f>
        <v>0</v>
      </c>
      <c r="P165" s="106">
        <f>IF($B165=" ",0,IF(Données!$P256="exo",0,IF($O165="FAM",VLOOKUP($F165,taux,10),IF($O165="MONO",VLOOKUP($F165,taux,11),IF($O165="COUPLE",VLOOKUP($F165,taux,12),0)))))</f>
        <v>0</v>
      </c>
      <c r="Q165" s="107">
        <f ca="1">IF(C165&gt;=70,0,IF($B165=" ",0,IF(Données!$R205="NON COUVERT",0,ROUNDUP(IF(Données!$S205="OUI",MIN($E165*VLOOKUP($F165,taux,15)/52,VLOOKUP($F165,taux,17)),MIN($E165*VLOOKUP($F165,taux,15)/52,VLOOKUP($F165,taux,16))),0))))</f>
        <v>0</v>
      </c>
      <c r="R165" s="108">
        <f>IF($B165=" ",0,IF(Données!$R256="EXO",0,$Q165*VLOOKUP($F165,taux,13)/10))</f>
        <v>0</v>
      </c>
      <c r="S165" s="109">
        <f t="shared" ca="1" si="20"/>
        <v>0</v>
      </c>
      <c r="T165" s="110">
        <f>IF(B165=" ",0,IF(Données!$T256="exo",0,$S165*VLOOKUP($F165,taux,18)/100))</f>
        <v>0</v>
      </c>
      <c r="U165" s="109">
        <f>IF($B165=" ",0,IF(Données!$V256="non couvert",0,IF(VLOOKUP($F165,taux,29)="fixe","s/o",IF(Données!$W256="oui",MIN(ROUNDUP(VLOOKUP($F165,taux,31)*$E165,-3),VLOOKUP($F165,taux,33)),MIN(ROUNDUP(VLOOKUP($F165,taux,31)*$E165,-3),VLOOKUP($F165,taux,32))))))</f>
        <v>0</v>
      </c>
      <c r="V165" s="110">
        <f>IF(B165=" ",0,IF(Données!$V256="exo",0,IF(VLOOKUP($F165,taux,29)="fixe",VLOOKUP($F165,taux,30),$U165/1000*VLOOKUP($F165,taux,30))))</f>
        <v>0</v>
      </c>
      <c r="W165" s="110">
        <f t="shared" si="17"/>
        <v>0</v>
      </c>
      <c r="X165" s="383">
        <f>IF(B165=" ",0,EDATE((Données!E205),780))</f>
        <v>0</v>
      </c>
      <c r="Y165" s="383">
        <f t="shared" si="18"/>
        <v>0</v>
      </c>
      <c r="Z165" s="109">
        <f>IF($B165=" ",0,IF(Données!$T205="non couvert",0,IF(Données!$U205="oui",MIN(VLOOKUP($F165,taux,26),ROUNDUP(IF($E165/12&gt;VLOOKUP($F165,taux,21)+VLOOKUP($F165,taux,23),(VLOOKUP($F165,taux,20)*VLOOKUP($F165,taux,21))+(VLOOKUP($F165,taux,22)*VLOOKUP($F165,taux,23))+($E165/12-VLOOKUP($F165,taux,21)-VLOOKUP($F165,taux,23))*VLOOKUP($F165,taux,24),IF($E165/12&gt;VLOOKUP($F165,taux,21),(VLOOKUP($F165,taux,20)*VLOOKUP($F165,taux,21))+($E165/12-VLOOKUP($F165,taux,21))*VLOOKUP($F165,taux,22),$E165/12*VLOOKUP($F165,taux,20))),0)),MIN(VLOOKUP($F165,taux,25),ROUNDUP(IF($E165/12&gt;VLOOKUP($F165,taux,21)+VLOOKUP($F165,taux,23),(VLOOKUP($F165,taux,20)*VLOOKUP($F165,taux,21))+(VLOOKUP($F165,taux,22)*VLOOKUP($F165,taux,23))+($E165/12-VLOOKUP($F165,taux,21)-VLOOKUP($F165,taux,23))*VLOOKUP($F165,taux,24),IF($E165/12&gt;VLOOKUP($F165,taux,21),(VLOOKUP($F165,taux,20)*VLOOKUP($F165,taux,21))+($E165/12-VLOOKUP($F165,taux,21))*VLOOKUP($F165,taux,22),$E165/12*VLOOKUP($F165,taux,20))),0)))))</f>
        <v>0</v>
      </c>
      <c r="AA165" s="111">
        <f ca="1">IF(C165&gt;=70,0,IF($B165=" ",0,IF(Données!$X205="non couvert"," ",Données!Y205)))</f>
        <v>0</v>
      </c>
      <c r="AB165" s="110">
        <f>IF($B165=" ",0,IF(Données!$X256="exo",0,IF($AA165="ind",VLOOKUP($F165,taux,34),IF($AA165="fam",VLOOKUP($F165,taux,35),IF($AA165="mono",VLOOKUP($F165,taux,36),IF($AA165="couple",VLOOKUP($F165,taux,37),0))))))</f>
        <v>0</v>
      </c>
      <c r="AC165" s="111">
        <f ca="1">IF(C165&gt;=70,0,IF($B165=" ",0,IF(Données!$Z205="non couvert"," ",Données!AA205)))</f>
        <v>0</v>
      </c>
      <c r="AD165" s="110">
        <f>IF($B165=" ",0,IF(Données!$Z256="exo",0,IF($AC165="ind",VLOOKUP($F165,taux,38),IF($AC165="fam",VLOOKUP($F165,taux,39),IF($AC165="mono",VLOOKUP($F165,taux,40),IF($AC165="couple",VLOOKUP($F165,taux,41),0))))))</f>
        <v>0</v>
      </c>
      <c r="AE165" s="112">
        <f>IF($B165=" ",0,IF(Données!$AB256="non couvert"," ",Données!AC256))</f>
        <v>0</v>
      </c>
      <c r="AF165" s="113">
        <f>IF($B165=" ",0,IF(Données!$AB256="exo",0,IF($AE165="ind",VLOOKUP($F165,taux,42),IF($AE165="fam",VLOOKUP($F165,taux,43),IF($AE165="mono",VLOOKUP($F165,taux,44),IF($AE165="couple",VLOOKUP($F165,taux,45),0))))))</f>
        <v>0</v>
      </c>
      <c r="AG165" s="114">
        <f t="shared" ca="1" si="19"/>
        <v>0</v>
      </c>
      <c r="AH165" s="114">
        <f>IF($B165=" ",0,IF(Données!J205="Manitoba",(Facture!H165+Facture!J165+Facture!L165+Facture!P165+Facture!R165+Facture!T165)*0.08,(AG165-W165)*IF(Données!$J205="qc",0.09,IF(Données!$J205="on",0.08,0))+W165*VLOOKUP($F165,taux,28)))</f>
        <v>0</v>
      </c>
      <c r="AI165" s="106">
        <f t="shared" ca="1" si="22"/>
        <v>0</v>
      </c>
    </row>
    <row r="166" spans="1:35" s="64" customFormat="1">
      <c r="A166" s="90">
        <f t="shared" si="21"/>
        <v>152</v>
      </c>
      <c r="B166" s="99" t="str">
        <f>CONCATENATE(Données!B257," ",Données!C257)</f>
        <v xml:space="preserve"> </v>
      </c>
      <c r="C166" s="410">
        <f ca="1">IF(B166="",0,INT((TODAY()-Données!E206)/365.25))</f>
        <v>119</v>
      </c>
      <c r="D166" s="100">
        <f>Données!D257</f>
        <v>0</v>
      </c>
      <c r="E166" s="101">
        <f>Données!I257</f>
        <v>0</v>
      </c>
      <c r="F166" s="102">
        <f>Données!AD257</f>
        <v>0</v>
      </c>
      <c r="G166" s="103">
        <f ca="1">INDEX({1;0.5;0},MATCH(C166,{1;65;70}))*M166</f>
        <v>0</v>
      </c>
      <c r="H166" s="104">
        <f>IF($B166=" ",0,IF(Données!$K257="exo",0,$G166/1000*VLOOKUP($F166,taux,2)))</f>
        <v>0</v>
      </c>
      <c r="I166" s="398">
        <f ca="1">IF(C166&gt;=65,0,Données!M206*5000)</f>
        <v>0</v>
      </c>
      <c r="J166" s="104">
        <f ca="1">I166/1000*(IF(I166=0,0,1)*VLOOKUP((1+(C166&gt;=20)+(C166&gt;=25)+(C166&gt;=30)+(C166&gt;=35)+(C166&gt;=40)+(C166&gt;=45)+(C166&gt;=50)+(C166&gt;=55)+(C166&gt;=60)+(C166&gt;=65)),Test,2+(IF(Données!F206="H",1,3))+(IF(Données!G206="F",1,0))))</f>
        <v>0</v>
      </c>
      <c r="K166" s="103">
        <f ca="1">INDEX({1;0.5;0},MATCH(C166,{1;65;70}))*M166</f>
        <v>0</v>
      </c>
      <c r="L166" s="104">
        <f>IF($B166=" ",0,IF(Données!$N257="exo",0,$K166/1000*VLOOKUP($F166,taux,6)))</f>
        <v>0</v>
      </c>
      <c r="M166" s="379">
        <f>IF($B166=" ",0,IF(Données!$K206="NON COUVERT",0,IF(AND(Données!$L206="oui",Données!$K206=0.5),MIN(VLOOKUP($F166,taux,5)/2,ROUNDUP(VLOOKUP($F166,taux,3)*$E166,-3)/2),IF(Données!$K206=0.5,MIN(VLOOKUP($F166,taux,4)/2,ROUNDUP(VLOOKUP($F166,taux,3)*$E166,-3)/2),ROUNDUP(IF(Données!$L206="OUI",MIN(VLOOKUP($F166,taux,3)*$E166,VLOOKUP($F166,taux,5)),MIN(VLOOKUP($F166,taux,3)*$E166,VLOOKUP($F166,taux,4))),-3)))))</f>
        <v>0</v>
      </c>
      <c r="N166" s="379">
        <f>IF($B166=" ",0,IF(Données!$N206="NON COUVERT",0,IF(AND(Données!$O206="oui",Données!$N206=0.5),MIN(VLOOKUP($F166,taux,9)/2,ROUNDUP(VLOOKUP($F166,taux,7)*$E166,-3)/2),IF(Données!$N206=0.5,MIN(VLOOKUP($F166,taux,8)/2,ROUNDUP(VLOOKUP($F166,taux,7)*$E166,-3)/2),ROUNDUP(IF(Données!$O206="OUI",MIN(VLOOKUP($F166,taux,7)*$E166,VLOOKUP($F166,taux,9)),MIN(VLOOKUP($F166,taux,7)*$E166,VLOOKUP($F166,taux,8))),-3)))))</f>
        <v>0</v>
      </c>
      <c r="O166" s="105">
        <f ca="1">IF(C166&gt;=70,0,IF($B166=" ",0,IF(Données!P206="non couvert"," ",Données!Q206)))</f>
        <v>0</v>
      </c>
      <c r="P166" s="106">
        <f>IF($B166=" ",0,IF(Données!$P257="exo",0,IF($O166="FAM",VLOOKUP($F166,taux,10),IF($O166="MONO",VLOOKUP($F166,taux,11),IF($O166="COUPLE",VLOOKUP($F166,taux,12),0)))))</f>
        <v>0</v>
      </c>
      <c r="Q166" s="107">
        <f ca="1">IF(C166&gt;=70,0,IF($B166=" ",0,IF(Données!$R206="NON COUVERT",0,ROUNDUP(IF(Données!$S206="OUI",MIN($E166*VLOOKUP($F166,taux,15)/52,VLOOKUP($F166,taux,17)),MIN($E166*VLOOKUP($F166,taux,15)/52,VLOOKUP($F166,taux,16))),0))))</f>
        <v>0</v>
      </c>
      <c r="R166" s="108">
        <f>IF($B166=" ",0,IF(Données!$R257="EXO",0,$Q166*VLOOKUP($F166,taux,13)/10))</f>
        <v>0</v>
      </c>
      <c r="S166" s="109">
        <f t="shared" ca="1" si="20"/>
        <v>0</v>
      </c>
      <c r="T166" s="110">
        <f>IF(B166=" ",0,IF(Données!$T257="exo",0,$S166*VLOOKUP($F166,taux,18)/100))</f>
        <v>0</v>
      </c>
      <c r="U166" s="109">
        <f>IF($B166=" ",0,IF(Données!$V257="non couvert",0,IF(VLOOKUP($F166,taux,29)="fixe","s/o",IF(Données!$W257="oui",MIN(ROUNDUP(VLOOKUP($F166,taux,31)*$E166,-3),VLOOKUP($F166,taux,33)),MIN(ROUNDUP(VLOOKUP($F166,taux,31)*$E166,-3),VLOOKUP($F166,taux,32))))))</f>
        <v>0</v>
      </c>
      <c r="V166" s="110">
        <f>IF(B166=" ",0,IF(Données!$V257="exo",0,IF(VLOOKUP($F166,taux,29)="fixe",VLOOKUP($F166,taux,30),$U166/1000*VLOOKUP($F166,taux,30))))</f>
        <v>0</v>
      </c>
      <c r="W166" s="110">
        <f t="shared" si="17"/>
        <v>0</v>
      </c>
      <c r="X166" s="383">
        <f>IF(B166=" ",0,EDATE((Données!E206),780))</f>
        <v>0</v>
      </c>
      <c r="Y166" s="383">
        <f t="shared" si="18"/>
        <v>0</v>
      </c>
      <c r="Z166" s="109">
        <f>IF($B166=" ",0,IF(Données!$T206="non couvert",0,IF(Données!$U206="oui",MIN(VLOOKUP($F166,taux,26),ROUNDUP(IF($E166/12&gt;VLOOKUP($F166,taux,21)+VLOOKUP($F166,taux,23),(VLOOKUP($F166,taux,20)*VLOOKUP($F166,taux,21))+(VLOOKUP($F166,taux,22)*VLOOKUP($F166,taux,23))+($E166/12-VLOOKUP($F166,taux,21)-VLOOKUP($F166,taux,23))*VLOOKUP($F166,taux,24),IF($E166/12&gt;VLOOKUP($F166,taux,21),(VLOOKUP($F166,taux,20)*VLOOKUP($F166,taux,21))+($E166/12-VLOOKUP($F166,taux,21))*VLOOKUP($F166,taux,22),$E166/12*VLOOKUP($F166,taux,20))),0)),MIN(VLOOKUP($F166,taux,25),ROUNDUP(IF($E166/12&gt;VLOOKUP($F166,taux,21)+VLOOKUP($F166,taux,23),(VLOOKUP($F166,taux,20)*VLOOKUP($F166,taux,21))+(VLOOKUP($F166,taux,22)*VLOOKUP($F166,taux,23))+($E166/12-VLOOKUP($F166,taux,21)-VLOOKUP($F166,taux,23))*VLOOKUP($F166,taux,24),IF($E166/12&gt;VLOOKUP($F166,taux,21),(VLOOKUP($F166,taux,20)*VLOOKUP($F166,taux,21))+($E166/12-VLOOKUP($F166,taux,21))*VLOOKUP($F166,taux,22),$E166/12*VLOOKUP($F166,taux,20))),0)))))</f>
        <v>0</v>
      </c>
      <c r="AA166" s="111">
        <f ca="1">IF(C166&gt;=70,0,IF($B166=" ",0,IF(Données!$X206="non couvert"," ",Données!Y206)))</f>
        <v>0</v>
      </c>
      <c r="AB166" s="110">
        <f>IF($B166=" ",0,IF(Données!$X257="exo",0,IF($AA166="ind",VLOOKUP($F166,taux,34),IF($AA166="fam",VLOOKUP($F166,taux,35),IF($AA166="mono",VLOOKUP($F166,taux,36),IF($AA166="couple",VLOOKUP($F166,taux,37),0))))))</f>
        <v>0</v>
      </c>
      <c r="AC166" s="111">
        <f ca="1">IF(C166&gt;=70,0,IF($B166=" ",0,IF(Données!$Z206="non couvert"," ",Données!AA206)))</f>
        <v>0</v>
      </c>
      <c r="AD166" s="110">
        <f>IF($B166=" ",0,IF(Données!$Z257="exo",0,IF($AC166="ind",VLOOKUP($F166,taux,38),IF($AC166="fam",VLOOKUP($F166,taux,39),IF($AC166="mono",VLOOKUP($F166,taux,40),IF($AC166="couple",VLOOKUP($F166,taux,41),0))))))</f>
        <v>0</v>
      </c>
      <c r="AE166" s="112">
        <f>IF($B166=" ",0,IF(Données!$AB257="non couvert"," ",Données!AC257))</f>
        <v>0</v>
      </c>
      <c r="AF166" s="113">
        <f>IF($B166=" ",0,IF(Données!$AB257="exo",0,IF($AE166="ind",VLOOKUP($F166,taux,42),IF($AE166="fam",VLOOKUP($F166,taux,43),IF($AE166="mono",VLOOKUP($F166,taux,44),IF($AE166="couple",VLOOKUP($F166,taux,45),0))))))</f>
        <v>0</v>
      </c>
      <c r="AG166" s="114">
        <f t="shared" ca="1" si="19"/>
        <v>0</v>
      </c>
      <c r="AH166" s="114">
        <f>IF($B166=" ",0,IF(Données!J206="Manitoba",(Facture!H166+Facture!J166+Facture!L166+Facture!P166+Facture!R166+Facture!T166)*0.08,(AG166-W166)*IF(Données!$J206="qc",0.09,IF(Données!$J206="on",0.08,0))+W166*VLOOKUP($F166,taux,28)))</f>
        <v>0</v>
      </c>
      <c r="AI166" s="106">
        <f t="shared" ca="1" si="22"/>
        <v>0</v>
      </c>
    </row>
    <row r="167" spans="1:35" s="64" customFormat="1">
      <c r="A167" s="90">
        <f t="shared" si="21"/>
        <v>153</v>
      </c>
      <c r="B167" s="99" t="str">
        <f>CONCATENATE(Données!B258," ",Données!C258)</f>
        <v xml:space="preserve"> </v>
      </c>
      <c r="C167" s="410">
        <f ca="1">IF(B167="",0,INT((TODAY()-Données!E207)/365.25))</f>
        <v>119</v>
      </c>
      <c r="D167" s="100">
        <f>Données!D258</f>
        <v>0</v>
      </c>
      <c r="E167" s="101">
        <f>Données!I258</f>
        <v>0</v>
      </c>
      <c r="F167" s="102">
        <f>Données!AD258</f>
        <v>0</v>
      </c>
      <c r="G167" s="103">
        <f ca="1">INDEX({1;0.5;0},MATCH(C167,{1;65;70}))*M167</f>
        <v>0</v>
      </c>
      <c r="H167" s="104">
        <f>IF($B167=" ",0,IF(Données!$K258="exo",0,$G167/1000*VLOOKUP($F167,taux,2)))</f>
        <v>0</v>
      </c>
      <c r="I167" s="398">
        <f ca="1">IF(C167&gt;=65,0,Données!M207*5000)</f>
        <v>0</v>
      </c>
      <c r="J167" s="104">
        <f ca="1">I167/1000*(IF(I167=0,0,1)*VLOOKUP((1+(C167&gt;=20)+(C167&gt;=25)+(C167&gt;=30)+(C167&gt;=35)+(C167&gt;=40)+(C167&gt;=45)+(C167&gt;=50)+(C167&gt;=55)+(C167&gt;=60)+(C167&gt;=65)),Test,2+(IF(Données!F207="H",1,3))+(IF(Données!G207="F",1,0))))</f>
        <v>0</v>
      </c>
      <c r="K167" s="103">
        <f ca="1">INDEX({1;0.5;0},MATCH(C167,{1;65;70}))*M167</f>
        <v>0</v>
      </c>
      <c r="L167" s="104">
        <f>IF($B167=" ",0,IF(Données!$N258="exo",0,$K167/1000*VLOOKUP($F167,taux,6)))</f>
        <v>0</v>
      </c>
      <c r="M167" s="379">
        <f>IF($B167=" ",0,IF(Données!$K207="NON COUVERT",0,IF(AND(Données!$L207="oui",Données!$K207=0.5),MIN(VLOOKUP($F167,taux,5)/2,ROUNDUP(VLOOKUP($F167,taux,3)*$E167,-3)/2),IF(Données!$K207=0.5,MIN(VLOOKUP($F167,taux,4)/2,ROUNDUP(VLOOKUP($F167,taux,3)*$E167,-3)/2),ROUNDUP(IF(Données!$L207="OUI",MIN(VLOOKUP($F167,taux,3)*$E167,VLOOKUP($F167,taux,5)),MIN(VLOOKUP($F167,taux,3)*$E167,VLOOKUP($F167,taux,4))),-3)))))</f>
        <v>0</v>
      </c>
      <c r="N167" s="379">
        <f>IF($B167=" ",0,IF(Données!$N207="NON COUVERT",0,IF(AND(Données!$O207="oui",Données!$N207=0.5),MIN(VLOOKUP($F167,taux,9)/2,ROUNDUP(VLOOKUP($F167,taux,7)*$E167,-3)/2),IF(Données!$N207=0.5,MIN(VLOOKUP($F167,taux,8)/2,ROUNDUP(VLOOKUP($F167,taux,7)*$E167,-3)/2),ROUNDUP(IF(Données!$O207="OUI",MIN(VLOOKUP($F167,taux,7)*$E167,VLOOKUP($F167,taux,9)),MIN(VLOOKUP($F167,taux,7)*$E167,VLOOKUP($F167,taux,8))),-3)))))</f>
        <v>0</v>
      </c>
      <c r="O167" s="105">
        <f ca="1">IF(C167&gt;=70,0,IF($B167=" ",0,IF(Données!P207="non couvert"," ",Données!Q207)))</f>
        <v>0</v>
      </c>
      <c r="P167" s="106">
        <f>IF($B167=" ",0,IF(Données!$P258="exo",0,IF($O167="FAM",VLOOKUP($F167,taux,10),IF($O167="MONO",VLOOKUP($F167,taux,11),IF($O167="COUPLE",VLOOKUP($F167,taux,12),0)))))</f>
        <v>0</v>
      </c>
      <c r="Q167" s="107">
        <f ca="1">IF(C167&gt;=70,0,IF($B167=" ",0,IF(Données!$R207="NON COUVERT",0,ROUNDUP(IF(Données!$S207="OUI",MIN($E167*VLOOKUP($F167,taux,15)/52,VLOOKUP($F167,taux,17)),MIN($E167*VLOOKUP($F167,taux,15)/52,VLOOKUP($F167,taux,16))),0))))</f>
        <v>0</v>
      </c>
      <c r="R167" s="108">
        <f>IF($B167=" ",0,IF(Données!$R258="EXO",0,$Q167*VLOOKUP($F167,taux,13)/10))</f>
        <v>0</v>
      </c>
      <c r="S167" s="109">
        <f t="shared" ca="1" si="20"/>
        <v>0</v>
      </c>
      <c r="T167" s="110">
        <f>IF(B167=" ",0,IF(Données!$T258="exo",0,$S167*VLOOKUP($F167,taux,18)/100))</f>
        <v>0</v>
      </c>
      <c r="U167" s="109">
        <f>IF($B167=" ",0,IF(Données!$V258="non couvert",0,IF(VLOOKUP($F167,taux,29)="fixe","s/o",IF(Données!$W258="oui",MIN(ROUNDUP(VLOOKUP($F167,taux,31)*$E167,-3),VLOOKUP($F167,taux,33)),MIN(ROUNDUP(VLOOKUP($F167,taux,31)*$E167,-3),VLOOKUP($F167,taux,32))))))</f>
        <v>0</v>
      </c>
      <c r="V167" s="110">
        <f>IF(B167=" ",0,IF(Données!$V258="exo",0,IF(VLOOKUP($F167,taux,29)="fixe",VLOOKUP($F167,taux,30),$U167/1000*VLOOKUP($F167,taux,30))))</f>
        <v>0</v>
      </c>
      <c r="W167" s="110">
        <f t="shared" si="17"/>
        <v>0</v>
      </c>
      <c r="X167" s="383">
        <f>IF(B167=" ",0,EDATE((Données!E207),780))</f>
        <v>0</v>
      </c>
      <c r="Y167" s="383">
        <f t="shared" si="18"/>
        <v>0</v>
      </c>
      <c r="Z167" s="109">
        <f>IF($B167=" ",0,IF(Données!$T207="non couvert",0,IF(Données!$U207="oui",MIN(VLOOKUP($F167,taux,26),ROUNDUP(IF($E167/12&gt;VLOOKUP($F167,taux,21)+VLOOKUP($F167,taux,23),(VLOOKUP($F167,taux,20)*VLOOKUP($F167,taux,21))+(VLOOKUP($F167,taux,22)*VLOOKUP($F167,taux,23))+($E167/12-VLOOKUP($F167,taux,21)-VLOOKUP($F167,taux,23))*VLOOKUP($F167,taux,24),IF($E167/12&gt;VLOOKUP($F167,taux,21),(VLOOKUP($F167,taux,20)*VLOOKUP($F167,taux,21))+($E167/12-VLOOKUP($F167,taux,21))*VLOOKUP($F167,taux,22),$E167/12*VLOOKUP($F167,taux,20))),0)),MIN(VLOOKUP($F167,taux,25),ROUNDUP(IF($E167/12&gt;VLOOKUP($F167,taux,21)+VLOOKUP($F167,taux,23),(VLOOKUP($F167,taux,20)*VLOOKUP($F167,taux,21))+(VLOOKUP($F167,taux,22)*VLOOKUP($F167,taux,23))+($E167/12-VLOOKUP($F167,taux,21)-VLOOKUP($F167,taux,23))*VLOOKUP($F167,taux,24),IF($E167/12&gt;VLOOKUP($F167,taux,21),(VLOOKUP($F167,taux,20)*VLOOKUP($F167,taux,21))+($E167/12-VLOOKUP($F167,taux,21))*VLOOKUP($F167,taux,22),$E167/12*VLOOKUP($F167,taux,20))),0)))))</f>
        <v>0</v>
      </c>
      <c r="AA167" s="111">
        <f ca="1">IF(C167&gt;=70,0,IF($B167=" ",0,IF(Données!$X207="non couvert"," ",Données!Y207)))</f>
        <v>0</v>
      </c>
      <c r="AB167" s="110">
        <f>IF($B167=" ",0,IF(Données!$X258="exo",0,IF($AA167="ind",VLOOKUP($F167,taux,34),IF($AA167="fam",VLOOKUP($F167,taux,35),IF($AA167="mono",VLOOKUP($F167,taux,36),IF($AA167="couple",VLOOKUP($F167,taux,37),0))))))</f>
        <v>0</v>
      </c>
      <c r="AC167" s="111">
        <f ca="1">IF(C167&gt;=70,0,IF($B167=" ",0,IF(Données!$Z207="non couvert"," ",Données!AA207)))</f>
        <v>0</v>
      </c>
      <c r="AD167" s="110">
        <f>IF($B167=" ",0,IF(Données!$Z258="exo",0,IF($AC167="ind",VLOOKUP($F167,taux,38),IF($AC167="fam",VLOOKUP($F167,taux,39),IF($AC167="mono",VLOOKUP($F167,taux,40),IF($AC167="couple",VLOOKUP($F167,taux,41),0))))))</f>
        <v>0</v>
      </c>
      <c r="AE167" s="112">
        <f>IF($B167=" ",0,IF(Données!$AB258="non couvert"," ",Données!AC258))</f>
        <v>0</v>
      </c>
      <c r="AF167" s="113">
        <f>IF($B167=" ",0,IF(Données!$AB258="exo",0,IF($AE167="ind",VLOOKUP($F167,taux,42),IF($AE167="fam",VLOOKUP($F167,taux,43),IF($AE167="mono",VLOOKUP($F167,taux,44),IF($AE167="couple",VLOOKUP($F167,taux,45),0))))))</f>
        <v>0</v>
      </c>
      <c r="AG167" s="114">
        <f t="shared" ca="1" si="19"/>
        <v>0</v>
      </c>
      <c r="AH167" s="114">
        <f>IF($B167=" ",0,IF(Données!J207="Manitoba",(Facture!H167+Facture!J167+Facture!L167+Facture!P167+Facture!R167+Facture!T167)*0.08,(AG167-W167)*IF(Données!$J207="qc",0.09,IF(Données!$J207="on",0.08,0))+W167*VLOOKUP($F167,taux,28)))</f>
        <v>0</v>
      </c>
      <c r="AI167" s="106">
        <f t="shared" ca="1" si="22"/>
        <v>0</v>
      </c>
    </row>
    <row r="168" spans="1:35" s="64" customFormat="1">
      <c r="A168" s="90">
        <f t="shared" si="21"/>
        <v>154</v>
      </c>
      <c r="B168" s="99" t="str">
        <f>CONCATENATE(Données!B259," ",Données!C259)</f>
        <v xml:space="preserve"> </v>
      </c>
      <c r="C168" s="410">
        <f ca="1">IF(B168="",0,INT((TODAY()-Données!E208)/365.25))</f>
        <v>119</v>
      </c>
      <c r="D168" s="100">
        <f>Données!D259</f>
        <v>0</v>
      </c>
      <c r="E168" s="101">
        <f>Données!I259</f>
        <v>0</v>
      </c>
      <c r="F168" s="102">
        <f>Données!AD259</f>
        <v>0</v>
      </c>
      <c r="G168" s="103">
        <f ca="1">INDEX({1;0.5;0},MATCH(C168,{1;65;70}))*M168</f>
        <v>0</v>
      </c>
      <c r="H168" s="104">
        <f>IF($B168=" ",0,IF(Données!$K259="exo",0,$G168/1000*VLOOKUP($F168,taux,2)))</f>
        <v>0</v>
      </c>
      <c r="I168" s="398">
        <f ca="1">IF(C168&gt;=65,0,Données!M208*5000)</f>
        <v>0</v>
      </c>
      <c r="J168" s="104">
        <f ca="1">I168/1000*(IF(I168=0,0,1)*VLOOKUP((1+(C168&gt;=20)+(C168&gt;=25)+(C168&gt;=30)+(C168&gt;=35)+(C168&gt;=40)+(C168&gt;=45)+(C168&gt;=50)+(C168&gt;=55)+(C168&gt;=60)+(C168&gt;=65)),Test,2+(IF(Données!F208="H",1,3))+(IF(Données!G208="F",1,0))))</f>
        <v>0</v>
      </c>
      <c r="K168" s="103">
        <f ca="1">INDEX({1;0.5;0},MATCH(C168,{1;65;70}))*M168</f>
        <v>0</v>
      </c>
      <c r="L168" s="104">
        <f>IF($B168=" ",0,IF(Données!$N259="exo",0,$K168/1000*VLOOKUP($F168,taux,6)))</f>
        <v>0</v>
      </c>
      <c r="M168" s="379">
        <f>IF($B168=" ",0,IF(Données!$K208="NON COUVERT",0,IF(AND(Données!$L208="oui",Données!$K208=0.5),MIN(VLOOKUP($F168,taux,5)/2,ROUNDUP(VLOOKUP($F168,taux,3)*$E168,-3)/2),IF(Données!$K208=0.5,MIN(VLOOKUP($F168,taux,4)/2,ROUNDUP(VLOOKUP($F168,taux,3)*$E168,-3)/2),ROUNDUP(IF(Données!$L208="OUI",MIN(VLOOKUP($F168,taux,3)*$E168,VLOOKUP($F168,taux,5)),MIN(VLOOKUP($F168,taux,3)*$E168,VLOOKUP($F168,taux,4))),-3)))))</f>
        <v>0</v>
      </c>
      <c r="N168" s="379">
        <f>IF($B168=" ",0,IF(Données!$N208="NON COUVERT",0,IF(AND(Données!$O208="oui",Données!$N208=0.5),MIN(VLOOKUP($F168,taux,9)/2,ROUNDUP(VLOOKUP($F168,taux,7)*$E168,-3)/2),IF(Données!$N208=0.5,MIN(VLOOKUP($F168,taux,8)/2,ROUNDUP(VLOOKUP($F168,taux,7)*$E168,-3)/2),ROUNDUP(IF(Données!$O208="OUI",MIN(VLOOKUP($F168,taux,7)*$E168,VLOOKUP($F168,taux,9)),MIN(VLOOKUP($F168,taux,7)*$E168,VLOOKUP($F168,taux,8))),-3)))))</f>
        <v>0</v>
      </c>
      <c r="O168" s="105">
        <f ca="1">IF(C168&gt;=70,0,IF($B168=" ",0,IF(Données!P208="non couvert"," ",Données!Q208)))</f>
        <v>0</v>
      </c>
      <c r="P168" s="106">
        <f>IF($B168=" ",0,IF(Données!$P259="exo",0,IF($O168="FAM",VLOOKUP($F168,taux,10),IF($O168="MONO",VLOOKUP($F168,taux,11),IF($O168="COUPLE",VLOOKUP($F168,taux,12),0)))))</f>
        <v>0</v>
      </c>
      <c r="Q168" s="107">
        <f ca="1">IF(C168&gt;=70,0,IF($B168=" ",0,IF(Données!$R208="NON COUVERT",0,ROUNDUP(IF(Données!$S208="OUI",MIN($E168*VLOOKUP($F168,taux,15)/52,VLOOKUP($F168,taux,17)),MIN($E168*VLOOKUP($F168,taux,15)/52,VLOOKUP($F168,taux,16))),0))))</f>
        <v>0</v>
      </c>
      <c r="R168" s="108">
        <f>IF($B168=" ",0,IF(Données!$R259="EXO",0,$Q168*VLOOKUP($F168,taux,13)/10))</f>
        <v>0</v>
      </c>
      <c r="S168" s="109">
        <f t="shared" ca="1" si="20"/>
        <v>0</v>
      </c>
      <c r="T168" s="110">
        <f>IF(B168=" ",0,IF(Données!$T259="exo",0,$S168*VLOOKUP($F168,taux,18)/100))</f>
        <v>0</v>
      </c>
      <c r="U168" s="109">
        <f>IF($B168=" ",0,IF(Données!$V259="non couvert",0,IF(VLOOKUP($F168,taux,29)="fixe","s/o",IF(Données!$W259="oui",MIN(ROUNDUP(VLOOKUP($F168,taux,31)*$E168,-3),VLOOKUP($F168,taux,33)),MIN(ROUNDUP(VLOOKUP($F168,taux,31)*$E168,-3),VLOOKUP($F168,taux,32))))))</f>
        <v>0</v>
      </c>
      <c r="V168" s="110">
        <f>IF(B168=" ",0,IF(Données!$V259="exo",0,IF(VLOOKUP($F168,taux,29)="fixe",VLOOKUP($F168,taux,30),$U168/1000*VLOOKUP($F168,taux,30))))</f>
        <v>0</v>
      </c>
      <c r="W168" s="110">
        <f t="shared" si="17"/>
        <v>0</v>
      </c>
      <c r="X168" s="383">
        <f>IF(B168=" ",0,EDATE((Données!E208),780))</f>
        <v>0</v>
      </c>
      <c r="Y168" s="383">
        <f t="shared" si="18"/>
        <v>0</v>
      </c>
      <c r="Z168" s="109">
        <f>IF($B168=" ",0,IF(Données!$T208="non couvert",0,IF(Données!$U208="oui",MIN(VLOOKUP($F168,taux,26),ROUNDUP(IF($E168/12&gt;VLOOKUP($F168,taux,21)+VLOOKUP($F168,taux,23),(VLOOKUP($F168,taux,20)*VLOOKUP($F168,taux,21))+(VLOOKUP($F168,taux,22)*VLOOKUP($F168,taux,23))+($E168/12-VLOOKUP($F168,taux,21)-VLOOKUP($F168,taux,23))*VLOOKUP($F168,taux,24),IF($E168/12&gt;VLOOKUP($F168,taux,21),(VLOOKUP($F168,taux,20)*VLOOKUP($F168,taux,21))+($E168/12-VLOOKUP($F168,taux,21))*VLOOKUP($F168,taux,22),$E168/12*VLOOKUP($F168,taux,20))),0)),MIN(VLOOKUP($F168,taux,25),ROUNDUP(IF($E168/12&gt;VLOOKUP($F168,taux,21)+VLOOKUP($F168,taux,23),(VLOOKUP($F168,taux,20)*VLOOKUP($F168,taux,21))+(VLOOKUP($F168,taux,22)*VLOOKUP($F168,taux,23))+($E168/12-VLOOKUP($F168,taux,21)-VLOOKUP($F168,taux,23))*VLOOKUP($F168,taux,24),IF($E168/12&gt;VLOOKUP($F168,taux,21),(VLOOKUP($F168,taux,20)*VLOOKUP($F168,taux,21))+($E168/12-VLOOKUP($F168,taux,21))*VLOOKUP($F168,taux,22),$E168/12*VLOOKUP($F168,taux,20))),0)))))</f>
        <v>0</v>
      </c>
      <c r="AA168" s="111">
        <f ca="1">IF(C168&gt;=70,0,IF($B168=" ",0,IF(Données!$X208="non couvert"," ",Données!Y208)))</f>
        <v>0</v>
      </c>
      <c r="AB168" s="110">
        <f>IF($B168=" ",0,IF(Données!$X259="exo",0,IF($AA168="ind",VLOOKUP($F168,taux,34),IF($AA168="fam",VLOOKUP($F168,taux,35),IF($AA168="mono",VLOOKUP($F168,taux,36),IF($AA168="couple",VLOOKUP($F168,taux,37),0))))))</f>
        <v>0</v>
      </c>
      <c r="AC168" s="111">
        <f ca="1">IF(C168&gt;=70,0,IF($B168=" ",0,IF(Données!$Z208="non couvert"," ",Données!AA208)))</f>
        <v>0</v>
      </c>
      <c r="AD168" s="110">
        <f>IF($B168=" ",0,IF(Données!$Z259="exo",0,IF($AC168="ind",VLOOKUP($F168,taux,38),IF($AC168="fam",VLOOKUP($F168,taux,39),IF($AC168="mono",VLOOKUP($F168,taux,40),IF($AC168="couple",VLOOKUP($F168,taux,41),0))))))</f>
        <v>0</v>
      </c>
      <c r="AE168" s="112">
        <f>IF($B168=" ",0,IF(Données!$AB259="non couvert"," ",Données!AC259))</f>
        <v>0</v>
      </c>
      <c r="AF168" s="113">
        <f>IF($B168=" ",0,IF(Données!$AB259="exo",0,IF($AE168="ind",VLOOKUP($F168,taux,42),IF($AE168="fam",VLOOKUP($F168,taux,43),IF($AE168="mono",VLOOKUP($F168,taux,44),IF($AE168="couple",VLOOKUP($F168,taux,45),0))))))</f>
        <v>0</v>
      </c>
      <c r="AG168" s="114">
        <f t="shared" ca="1" si="19"/>
        <v>0</v>
      </c>
      <c r="AH168" s="114">
        <f>IF($B168=" ",0,IF(Données!J208="Manitoba",(Facture!H168+Facture!J168+Facture!L168+Facture!P168+Facture!R168+Facture!T168)*0.08,(AG168-W168)*IF(Données!$J208="qc",0.09,IF(Données!$J208="on",0.08,0))+W168*VLOOKUP($F168,taux,28)))</f>
        <v>0</v>
      </c>
      <c r="AI168" s="106">
        <f t="shared" ca="1" si="22"/>
        <v>0</v>
      </c>
    </row>
    <row r="169" spans="1:35" s="64" customFormat="1">
      <c r="A169" s="90">
        <f t="shared" si="21"/>
        <v>155</v>
      </c>
      <c r="B169" s="99" t="str">
        <f>CONCATENATE(Données!B260," ",Données!C260)</f>
        <v xml:space="preserve"> </v>
      </c>
      <c r="C169" s="410">
        <f ca="1">IF(B169="",0,INT((TODAY()-Données!E209)/365.25))</f>
        <v>119</v>
      </c>
      <c r="D169" s="100">
        <f>Données!D260</f>
        <v>0</v>
      </c>
      <c r="E169" s="101">
        <f>Données!I260</f>
        <v>0</v>
      </c>
      <c r="F169" s="102">
        <f>Données!AD260</f>
        <v>0</v>
      </c>
      <c r="G169" s="103">
        <f ca="1">INDEX({1;0.5;0},MATCH(C169,{1;65;70}))*M169</f>
        <v>0</v>
      </c>
      <c r="H169" s="104">
        <f>IF($B169=" ",0,IF(Données!$K260="exo",0,$G169/1000*VLOOKUP($F169,taux,2)))</f>
        <v>0</v>
      </c>
      <c r="I169" s="398">
        <f ca="1">IF(C169&gt;=65,0,Données!M209*5000)</f>
        <v>0</v>
      </c>
      <c r="J169" s="104">
        <f ca="1">I169/1000*(IF(I169=0,0,1)*VLOOKUP((1+(C169&gt;=20)+(C169&gt;=25)+(C169&gt;=30)+(C169&gt;=35)+(C169&gt;=40)+(C169&gt;=45)+(C169&gt;=50)+(C169&gt;=55)+(C169&gt;=60)+(C169&gt;=65)),Test,2+(IF(Données!F209="H",1,3))+(IF(Données!G209="F",1,0))))</f>
        <v>0</v>
      </c>
      <c r="K169" s="103">
        <f ca="1">INDEX({1;0.5;0},MATCH(C169,{1;65;70}))*M169</f>
        <v>0</v>
      </c>
      <c r="L169" s="104">
        <f>IF($B169=" ",0,IF(Données!$N260="exo",0,$K169/1000*VLOOKUP($F169,taux,6)))</f>
        <v>0</v>
      </c>
      <c r="M169" s="379">
        <f>IF($B169=" ",0,IF(Données!$K209="NON COUVERT",0,IF(AND(Données!$L209="oui",Données!$K209=0.5),MIN(VLOOKUP($F169,taux,5)/2,ROUNDUP(VLOOKUP($F169,taux,3)*$E169,-3)/2),IF(Données!$K209=0.5,MIN(VLOOKUP($F169,taux,4)/2,ROUNDUP(VLOOKUP($F169,taux,3)*$E169,-3)/2),ROUNDUP(IF(Données!$L209="OUI",MIN(VLOOKUP($F169,taux,3)*$E169,VLOOKUP($F169,taux,5)),MIN(VLOOKUP($F169,taux,3)*$E169,VLOOKUP($F169,taux,4))),-3)))))</f>
        <v>0</v>
      </c>
      <c r="N169" s="379">
        <f>IF($B169=" ",0,IF(Données!$N209="NON COUVERT",0,IF(AND(Données!$O209="oui",Données!$N209=0.5),MIN(VLOOKUP($F169,taux,9)/2,ROUNDUP(VLOOKUP($F169,taux,7)*$E169,-3)/2),IF(Données!$N209=0.5,MIN(VLOOKUP($F169,taux,8)/2,ROUNDUP(VLOOKUP($F169,taux,7)*$E169,-3)/2),ROUNDUP(IF(Données!$O209="OUI",MIN(VLOOKUP($F169,taux,7)*$E169,VLOOKUP($F169,taux,9)),MIN(VLOOKUP($F169,taux,7)*$E169,VLOOKUP($F169,taux,8))),-3)))))</f>
        <v>0</v>
      </c>
      <c r="O169" s="105">
        <f ca="1">IF(C169&gt;=70,0,IF($B169=" ",0,IF(Données!P209="non couvert"," ",Données!Q209)))</f>
        <v>0</v>
      </c>
      <c r="P169" s="106">
        <f>IF($B169=" ",0,IF(Données!$P260="exo",0,IF($O169="FAM",VLOOKUP($F169,taux,10),IF($O169="MONO",VLOOKUP($F169,taux,11),IF($O169="COUPLE",VLOOKUP($F169,taux,12),0)))))</f>
        <v>0</v>
      </c>
      <c r="Q169" s="107">
        <f ca="1">IF(C169&gt;=70,0,IF($B169=" ",0,IF(Données!$R209="NON COUVERT",0,ROUNDUP(IF(Données!$S209="OUI",MIN($E169*VLOOKUP($F169,taux,15)/52,VLOOKUP($F169,taux,17)),MIN($E169*VLOOKUP($F169,taux,15)/52,VLOOKUP($F169,taux,16))),0))))</f>
        <v>0</v>
      </c>
      <c r="R169" s="108">
        <f>IF($B169=" ",0,IF(Données!$R260="EXO",0,$Q169*VLOOKUP($F169,taux,13)/10))</f>
        <v>0</v>
      </c>
      <c r="S169" s="109">
        <f t="shared" ca="1" si="20"/>
        <v>0</v>
      </c>
      <c r="T169" s="110">
        <f>IF(B169=" ",0,IF(Données!$T260="exo",0,$S169*VLOOKUP($F169,taux,18)/100))</f>
        <v>0</v>
      </c>
      <c r="U169" s="109">
        <f>IF($B169=" ",0,IF(Données!$V260="non couvert",0,IF(VLOOKUP($F169,taux,29)="fixe","s/o",IF(Données!$W260="oui",MIN(ROUNDUP(VLOOKUP($F169,taux,31)*$E169,-3),VLOOKUP($F169,taux,33)),MIN(ROUNDUP(VLOOKUP($F169,taux,31)*$E169,-3),VLOOKUP($F169,taux,32))))))</f>
        <v>0</v>
      </c>
      <c r="V169" s="110">
        <f>IF(B169=" ",0,IF(Données!$V260="exo",0,IF(VLOOKUP($F169,taux,29)="fixe",VLOOKUP($F169,taux,30),$U169/1000*VLOOKUP($F169,taux,30))))</f>
        <v>0</v>
      </c>
      <c r="W169" s="110">
        <f t="shared" si="17"/>
        <v>0</v>
      </c>
      <c r="X169" s="383">
        <f>IF(B169=" ",0,EDATE((Données!E209),780))</f>
        <v>0</v>
      </c>
      <c r="Y169" s="383">
        <f t="shared" si="18"/>
        <v>0</v>
      </c>
      <c r="Z169" s="109">
        <f>IF($B169=" ",0,IF(Données!$T209="non couvert",0,IF(Données!$U209="oui",MIN(VLOOKUP($F169,taux,26),ROUNDUP(IF($E169/12&gt;VLOOKUP($F169,taux,21)+VLOOKUP($F169,taux,23),(VLOOKUP($F169,taux,20)*VLOOKUP($F169,taux,21))+(VLOOKUP($F169,taux,22)*VLOOKUP($F169,taux,23))+($E169/12-VLOOKUP($F169,taux,21)-VLOOKUP($F169,taux,23))*VLOOKUP($F169,taux,24),IF($E169/12&gt;VLOOKUP($F169,taux,21),(VLOOKUP($F169,taux,20)*VLOOKUP($F169,taux,21))+($E169/12-VLOOKUP($F169,taux,21))*VLOOKUP($F169,taux,22),$E169/12*VLOOKUP($F169,taux,20))),0)),MIN(VLOOKUP($F169,taux,25),ROUNDUP(IF($E169/12&gt;VLOOKUP($F169,taux,21)+VLOOKUP($F169,taux,23),(VLOOKUP($F169,taux,20)*VLOOKUP($F169,taux,21))+(VLOOKUP($F169,taux,22)*VLOOKUP($F169,taux,23))+($E169/12-VLOOKUP($F169,taux,21)-VLOOKUP($F169,taux,23))*VLOOKUP($F169,taux,24),IF($E169/12&gt;VLOOKUP($F169,taux,21),(VLOOKUP($F169,taux,20)*VLOOKUP($F169,taux,21))+($E169/12-VLOOKUP($F169,taux,21))*VLOOKUP($F169,taux,22),$E169/12*VLOOKUP($F169,taux,20))),0)))))</f>
        <v>0</v>
      </c>
      <c r="AA169" s="111">
        <f ca="1">IF(C169&gt;=70,0,IF($B169=" ",0,IF(Données!$X209="non couvert"," ",Données!Y209)))</f>
        <v>0</v>
      </c>
      <c r="AB169" s="110">
        <f>IF($B169=" ",0,IF(Données!$X260="exo",0,IF($AA169="ind",VLOOKUP($F169,taux,34),IF($AA169="fam",VLOOKUP($F169,taux,35),IF($AA169="mono",VLOOKUP($F169,taux,36),IF($AA169="couple",VLOOKUP($F169,taux,37),0))))))</f>
        <v>0</v>
      </c>
      <c r="AC169" s="111">
        <f ca="1">IF(C169&gt;=70,0,IF($B169=" ",0,IF(Données!$Z209="non couvert"," ",Données!AA209)))</f>
        <v>0</v>
      </c>
      <c r="AD169" s="110">
        <f>IF($B169=" ",0,IF(Données!$Z260="exo",0,IF($AC169="ind",VLOOKUP($F169,taux,38),IF($AC169="fam",VLOOKUP($F169,taux,39),IF($AC169="mono",VLOOKUP($F169,taux,40),IF($AC169="couple",VLOOKUP($F169,taux,41),0))))))</f>
        <v>0</v>
      </c>
      <c r="AE169" s="112">
        <f>IF($B169=" ",0,IF(Données!$AB260="non couvert"," ",Données!AC260))</f>
        <v>0</v>
      </c>
      <c r="AF169" s="113">
        <f>IF($B169=" ",0,IF(Données!$AB260="exo",0,IF($AE169="ind",VLOOKUP($F169,taux,42),IF($AE169="fam",VLOOKUP($F169,taux,43),IF($AE169="mono",VLOOKUP($F169,taux,44),IF($AE169="couple",VLOOKUP($F169,taux,45),0))))))</f>
        <v>0</v>
      </c>
      <c r="AG169" s="114">
        <f t="shared" ca="1" si="19"/>
        <v>0</v>
      </c>
      <c r="AH169" s="114">
        <f>IF($B169=" ",0,IF(Données!J209="Manitoba",(Facture!H169+Facture!J169+Facture!L169+Facture!P169+Facture!R169+Facture!T169)*0.08,(AG169-W169)*IF(Données!$J209="qc",0.09,IF(Données!$J209="on",0.08,0))+W169*VLOOKUP($F169,taux,28)))</f>
        <v>0</v>
      </c>
      <c r="AI169" s="106">
        <f t="shared" ca="1" si="22"/>
        <v>0</v>
      </c>
    </row>
    <row r="170" spans="1:35" s="64" customFormat="1">
      <c r="A170" s="90">
        <f t="shared" si="21"/>
        <v>156</v>
      </c>
      <c r="B170" s="99" t="str">
        <f>CONCATENATE(Données!B261," ",Données!C261)</f>
        <v xml:space="preserve"> </v>
      </c>
      <c r="C170" s="410">
        <f ca="1">IF(B170="",0,INT((TODAY()-Données!E210)/365.25))</f>
        <v>119</v>
      </c>
      <c r="D170" s="100">
        <f>Données!D261</f>
        <v>0</v>
      </c>
      <c r="E170" s="101">
        <f>Données!I261</f>
        <v>0</v>
      </c>
      <c r="F170" s="102">
        <f>Données!AD261</f>
        <v>0</v>
      </c>
      <c r="G170" s="103">
        <f ca="1">INDEX({1;0.5;0},MATCH(C170,{1;65;70}))*M170</f>
        <v>0</v>
      </c>
      <c r="H170" s="104">
        <f>IF($B170=" ",0,IF(Données!$K261="exo",0,$G170/1000*VLOOKUP($F170,taux,2)))</f>
        <v>0</v>
      </c>
      <c r="I170" s="398">
        <f ca="1">IF(C170&gt;=65,0,Données!M210*5000)</f>
        <v>0</v>
      </c>
      <c r="J170" s="104">
        <f ca="1">I170/1000*(IF(I170=0,0,1)*VLOOKUP((1+(C170&gt;=20)+(C170&gt;=25)+(C170&gt;=30)+(C170&gt;=35)+(C170&gt;=40)+(C170&gt;=45)+(C170&gt;=50)+(C170&gt;=55)+(C170&gt;=60)+(C170&gt;=65)),Test,2+(IF(Données!F210="H",1,3))+(IF(Données!G210="F",1,0))))</f>
        <v>0</v>
      </c>
      <c r="K170" s="103">
        <f ca="1">INDEX({1;0.5;0},MATCH(C170,{1;65;70}))*M170</f>
        <v>0</v>
      </c>
      <c r="L170" s="104">
        <f>IF($B170=" ",0,IF(Données!$N261="exo",0,$K170/1000*VLOOKUP($F170,taux,6)))</f>
        <v>0</v>
      </c>
      <c r="M170" s="379">
        <f>IF($B170=" ",0,IF(Données!$K210="NON COUVERT",0,IF(AND(Données!$L210="oui",Données!$K210=0.5),MIN(VLOOKUP($F170,taux,5)/2,ROUNDUP(VLOOKUP($F170,taux,3)*$E170,-3)/2),IF(Données!$K210=0.5,MIN(VLOOKUP($F170,taux,4)/2,ROUNDUP(VLOOKUP($F170,taux,3)*$E170,-3)/2),ROUNDUP(IF(Données!$L210="OUI",MIN(VLOOKUP($F170,taux,3)*$E170,VLOOKUP($F170,taux,5)),MIN(VLOOKUP($F170,taux,3)*$E170,VLOOKUP($F170,taux,4))),-3)))))</f>
        <v>0</v>
      </c>
      <c r="N170" s="379">
        <f>IF($B170=" ",0,IF(Données!$N210="NON COUVERT",0,IF(AND(Données!$O210="oui",Données!$N210=0.5),MIN(VLOOKUP($F170,taux,9)/2,ROUNDUP(VLOOKUP($F170,taux,7)*$E170,-3)/2),IF(Données!$N210=0.5,MIN(VLOOKUP($F170,taux,8)/2,ROUNDUP(VLOOKUP($F170,taux,7)*$E170,-3)/2),ROUNDUP(IF(Données!$O210="OUI",MIN(VLOOKUP($F170,taux,7)*$E170,VLOOKUP($F170,taux,9)),MIN(VLOOKUP($F170,taux,7)*$E170,VLOOKUP($F170,taux,8))),-3)))))</f>
        <v>0</v>
      </c>
      <c r="O170" s="105">
        <f ca="1">IF(C170&gt;=70,0,IF($B170=" ",0,IF(Données!P210="non couvert"," ",Données!Q210)))</f>
        <v>0</v>
      </c>
      <c r="P170" s="106">
        <f>IF($B170=" ",0,IF(Données!$P261="exo",0,IF($O170="FAM",VLOOKUP($F170,taux,10),IF($O170="MONO",VLOOKUP($F170,taux,11),IF($O170="COUPLE",VLOOKUP($F170,taux,12),0)))))</f>
        <v>0</v>
      </c>
      <c r="Q170" s="107">
        <f ca="1">IF(C170&gt;=70,0,IF($B170=" ",0,IF(Données!$R210="NON COUVERT",0,ROUNDUP(IF(Données!$S210="OUI",MIN($E170*VLOOKUP($F170,taux,15)/52,VLOOKUP($F170,taux,17)),MIN($E170*VLOOKUP($F170,taux,15)/52,VLOOKUP($F170,taux,16))),0))))</f>
        <v>0</v>
      </c>
      <c r="R170" s="108">
        <f>IF($B170=" ",0,IF(Données!$R261="EXO",0,$Q170*VLOOKUP($F170,taux,13)/10))</f>
        <v>0</v>
      </c>
      <c r="S170" s="109">
        <f t="shared" ca="1" si="20"/>
        <v>0</v>
      </c>
      <c r="T170" s="110">
        <f>IF(B170=" ",0,IF(Données!$T261="exo",0,$S170*VLOOKUP($F170,taux,18)/100))</f>
        <v>0</v>
      </c>
      <c r="U170" s="109">
        <f>IF($B170=" ",0,IF(Données!$V261="non couvert",0,IF(VLOOKUP($F170,taux,29)="fixe","s/o",IF(Données!$W261="oui",MIN(ROUNDUP(VLOOKUP($F170,taux,31)*$E170,-3),VLOOKUP($F170,taux,33)),MIN(ROUNDUP(VLOOKUP($F170,taux,31)*$E170,-3),VLOOKUP($F170,taux,32))))))</f>
        <v>0</v>
      </c>
      <c r="V170" s="110">
        <f>IF(B170=" ",0,IF(Données!$V261="exo",0,IF(VLOOKUP($F170,taux,29)="fixe",VLOOKUP($F170,taux,30),$U170/1000*VLOOKUP($F170,taux,30))))</f>
        <v>0</v>
      </c>
      <c r="W170" s="110">
        <f t="shared" si="17"/>
        <v>0</v>
      </c>
      <c r="X170" s="383">
        <f>IF(B170=" ",0,EDATE((Données!E210),780))</f>
        <v>0</v>
      </c>
      <c r="Y170" s="383">
        <f t="shared" si="18"/>
        <v>0</v>
      </c>
      <c r="Z170" s="109">
        <f>IF($B170=" ",0,IF(Données!$T210="non couvert",0,IF(Données!$U210="oui",MIN(VLOOKUP($F170,taux,26),ROUNDUP(IF($E170/12&gt;VLOOKUP($F170,taux,21)+VLOOKUP($F170,taux,23),(VLOOKUP($F170,taux,20)*VLOOKUP($F170,taux,21))+(VLOOKUP($F170,taux,22)*VLOOKUP($F170,taux,23))+($E170/12-VLOOKUP($F170,taux,21)-VLOOKUP($F170,taux,23))*VLOOKUP($F170,taux,24),IF($E170/12&gt;VLOOKUP($F170,taux,21),(VLOOKUP($F170,taux,20)*VLOOKUP($F170,taux,21))+($E170/12-VLOOKUP($F170,taux,21))*VLOOKUP($F170,taux,22),$E170/12*VLOOKUP($F170,taux,20))),0)),MIN(VLOOKUP($F170,taux,25),ROUNDUP(IF($E170/12&gt;VLOOKUP($F170,taux,21)+VLOOKUP($F170,taux,23),(VLOOKUP($F170,taux,20)*VLOOKUP($F170,taux,21))+(VLOOKUP($F170,taux,22)*VLOOKUP($F170,taux,23))+($E170/12-VLOOKUP($F170,taux,21)-VLOOKUP($F170,taux,23))*VLOOKUP($F170,taux,24),IF($E170/12&gt;VLOOKUP($F170,taux,21),(VLOOKUP($F170,taux,20)*VLOOKUP($F170,taux,21))+($E170/12-VLOOKUP($F170,taux,21))*VLOOKUP($F170,taux,22),$E170/12*VLOOKUP($F170,taux,20))),0)))))</f>
        <v>0</v>
      </c>
      <c r="AA170" s="111">
        <f ca="1">IF(C170&gt;=70,0,IF($B170=" ",0,IF(Données!$X210="non couvert"," ",Données!Y210)))</f>
        <v>0</v>
      </c>
      <c r="AB170" s="110">
        <f>IF($B170=" ",0,IF(Données!$X261="exo",0,IF($AA170="ind",VLOOKUP($F170,taux,34),IF($AA170="fam",VLOOKUP($F170,taux,35),IF($AA170="mono",VLOOKUP($F170,taux,36),IF($AA170="couple",VLOOKUP($F170,taux,37),0))))))</f>
        <v>0</v>
      </c>
      <c r="AC170" s="111">
        <f ca="1">IF(C170&gt;=70,0,IF($B170=" ",0,IF(Données!$Z210="non couvert"," ",Données!AA210)))</f>
        <v>0</v>
      </c>
      <c r="AD170" s="110">
        <f>IF($B170=" ",0,IF(Données!$Z261="exo",0,IF($AC170="ind",VLOOKUP($F170,taux,38),IF($AC170="fam",VLOOKUP($F170,taux,39),IF($AC170="mono",VLOOKUP($F170,taux,40),IF($AC170="couple",VLOOKUP($F170,taux,41),0))))))</f>
        <v>0</v>
      </c>
      <c r="AE170" s="112">
        <f>IF($B170=" ",0,IF(Données!$AB261="non couvert"," ",Données!AC261))</f>
        <v>0</v>
      </c>
      <c r="AF170" s="113">
        <f>IF($B170=" ",0,IF(Données!$AB261="exo",0,IF($AE170="ind",VLOOKUP($F170,taux,42),IF($AE170="fam",VLOOKUP($F170,taux,43),IF($AE170="mono",VLOOKUP($F170,taux,44),IF($AE170="couple",VLOOKUP($F170,taux,45),0))))))</f>
        <v>0</v>
      </c>
      <c r="AG170" s="114">
        <f t="shared" ca="1" si="19"/>
        <v>0</v>
      </c>
      <c r="AH170" s="114">
        <f>IF($B170=" ",0,IF(Données!J210="Manitoba",(Facture!H170+Facture!J170+Facture!L170+Facture!P170+Facture!R170+Facture!T170)*0.08,(AG170-W170)*IF(Données!$J210="qc",0.09,IF(Données!$J210="on",0.08,0))+W170*VLOOKUP($F170,taux,28)))</f>
        <v>0</v>
      </c>
      <c r="AI170" s="106">
        <f t="shared" ca="1" si="22"/>
        <v>0</v>
      </c>
    </row>
    <row r="171" spans="1:35" s="64" customFormat="1">
      <c r="A171" s="90">
        <f t="shared" si="21"/>
        <v>157</v>
      </c>
      <c r="B171" s="99" t="str">
        <f>CONCATENATE(Données!B262," ",Données!C262)</f>
        <v xml:space="preserve"> </v>
      </c>
      <c r="C171" s="410">
        <f ca="1">IF(B171="",0,INT((TODAY()-Données!E211)/365.25))</f>
        <v>119</v>
      </c>
      <c r="D171" s="100">
        <f>Données!D262</f>
        <v>0</v>
      </c>
      <c r="E171" s="101">
        <f>Données!I262</f>
        <v>0</v>
      </c>
      <c r="F171" s="102">
        <f>Données!AD262</f>
        <v>0</v>
      </c>
      <c r="G171" s="103">
        <f ca="1">INDEX({1;0.5;0},MATCH(C171,{1;65;70}))*M171</f>
        <v>0</v>
      </c>
      <c r="H171" s="104">
        <f>IF($B171=" ",0,IF(Données!$K262="exo",0,$G171/1000*VLOOKUP($F171,taux,2)))</f>
        <v>0</v>
      </c>
      <c r="I171" s="398">
        <f ca="1">IF(C171&gt;=65,0,Données!M211*5000)</f>
        <v>0</v>
      </c>
      <c r="J171" s="104">
        <f ca="1">I171/1000*(IF(I171=0,0,1)*VLOOKUP((1+(C171&gt;=20)+(C171&gt;=25)+(C171&gt;=30)+(C171&gt;=35)+(C171&gt;=40)+(C171&gt;=45)+(C171&gt;=50)+(C171&gt;=55)+(C171&gt;=60)+(C171&gt;=65)),Test,2+(IF(Données!F211="H",1,3))+(IF(Données!G211="F",1,0))))</f>
        <v>0</v>
      </c>
      <c r="K171" s="103">
        <f ca="1">INDEX({1;0.5;0},MATCH(C171,{1;65;70}))*M171</f>
        <v>0</v>
      </c>
      <c r="L171" s="104">
        <f>IF($B171=" ",0,IF(Données!$N262="exo",0,$K171/1000*VLOOKUP($F171,taux,6)))</f>
        <v>0</v>
      </c>
      <c r="M171" s="379">
        <f>IF($B171=" ",0,IF(Données!$K211="NON COUVERT",0,IF(AND(Données!$L211="oui",Données!$K211=0.5),MIN(VLOOKUP($F171,taux,5)/2,ROUNDUP(VLOOKUP($F171,taux,3)*$E171,-3)/2),IF(Données!$K211=0.5,MIN(VLOOKUP($F171,taux,4)/2,ROUNDUP(VLOOKUP($F171,taux,3)*$E171,-3)/2),ROUNDUP(IF(Données!$L211="OUI",MIN(VLOOKUP($F171,taux,3)*$E171,VLOOKUP($F171,taux,5)),MIN(VLOOKUP($F171,taux,3)*$E171,VLOOKUP($F171,taux,4))),-3)))))</f>
        <v>0</v>
      </c>
      <c r="N171" s="379">
        <f>IF($B171=" ",0,IF(Données!$N211="NON COUVERT",0,IF(AND(Données!$O211="oui",Données!$N211=0.5),MIN(VLOOKUP($F171,taux,9)/2,ROUNDUP(VLOOKUP($F171,taux,7)*$E171,-3)/2),IF(Données!$N211=0.5,MIN(VLOOKUP($F171,taux,8)/2,ROUNDUP(VLOOKUP($F171,taux,7)*$E171,-3)/2),ROUNDUP(IF(Données!$O211="OUI",MIN(VLOOKUP($F171,taux,7)*$E171,VLOOKUP($F171,taux,9)),MIN(VLOOKUP($F171,taux,7)*$E171,VLOOKUP($F171,taux,8))),-3)))))</f>
        <v>0</v>
      </c>
      <c r="O171" s="105">
        <f ca="1">IF(C171&gt;=70,0,IF($B171=" ",0,IF(Données!P211="non couvert"," ",Données!Q211)))</f>
        <v>0</v>
      </c>
      <c r="P171" s="106">
        <f>IF($B171=" ",0,IF(Données!$P262="exo",0,IF($O171="FAM",VLOOKUP($F171,taux,10),IF($O171="MONO",VLOOKUP($F171,taux,11),IF($O171="COUPLE",VLOOKUP($F171,taux,12),0)))))</f>
        <v>0</v>
      </c>
      <c r="Q171" s="107">
        <f ca="1">IF(C171&gt;=70,0,IF($B171=" ",0,IF(Données!$R211="NON COUVERT",0,ROUNDUP(IF(Données!$S211="OUI",MIN($E171*VLOOKUP($F171,taux,15)/52,VLOOKUP($F171,taux,17)),MIN($E171*VLOOKUP($F171,taux,15)/52,VLOOKUP($F171,taux,16))),0))))</f>
        <v>0</v>
      </c>
      <c r="R171" s="108">
        <f>IF($B171=" ",0,IF(Données!$R262="EXO",0,$Q171*VLOOKUP($F171,taux,13)/10))</f>
        <v>0</v>
      </c>
      <c r="S171" s="109">
        <f t="shared" ca="1" si="20"/>
        <v>0</v>
      </c>
      <c r="T171" s="110">
        <f>IF(B171=" ",0,IF(Données!$T262="exo",0,$S171*VLOOKUP($F171,taux,18)/100))</f>
        <v>0</v>
      </c>
      <c r="U171" s="109">
        <f>IF($B171=" ",0,IF(Données!$V262="non couvert",0,IF(VLOOKUP($F171,taux,29)="fixe","s/o",IF(Données!$W262="oui",MIN(ROUNDUP(VLOOKUP($F171,taux,31)*$E171,-3),VLOOKUP($F171,taux,33)),MIN(ROUNDUP(VLOOKUP($F171,taux,31)*$E171,-3),VLOOKUP($F171,taux,32))))))</f>
        <v>0</v>
      </c>
      <c r="V171" s="110">
        <f>IF(B171=" ",0,IF(Données!$V262="exo",0,IF(VLOOKUP($F171,taux,29)="fixe",VLOOKUP($F171,taux,30),$U171/1000*VLOOKUP($F171,taux,30))))</f>
        <v>0</v>
      </c>
      <c r="W171" s="110">
        <f t="shared" si="17"/>
        <v>0</v>
      </c>
      <c r="X171" s="383">
        <f>IF(B171=" ",0,EDATE((Données!E211),780))</f>
        <v>0</v>
      </c>
      <c r="Y171" s="383">
        <f t="shared" si="18"/>
        <v>0</v>
      </c>
      <c r="Z171" s="109">
        <f>IF($B171=" ",0,IF(Données!$T211="non couvert",0,IF(Données!$U211="oui",MIN(VLOOKUP($F171,taux,26),ROUNDUP(IF($E171/12&gt;VLOOKUP($F171,taux,21)+VLOOKUP($F171,taux,23),(VLOOKUP($F171,taux,20)*VLOOKUP($F171,taux,21))+(VLOOKUP($F171,taux,22)*VLOOKUP($F171,taux,23))+($E171/12-VLOOKUP($F171,taux,21)-VLOOKUP($F171,taux,23))*VLOOKUP($F171,taux,24),IF($E171/12&gt;VLOOKUP($F171,taux,21),(VLOOKUP($F171,taux,20)*VLOOKUP($F171,taux,21))+($E171/12-VLOOKUP($F171,taux,21))*VLOOKUP($F171,taux,22),$E171/12*VLOOKUP($F171,taux,20))),0)),MIN(VLOOKUP($F171,taux,25),ROUNDUP(IF($E171/12&gt;VLOOKUP($F171,taux,21)+VLOOKUP($F171,taux,23),(VLOOKUP($F171,taux,20)*VLOOKUP($F171,taux,21))+(VLOOKUP($F171,taux,22)*VLOOKUP($F171,taux,23))+($E171/12-VLOOKUP($F171,taux,21)-VLOOKUP($F171,taux,23))*VLOOKUP($F171,taux,24),IF($E171/12&gt;VLOOKUP($F171,taux,21),(VLOOKUP($F171,taux,20)*VLOOKUP($F171,taux,21))+($E171/12-VLOOKUP($F171,taux,21))*VLOOKUP($F171,taux,22),$E171/12*VLOOKUP($F171,taux,20))),0)))))</f>
        <v>0</v>
      </c>
      <c r="AA171" s="111">
        <f ca="1">IF(C171&gt;=70,0,IF($B171=" ",0,IF(Données!$X211="non couvert"," ",Données!Y211)))</f>
        <v>0</v>
      </c>
      <c r="AB171" s="110">
        <f>IF($B171=" ",0,IF(Données!$X262="exo",0,IF($AA171="ind",VLOOKUP($F171,taux,34),IF($AA171="fam",VLOOKUP($F171,taux,35),IF($AA171="mono",VLOOKUP($F171,taux,36),IF($AA171="couple",VLOOKUP($F171,taux,37),0))))))</f>
        <v>0</v>
      </c>
      <c r="AC171" s="111">
        <f ca="1">IF(C171&gt;=70,0,IF($B171=" ",0,IF(Données!$Z211="non couvert"," ",Données!AA211)))</f>
        <v>0</v>
      </c>
      <c r="AD171" s="110">
        <f>IF($B171=" ",0,IF(Données!$Z262="exo",0,IF($AC171="ind",VLOOKUP($F171,taux,38),IF($AC171="fam",VLOOKUP($F171,taux,39),IF($AC171="mono",VLOOKUP($F171,taux,40),IF($AC171="couple",VLOOKUP($F171,taux,41),0))))))</f>
        <v>0</v>
      </c>
      <c r="AE171" s="112">
        <f>IF($B171=" ",0,IF(Données!$AB262="non couvert"," ",Données!AC262))</f>
        <v>0</v>
      </c>
      <c r="AF171" s="113">
        <f>IF($B171=" ",0,IF(Données!$AB262="exo",0,IF($AE171="ind",VLOOKUP($F171,taux,42),IF($AE171="fam",VLOOKUP($F171,taux,43),IF($AE171="mono",VLOOKUP($F171,taux,44),IF($AE171="couple",VLOOKUP($F171,taux,45),0))))))</f>
        <v>0</v>
      </c>
      <c r="AG171" s="114">
        <f t="shared" ca="1" si="19"/>
        <v>0</v>
      </c>
      <c r="AH171" s="114">
        <f>IF($B171=" ",0,IF(Données!J211="Manitoba",(Facture!H171+Facture!J171+Facture!L171+Facture!P171+Facture!R171+Facture!T171)*0.08,(AG171-W171)*IF(Données!$J211="qc",0.09,IF(Données!$J211="on",0.08,0))+W171*VLOOKUP($F171,taux,28)))</f>
        <v>0</v>
      </c>
      <c r="AI171" s="106">
        <f t="shared" ca="1" si="22"/>
        <v>0</v>
      </c>
    </row>
    <row r="172" spans="1:35" s="64" customFormat="1">
      <c r="A172" s="90">
        <f t="shared" si="21"/>
        <v>158</v>
      </c>
      <c r="B172" s="99" t="str">
        <f>CONCATENATE(Données!B263," ",Données!C263)</f>
        <v xml:space="preserve"> </v>
      </c>
      <c r="C172" s="410">
        <f ca="1">IF(B172="",0,INT((TODAY()-Données!E212)/365.25))</f>
        <v>119</v>
      </c>
      <c r="D172" s="100">
        <f>Données!D263</f>
        <v>0</v>
      </c>
      <c r="E172" s="101">
        <f>Données!I263</f>
        <v>0</v>
      </c>
      <c r="F172" s="102">
        <f>Données!AD263</f>
        <v>0</v>
      </c>
      <c r="G172" s="103">
        <f ca="1">INDEX({1;0.5;0},MATCH(C172,{1;65;70}))*M172</f>
        <v>0</v>
      </c>
      <c r="H172" s="104">
        <f>IF($B172=" ",0,IF(Données!$K263="exo",0,$G172/1000*VLOOKUP($F172,taux,2)))</f>
        <v>0</v>
      </c>
      <c r="I172" s="398">
        <f ca="1">IF(C172&gt;=65,0,Données!M212*5000)</f>
        <v>0</v>
      </c>
      <c r="J172" s="104">
        <f ca="1">I172/1000*(IF(I172=0,0,1)*VLOOKUP((1+(C172&gt;=20)+(C172&gt;=25)+(C172&gt;=30)+(C172&gt;=35)+(C172&gt;=40)+(C172&gt;=45)+(C172&gt;=50)+(C172&gt;=55)+(C172&gt;=60)+(C172&gt;=65)),Test,2+(IF(Données!F212="H",1,3))+(IF(Données!G212="F",1,0))))</f>
        <v>0</v>
      </c>
      <c r="K172" s="103">
        <f ca="1">INDEX({1;0.5;0},MATCH(C172,{1;65;70}))*M172</f>
        <v>0</v>
      </c>
      <c r="L172" s="104">
        <f>IF($B172=" ",0,IF(Données!$N263="exo",0,$K172/1000*VLOOKUP($F172,taux,6)))</f>
        <v>0</v>
      </c>
      <c r="M172" s="379">
        <f>IF($B172=" ",0,IF(Données!$K212="NON COUVERT",0,IF(AND(Données!$L212="oui",Données!$K212=0.5),MIN(VLOOKUP($F172,taux,5)/2,ROUNDUP(VLOOKUP($F172,taux,3)*$E172,-3)/2),IF(Données!$K212=0.5,MIN(VLOOKUP($F172,taux,4)/2,ROUNDUP(VLOOKUP($F172,taux,3)*$E172,-3)/2),ROUNDUP(IF(Données!$L212="OUI",MIN(VLOOKUP($F172,taux,3)*$E172,VLOOKUP($F172,taux,5)),MIN(VLOOKUP($F172,taux,3)*$E172,VLOOKUP($F172,taux,4))),-3)))))</f>
        <v>0</v>
      </c>
      <c r="N172" s="379">
        <f>IF($B172=" ",0,IF(Données!$N212="NON COUVERT",0,IF(AND(Données!$O212="oui",Données!$N212=0.5),MIN(VLOOKUP($F172,taux,9)/2,ROUNDUP(VLOOKUP($F172,taux,7)*$E172,-3)/2),IF(Données!$N212=0.5,MIN(VLOOKUP($F172,taux,8)/2,ROUNDUP(VLOOKUP($F172,taux,7)*$E172,-3)/2),ROUNDUP(IF(Données!$O212="OUI",MIN(VLOOKUP($F172,taux,7)*$E172,VLOOKUP($F172,taux,9)),MIN(VLOOKUP($F172,taux,7)*$E172,VLOOKUP($F172,taux,8))),-3)))))</f>
        <v>0</v>
      </c>
      <c r="O172" s="105">
        <f ca="1">IF(C172&gt;=70,0,IF($B172=" ",0,IF(Données!P212="non couvert"," ",Données!Q212)))</f>
        <v>0</v>
      </c>
      <c r="P172" s="106">
        <f>IF($B172=" ",0,IF(Données!$P263="exo",0,IF($O172="FAM",VLOOKUP($F172,taux,10),IF($O172="MONO",VLOOKUP($F172,taux,11),IF($O172="COUPLE",VLOOKUP($F172,taux,12),0)))))</f>
        <v>0</v>
      </c>
      <c r="Q172" s="107">
        <f ca="1">IF(C172&gt;=70,0,IF($B172=" ",0,IF(Données!$R212="NON COUVERT",0,ROUNDUP(IF(Données!$S212="OUI",MIN($E172*VLOOKUP($F172,taux,15)/52,VLOOKUP($F172,taux,17)),MIN($E172*VLOOKUP($F172,taux,15)/52,VLOOKUP($F172,taux,16))),0))))</f>
        <v>0</v>
      </c>
      <c r="R172" s="108">
        <f>IF($B172=" ",0,IF(Données!$R263="EXO",0,$Q172*VLOOKUP($F172,taux,13)/10))</f>
        <v>0</v>
      </c>
      <c r="S172" s="109">
        <f t="shared" ca="1" si="20"/>
        <v>0</v>
      </c>
      <c r="T172" s="110">
        <f>IF(B172=" ",0,IF(Données!$T263="exo",0,$S172*VLOOKUP($F172,taux,18)/100))</f>
        <v>0</v>
      </c>
      <c r="U172" s="109">
        <f>IF($B172=" ",0,IF(Données!$V263="non couvert",0,IF(VLOOKUP($F172,taux,29)="fixe","s/o",IF(Données!$W263="oui",MIN(ROUNDUP(VLOOKUP($F172,taux,31)*$E172,-3),VLOOKUP($F172,taux,33)),MIN(ROUNDUP(VLOOKUP($F172,taux,31)*$E172,-3),VLOOKUP($F172,taux,32))))))</f>
        <v>0</v>
      </c>
      <c r="V172" s="110">
        <f>IF(B172=" ",0,IF(Données!$V263="exo",0,IF(VLOOKUP($F172,taux,29)="fixe",VLOOKUP($F172,taux,30),$U172/1000*VLOOKUP($F172,taux,30))))</f>
        <v>0</v>
      </c>
      <c r="W172" s="110">
        <f t="shared" si="17"/>
        <v>0</v>
      </c>
      <c r="X172" s="383">
        <f>IF(B172=" ",0,EDATE((Données!E212),780))</f>
        <v>0</v>
      </c>
      <c r="Y172" s="383">
        <f t="shared" si="18"/>
        <v>0</v>
      </c>
      <c r="Z172" s="109">
        <f>IF($B172=" ",0,IF(Données!$T212="non couvert",0,IF(Données!$U212="oui",MIN(VLOOKUP($F172,taux,26),ROUNDUP(IF($E172/12&gt;VLOOKUP($F172,taux,21)+VLOOKUP($F172,taux,23),(VLOOKUP($F172,taux,20)*VLOOKUP($F172,taux,21))+(VLOOKUP($F172,taux,22)*VLOOKUP($F172,taux,23))+($E172/12-VLOOKUP($F172,taux,21)-VLOOKUP($F172,taux,23))*VLOOKUP($F172,taux,24),IF($E172/12&gt;VLOOKUP($F172,taux,21),(VLOOKUP($F172,taux,20)*VLOOKUP($F172,taux,21))+($E172/12-VLOOKUP($F172,taux,21))*VLOOKUP($F172,taux,22),$E172/12*VLOOKUP($F172,taux,20))),0)),MIN(VLOOKUP($F172,taux,25),ROUNDUP(IF($E172/12&gt;VLOOKUP($F172,taux,21)+VLOOKUP($F172,taux,23),(VLOOKUP($F172,taux,20)*VLOOKUP($F172,taux,21))+(VLOOKUP($F172,taux,22)*VLOOKUP($F172,taux,23))+($E172/12-VLOOKUP($F172,taux,21)-VLOOKUP($F172,taux,23))*VLOOKUP($F172,taux,24),IF($E172/12&gt;VLOOKUP($F172,taux,21),(VLOOKUP($F172,taux,20)*VLOOKUP($F172,taux,21))+($E172/12-VLOOKUP($F172,taux,21))*VLOOKUP($F172,taux,22),$E172/12*VLOOKUP($F172,taux,20))),0)))))</f>
        <v>0</v>
      </c>
      <c r="AA172" s="111">
        <f ca="1">IF(C172&gt;=70,0,IF($B172=" ",0,IF(Données!$X212="non couvert"," ",Données!Y212)))</f>
        <v>0</v>
      </c>
      <c r="AB172" s="110">
        <f>IF($B172=" ",0,IF(Données!$X263="exo",0,IF($AA172="ind",VLOOKUP($F172,taux,34),IF($AA172="fam",VLOOKUP($F172,taux,35),IF($AA172="mono",VLOOKUP($F172,taux,36),IF($AA172="couple",VLOOKUP($F172,taux,37),0))))))</f>
        <v>0</v>
      </c>
      <c r="AC172" s="111">
        <f ca="1">IF(C172&gt;=70,0,IF($B172=" ",0,IF(Données!$Z212="non couvert"," ",Données!AA212)))</f>
        <v>0</v>
      </c>
      <c r="AD172" s="110">
        <f>IF($B172=" ",0,IF(Données!$Z263="exo",0,IF($AC172="ind",VLOOKUP($F172,taux,38),IF($AC172="fam",VLOOKUP($F172,taux,39),IF($AC172="mono",VLOOKUP($F172,taux,40),IF($AC172="couple",VLOOKUP($F172,taux,41),0))))))</f>
        <v>0</v>
      </c>
      <c r="AE172" s="112">
        <f>IF($B172=" ",0,IF(Données!$AB263="non couvert"," ",Données!AC263))</f>
        <v>0</v>
      </c>
      <c r="AF172" s="113">
        <f>IF($B172=" ",0,IF(Données!$AB263="exo",0,IF($AE172="ind",VLOOKUP($F172,taux,42),IF($AE172="fam",VLOOKUP($F172,taux,43),IF($AE172="mono",VLOOKUP($F172,taux,44),IF($AE172="couple",VLOOKUP($F172,taux,45),0))))))</f>
        <v>0</v>
      </c>
      <c r="AG172" s="114">
        <f t="shared" ca="1" si="19"/>
        <v>0</v>
      </c>
      <c r="AH172" s="114">
        <f>IF($B172=" ",0,IF(Données!J212="Manitoba",(Facture!H172+Facture!J172+Facture!L172+Facture!P172+Facture!R172+Facture!T172)*0.08,(AG172-W172)*IF(Données!$J212="qc",0.09,IF(Données!$J212="on",0.08,0))+W172*VLOOKUP($F172,taux,28)))</f>
        <v>0</v>
      </c>
      <c r="AI172" s="106">
        <f t="shared" ca="1" si="22"/>
        <v>0</v>
      </c>
    </row>
    <row r="173" spans="1:35" s="64" customFormat="1">
      <c r="A173" s="90">
        <f t="shared" si="21"/>
        <v>159</v>
      </c>
      <c r="B173" s="99" t="str">
        <f>CONCATENATE(Données!B264," ",Données!C264)</f>
        <v xml:space="preserve"> </v>
      </c>
      <c r="C173" s="410">
        <f ca="1">IF(B173="",0,INT((TODAY()-Données!E213)/365.25))</f>
        <v>119</v>
      </c>
      <c r="D173" s="100">
        <f>Données!D264</f>
        <v>0</v>
      </c>
      <c r="E173" s="101">
        <f>Données!I264</f>
        <v>0</v>
      </c>
      <c r="F173" s="102">
        <f>Données!AD264</f>
        <v>0</v>
      </c>
      <c r="G173" s="103">
        <f ca="1">INDEX({1;0.5;0},MATCH(C173,{1;65;70}))*M173</f>
        <v>0</v>
      </c>
      <c r="H173" s="104">
        <f>IF($B173=" ",0,IF(Données!$K264="exo",0,$G173/1000*VLOOKUP($F173,taux,2)))</f>
        <v>0</v>
      </c>
      <c r="I173" s="398">
        <f ca="1">IF(C173&gt;=65,0,Données!M213*5000)</f>
        <v>0</v>
      </c>
      <c r="J173" s="104">
        <f ca="1">I173/1000*(IF(I173=0,0,1)*VLOOKUP((1+(C173&gt;=20)+(C173&gt;=25)+(C173&gt;=30)+(C173&gt;=35)+(C173&gt;=40)+(C173&gt;=45)+(C173&gt;=50)+(C173&gt;=55)+(C173&gt;=60)+(C173&gt;=65)),Test,2+(IF(Données!F213="H",1,3))+(IF(Données!G213="F",1,0))))</f>
        <v>0</v>
      </c>
      <c r="K173" s="103">
        <f ca="1">INDEX({1;0.5;0},MATCH(C173,{1;65;70}))*M173</f>
        <v>0</v>
      </c>
      <c r="L173" s="104">
        <f>IF($B173=" ",0,IF(Données!$N264="exo",0,$K173/1000*VLOOKUP($F173,taux,6)))</f>
        <v>0</v>
      </c>
      <c r="M173" s="379">
        <f>IF($B173=" ",0,IF(Données!$K213="NON COUVERT",0,IF(AND(Données!$L213="oui",Données!$K213=0.5),MIN(VLOOKUP($F173,taux,5)/2,ROUNDUP(VLOOKUP($F173,taux,3)*$E173,-3)/2),IF(Données!$K213=0.5,MIN(VLOOKUP($F173,taux,4)/2,ROUNDUP(VLOOKUP($F173,taux,3)*$E173,-3)/2),ROUNDUP(IF(Données!$L213="OUI",MIN(VLOOKUP($F173,taux,3)*$E173,VLOOKUP($F173,taux,5)),MIN(VLOOKUP($F173,taux,3)*$E173,VLOOKUP($F173,taux,4))),-3)))))</f>
        <v>0</v>
      </c>
      <c r="N173" s="379">
        <f>IF($B173=" ",0,IF(Données!$N213="NON COUVERT",0,IF(AND(Données!$O213="oui",Données!$N213=0.5),MIN(VLOOKUP($F173,taux,9)/2,ROUNDUP(VLOOKUP($F173,taux,7)*$E173,-3)/2),IF(Données!$N213=0.5,MIN(VLOOKUP($F173,taux,8)/2,ROUNDUP(VLOOKUP($F173,taux,7)*$E173,-3)/2),ROUNDUP(IF(Données!$O213="OUI",MIN(VLOOKUP($F173,taux,7)*$E173,VLOOKUP($F173,taux,9)),MIN(VLOOKUP($F173,taux,7)*$E173,VLOOKUP($F173,taux,8))),-3)))))</f>
        <v>0</v>
      </c>
      <c r="O173" s="105">
        <f ca="1">IF(C173&gt;=70,0,IF($B173=" ",0,IF(Données!P213="non couvert"," ",Données!Q213)))</f>
        <v>0</v>
      </c>
      <c r="P173" s="106">
        <f>IF($B173=" ",0,IF(Données!$P264="exo",0,IF($O173="FAM",VLOOKUP($F173,taux,10),IF($O173="MONO",VLOOKUP($F173,taux,11),IF($O173="COUPLE",VLOOKUP($F173,taux,12),0)))))</f>
        <v>0</v>
      </c>
      <c r="Q173" s="107">
        <f ca="1">IF(C173&gt;=70,0,IF($B173=" ",0,IF(Données!$R213="NON COUVERT",0,ROUNDUP(IF(Données!$S213="OUI",MIN($E173*VLOOKUP($F173,taux,15)/52,VLOOKUP($F173,taux,17)),MIN($E173*VLOOKUP($F173,taux,15)/52,VLOOKUP($F173,taux,16))),0))))</f>
        <v>0</v>
      </c>
      <c r="R173" s="108">
        <f>IF($B173=" ",0,IF(Données!$R264="EXO",0,$Q173*VLOOKUP($F173,taux,13)/10))</f>
        <v>0</v>
      </c>
      <c r="S173" s="109">
        <f t="shared" ca="1" si="20"/>
        <v>0</v>
      </c>
      <c r="T173" s="110">
        <f>IF(B173=" ",0,IF(Données!$T264="exo",0,$S173*VLOOKUP($F173,taux,18)/100))</f>
        <v>0</v>
      </c>
      <c r="U173" s="109">
        <f>IF($B173=" ",0,IF(Données!$V264="non couvert",0,IF(VLOOKUP($F173,taux,29)="fixe","s/o",IF(Données!$W264="oui",MIN(ROUNDUP(VLOOKUP($F173,taux,31)*$E173,-3),VLOOKUP($F173,taux,33)),MIN(ROUNDUP(VLOOKUP($F173,taux,31)*$E173,-3),VLOOKUP($F173,taux,32))))))</f>
        <v>0</v>
      </c>
      <c r="V173" s="110">
        <f>IF(B173=" ",0,IF(Données!$V264="exo",0,IF(VLOOKUP($F173,taux,29)="fixe",VLOOKUP($F173,taux,30),$U173/1000*VLOOKUP($F173,taux,30))))</f>
        <v>0</v>
      </c>
      <c r="W173" s="110">
        <f t="shared" si="17"/>
        <v>0</v>
      </c>
      <c r="X173" s="383">
        <f>IF(B173=" ",0,EDATE((Données!E213),780))</f>
        <v>0</v>
      </c>
      <c r="Y173" s="383">
        <f t="shared" si="18"/>
        <v>0</v>
      </c>
      <c r="Z173" s="109">
        <f>IF($B173=" ",0,IF(Données!$T213="non couvert",0,IF(Données!$U213="oui",MIN(VLOOKUP($F173,taux,26),ROUNDUP(IF($E173/12&gt;VLOOKUP($F173,taux,21)+VLOOKUP($F173,taux,23),(VLOOKUP($F173,taux,20)*VLOOKUP($F173,taux,21))+(VLOOKUP($F173,taux,22)*VLOOKUP($F173,taux,23))+($E173/12-VLOOKUP($F173,taux,21)-VLOOKUP($F173,taux,23))*VLOOKUP($F173,taux,24),IF($E173/12&gt;VLOOKUP($F173,taux,21),(VLOOKUP($F173,taux,20)*VLOOKUP($F173,taux,21))+($E173/12-VLOOKUP($F173,taux,21))*VLOOKUP($F173,taux,22),$E173/12*VLOOKUP($F173,taux,20))),0)),MIN(VLOOKUP($F173,taux,25),ROUNDUP(IF($E173/12&gt;VLOOKUP($F173,taux,21)+VLOOKUP($F173,taux,23),(VLOOKUP($F173,taux,20)*VLOOKUP($F173,taux,21))+(VLOOKUP($F173,taux,22)*VLOOKUP($F173,taux,23))+($E173/12-VLOOKUP($F173,taux,21)-VLOOKUP($F173,taux,23))*VLOOKUP($F173,taux,24),IF($E173/12&gt;VLOOKUP($F173,taux,21),(VLOOKUP($F173,taux,20)*VLOOKUP($F173,taux,21))+($E173/12-VLOOKUP($F173,taux,21))*VLOOKUP($F173,taux,22),$E173/12*VLOOKUP($F173,taux,20))),0)))))</f>
        <v>0</v>
      </c>
      <c r="AA173" s="111">
        <f ca="1">IF(C173&gt;=70,0,IF($B173=" ",0,IF(Données!$X213="non couvert"," ",Données!Y213)))</f>
        <v>0</v>
      </c>
      <c r="AB173" s="110">
        <f>IF($B173=" ",0,IF(Données!$X264="exo",0,IF($AA173="ind",VLOOKUP($F173,taux,34),IF($AA173="fam",VLOOKUP($F173,taux,35),IF($AA173="mono",VLOOKUP($F173,taux,36),IF($AA173="couple",VLOOKUP($F173,taux,37),0))))))</f>
        <v>0</v>
      </c>
      <c r="AC173" s="111">
        <f ca="1">IF(C173&gt;=70,0,IF($B173=" ",0,IF(Données!$Z213="non couvert"," ",Données!AA213)))</f>
        <v>0</v>
      </c>
      <c r="AD173" s="110">
        <f>IF($B173=" ",0,IF(Données!$Z264="exo",0,IF($AC173="ind",VLOOKUP($F173,taux,38),IF($AC173="fam",VLOOKUP($F173,taux,39),IF($AC173="mono",VLOOKUP($F173,taux,40),IF($AC173="couple",VLOOKUP($F173,taux,41),0))))))</f>
        <v>0</v>
      </c>
      <c r="AE173" s="112">
        <f>IF($B173=" ",0,IF(Données!$AB264="non couvert"," ",Données!AC264))</f>
        <v>0</v>
      </c>
      <c r="AF173" s="113">
        <f>IF($B173=" ",0,IF(Données!$AB264="exo",0,IF($AE173="ind",VLOOKUP($F173,taux,42),IF($AE173="fam",VLOOKUP($F173,taux,43),IF($AE173="mono",VLOOKUP($F173,taux,44),IF($AE173="couple",VLOOKUP($F173,taux,45),0))))))</f>
        <v>0</v>
      </c>
      <c r="AG173" s="114">
        <f t="shared" ca="1" si="19"/>
        <v>0</v>
      </c>
      <c r="AH173" s="114">
        <f>IF($B173=" ",0,IF(Données!J213="Manitoba",(Facture!H173+Facture!J173+Facture!L173+Facture!P173+Facture!R173+Facture!T173)*0.08,(AG173-W173)*IF(Données!$J213="qc",0.09,IF(Données!$J213="on",0.08,0))+W173*VLOOKUP($F173,taux,28)))</f>
        <v>0</v>
      </c>
      <c r="AI173" s="106">
        <f t="shared" ca="1" si="22"/>
        <v>0</v>
      </c>
    </row>
    <row r="174" spans="1:35" s="64" customFormat="1">
      <c r="A174" s="90">
        <f t="shared" si="21"/>
        <v>160</v>
      </c>
      <c r="B174" s="99" t="str">
        <f>CONCATENATE(Données!B265," ",Données!C265)</f>
        <v xml:space="preserve"> </v>
      </c>
      <c r="C174" s="410">
        <f ca="1">IF(B174="",0,INT((TODAY()-Données!E214)/365.25))</f>
        <v>119</v>
      </c>
      <c r="D174" s="100">
        <f>Données!D265</f>
        <v>0</v>
      </c>
      <c r="E174" s="101">
        <f>Données!I265</f>
        <v>0</v>
      </c>
      <c r="F174" s="102">
        <f>Données!AD265</f>
        <v>0</v>
      </c>
      <c r="G174" s="103">
        <f ca="1">INDEX({1;0.5;0},MATCH(C174,{1;65;70}))*M174</f>
        <v>0</v>
      </c>
      <c r="H174" s="104">
        <f>IF($B174=" ",0,IF(Données!$K265="exo",0,$G174/1000*VLOOKUP($F174,taux,2)))</f>
        <v>0</v>
      </c>
      <c r="I174" s="398">
        <f ca="1">IF(C174&gt;=65,0,Données!M214*5000)</f>
        <v>0</v>
      </c>
      <c r="J174" s="104">
        <f ca="1">I174/1000*(IF(I174=0,0,1)*VLOOKUP((1+(C174&gt;=20)+(C174&gt;=25)+(C174&gt;=30)+(C174&gt;=35)+(C174&gt;=40)+(C174&gt;=45)+(C174&gt;=50)+(C174&gt;=55)+(C174&gt;=60)+(C174&gt;=65)),Test,2+(IF(Données!F214="H",1,3))+(IF(Données!G214="F",1,0))))</f>
        <v>0</v>
      </c>
      <c r="K174" s="103">
        <f ca="1">INDEX({1;0.5;0},MATCH(C174,{1;65;70}))*M174</f>
        <v>0</v>
      </c>
      <c r="L174" s="104">
        <f>IF($B174=" ",0,IF(Données!$N265="exo",0,$K174/1000*VLOOKUP($F174,taux,6)))</f>
        <v>0</v>
      </c>
      <c r="M174" s="379">
        <f>IF($B174=" ",0,IF(Données!$K214="NON COUVERT",0,IF(AND(Données!$L214="oui",Données!$K214=0.5),MIN(VLOOKUP($F174,taux,5)/2,ROUNDUP(VLOOKUP($F174,taux,3)*$E174,-3)/2),IF(Données!$K214=0.5,MIN(VLOOKUP($F174,taux,4)/2,ROUNDUP(VLOOKUP($F174,taux,3)*$E174,-3)/2),ROUNDUP(IF(Données!$L214="OUI",MIN(VLOOKUP($F174,taux,3)*$E174,VLOOKUP($F174,taux,5)),MIN(VLOOKUP($F174,taux,3)*$E174,VLOOKUP($F174,taux,4))),-3)))))</f>
        <v>0</v>
      </c>
      <c r="N174" s="379">
        <f>IF($B174=" ",0,IF(Données!$N214="NON COUVERT",0,IF(AND(Données!$O214="oui",Données!$N214=0.5),MIN(VLOOKUP($F174,taux,9)/2,ROUNDUP(VLOOKUP($F174,taux,7)*$E174,-3)/2),IF(Données!$N214=0.5,MIN(VLOOKUP($F174,taux,8)/2,ROUNDUP(VLOOKUP($F174,taux,7)*$E174,-3)/2),ROUNDUP(IF(Données!$O214="OUI",MIN(VLOOKUP($F174,taux,7)*$E174,VLOOKUP($F174,taux,9)),MIN(VLOOKUP($F174,taux,7)*$E174,VLOOKUP($F174,taux,8))),-3)))))</f>
        <v>0</v>
      </c>
      <c r="O174" s="105">
        <f ca="1">IF(C174&gt;=70,0,IF($B174=" ",0,IF(Données!P214="non couvert"," ",Données!Q214)))</f>
        <v>0</v>
      </c>
      <c r="P174" s="106">
        <f>IF($B174=" ",0,IF(Données!$P265="exo",0,IF($O174="FAM",VLOOKUP($F174,taux,10),IF($O174="MONO",VLOOKUP($F174,taux,11),IF($O174="COUPLE",VLOOKUP($F174,taux,12),0)))))</f>
        <v>0</v>
      </c>
      <c r="Q174" s="107">
        <f ca="1">IF(C174&gt;=70,0,IF($B174=" ",0,IF(Données!$R214="NON COUVERT",0,ROUNDUP(IF(Données!$S214="OUI",MIN($E174*VLOOKUP($F174,taux,15)/52,VLOOKUP($F174,taux,17)),MIN($E174*VLOOKUP($F174,taux,15)/52,VLOOKUP($F174,taux,16))),0))))</f>
        <v>0</v>
      </c>
      <c r="R174" s="108">
        <f>IF($B174=" ",0,IF(Données!$R265="EXO",0,$Q174*VLOOKUP($F174,taux,13)/10))</f>
        <v>0</v>
      </c>
      <c r="S174" s="109">
        <f t="shared" ca="1" si="20"/>
        <v>0</v>
      </c>
      <c r="T174" s="110">
        <f>IF(B174=" ",0,IF(Données!$T265="exo",0,$S174*VLOOKUP($F174,taux,18)/100))</f>
        <v>0</v>
      </c>
      <c r="U174" s="109">
        <f>IF($B174=" ",0,IF(Données!$V265="non couvert",0,IF(VLOOKUP($F174,taux,29)="fixe","s/o",IF(Données!$W265="oui",MIN(ROUNDUP(VLOOKUP($F174,taux,31)*$E174,-3),VLOOKUP($F174,taux,33)),MIN(ROUNDUP(VLOOKUP($F174,taux,31)*$E174,-3),VLOOKUP($F174,taux,32))))))</f>
        <v>0</v>
      </c>
      <c r="V174" s="110">
        <f>IF(B174=" ",0,IF(Données!$V265="exo",0,IF(VLOOKUP($F174,taux,29)="fixe",VLOOKUP($F174,taux,30),$U174/1000*VLOOKUP($F174,taux,30))))</f>
        <v>0</v>
      </c>
      <c r="W174" s="110">
        <f t="shared" si="17"/>
        <v>0</v>
      </c>
      <c r="X174" s="383">
        <f>IF(B174=" ",0,EDATE((Données!E214),780))</f>
        <v>0</v>
      </c>
      <c r="Y174" s="383">
        <f t="shared" si="18"/>
        <v>0</v>
      </c>
      <c r="Z174" s="109">
        <f>IF($B174=" ",0,IF(Données!$T214="non couvert",0,IF(Données!$U214="oui",MIN(VLOOKUP($F174,taux,26),ROUNDUP(IF($E174/12&gt;VLOOKUP($F174,taux,21)+VLOOKUP($F174,taux,23),(VLOOKUP($F174,taux,20)*VLOOKUP($F174,taux,21))+(VLOOKUP($F174,taux,22)*VLOOKUP($F174,taux,23))+($E174/12-VLOOKUP($F174,taux,21)-VLOOKUP($F174,taux,23))*VLOOKUP($F174,taux,24),IF($E174/12&gt;VLOOKUP($F174,taux,21),(VLOOKUP($F174,taux,20)*VLOOKUP($F174,taux,21))+($E174/12-VLOOKUP($F174,taux,21))*VLOOKUP($F174,taux,22),$E174/12*VLOOKUP($F174,taux,20))),0)),MIN(VLOOKUP($F174,taux,25),ROUNDUP(IF($E174/12&gt;VLOOKUP($F174,taux,21)+VLOOKUP($F174,taux,23),(VLOOKUP($F174,taux,20)*VLOOKUP($F174,taux,21))+(VLOOKUP($F174,taux,22)*VLOOKUP($F174,taux,23))+($E174/12-VLOOKUP($F174,taux,21)-VLOOKUP($F174,taux,23))*VLOOKUP($F174,taux,24),IF($E174/12&gt;VLOOKUP($F174,taux,21),(VLOOKUP($F174,taux,20)*VLOOKUP($F174,taux,21))+($E174/12-VLOOKUP($F174,taux,21))*VLOOKUP($F174,taux,22),$E174/12*VLOOKUP($F174,taux,20))),0)))))</f>
        <v>0</v>
      </c>
      <c r="AA174" s="111">
        <f ca="1">IF(C174&gt;=70,0,IF($B174=" ",0,IF(Données!$X214="non couvert"," ",Données!Y214)))</f>
        <v>0</v>
      </c>
      <c r="AB174" s="110">
        <f>IF($B174=" ",0,IF(Données!$X265="exo",0,IF($AA174="ind",VLOOKUP($F174,taux,34),IF($AA174="fam",VLOOKUP($F174,taux,35),IF($AA174="mono",VLOOKUP($F174,taux,36),IF($AA174="couple",VLOOKUP($F174,taux,37),0))))))</f>
        <v>0</v>
      </c>
      <c r="AC174" s="111">
        <f ca="1">IF(C174&gt;=70,0,IF($B174=" ",0,IF(Données!$Z214="non couvert"," ",Données!AA214)))</f>
        <v>0</v>
      </c>
      <c r="AD174" s="110">
        <f>IF($B174=" ",0,IF(Données!$Z265="exo",0,IF($AC174="ind",VLOOKUP($F174,taux,38),IF($AC174="fam",VLOOKUP($F174,taux,39),IF($AC174="mono",VLOOKUP($F174,taux,40),IF($AC174="couple",VLOOKUP($F174,taux,41),0))))))</f>
        <v>0</v>
      </c>
      <c r="AE174" s="112">
        <f>IF($B174=" ",0,IF(Données!$AB265="non couvert"," ",Données!AC265))</f>
        <v>0</v>
      </c>
      <c r="AF174" s="113">
        <f>IF($B174=" ",0,IF(Données!$AB265="exo",0,IF($AE174="ind",VLOOKUP($F174,taux,42),IF($AE174="fam",VLOOKUP($F174,taux,43),IF($AE174="mono",VLOOKUP($F174,taux,44),IF($AE174="couple",VLOOKUP($F174,taux,45),0))))))</f>
        <v>0</v>
      </c>
      <c r="AG174" s="114">
        <f t="shared" ca="1" si="19"/>
        <v>0</v>
      </c>
      <c r="AH174" s="114">
        <f>IF($B174=" ",0,IF(Données!J214="Manitoba",(Facture!H174+Facture!J174+Facture!L174+Facture!P174+Facture!R174+Facture!T174)*0.08,(AG174-W174)*IF(Données!$J214="qc",0.09,IF(Données!$J214="on",0.08,0))+W174*VLOOKUP($F174,taux,28)))</f>
        <v>0</v>
      </c>
      <c r="AI174" s="106">
        <f t="shared" ca="1" si="22"/>
        <v>0</v>
      </c>
    </row>
    <row r="175" spans="1:35" s="64" customFormat="1">
      <c r="A175" s="90">
        <f t="shared" si="21"/>
        <v>161</v>
      </c>
      <c r="B175" s="99" t="str">
        <f>CONCATENATE(Données!B266," ",Données!C266)</f>
        <v xml:space="preserve"> </v>
      </c>
      <c r="C175" s="410">
        <f ca="1">IF(B175="",0,INT((TODAY()-Données!E215)/365.25))</f>
        <v>119</v>
      </c>
      <c r="D175" s="100">
        <f>Données!D266</f>
        <v>0</v>
      </c>
      <c r="E175" s="101">
        <f>Données!I266</f>
        <v>0</v>
      </c>
      <c r="F175" s="102">
        <f>Données!AD266</f>
        <v>0</v>
      </c>
      <c r="G175" s="103">
        <f ca="1">INDEX({1;0.5;0},MATCH(C175,{1;65;70}))*M175</f>
        <v>0</v>
      </c>
      <c r="H175" s="104">
        <f>IF($B175=" ",0,IF(Données!$K266="exo",0,$G175/1000*VLOOKUP($F175,taux,2)))</f>
        <v>0</v>
      </c>
      <c r="I175" s="398">
        <f ca="1">IF(C175&gt;=65,0,Données!M215*5000)</f>
        <v>0</v>
      </c>
      <c r="J175" s="104">
        <f ca="1">I175/1000*(IF(I175=0,0,1)*VLOOKUP((1+(C175&gt;=20)+(C175&gt;=25)+(C175&gt;=30)+(C175&gt;=35)+(C175&gt;=40)+(C175&gt;=45)+(C175&gt;=50)+(C175&gt;=55)+(C175&gt;=60)+(C175&gt;=65)),Test,2+(IF(Données!F215="H",1,3))+(IF(Données!G215="F",1,0))))</f>
        <v>0</v>
      </c>
      <c r="K175" s="103">
        <f ca="1">INDEX({1;0.5;0},MATCH(C175,{1;65;70}))*M175</f>
        <v>0</v>
      </c>
      <c r="L175" s="104">
        <f>IF($B175=" ",0,IF(Données!$N266="exo",0,$K175/1000*VLOOKUP($F175,taux,6)))</f>
        <v>0</v>
      </c>
      <c r="M175" s="379">
        <f>IF($B175=" ",0,IF(Données!$K215="NON COUVERT",0,IF(AND(Données!$L215="oui",Données!$K215=0.5),MIN(VLOOKUP($F175,taux,5)/2,ROUNDUP(VLOOKUP($F175,taux,3)*$E175,-3)/2),IF(Données!$K215=0.5,MIN(VLOOKUP($F175,taux,4)/2,ROUNDUP(VLOOKUP($F175,taux,3)*$E175,-3)/2),ROUNDUP(IF(Données!$L215="OUI",MIN(VLOOKUP($F175,taux,3)*$E175,VLOOKUP($F175,taux,5)),MIN(VLOOKUP($F175,taux,3)*$E175,VLOOKUP($F175,taux,4))),-3)))))</f>
        <v>0</v>
      </c>
      <c r="N175" s="379">
        <f>IF($B175=" ",0,IF(Données!$N215="NON COUVERT",0,IF(AND(Données!$O215="oui",Données!$N215=0.5),MIN(VLOOKUP($F175,taux,9)/2,ROUNDUP(VLOOKUP($F175,taux,7)*$E175,-3)/2),IF(Données!$N215=0.5,MIN(VLOOKUP($F175,taux,8)/2,ROUNDUP(VLOOKUP($F175,taux,7)*$E175,-3)/2),ROUNDUP(IF(Données!$O215="OUI",MIN(VLOOKUP($F175,taux,7)*$E175,VLOOKUP($F175,taux,9)),MIN(VLOOKUP($F175,taux,7)*$E175,VLOOKUP($F175,taux,8))),-3)))))</f>
        <v>0</v>
      </c>
      <c r="O175" s="105">
        <f ca="1">IF(C175&gt;=70,0,IF($B175=" ",0,IF(Données!P215="non couvert"," ",Données!Q215)))</f>
        <v>0</v>
      </c>
      <c r="P175" s="106">
        <f>IF($B175=" ",0,IF(Données!$P266="exo",0,IF($O175="FAM",VLOOKUP($F175,taux,10),IF($O175="MONO",VLOOKUP($F175,taux,11),IF($O175="COUPLE",VLOOKUP($F175,taux,12),0)))))</f>
        <v>0</v>
      </c>
      <c r="Q175" s="107">
        <f ca="1">IF(C175&gt;=70,0,IF($B175=" ",0,IF(Données!$R215="NON COUVERT",0,ROUNDUP(IF(Données!$S215="OUI",MIN($E175*VLOOKUP($F175,taux,15)/52,VLOOKUP($F175,taux,17)),MIN($E175*VLOOKUP($F175,taux,15)/52,VLOOKUP($F175,taux,16))),0))))</f>
        <v>0</v>
      </c>
      <c r="R175" s="108">
        <f>IF($B175=" ",0,IF(Données!$R266="EXO",0,$Q175*VLOOKUP($F175,taux,13)/10))</f>
        <v>0</v>
      </c>
      <c r="S175" s="109">
        <f t="shared" ca="1" si="20"/>
        <v>0</v>
      </c>
      <c r="T175" s="110">
        <f>IF(B175=" ",0,IF(Données!$T266="exo",0,$S175*VLOOKUP($F175,taux,18)/100))</f>
        <v>0</v>
      </c>
      <c r="U175" s="109">
        <f>IF($B175=" ",0,IF(Données!$V266="non couvert",0,IF(VLOOKUP($F175,taux,29)="fixe","s/o",IF(Données!$W266="oui",MIN(ROUNDUP(VLOOKUP($F175,taux,31)*$E175,-3),VLOOKUP($F175,taux,33)),MIN(ROUNDUP(VLOOKUP($F175,taux,31)*$E175,-3),VLOOKUP($F175,taux,32))))))</f>
        <v>0</v>
      </c>
      <c r="V175" s="110">
        <f>IF(B175=" ",0,IF(Données!$V266="exo",0,IF(VLOOKUP($F175,taux,29)="fixe",VLOOKUP($F175,taux,30),$U175/1000*VLOOKUP($F175,taux,30))))</f>
        <v>0</v>
      </c>
      <c r="W175" s="110">
        <f t="shared" si="17"/>
        <v>0</v>
      </c>
      <c r="X175" s="383">
        <f>IF(B175=" ",0,EDATE((Données!E215),780))</f>
        <v>0</v>
      </c>
      <c r="Y175" s="383">
        <f t="shared" ref="Y175:Y200" si="23">IF(B175=" ",0,DATE(YEAR(X175)+0,MONTH(X175)+0,DAY(X175)-Y$7))</f>
        <v>0</v>
      </c>
      <c r="Z175" s="109">
        <f>IF($B175=" ",0,IF(Données!$T215="non couvert",0,IF(Données!$U215="oui",MIN(VLOOKUP($F175,taux,26),ROUNDUP(IF($E175/12&gt;VLOOKUP($F175,taux,21)+VLOOKUP($F175,taux,23),(VLOOKUP($F175,taux,20)*VLOOKUP($F175,taux,21))+(VLOOKUP($F175,taux,22)*VLOOKUP($F175,taux,23))+($E175/12-VLOOKUP($F175,taux,21)-VLOOKUP($F175,taux,23))*VLOOKUP($F175,taux,24),IF($E175/12&gt;VLOOKUP($F175,taux,21),(VLOOKUP($F175,taux,20)*VLOOKUP($F175,taux,21))+($E175/12-VLOOKUP($F175,taux,21))*VLOOKUP($F175,taux,22),$E175/12*VLOOKUP($F175,taux,20))),0)),MIN(VLOOKUP($F175,taux,25),ROUNDUP(IF($E175/12&gt;VLOOKUP($F175,taux,21)+VLOOKUP($F175,taux,23),(VLOOKUP($F175,taux,20)*VLOOKUP($F175,taux,21))+(VLOOKUP($F175,taux,22)*VLOOKUP($F175,taux,23))+($E175/12-VLOOKUP($F175,taux,21)-VLOOKUP($F175,taux,23))*VLOOKUP($F175,taux,24),IF($E175/12&gt;VLOOKUP($F175,taux,21),(VLOOKUP($F175,taux,20)*VLOOKUP($F175,taux,21))+($E175/12-VLOOKUP($F175,taux,21))*VLOOKUP($F175,taux,22),$E175/12*VLOOKUP($F175,taux,20))),0)))))</f>
        <v>0</v>
      </c>
      <c r="AA175" s="111">
        <f ca="1">IF(C175&gt;=70,0,IF($B175=" ",0,IF(Données!$X215="non couvert"," ",Données!Y215)))</f>
        <v>0</v>
      </c>
      <c r="AB175" s="110">
        <f>IF($B175=" ",0,IF(Données!$X266="exo",0,IF($AA175="ind",VLOOKUP($F175,taux,34),IF($AA175="fam",VLOOKUP($F175,taux,35),IF($AA175="mono",VLOOKUP($F175,taux,36),IF($AA175="couple",VLOOKUP($F175,taux,37),0))))))</f>
        <v>0</v>
      </c>
      <c r="AC175" s="111">
        <f ca="1">IF(C175&gt;=70,0,IF($B175=" ",0,IF(Données!$Z215="non couvert"," ",Données!AA215)))</f>
        <v>0</v>
      </c>
      <c r="AD175" s="110">
        <f>IF($B175=" ",0,IF(Données!$Z266="exo",0,IF($AC175="ind",VLOOKUP($F175,taux,38),IF($AC175="fam",VLOOKUP($F175,taux,39),IF($AC175="mono",VLOOKUP($F175,taux,40),IF($AC175="couple",VLOOKUP($F175,taux,41),0))))))</f>
        <v>0</v>
      </c>
      <c r="AE175" s="112">
        <f>IF($B175=" ",0,IF(Données!$AB266="non couvert"," ",Données!AC266))</f>
        <v>0</v>
      </c>
      <c r="AF175" s="113">
        <f>IF($B175=" ",0,IF(Données!$AB266="exo",0,IF($AE175="ind",VLOOKUP($F175,taux,42),IF($AE175="fam",VLOOKUP($F175,taux,43),IF($AE175="mono",VLOOKUP($F175,taux,44),IF($AE175="couple",VLOOKUP($F175,taux,45),0))))))</f>
        <v>0</v>
      </c>
      <c r="AG175" s="114">
        <f t="shared" ref="AG175:AG200" ca="1" si="24">H175+J175+L175+P175+R175+T175+V175+W175+AB175+AD175+AF175</f>
        <v>0</v>
      </c>
      <c r="AH175" s="114">
        <f>IF($B175=" ",0,IF(Données!J215="Manitoba",(Facture!H175+Facture!J175+Facture!L175+Facture!P175+Facture!R175+Facture!T175)*0.08,(AG175-W175)*IF(Données!$J215="qc",0.09,IF(Données!$J215="on",0.08,0))+W175*VLOOKUP($F175,taux,28)))</f>
        <v>0</v>
      </c>
      <c r="AI175" s="106">
        <f t="shared" ca="1" si="22"/>
        <v>0</v>
      </c>
    </row>
    <row r="176" spans="1:35" s="64" customFormat="1">
      <c r="A176" s="90">
        <f t="shared" si="21"/>
        <v>162</v>
      </c>
      <c r="B176" s="99" t="str">
        <f>CONCATENATE(Données!B267," ",Données!C267)</f>
        <v xml:space="preserve"> </v>
      </c>
      <c r="C176" s="410">
        <f ca="1">IF(B176="",0,INT((TODAY()-Données!E216)/365.25))</f>
        <v>119</v>
      </c>
      <c r="D176" s="100">
        <f>Données!D267</f>
        <v>0</v>
      </c>
      <c r="E176" s="101">
        <f>Données!I267</f>
        <v>0</v>
      </c>
      <c r="F176" s="102">
        <f>Données!AD267</f>
        <v>0</v>
      </c>
      <c r="G176" s="103">
        <f ca="1">INDEX({1;0.5;0},MATCH(C176,{1;65;70}))*M176</f>
        <v>0</v>
      </c>
      <c r="H176" s="104">
        <f>IF($B176=" ",0,IF(Données!$K267="exo",0,$G176/1000*VLOOKUP($F176,taux,2)))</f>
        <v>0</v>
      </c>
      <c r="I176" s="398">
        <f ca="1">IF(C176&gt;=65,0,Données!M216*5000)</f>
        <v>0</v>
      </c>
      <c r="J176" s="104">
        <f ca="1">I176/1000*(IF(I176=0,0,1)*VLOOKUP((1+(C176&gt;=20)+(C176&gt;=25)+(C176&gt;=30)+(C176&gt;=35)+(C176&gt;=40)+(C176&gt;=45)+(C176&gt;=50)+(C176&gt;=55)+(C176&gt;=60)+(C176&gt;=65)),Test,2+(IF(Données!F216="H",1,3))+(IF(Données!G216="F",1,0))))</f>
        <v>0</v>
      </c>
      <c r="K176" s="103">
        <f ca="1">INDEX({1;0.5;0},MATCH(C176,{1;65;70}))*M176</f>
        <v>0</v>
      </c>
      <c r="L176" s="104">
        <f>IF($B176=" ",0,IF(Données!$N267="exo",0,$K176/1000*VLOOKUP($F176,taux,6)))</f>
        <v>0</v>
      </c>
      <c r="M176" s="379">
        <f>IF($B176=" ",0,IF(Données!$K216="NON COUVERT",0,IF(AND(Données!$L216="oui",Données!$K216=0.5),MIN(VLOOKUP($F176,taux,5)/2,ROUNDUP(VLOOKUP($F176,taux,3)*$E176,-3)/2),IF(Données!$K216=0.5,MIN(VLOOKUP($F176,taux,4)/2,ROUNDUP(VLOOKUP($F176,taux,3)*$E176,-3)/2),ROUNDUP(IF(Données!$L216="OUI",MIN(VLOOKUP($F176,taux,3)*$E176,VLOOKUP($F176,taux,5)),MIN(VLOOKUP($F176,taux,3)*$E176,VLOOKUP($F176,taux,4))),-3)))))</f>
        <v>0</v>
      </c>
      <c r="N176" s="379">
        <f>IF($B176=" ",0,IF(Données!$N216="NON COUVERT",0,IF(AND(Données!$O216="oui",Données!$N216=0.5),MIN(VLOOKUP($F176,taux,9)/2,ROUNDUP(VLOOKUP($F176,taux,7)*$E176,-3)/2),IF(Données!$N216=0.5,MIN(VLOOKUP($F176,taux,8)/2,ROUNDUP(VLOOKUP($F176,taux,7)*$E176,-3)/2),ROUNDUP(IF(Données!$O216="OUI",MIN(VLOOKUP($F176,taux,7)*$E176,VLOOKUP($F176,taux,9)),MIN(VLOOKUP($F176,taux,7)*$E176,VLOOKUP($F176,taux,8))),-3)))))</f>
        <v>0</v>
      </c>
      <c r="O176" s="105">
        <f ca="1">IF(C176&gt;=70,0,IF($B176=" ",0,IF(Données!P216="non couvert"," ",Données!Q216)))</f>
        <v>0</v>
      </c>
      <c r="P176" s="106">
        <f>IF($B176=" ",0,IF(Données!$P267="exo",0,IF($O176="FAM",VLOOKUP($F176,taux,10),IF($O176="MONO",VLOOKUP($F176,taux,11),IF($O176="COUPLE",VLOOKUP($F176,taux,12),0)))))</f>
        <v>0</v>
      </c>
      <c r="Q176" s="107">
        <f ca="1">IF(C176&gt;=70,0,IF($B176=" ",0,IF(Données!$R216="NON COUVERT",0,ROUNDUP(IF(Données!$S216="OUI",MIN($E176*VLOOKUP($F176,taux,15)/52,VLOOKUP($F176,taux,17)),MIN($E176*VLOOKUP($F176,taux,15)/52,VLOOKUP($F176,taux,16))),0))))</f>
        <v>0</v>
      </c>
      <c r="R176" s="108">
        <f>IF($B176=" ",0,IF(Données!$R267="EXO",0,$Q176*VLOOKUP($F176,taux,13)/10))</f>
        <v>0</v>
      </c>
      <c r="S176" s="109">
        <f t="shared" ca="1" si="20"/>
        <v>0</v>
      </c>
      <c r="T176" s="110">
        <f>IF(B176=" ",0,IF(Données!$T267="exo",0,$S176*VLOOKUP($F176,taux,18)/100))</f>
        <v>0</v>
      </c>
      <c r="U176" s="109">
        <f>IF($B176=" ",0,IF(Données!$V267="non couvert",0,IF(VLOOKUP($F176,taux,29)="fixe","s/o",IF(Données!$W267="oui",MIN(ROUNDUP(VLOOKUP($F176,taux,31)*$E176,-3),VLOOKUP($F176,taux,33)),MIN(ROUNDUP(VLOOKUP($F176,taux,31)*$E176,-3),VLOOKUP($F176,taux,32))))))</f>
        <v>0</v>
      </c>
      <c r="V176" s="110">
        <f>IF(B176=" ",0,IF(Données!$V267="exo",0,IF(VLOOKUP($F176,taux,29)="fixe",VLOOKUP($F176,taux,30),$U176/1000*VLOOKUP($F176,taux,30))))</f>
        <v>0</v>
      </c>
      <c r="W176" s="110">
        <f t="shared" si="17"/>
        <v>0</v>
      </c>
      <c r="X176" s="383">
        <f>IF(B176=" ",0,EDATE((Données!E216),780))</f>
        <v>0</v>
      </c>
      <c r="Y176" s="383">
        <f t="shared" si="23"/>
        <v>0</v>
      </c>
      <c r="Z176" s="109">
        <f>IF($B176=" ",0,IF(Données!$T216="non couvert",0,IF(Données!$U216="oui",MIN(VLOOKUP($F176,taux,26),ROUNDUP(IF($E176/12&gt;VLOOKUP($F176,taux,21)+VLOOKUP($F176,taux,23),(VLOOKUP($F176,taux,20)*VLOOKUP($F176,taux,21))+(VLOOKUP($F176,taux,22)*VLOOKUP($F176,taux,23))+($E176/12-VLOOKUP($F176,taux,21)-VLOOKUP($F176,taux,23))*VLOOKUP($F176,taux,24),IF($E176/12&gt;VLOOKUP($F176,taux,21),(VLOOKUP($F176,taux,20)*VLOOKUP($F176,taux,21))+($E176/12-VLOOKUP($F176,taux,21))*VLOOKUP($F176,taux,22),$E176/12*VLOOKUP($F176,taux,20))),0)),MIN(VLOOKUP($F176,taux,25),ROUNDUP(IF($E176/12&gt;VLOOKUP($F176,taux,21)+VLOOKUP($F176,taux,23),(VLOOKUP($F176,taux,20)*VLOOKUP($F176,taux,21))+(VLOOKUP($F176,taux,22)*VLOOKUP($F176,taux,23))+($E176/12-VLOOKUP($F176,taux,21)-VLOOKUP($F176,taux,23))*VLOOKUP($F176,taux,24),IF($E176/12&gt;VLOOKUP($F176,taux,21),(VLOOKUP($F176,taux,20)*VLOOKUP($F176,taux,21))+($E176/12-VLOOKUP($F176,taux,21))*VLOOKUP($F176,taux,22),$E176/12*VLOOKUP($F176,taux,20))),0)))))</f>
        <v>0</v>
      </c>
      <c r="AA176" s="111">
        <f ca="1">IF(C176&gt;=70,0,IF($B176=" ",0,IF(Données!$X216="non couvert"," ",Données!Y216)))</f>
        <v>0</v>
      </c>
      <c r="AB176" s="110">
        <f>IF($B176=" ",0,IF(Données!$X267="exo",0,IF($AA176="ind",VLOOKUP($F176,taux,34),IF($AA176="fam",VLOOKUP($F176,taux,35),IF($AA176="mono",VLOOKUP($F176,taux,36),IF($AA176="couple",VLOOKUP($F176,taux,37),0))))))</f>
        <v>0</v>
      </c>
      <c r="AC176" s="111">
        <f ca="1">IF(C176&gt;=70,0,IF($B176=" ",0,IF(Données!$Z216="non couvert"," ",Données!AA216)))</f>
        <v>0</v>
      </c>
      <c r="AD176" s="110">
        <f>IF($B176=" ",0,IF(Données!$Z267="exo",0,IF($AC176="ind",VLOOKUP($F176,taux,38),IF($AC176="fam",VLOOKUP($F176,taux,39),IF($AC176="mono",VLOOKUP($F176,taux,40),IF($AC176="couple",VLOOKUP($F176,taux,41),0))))))</f>
        <v>0</v>
      </c>
      <c r="AE176" s="112">
        <f>IF($B176=" ",0,IF(Données!$AB267="non couvert"," ",Données!AC267))</f>
        <v>0</v>
      </c>
      <c r="AF176" s="113">
        <f>IF($B176=" ",0,IF(Données!$AB267="exo",0,IF($AE176="ind",VLOOKUP($F176,taux,42),IF($AE176="fam",VLOOKUP($F176,taux,43),IF($AE176="mono",VLOOKUP($F176,taux,44),IF($AE176="couple",VLOOKUP($F176,taux,45),0))))))</f>
        <v>0</v>
      </c>
      <c r="AG176" s="114">
        <f t="shared" ca="1" si="24"/>
        <v>0</v>
      </c>
      <c r="AH176" s="114">
        <f>IF($B176=" ",0,IF(Données!J216="Manitoba",(Facture!H176+Facture!J176+Facture!L176+Facture!P176+Facture!R176+Facture!T176)*0.08,(AG176-W176)*IF(Données!$J216="qc",0.09,IF(Données!$J216="on",0.08,0))+W176*VLOOKUP($F176,taux,28)))</f>
        <v>0</v>
      </c>
      <c r="AI176" s="106">
        <f t="shared" ca="1" si="22"/>
        <v>0</v>
      </c>
    </row>
    <row r="177" spans="1:35" s="64" customFormat="1">
      <c r="A177" s="90">
        <f t="shared" si="21"/>
        <v>163</v>
      </c>
      <c r="B177" s="99" t="str">
        <f>CONCATENATE(Données!B268," ",Données!C268)</f>
        <v xml:space="preserve"> </v>
      </c>
      <c r="C177" s="410">
        <f ca="1">IF(B177="",0,INT((TODAY()-Données!E217)/365.25))</f>
        <v>119</v>
      </c>
      <c r="D177" s="100">
        <f>Données!D268</f>
        <v>0</v>
      </c>
      <c r="E177" s="101">
        <f>Données!I268</f>
        <v>0</v>
      </c>
      <c r="F177" s="102">
        <f>Données!AD268</f>
        <v>0</v>
      </c>
      <c r="G177" s="103">
        <f ca="1">INDEX({1;0.5;0},MATCH(C177,{1;65;70}))*M177</f>
        <v>0</v>
      </c>
      <c r="H177" s="104">
        <f>IF($B177=" ",0,IF(Données!$K268="exo",0,$G177/1000*VLOOKUP($F177,taux,2)))</f>
        <v>0</v>
      </c>
      <c r="I177" s="398">
        <f ca="1">IF(C177&gt;=65,0,Données!M217*5000)</f>
        <v>0</v>
      </c>
      <c r="J177" s="104">
        <f ca="1">I177/1000*(IF(I177=0,0,1)*VLOOKUP((1+(C177&gt;=20)+(C177&gt;=25)+(C177&gt;=30)+(C177&gt;=35)+(C177&gt;=40)+(C177&gt;=45)+(C177&gt;=50)+(C177&gt;=55)+(C177&gt;=60)+(C177&gt;=65)),Test,2+(IF(Données!F217="H",1,3))+(IF(Données!G217="F",1,0))))</f>
        <v>0</v>
      </c>
      <c r="K177" s="103">
        <f ca="1">INDEX({1;0.5;0},MATCH(C177,{1;65;70}))*M177</f>
        <v>0</v>
      </c>
      <c r="L177" s="104">
        <f>IF($B177=" ",0,IF(Données!$N268="exo",0,$K177/1000*VLOOKUP($F177,taux,6)))</f>
        <v>0</v>
      </c>
      <c r="M177" s="379">
        <f>IF($B177=" ",0,IF(Données!$K217="NON COUVERT",0,IF(AND(Données!$L217="oui",Données!$K217=0.5),MIN(VLOOKUP($F177,taux,5)/2,ROUNDUP(VLOOKUP($F177,taux,3)*$E177,-3)/2),IF(Données!$K217=0.5,MIN(VLOOKUP($F177,taux,4)/2,ROUNDUP(VLOOKUP($F177,taux,3)*$E177,-3)/2),ROUNDUP(IF(Données!$L217="OUI",MIN(VLOOKUP($F177,taux,3)*$E177,VLOOKUP($F177,taux,5)),MIN(VLOOKUP($F177,taux,3)*$E177,VLOOKUP($F177,taux,4))),-3)))))</f>
        <v>0</v>
      </c>
      <c r="N177" s="379">
        <f>IF($B177=" ",0,IF(Données!$N217="NON COUVERT",0,IF(AND(Données!$O217="oui",Données!$N217=0.5),MIN(VLOOKUP($F177,taux,9)/2,ROUNDUP(VLOOKUP($F177,taux,7)*$E177,-3)/2),IF(Données!$N217=0.5,MIN(VLOOKUP($F177,taux,8)/2,ROUNDUP(VLOOKUP($F177,taux,7)*$E177,-3)/2),ROUNDUP(IF(Données!$O217="OUI",MIN(VLOOKUP($F177,taux,7)*$E177,VLOOKUP($F177,taux,9)),MIN(VLOOKUP($F177,taux,7)*$E177,VLOOKUP($F177,taux,8))),-3)))))</f>
        <v>0</v>
      </c>
      <c r="O177" s="105">
        <f ca="1">IF(C177&gt;=70,0,IF($B177=" ",0,IF(Données!P217="non couvert"," ",Données!Q217)))</f>
        <v>0</v>
      </c>
      <c r="P177" s="106">
        <f>IF($B177=" ",0,IF(Données!$P268="exo",0,IF($O177="FAM",VLOOKUP($F177,taux,10),IF($O177="MONO",VLOOKUP($F177,taux,11),IF($O177="COUPLE",VLOOKUP($F177,taux,12),0)))))</f>
        <v>0</v>
      </c>
      <c r="Q177" s="107">
        <f ca="1">IF(C177&gt;=70,0,IF($B177=" ",0,IF(Données!$R217="NON COUVERT",0,ROUNDUP(IF(Données!$S217="OUI",MIN($E177*VLOOKUP($F177,taux,15)/52,VLOOKUP($F177,taux,17)),MIN($E177*VLOOKUP($F177,taux,15)/52,VLOOKUP($F177,taux,16))),0))))</f>
        <v>0</v>
      </c>
      <c r="R177" s="108">
        <f>IF($B177=" ",0,IF(Données!$R268="EXO",0,$Q177*VLOOKUP($F177,taux,13)/10))</f>
        <v>0</v>
      </c>
      <c r="S177" s="109">
        <f t="shared" ca="1" si="20"/>
        <v>0</v>
      </c>
      <c r="T177" s="110">
        <f>IF(B177=" ",0,IF(Données!$T268="exo",0,$S177*VLOOKUP($F177,taux,18)/100))</f>
        <v>0</v>
      </c>
      <c r="U177" s="109">
        <f>IF($B177=" ",0,IF(Données!$V268="non couvert",0,IF(VLOOKUP($F177,taux,29)="fixe","s/o",IF(Données!$W268="oui",MIN(ROUNDUP(VLOOKUP($F177,taux,31)*$E177,-3),VLOOKUP($F177,taux,33)),MIN(ROUNDUP(VLOOKUP($F177,taux,31)*$E177,-3),VLOOKUP($F177,taux,32))))))</f>
        <v>0</v>
      </c>
      <c r="V177" s="110">
        <f>IF(B177=" ",0,IF(Données!$V268="exo",0,IF(VLOOKUP($F177,taux,29)="fixe",VLOOKUP($F177,taux,30),$U177/1000*VLOOKUP($F177,taux,30))))</f>
        <v>0</v>
      </c>
      <c r="W177" s="110">
        <f t="shared" si="17"/>
        <v>0</v>
      </c>
      <c r="X177" s="383">
        <f>IF(B177=" ",0,EDATE((Données!E217),780))</f>
        <v>0</v>
      </c>
      <c r="Y177" s="383">
        <f t="shared" si="23"/>
        <v>0</v>
      </c>
      <c r="Z177" s="109">
        <f>IF($B177=" ",0,IF(Données!$T217="non couvert",0,IF(Données!$U217="oui",MIN(VLOOKUP($F177,taux,26),ROUNDUP(IF($E177/12&gt;VLOOKUP($F177,taux,21)+VLOOKUP($F177,taux,23),(VLOOKUP($F177,taux,20)*VLOOKUP($F177,taux,21))+(VLOOKUP($F177,taux,22)*VLOOKUP($F177,taux,23))+($E177/12-VLOOKUP($F177,taux,21)-VLOOKUP($F177,taux,23))*VLOOKUP($F177,taux,24),IF($E177/12&gt;VLOOKUP($F177,taux,21),(VLOOKUP($F177,taux,20)*VLOOKUP($F177,taux,21))+($E177/12-VLOOKUP($F177,taux,21))*VLOOKUP($F177,taux,22),$E177/12*VLOOKUP($F177,taux,20))),0)),MIN(VLOOKUP($F177,taux,25),ROUNDUP(IF($E177/12&gt;VLOOKUP($F177,taux,21)+VLOOKUP($F177,taux,23),(VLOOKUP($F177,taux,20)*VLOOKUP($F177,taux,21))+(VLOOKUP($F177,taux,22)*VLOOKUP($F177,taux,23))+($E177/12-VLOOKUP($F177,taux,21)-VLOOKUP($F177,taux,23))*VLOOKUP($F177,taux,24),IF($E177/12&gt;VLOOKUP($F177,taux,21),(VLOOKUP($F177,taux,20)*VLOOKUP($F177,taux,21))+($E177/12-VLOOKUP($F177,taux,21))*VLOOKUP($F177,taux,22),$E177/12*VLOOKUP($F177,taux,20))),0)))))</f>
        <v>0</v>
      </c>
      <c r="AA177" s="111">
        <f ca="1">IF(C177&gt;=70,0,IF($B177=" ",0,IF(Données!$X217="non couvert"," ",Données!Y217)))</f>
        <v>0</v>
      </c>
      <c r="AB177" s="110">
        <f>IF($B177=" ",0,IF(Données!$X268="exo",0,IF($AA177="ind",VLOOKUP($F177,taux,34),IF($AA177="fam",VLOOKUP($F177,taux,35),IF($AA177="mono",VLOOKUP($F177,taux,36),IF($AA177="couple",VLOOKUP($F177,taux,37),0))))))</f>
        <v>0</v>
      </c>
      <c r="AC177" s="111">
        <f ca="1">IF(C177&gt;=70,0,IF($B177=" ",0,IF(Données!$Z217="non couvert"," ",Données!AA217)))</f>
        <v>0</v>
      </c>
      <c r="AD177" s="110">
        <f>IF($B177=" ",0,IF(Données!$Z268="exo",0,IF($AC177="ind",VLOOKUP($F177,taux,38),IF($AC177="fam",VLOOKUP($F177,taux,39),IF($AC177="mono",VLOOKUP($F177,taux,40),IF($AC177="couple",VLOOKUP($F177,taux,41),0))))))</f>
        <v>0</v>
      </c>
      <c r="AE177" s="112">
        <f>IF($B177=" ",0,IF(Données!$AB268="non couvert"," ",Données!AC268))</f>
        <v>0</v>
      </c>
      <c r="AF177" s="113">
        <f>IF($B177=" ",0,IF(Données!$AB268="exo",0,IF($AE177="ind",VLOOKUP($F177,taux,42),IF($AE177="fam",VLOOKUP($F177,taux,43),IF($AE177="mono",VLOOKUP($F177,taux,44),IF($AE177="couple",VLOOKUP($F177,taux,45),0))))))</f>
        <v>0</v>
      </c>
      <c r="AG177" s="114">
        <f t="shared" ca="1" si="24"/>
        <v>0</v>
      </c>
      <c r="AH177" s="114">
        <f>IF($B177=" ",0,IF(Données!J217="Manitoba",(Facture!H177+Facture!J177+Facture!L177+Facture!P177+Facture!R177+Facture!T177)*0.08,(AG177-W177)*IF(Données!$J217="qc",0.09,IF(Données!$J217="on",0.08,0))+W177*VLOOKUP($F177,taux,28)))</f>
        <v>0</v>
      </c>
      <c r="AI177" s="106">
        <f t="shared" ca="1" si="22"/>
        <v>0</v>
      </c>
    </row>
    <row r="178" spans="1:35" s="64" customFormat="1">
      <c r="A178" s="90">
        <f t="shared" si="21"/>
        <v>164</v>
      </c>
      <c r="B178" s="99" t="str">
        <f>CONCATENATE(Données!B269," ",Données!C269)</f>
        <v xml:space="preserve"> </v>
      </c>
      <c r="C178" s="410">
        <f ca="1">IF(B178="",0,INT((TODAY()-Données!E218)/365.25))</f>
        <v>119</v>
      </c>
      <c r="D178" s="100">
        <f>Données!D269</f>
        <v>0</v>
      </c>
      <c r="E178" s="101">
        <f>Données!I269</f>
        <v>0</v>
      </c>
      <c r="F178" s="102">
        <f>Données!AD269</f>
        <v>0</v>
      </c>
      <c r="G178" s="103">
        <f ca="1">INDEX({1;0.5;0},MATCH(C178,{1;65;70}))*M178</f>
        <v>0</v>
      </c>
      <c r="H178" s="104">
        <f>IF($B178=" ",0,IF(Données!$K269="exo",0,$G178/1000*VLOOKUP($F178,taux,2)))</f>
        <v>0</v>
      </c>
      <c r="I178" s="398">
        <f ca="1">IF(C178&gt;=65,0,Données!M218*5000)</f>
        <v>0</v>
      </c>
      <c r="J178" s="104">
        <f ca="1">I178/1000*(IF(I178=0,0,1)*VLOOKUP((1+(C178&gt;=20)+(C178&gt;=25)+(C178&gt;=30)+(C178&gt;=35)+(C178&gt;=40)+(C178&gt;=45)+(C178&gt;=50)+(C178&gt;=55)+(C178&gt;=60)+(C178&gt;=65)),Test,2+(IF(Données!F218="H",1,3))+(IF(Données!G218="F",1,0))))</f>
        <v>0</v>
      </c>
      <c r="K178" s="103">
        <f ca="1">INDEX({1;0.5;0},MATCH(C178,{1;65;70}))*M178</f>
        <v>0</v>
      </c>
      <c r="L178" s="104">
        <f>IF($B178=" ",0,IF(Données!$N269="exo",0,$K178/1000*VLOOKUP($F178,taux,6)))</f>
        <v>0</v>
      </c>
      <c r="M178" s="379">
        <f>IF($B178=" ",0,IF(Données!$K218="NON COUVERT",0,IF(AND(Données!$L218="oui",Données!$K218=0.5),MIN(VLOOKUP($F178,taux,5)/2,ROUNDUP(VLOOKUP($F178,taux,3)*$E178,-3)/2),IF(Données!$K218=0.5,MIN(VLOOKUP($F178,taux,4)/2,ROUNDUP(VLOOKUP($F178,taux,3)*$E178,-3)/2),ROUNDUP(IF(Données!$L218="OUI",MIN(VLOOKUP($F178,taux,3)*$E178,VLOOKUP($F178,taux,5)),MIN(VLOOKUP($F178,taux,3)*$E178,VLOOKUP($F178,taux,4))),-3)))))</f>
        <v>0</v>
      </c>
      <c r="N178" s="379">
        <f>IF($B178=" ",0,IF(Données!$N218="NON COUVERT",0,IF(AND(Données!$O218="oui",Données!$N218=0.5),MIN(VLOOKUP($F178,taux,9)/2,ROUNDUP(VLOOKUP($F178,taux,7)*$E178,-3)/2),IF(Données!$N218=0.5,MIN(VLOOKUP($F178,taux,8)/2,ROUNDUP(VLOOKUP($F178,taux,7)*$E178,-3)/2),ROUNDUP(IF(Données!$O218="OUI",MIN(VLOOKUP($F178,taux,7)*$E178,VLOOKUP($F178,taux,9)),MIN(VLOOKUP($F178,taux,7)*$E178,VLOOKUP($F178,taux,8))),-3)))))</f>
        <v>0</v>
      </c>
      <c r="O178" s="105">
        <f ca="1">IF(C178&gt;=70,0,IF($B178=" ",0,IF(Données!P218="non couvert"," ",Données!Q218)))</f>
        <v>0</v>
      </c>
      <c r="P178" s="106">
        <f>IF($B178=" ",0,IF(Données!$P269="exo",0,IF($O178="FAM",VLOOKUP($F178,taux,10),IF($O178="MONO",VLOOKUP($F178,taux,11),IF($O178="COUPLE",VLOOKUP($F178,taux,12),0)))))</f>
        <v>0</v>
      </c>
      <c r="Q178" s="107">
        <f ca="1">IF(C178&gt;=70,0,IF($B178=" ",0,IF(Données!$R218="NON COUVERT",0,ROUNDUP(IF(Données!$S218="OUI",MIN($E178*VLOOKUP($F178,taux,15)/52,VLOOKUP($F178,taux,17)),MIN($E178*VLOOKUP($F178,taux,15)/52,VLOOKUP($F178,taux,16))),0))))</f>
        <v>0</v>
      </c>
      <c r="R178" s="108">
        <f>IF($B178=" ",0,IF(Données!$R269="EXO",0,$Q178*VLOOKUP($F178,taux,13)/10))</f>
        <v>0</v>
      </c>
      <c r="S178" s="109">
        <f t="shared" ca="1" si="20"/>
        <v>0</v>
      </c>
      <c r="T178" s="110">
        <f>IF(B178=" ",0,IF(Données!$T269="exo",0,$S178*VLOOKUP($F178,taux,18)/100))</f>
        <v>0</v>
      </c>
      <c r="U178" s="109">
        <f>IF($B178=" ",0,IF(Données!$V269="non couvert",0,IF(VLOOKUP($F178,taux,29)="fixe","s/o",IF(Données!$W269="oui",MIN(ROUNDUP(VLOOKUP($F178,taux,31)*$E178,-3),VLOOKUP($F178,taux,33)),MIN(ROUNDUP(VLOOKUP($F178,taux,31)*$E178,-3),VLOOKUP($F178,taux,32))))))</f>
        <v>0</v>
      </c>
      <c r="V178" s="110">
        <f>IF(B178=" ",0,IF(Données!$V269="exo",0,IF(VLOOKUP($F178,taux,29)="fixe",VLOOKUP($F178,taux,30),$U178/1000*VLOOKUP($F178,taux,30))))</f>
        <v>0</v>
      </c>
      <c r="W178" s="110">
        <f t="shared" si="17"/>
        <v>0</v>
      </c>
      <c r="X178" s="383">
        <f>IF(B178=" ",0,EDATE((Données!E218),780))</f>
        <v>0</v>
      </c>
      <c r="Y178" s="383">
        <f t="shared" si="23"/>
        <v>0</v>
      </c>
      <c r="Z178" s="109">
        <f>IF($B178=" ",0,IF(Données!$T218="non couvert",0,IF(Données!$U218="oui",MIN(VLOOKUP($F178,taux,26),ROUNDUP(IF($E178/12&gt;VLOOKUP($F178,taux,21)+VLOOKUP($F178,taux,23),(VLOOKUP($F178,taux,20)*VLOOKUP($F178,taux,21))+(VLOOKUP($F178,taux,22)*VLOOKUP($F178,taux,23))+($E178/12-VLOOKUP($F178,taux,21)-VLOOKUP($F178,taux,23))*VLOOKUP($F178,taux,24),IF($E178/12&gt;VLOOKUP($F178,taux,21),(VLOOKUP($F178,taux,20)*VLOOKUP($F178,taux,21))+($E178/12-VLOOKUP($F178,taux,21))*VLOOKUP($F178,taux,22),$E178/12*VLOOKUP($F178,taux,20))),0)),MIN(VLOOKUP($F178,taux,25),ROUNDUP(IF($E178/12&gt;VLOOKUP($F178,taux,21)+VLOOKUP($F178,taux,23),(VLOOKUP($F178,taux,20)*VLOOKUP($F178,taux,21))+(VLOOKUP($F178,taux,22)*VLOOKUP($F178,taux,23))+($E178/12-VLOOKUP($F178,taux,21)-VLOOKUP($F178,taux,23))*VLOOKUP($F178,taux,24),IF($E178/12&gt;VLOOKUP($F178,taux,21),(VLOOKUP($F178,taux,20)*VLOOKUP($F178,taux,21))+($E178/12-VLOOKUP($F178,taux,21))*VLOOKUP($F178,taux,22),$E178/12*VLOOKUP($F178,taux,20))),0)))))</f>
        <v>0</v>
      </c>
      <c r="AA178" s="111">
        <f ca="1">IF(C178&gt;=70,0,IF($B178=" ",0,IF(Données!$X218="non couvert"," ",Données!Y218)))</f>
        <v>0</v>
      </c>
      <c r="AB178" s="110">
        <f>IF($B178=" ",0,IF(Données!$X269="exo",0,IF($AA178="ind",VLOOKUP($F178,taux,34),IF($AA178="fam",VLOOKUP($F178,taux,35),IF($AA178="mono",VLOOKUP($F178,taux,36),IF($AA178="couple",VLOOKUP($F178,taux,37),0))))))</f>
        <v>0</v>
      </c>
      <c r="AC178" s="111">
        <f ca="1">IF(C178&gt;=70,0,IF($B178=" ",0,IF(Données!$Z218="non couvert"," ",Données!AA218)))</f>
        <v>0</v>
      </c>
      <c r="AD178" s="110">
        <f>IF($B178=" ",0,IF(Données!$Z269="exo",0,IF($AC178="ind",VLOOKUP($F178,taux,38),IF($AC178="fam",VLOOKUP($F178,taux,39),IF($AC178="mono",VLOOKUP($F178,taux,40),IF($AC178="couple",VLOOKUP($F178,taux,41),0))))))</f>
        <v>0</v>
      </c>
      <c r="AE178" s="112">
        <f>IF($B178=" ",0,IF(Données!$AB269="non couvert"," ",Données!AC269))</f>
        <v>0</v>
      </c>
      <c r="AF178" s="113">
        <f>IF($B178=" ",0,IF(Données!$AB269="exo",0,IF($AE178="ind",VLOOKUP($F178,taux,42),IF($AE178="fam",VLOOKUP($F178,taux,43),IF($AE178="mono",VLOOKUP($F178,taux,44),IF($AE178="couple",VLOOKUP($F178,taux,45),0))))))</f>
        <v>0</v>
      </c>
      <c r="AG178" s="114">
        <f t="shared" ca="1" si="24"/>
        <v>0</v>
      </c>
      <c r="AH178" s="114">
        <f>IF($B178=" ",0,IF(Données!J218="Manitoba",(Facture!H178+Facture!J178+Facture!L178+Facture!P178+Facture!R178+Facture!T178)*0.08,(AG178-W178)*IF(Données!$J218="qc",0.09,IF(Données!$J218="on",0.08,0))+W178*VLOOKUP($F178,taux,28)))</f>
        <v>0</v>
      </c>
      <c r="AI178" s="106">
        <f t="shared" ca="1" si="22"/>
        <v>0</v>
      </c>
    </row>
    <row r="179" spans="1:35" s="64" customFormat="1">
      <c r="A179" s="90">
        <f t="shared" si="21"/>
        <v>165</v>
      </c>
      <c r="B179" s="99" t="str">
        <f>CONCATENATE(Données!B270," ",Données!C270)</f>
        <v xml:space="preserve"> </v>
      </c>
      <c r="C179" s="410">
        <f ca="1">IF(B179="",0,INT((TODAY()-Données!E219)/365.25))</f>
        <v>119</v>
      </c>
      <c r="D179" s="100">
        <f>Données!D270</f>
        <v>0</v>
      </c>
      <c r="E179" s="101">
        <f>Données!I270</f>
        <v>0</v>
      </c>
      <c r="F179" s="102">
        <f>Données!AD270</f>
        <v>0</v>
      </c>
      <c r="G179" s="103">
        <f ca="1">INDEX({1;0.5;0},MATCH(C179,{1;65;70}))*M179</f>
        <v>0</v>
      </c>
      <c r="H179" s="104">
        <f>IF($B179=" ",0,IF(Données!$K270="exo",0,$G179/1000*VLOOKUP($F179,taux,2)))</f>
        <v>0</v>
      </c>
      <c r="I179" s="398">
        <f ca="1">IF(C179&gt;=65,0,Données!M219*5000)</f>
        <v>0</v>
      </c>
      <c r="J179" s="104">
        <f ca="1">I179/1000*(IF(I179=0,0,1)*VLOOKUP((1+(C179&gt;=20)+(C179&gt;=25)+(C179&gt;=30)+(C179&gt;=35)+(C179&gt;=40)+(C179&gt;=45)+(C179&gt;=50)+(C179&gt;=55)+(C179&gt;=60)+(C179&gt;=65)),Test,2+(IF(Données!F219="H",1,3))+(IF(Données!G219="F",1,0))))</f>
        <v>0</v>
      </c>
      <c r="K179" s="103">
        <f ca="1">INDEX({1;0.5;0},MATCH(C179,{1;65;70}))*M179</f>
        <v>0</v>
      </c>
      <c r="L179" s="104">
        <f>IF($B179=" ",0,IF(Données!$N270="exo",0,$K179/1000*VLOOKUP($F179,taux,6)))</f>
        <v>0</v>
      </c>
      <c r="M179" s="379">
        <f>IF($B179=" ",0,IF(Données!$K219="NON COUVERT",0,IF(AND(Données!$L219="oui",Données!$K219=0.5),MIN(VLOOKUP($F179,taux,5)/2,ROUNDUP(VLOOKUP($F179,taux,3)*$E179,-3)/2),IF(Données!$K219=0.5,MIN(VLOOKUP($F179,taux,4)/2,ROUNDUP(VLOOKUP($F179,taux,3)*$E179,-3)/2),ROUNDUP(IF(Données!$L219="OUI",MIN(VLOOKUP($F179,taux,3)*$E179,VLOOKUP($F179,taux,5)),MIN(VLOOKUP($F179,taux,3)*$E179,VLOOKUP($F179,taux,4))),-3)))))</f>
        <v>0</v>
      </c>
      <c r="N179" s="379">
        <f>IF($B179=" ",0,IF(Données!$N219="NON COUVERT",0,IF(AND(Données!$O219="oui",Données!$N219=0.5),MIN(VLOOKUP($F179,taux,9)/2,ROUNDUP(VLOOKUP($F179,taux,7)*$E179,-3)/2),IF(Données!$N219=0.5,MIN(VLOOKUP($F179,taux,8)/2,ROUNDUP(VLOOKUP($F179,taux,7)*$E179,-3)/2),ROUNDUP(IF(Données!$O219="OUI",MIN(VLOOKUP($F179,taux,7)*$E179,VLOOKUP($F179,taux,9)),MIN(VLOOKUP($F179,taux,7)*$E179,VLOOKUP($F179,taux,8))),-3)))))</f>
        <v>0</v>
      </c>
      <c r="O179" s="105">
        <f ca="1">IF(C179&gt;=70,0,IF($B179=" ",0,IF(Données!P219="non couvert"," ",Données!Q219)))</f>
        <v>0</v>
      </c>
      <c r="P179" s="106">
        <f>IF($B179=" ",0,IF(Données!$P270="exo",0,IF($O179="FAM",VLOOKUP($F179,taux,10),IF($O179="MONO",VLOOKUP($F179,taux,11),IF($O179="COUPLE",VLOOKUP($F179,taux,12),0)))))</f>
        <v>0</v>
      </c>
      <c r="Q179" s="107">
        <f ca="1">IF(C179&gt;=70,0,IF($B179=" ",0,IF(Données!$R219="NON COUVERT",0,ROUNDUP(IF(Données!$S219="OUI",MIN($E179*VLOOKUP($F179,taux,15)/52,VLOOKUP($F179,taux,17)),MIN($E179*VLOOKUP($F179,taux,15)/52,VLOOKUP($F179,taux,16))),0))))</f>
        <v>0</v>
      </c>
      <c r="R179" s="108">
        <f>IF($B179=" ",0,IF(Données!$R270="EXO",0,$Q179*VLOOKUP($F179,taux,13)/10))</f>
        <v>0</v>
      </c>
      <c r="S179" s="109">
        <f t="shared" ca="1" si="20"/>
        <v>0</v>
      </c>
      <c r="T179" s="110">
        <f>IF(B179=" ",0,IF(Données!$T270="exo",0,$S179*VLOOKUP($F179,taux,18)/100))</f>
        <v>0</v>
      </c>
      <c r="U179" s="109">
        <f>IF($B179=" ",0,IF(Données!$V270="non couvert",0,IF(VLOOKUP($F179,taux,29)="fixe","s/o",IF(Données!$W270="oui",MIN(ROUNDUP(VLOOKUP($F179,taux,31)*$E179,-3),VLOOKUP($F179,taux,33)),MIN(ROUNDUP(VLOOKUP($F179,taux,31)*$E179,-3),VLOOKUP($F179,taux,32))))))</f>
        <v>0</v>
      </c>
      <c r="V179" s="110">
        <f>IF(B179=" ",0,IF(Données!$V270="exo",0,IF(VLOOKUP($F179,taux,29)="fixe",VLOOKUP($F179,taux,30),$U179/1000*VLOOKUP($F179,taux,30))))</f>
        <v>0</v>
      </c>
      <c r="W179" s="110">
        <f t="shared" si="17"/>
        <v>0</v>
      </c>
      <c r="X179" s="383">
        <f>IF(B179=" ",0,EDATE((Données!E219),780))</f>
        <v>0</v>
      </c>
      <c r="Y179" s="383">
        <f t="shared" si="23"/>
        <v>0</v>
      </c>
      <c r="Z179" s="109">
        <f>IF($B179=" ",0,IF(Données!$T219="non couvert",0,IF(Données!$U219="oui",MIN(VLOOKUP($F179,taux,26),ROUNDUP(IF($E179/12&gt;VLOOKUP($F179,taux,21)+VLOOKUP($F179,taux,23),(VLOOKUP($F179,taux,20)*VLOOKUP($F179,taux,21))+(VLOOKUP($F179,taux,22)*VLOOKUP($F179,taux,23))+($E179/12-VLOOKUP($F179,taux,21)-VLOOKUP($F179,taux,23))*VLOOKUP($F179,taux,24),IF($E179/12&gt;VLOOKUP($F179,taux,21),(VLOOKUP($F179,taux,20)*VLOOKUP($F179,taux,21))+($E179/12-VLOOKUP($F179,taux,21))*VLOOKUP($F179,taux,22),$E179/12*VLOOKUP($F179,taux,20))),0)),MIN(VLOOKUP($F179,taux,25),ROUNDUP(IF($E179/12&gt;VLOOKUP($F179,taux,21)+VLOOKUP($F179,taux,23),(VLOOKUP($F179,taux,20)*VLOOKUP($F179,taux,21))+(VLOOKUP($F179,taux,22)*VLOOKUP($F179,taux,23))+($E179/12-VLOOKUP($F179,taux,21)-VLOOKUP($F179,taux,23))*VLOOKUP($F179,taux,24),IF($E179/12&gt;VLOOKUP($F179,taux,21),(VLOOKUP($F179,taux,20)*VLOOKUP($F179,taux,21))+($E179/12-VLOOKUP($F179,taux,21))*VLOOKUP($F179,taux,22),$E179/12*VLOOKUP($F179,taux,20))),0)))))</f>
        <v>0</v>
      </c>
      <c r="AA179" s="111">
        <f ca="1">IF(C179&gt;=70,0,IF($B179=" ",0,IF(Données!$X219="non couvert"," ",Données!Y219)))</f>
        <v>0</v>
      </c>
      <c r="AB179" s="110">
        <f>IF($B179=" ",0,IF(Données!$X270="exo",0,IF($AA179="ind",VLOOKUP($F179,taux,34),IF($AA179="fam",VLOOKUP($F179,taux,35),IF($AA179="mono",VLOOKUP($F179,taux,36),IF($AA179="couple",VLOOKUP($F179,taux,37),0))))))</f>
        <v>0</v>
      </c>
      <c r="AC179" s="111">
        <f ca="1">IF(C179&gt;=70,0,IF($B179=" ",0,IF(Données!$Z219="non couvert"," ",Données!AA219)))</f>
        <v>0</v>
      </c>
      <c r="AD179" s="110">
        <f>IF($B179=" ",0,IF(Données!$Z270="exo",0,IF($AC179="ind",VLOOKUP($F179,taux,38),IF($AC179="fam",VLOOKUP($F179,taux,39),IF($AC179="mono",VLOOKUP($F179,taux,40),IF($AC179="couple",VLOOKUP($F179,taux,41),0))))))</f>
        <v>0</v>
      </c>
      <c r="AE179" s="112">
        <f>IF($B179=" ",0,IF(Données!$AB270="non couvert"," ",Données!AC270))</f>
        <v>0</v>
      </c>
      <c r="AF179" s="113">
        <f>IF($B179=" ",0,IF(Données!$AB270="exo",0,IF($AE179="ind",VLOOKUP($F179,taux,42),IF($AE179="fam",VLOOKUP($F179,taux,43),IF($AE179="mono",VLOOKUP($F179,taux,44),IF($AE179="couple",VLOOKUP($F179,taux,45),0))))))</f>
        <v>0</v>
      </c>
      <c r="AG179" s="114">
        <f t="shared" ca="1" si="24"/>
        <v>0</v>
      </c>
      <c r="AH179" s="114">
        <f>IF($B179=" ",0,IF(Données!J219="Manitoba",(Facture!H179+Facture!J179+Facture!L179+Facture!P179+Facture!R179+Facture!T179)*0.08,(AG179-W179)*IF(Données!$J219="qc",0.09,IF(Données!$J219="on",0.08,0))+W179*VLOOKUP($F179,taux,28)))</f>
        <v>0</v>
      </c>
      <c r="AI179" s="106">
        <f t="shared" ca="1" si="22"/>
        <v>0</v>
      </c>
    </row>
    <row r="180" spans="1:35" s="64" customFormat="1">
      <c r="A180" s="90">
        <f t="shared" si="21"/>
        <v>166</v>
      </c>
      <c r="B180" s="99" t="str">
        <f>CONCATENATE(Données!B271," ",Données!C271)</f>
        <v xml:space="preserve"> </v>
      </c>
      <c r="C180" s="410">
        <f ca="1">IF(B180="",0,INT((TODAY()-Données!E220)/365.25))</f>
        <v>119</v>
      </c>
      <c r="D180" s="100">
        <f>Données!D271</f>
        <v>0</v>
      </c>
      <c r="E180" s="101">
        <f>Données!I271</f>
        <v>0</v>
      </c>
      <c r="F180" s="102">
        <f>Données!AD271</f>
        <v>0</v>
      </c>
      <c r="G180" s="103">
        <f ca="1">INDEX({1;0.5;0},MATCH(C180,{1;65;70}))*M180</f>
        <v>0</v>
      </c>
      <c r="H180" s="104">
        <f>IF($B180=" ",0,IF(Données!$K271="exo",0,$G180/1000*VLOOKUP($F180,taux,2)))</f>
        <v>0</v>
      </c>
      <c r="I180" s="398">
        <f ca="1">IF(C180&gt;=65,0,Données!M220*5000)</f>
        <v>0</v>
      </c>
      <c r="J180" s="104">
        <f ca="1">I180/1000*(IF(I180=0,0,1)*VLOOKUP((1+(C180&gt;=20)+(C180&gt;=25)+(C180&gt;=30)+(C180&gt;=35)+(C180&gt;=40)+(C180&gt;=45)+(C180&gt;=50)+(C180&gt;=55)+(C180&gt;=60)+(C180&gt;=65)),Test,2+(IF(Données!F220="H",1,3))+(IF(Données!G220="F",1,0))))</f>
        <v>0</v>
      </c>
      <c r="K180" s="103">
        <f ca="1">INDEX({1;0.5;0},MATCH(C180,{1;65;70}))*M180</f>
        <v>0</v>
      </c>
      <c r="L180" s="104">
        <f>IF($B180=" ",0,IF(Données!$N271="exo",0,$K180/1000*VLOOKUP($F180,taux,6)))</f>
        <v>0</v>
      </c>
      <c r="M180" s="379">
        <f>IF($B180=" ",0,IF(Données!$K220="NON COUVERT",0,IF(AND(Données!$L220="oui",Données!$K220=0.5),MIN(VLOOKUP($F180,taux,5)/2,ROUNDUP(VLOOKUP($F180,taux,3)*$E180,-3)/2),IF(Données!$K220=0.5,MIN(VLOOKUP($F180,taux,4)/2,ROUNDUP(VLOOKUP($F180,taux,3)*$E180,-3)/2),ROUNDUP(IF(Données!$L220="OUI",MIN(VLOOKUP($F180,taux,3)*$E180,VLOOKUP($F180,taux,5)),MIN(VLOOKUP($F180,taux,3)*$E180,VLOOKUP($F180,taux,4))),-3)))))</f>
        <v>0</v>
      </c>
      <c r="N180" s="379">
        <f>IF($B180=" ",0,IF(Données!$N220="NON COUVERT",0,IF(AND(Données!$O220="oui",Données!$N220=0.5),MIN(VLOOKUP($F180,taux,9)/2,ROUNDUP(VLOOKUP($F180,taux,7)*$E180,-3)/2),IF(Données!$N220=0.5,MIN(VLOOKUP($F180,taux,8)/2,ROUNDUP(VLOOKUP($F180,taux,7)*$E180,-3)/2),ROUNDUP(IF(Données!$O220="OUI",MIN(VLOOKUP($F180,taux,7)*$E180,VLOOKUP($F180,taux,9)),MIN(VLOOKUP($F180,taux,7)*$E180,VLOOKUP($F180,taux,8))),-3)))))</f>
        <v>0</v>
      </c>
      <c r="O180" s="105">
        <f ca="1">IF(C180&gt;=70,0,IF($B180=" ",0,IF(Données!P220="non couvert"," ",Données!Q220)))</f>
        <v>0</v>
      </c>
      <c r="P180" s="106">
        <f>IF($B180=" ",0,IF(Données!$P271="exo",0,IF($O180="FAM",VLOOKUP($F180,taux,10),IF($O180="MONO",VLOOKUP($F180,taux,11),IF($O180="COUPLE",VLOOKUP($F180,taux,12),0)))))</f>
        <v>0</v>
      </c>
      <c r="Q180" s="107">
        <f ca="1">IF(C180&gt;=70,0,IF($B180=" ",0,IF(Données!$R220="NON COUVERT",0,ROUNDUP(IF(Données!$S220="OUI",MIN($E180*VLOOKUP($F180,taux,15)/52,VLOOKUP($F180,taux,17)),MIN($E180*VLOOKUP($F180,taux,15)/52,VLOOKUP($F180,taux,16))),0))))</f>
        <v>0</v>
      </c>
      <c r="R180" s="108">
        <f>IF($B180=" ",0,IF(Données!$R271="EXO",0,$Q180*VLOOKUP($F180,taux,13)/10))</f>
        <v>0</v>
      </c>
      <c r="S180" s="109">
        <f t="shared" ca="1" si="20"/>
        <v>0</v>
      </c>
      <c r="T180" s="110">
        <f>IF(B180=" ",0,IF(Données!$T271="exo",0,$S180*VLOOKUP($F180,taux,18)/100))</f>
        <v>0</v>
      </c>
      <c r="U180" s="109">
        <f>IF($B180=" ",0,IF(Données!$V271="non couvert",0,IF(VLOOKUP($F180,taux,29)="fixe","s/o",IF(Données!$W271="oui",MIN(ROUNDUP(VLOOKUP($F180,taux,31)*$E180,-3),VLOOKUP($F180,taux,33)),MIN(ROUNDUP(VLOOKUP($F180,taux,31)*$E180,-3),VLOOKUP($F180,taux,32))))))</f>
        <v>0</v>
      </c>
      <c r="V180" s="110">
        <f>IF(B180=" ",0,IF(Données!$V271="exo",0,IF(VLOOKUP($F180,taux,29)="fixe",VLOOKUP($F180,taux,30),$U180/1000*VLOOKUP($F180,taux,30))))</f>
        <v>0</v>
      </c>
      <c r="W180" s="110">
        <f t="shared" si="17"/>
        <v>0</v>
      </c>
      <c r="X180" s="383">
        <f>IF(B180=" ",0,EDATE((Données!E220),780))</f>
        <v>0</v>
      </c>
      <c r="Y180" s="383">
        <f t="shared" si="23"/>
        <v>0</v>
      </c>
      <c r="Z180" s="109">
        <f>IF($B180=" ",0,IF(Données!$T220="non couvert",0,IF(Données!$U220="oui",MIN(VLOOKUP($F180,taux,26),ROUNDUP(IF($E180/12&gt;VLOOKUP($F180,taux,21)+VLOOKUP($F180,taux,23),(VLOOKUP($F180,taux,20)*VLOOKUP($F180,taux,21))+(VLOOKUP($F180,taux,22)*VLOOKUP($F180,taux,23))+($E180/12-VLOOKUP($F180,taux,21)-VLOOKUP($F180,taux,23))*VLOOKUP($F180,taux,24),IF($E180/12&gt;VLOOKUP($F180,taux,21),(VLOOKUP($F180,taux,20)*VLOOKUP($F180,taux,21))+($E180/12-VLOOKUP($F180,taux,21))*VLOOKUP($F180,taux,22),$E180/12*VLOOKUP($F180,taux,20))),0)),MIN(VLOOKUP($F180,taux,25),ROUNDUP(IF($E180/12&gt;VLOOKUP($F180,taux,21)+VLOOKUP($F180,taux,23),(VLOOKUP($F180,taux,20)*VLOOKUP($F180,taux,21))+(VLOOKUP($F180,taux,22)*VLOOKUP($F180,taux,23))+($E180/12-VLOOKUP($F180,taux,21)-VLOOKUP($F180,taux,23))*VLOOKUP($F180,taux,24),IF($E180/12&gt;VLOOKUP($F180,taux,21),(VLOOKUP($F180,taux,20)*VLOOKUP($F180,taux,21))+($E180/12-VLOOKUP($F180,taux,21))*VLOOKUP($F180,taux,22),$E180/12*VLOOKUP($F180,taux,20))),0)))))</f>
        <v>0</v>
      </c>
      <c r="AA180" s="111">
        <f ca="1">IF(C180&gt;=70,0,IF($B180=" ",0,IF(Données!$X220="non couvert"," ",Données!Y220)))</f>
        <v>0</v>
      </c>
      <c r="AB180" s="110">
        <f>IF($B180=" ",0,IF(Données!$X271="exo",0,IF($AA180="ind",VLOOKUP($F180,taux,34),IF($AA180="fam",VLOOKUP($F180,taux,35),IF($AA180="mono",VLOOKUP($F180,taux,36),IF($AA180="couple",VLOOKUP($F180,taux,37),0))))))</f>
        <v>0</v>
      </c>
      <c r="AC180" s="111">
        <f ca="1">IF(C180&gt;=70,0,IF($B180=" ",0,IF(Données!$Z220="non couvert"," ",Données!AA220)))</f>
        <v>0</v>
      </c>
      <c r="AD180" s="110">
        <f>IF($B180=" ",0,IF(Données!$Z271="exo",0,IF($AC180="ind",VLOOKUP($F180,taux,38),IF($AC180="fam",VLOOKUP($F180,taux,39),IF($AC180="mono",VLOOKUP($F180,taux,40),IF($AC180="couple",VLOOKUP($F180,taux,41),0))))))</f>
        <v>0</v>
      </c>
      <c r="AE180" s="112">
        <f>IF($B180=" ",0,IF(Données!$AB271="non couvert"," ",Données!AC271))</f>
        <v>0</v>
      </c>
      <c r="AF180" s="113">
        <f>IF($B180=" ",0,IF(Données!$AB271="exo",0,IF($AE180="ind",VLOOKUP($F180,taux,42),IF($AE180="fam",VLOOKUP($F180,taux,43),IF($AE180="mono",VLOOKUP($F180,taux,44),IF($AE180="couple",VLOOKUP($F180,taux,45),0))))))</f>
        <v>0</v>
      </c>
      <c r="AG180" s="114">
        <f t="shared" ca="1" si="24"/>
        <v>0</v>
      </c>
      <c r="AH180" s="114">
        <f>IF($B180=" ",0,IF(Données!J220="Manitoba",(Facture!H180+Facture!J180+Facture!L180+Facture!P180+Facture!R180+Facture!T180)*0.08,(AG180-W180)*IF(Données!$J220="qc",0.09,IF(Données!$J220="on",0.08,0))+W180*VLOOKUP($F180,taux,28)))</f>
        <v>0</v>
      </c>
      <c r="AI180" s="106">
        <f t="shared" ca="1" si="22"/>
        <v>0</v>
      </c>
    </row>
    <row r="181" spans="1:35" s="64" customFormat="1">
      <c r="A181" s="90">
        <f t="shared" si="21"/>
        <v>167</v>
      </c>
      <c r="B181" s="99" t="str">
        <f>CONCATENATE(Données!B272," ",Données!C272)</f>
        <v xml:space="preserve"> </v>
      </c>
      <c r="C181" s="410">
        <f ca="1">IF(B181="",0,INT((TODAY()-Données!E221)/365.25))</f>
        <v>119</v>
      </c>
      <c r="D181" s="100">
        <f>Données!D272</f>
        <v>0</v>
      </c>
      <c r="E181" s="101">
        <f>Données!I272</f>
        <v>0</v>
      </c>
      <c r="F181" s="102">
        <f>Données!AD272</f>
        <v>0</v>
      </c>
      <c r="G181" s="103">
        <f ca="1">INDEX({1;0.5;0},MATCH(C181,{1;65;70}))*M181</f>
        <v>0</v>
      </c>
      <c r="H181" s="104">
        <f>IF($B181=" ",0,IF(Données!$K272="exo",0,$G181/1000*VLOOKUP($F181,taux,2)))</f>
        <v>0</v>
      </c>
      <c r="I181" s="398">
        <f ca="1">IF(C181&gt;=65,0,Données!M221*5000)</f>
        <v>0</v>
      </c>
      <c r="J181" s="104">
        <f ca="1">I181/1000*(IF(I181=0,0,1)*VLOOKUP((1+(C181&gt;=20)+(C181&gt;=25)+(C181&gt;=30)+(C181&gt;=35)+(C181&gt;=40)+(C181&gt;=45)+(C181&gt;=50)+(C181&gt;=55)+(C181&gt;=60)+(C181&gt;=65)),Test,2+(IF(Données!F221="H",1,3))+(IF(Données!G221="F",1,0))))</f>
        <v>0</v>
      </c>
      <c r="K181" s="103">
        <f ca="1">INDEX({1;0.5;0},MATCH(C181,{1;65;70}))*M181</f>
        <v>0</v>
      </c>
      <c r="L181" s="104">
        <f>IF($B181=" ",0,IF(Données!$N272="exo",0,$K181/1000*VLOOKUP($F181,taux,6)))</f>
        <v>0</v>
      </c>
      <c r="M181" s="379">
        <f>IF($B181=" ",0,IF(Données!$K221="NON COUVERT",0,IF(AND(Données!$L221="oui",Données!$K221=0.5),MIN(VLOOKUP($F181,taux,5)/2,ROUNDUP(VLOOKUP($F181,taux,3)*$E181,-3)/2),IF(Données!$K221=0.5,MIN(VLOOKUP($F181,taux,4)/2,ROUNDUP(VLOOKUP($F181,taux,3)*$E181,-3)/2),ROUNDUP(IF(Données!$L221="OUI",MIN(VLOOKUP($F181,taux,3)*$E181,VLOOKUP($F181,taux,5)),MIN(VLOOKUP($F181,taux,3)*$E181,VLOOKUP($F181,taux,4))),-3)))))</f>
        <v>0</v>
      </c>
      <c r="N181" s="379">
        <f>IF($B181=" ",0,IF(Données!$N221="NON COUVERT",0,IF(AND(Données!$O221="oui",Données!$N221=0.5),MIN(VLOOKUP($F181,taux,9)/2,ROUNDUP(VLOOKUP($F181,taux,7)*$E181,-3)/2),IF(Données!$N221=0.5,MIN(VLOOKUP($F181,taux,8)/2,ROUNDUP(VLOOKUP($F181,taux,7)*$E181,-3)/2),ROUNDUP(IF(Données!$O221="OUI",MIN(VLOOKUP($F181,taux,7)*$E181,VLOOKUP($F181,taux,9)),MIN(VLOOKUP($F181,taux,7)*$E181,VLOOKUP($F181,taux,8))),-3)))))</f>
        <v>0</v>
      </c>
      <c r="O181" s="105">
        <f ca="1">IF(C181&gt;=70,0,IF($B181=" ",0,IF(Données!P221="non couvert"," ",Données!Q221)))</f>
        <v>0</v>
      </c>
      <c r="P181" s="106">
        <f>IF($B181=" ",0,IF(Données!$P272="exo",0,IF($O181="FAM",VLOOKUP($F181,taux,10),IF($O181="MONO",VLOOKUP($F181,taux,11),IF($O181="COUPLE",VLOOKUP($F181,taux,12),0)))))</f>
        <v>0</v>
      </c>
      <c r="Q181" s="107">
        <f ca="1">IF(C181&gt;=70,0,IF($B181=" ",0,IF(Données!$R221="NON COUVERT",0,ROUNDUP(IF(Données!$S221="OUI",MIN($E181*VLOOKUP($F181,taux,15)/52,VLOOKUP($F181,taux,17)),MIN($E181*VLOOKUP($F181,taux,15)/52,VLOOKUP($F181,taux,16))),0))))</f>
        <v>0</v>
      </c>
      <c r="R181" s="108">
        <f>IF($B181=" ",0,IF(Données!$R272="EXO",0,$Q181*VLOOKUP($F181,taux,13)/10))</f>
        <v>0</v>
      </c>
      <c r="S181" s="109">
        <f t="shared" ca="1" si="20"/>
        <v>0</v>
      </c>
      <c r="T181" s="110">
        <f>IF(B181=" ",0,IF(Données!$T272="exo",0,$S181*VLOOKUP($F181,taux,18)/100))</f>
        <v>0</v>
      </c>
      <c r="U181" s="109">
        <f>IF($B181=" ",0,IF(Données!$V272="non couvert",0,IF(VLOOKUP($F181,taux,29)="fixe","s/o",IF(Données!$W272="oui",MIN(ROUNDUP(VLOOKUP($F181,taux,31)*$E181,-3),VLOOKUP($F181,taux,33)),MIN(ROUNDUP(VLOOKUP($F181,taux,31)*$E181,-3),VLOOKUP($F181,taux,32))))))</f>
        <v>0</v>
      </c>
      <c r="V181" s="110">
        <f>IF(B181=" ",0,IF(Données!$V272="exo",0,IF(VLOOKUP($F181,taux,29)="fixe",VLOOKUP($F181,taux,30),$U181/1000*VLOOKUP($F181,taux,30))))</f>
        <v>0</v>
      </c>
      <c r="W181" s="110">
        <f t="shared" si="17"/>
        <v>0</v>
      </c>
      <c r="X181" s="383">
        <f>IF(B181=" ",0,EDATE((Données!E221),780))</f>
        <v>0</v>
      </c>
      <c r="Y181" s="383">
        <f t="shared" si="23"/>
        <v>0</v>
      </c>
      <c r="Z181" s="109">
        <f>IF($B181=" ",0,IF(Données!$T221="non couvert",0,IF(Données!$U221="oui",MIN(VLOOKUP($F181,taux,26),ROUNDUP(IF($E181/12&gt;VLOOKUP($F181,taux,21)+VLOOKUP($F181,taux,23),(VLOOKUP($F181,taux,20)*VLOOKUP($F181,taux,21))+(VLOOKUP($F181,taux,22)*VLOOKUP($F181,taux,23))+($E181/12-VLOOKUP($F181,taux,21)-VLOOKUP($F181,taux,23))*VLOOKUP($F181,taux,24),IF($E181/12&gt;VLOOKUP($F181,taux,21),(VLOOKUP($F181,taux,20)*VLOOKUP($F181,taux,21))+($E181/12-VLOOKUP($F181,taux,21))*VLOOKUP($F181,taux,22),$E181/12*VLOOKUP($F181,taux,20))),0)),MIN(VLOOKUP($F181,taux,25),ROUNDUP(IF($E181/12&gt;VLOOKUP($F181,taux,21)+VLOOKUP($F181,taux,23),(VLOOKUP($F181,taux,20)*VLOOKUP($F181,taux,21))+(VLOOKUP($F181,taux,22)*VLOOKUP($F181,taux,23))+($E181/12-VLOOKUP($F181,taux,21)-VLOOKUP($F181,taux,23))*VLOOKUP($F181,taux,24),IF($E181/12&gt;VLOOKUP($F181,taux,21),(VLOOKUP($F181,taux,20)*VLOOKUP($F181,taux,21))+($E181/12-VLOOKUP($F181,taux,21))*VLOOKUP($F181,taux,22),$E181/12*VLOOKUP($F181,taux,20))),0)))))</f>
        <v>0</v>
      </c>
      <c r="AA181" s="111">
        <f ca="1">IF(C181&gt;=70,0,IF($B181=" ",0,IF(Données!$X221="non couvert"," ",Données!Y221)))</f>
        <v>0</v>
      </c>
      <c r="AB181" s="110">
        <f>IF($B181=" ",0,IF(Données!$X272="exo",0,IF($AA181="ind",VLOOKUP($F181,taux,34),IF($AA181="fam",VLOOKUP($F181,taux,35),IF($AA181="mono",VLOOKUP($F181,taux,36),IF($AA181="couple",VLOOKUP($F181,taux,37),0))))))</f>
        <v>0</v>
      </c>
      <c r="AC181" s="111">
        <f ca="1">IF(C181&gt;=70,0,IF($B181=" ",0,IF(Données!$Z221="non couvert"," ",Données!AA221)))</f>
        <v>0</v>
      </c>
      <c r="AD181" s="110">
        <f>IF($B181=" ",0,IF(Données!$Z272="exo",0,IF($AC181="ind",VLOOKUP($F181,taux,38),IF($AC181="fam",VLOOKUP($F181,taux,39),IF($AC181="mono",VLOOKUP($F181,taux,40),IF($AC181="couple",VLOOKUP($F181,taux,41),0))))))</f>
        <v>0</v>
      </c>
      <c r="AE181" s="112">
        <f>IF($B181=" ",0,IF(Données!$AB272="non couvert"," ",Données!AC272))</f>
        <v>0</v>
      </c>
      <c r="AF181" s="113">
        <f>IF($B181=" ",0,IF(Données!$AB272="exo",0,IF($AE181="ind",VLOOKUP($F181,taux,42),IF($AE181="fam",VLOOKUP($F181,taux,43),IF($AE181="mono",VLOOKUP($F181,taux,44),IF($AE181="couple",VLOOKUP($F181,taux,45),0))))))</f>
        <v>0</v>
      </c>
      <c r="AG181" s="114">
        <f t="shared" ca="1" si="24"/>
        <v>0</v>
      </c>
      <c r="AH181" s="114">
        <f>IF($B181=" ",0,IF(Données!J221="Manitoba",(Facture!H181+Facture!J181+Facture!L181+Facture!P181+Facture!R181+Facture!T181)*0.08,(AG181-W181)*IF(Données!$J221="qc",0.09,IF(Données!$J221="on",0.08,0))+W181*VLOOKUP($F181,taux,28)))</f>
        <v>0</v>
      </c>
      <c r="AI181" s="106">
        <f t="shared" ca="1" si="22"/>
        <v>0</v>
      </c>
    </row>
    <row r="182" spans="1:35" s="64" customFormat="1">
      <c r="A182" s="90">
        <f t="shared" si="21"/>
        <v>168</v>
      </c>
      <c r="B182" s="99" t="str">
        <f>CONCATENATE(Données!B273," ",Données!C273)</f>
        <v xml:space="preserve"> </v>
      </c>
      <c r="C182" s="410">
        <f ca="1">IF(B182="",0,INT((TODAY()-Données!E222)/365.25))</f>
        <v>119</v>
      </c>
      <c r="D182" s="100">
        <f>Données!D273</f>
        <v>0</v>
      </c>
      <c r="E182" s="101">
        <f>Données!I273</f>
        <v>0</v>
      </c>
      <c r="F182" s="102">
        <f>Données!AD273</f>
        <v>0</v>
      </c>
      <c r="G182" s="103">
        <f ca="1">INDEX({1;0.5;0},MATCH(C182,{1;65;70}))*M182</f>
        <v>0</v>
      </c>
      <c r="H182" s="104">
        <f>IF($B182=" ",0,IF(Données!$K273="exo",0,$G182/1000*VLOOKUP($F182,taux,2)))</f>
        <v>0</v>
      </c>
      <c r="I182" s="398">
        <f ca="1">IF(C182&gt;=65,0,Données!M222*5000)</f>
        <v>0</v>
      </c>
      <c r="J182" s="104">
        <f ca="1">I182/1000*(IF(I182=0,0,1)*VLOOKUP((1+(C182&gt;=20)+(C182&gt;=25)+(C182&gt;=30)+(C182&gt;=35)+(C182&gt;=40)+(C182&gt;=45)+(C182&gt;=50)+(C182&gt;=55)+(C182&gt;=60)+(C182&gt;=65)),Test,2+(IF(Données!F222="H",1,3))+(IF(Données!G222="F",1,0))))</f>
        <v>0</v>
      </c>
      <c r="K182" s="103">
        <f ca="1">INDEX({1;0.5;0},MATCH(C182,{1;65;70}))*M182</f>
        <v>0</v>
      </c>
      <c r="L182" s="104">
        <f>IF($B182=" ",0,IF(Données!$N273="exo",0,$K182/1000*VLOOKUP($F182,taux,6)))</f>
        <v>0</v>
      </c>
      <c r="M182" s="379">
        <f>IF($B182=" ",0,IF(Données!$K222="NON COUVERT",0,IF(AND(Données!$L222="oui",Données!$K222=0.5),MIN(VLOOKUP($F182,taux,5)/2,ROUNDUP(VLOOKUP($F182,taux,3)*$E182,-3)/2),IF(Données!$K222=0.5,MIN(VLOOKUP($F182,taux,4)/2,ROUNDUP(VLOOKUP($F182,taux,3)*$E182,-3)/2),ROUNDUP(IF(Données!$L222="OUI",MIN(VLOOKUP($F182,taux,3)*$E182,VLOOKUP($F182,taux,5)),MIN(VLOOKUP($F182,taux,3)*$E182,VLOOKUP($F182,taux,4))),-3)))))</f>
        <v>0</v>
      </c>
      <c r="N182" s="379">
        <f>IF($B182=" ",0,IF(Données!$N222="NON COUVERT",0,IF(AND(Données!$O222="oui",Données!$N222=0.5),MIN(VLOOKUP($F182,taux,9)/2,ROUNDUP(VLOOKUP($F182,taux,7)*$E182,-3)/2),IF(Données!$N222=0.5,MIN(VLOOKUP($F182,taux,8)/2,ROUNDUP(VLOOKUP($F182,taux,7)*$E182,-3)/2),ROUNDUP(IF(Données!$O222="OUI",MIN(VLOOKUP($F182,taux,7)*$E182,VLOOKUP($F182,taux,9)),MIN(VLOOKUP($F182,taux,7)*$E182,VLOOKUP($F182,taux,8))),-3)))))</f>
        <v>0</v>
      </c>
      <c r="O182" s="105">
        <f ca="1">IF(C182&gt;=70,0,IF($B182=" ",0,IF(Données!P222="non couvert"," ",Données!Q222)))</f>
        <v>0</v>
      </c>
      <c r="P182" s="106">
        <f>IF($B182=" ",0,IF(Données!$P273="exo",0,IF($O182="FAM",VLOOKUP($F182,taux,10),IF($O182="MONO",VLOOKUP($F182,taux,11),IF($O182="COUPLE",VLOOKUP($F182,taux,12),0)))))</f>
        <v>0</v>
      </c>
      <c r="Q182" s="107">
        <f ca="1">IF(C182&gt;=70,0,IF($B182=" ",0,IF(Données!$R222="NON COUVERT",0,ROUNDUP(IF(Données!$S222="OUI",MIN($E182*VLOOKUP($F182,taux,15)/52,VLOOKUP($F182,taux,17)),MIN($E182*VLOOKUP($F182,taux,15)/52,VLOOKUP($F182,taux,16))),0))))</f>
        <v>0</v>
      </c>
      <c r="R182" s="108">
        <f>IF($B182=" ",0,IF(Données!$R273="EXO",0,$Q182*VLOOKUP($F182,taux,13)/10))</f>
        <v>0</v>
      </c>
      <c r="S182" s="109">
        <f t="shared" ca="1" si="20"/>
        <v>0</v>
      </c>
      <c r="T182" s="110">
        <f>IF(B182=" ",0,IF(Données!$T273="exo",0,$S182*VLOOKUP($F182,taux,18)/100))</f>
        <v>0</v>
      </c>
      <c r="U182" s="109">
        <f>IF($B182=" ",0,IF(Données!$V273="non couvert",0,IF(VLOOKUP($F182,taux,29)="fixe","s/o",IF(Données!$W273="oui",MIN(ROUNDUP(VLOOKUP($F182,taux,31)*$E182,-3),VLOOKUP($F182,taux,33)),MIN(ROUNDUP(VLOOKUP($F182,taux,31)*$E182,-3),VLOOKUP($F182,taux,32))))))</f>
        <v>0</v>
      </c>
      <c r="V182" s="110">
        <f>IF(B182=" ",0,IF(Données!$V273="exo",0,IF(VLOOKUP($F182,taux,29)="fixe",VLOOKUP($F182,taux,30),$U182/1000*VLOOKUP($F182,taux,30))))</f>
        <v>0</v>
      </c>
      <c r="W182" s="110">
        <f t="shared" si="17"/>
        <v>0</v>
      </c>
      <c r="X182" s="383">
        <f>IF(B182=" ",0,EDATE((Données!E222),780))</f>
        <v>0</v>
      </c>
      <c r="Y182" s="383">
        <f t="shared" si="23"/>
        <v>0</v>
      </c>
      <c r="Z182" s="109">
        <f>IF($B182=" ",0,IF(Données!$T222="non couvert",0,IF(Données!$U222="oui",MIN(VLOOKUP($F182,taux,26),ROUNDUP(IF($E182/12&gt;VLOOKUP($F182,taux,21)+VLOOKUP($F182,taux,23),(VLOOKUP($F182,taux,20)*VLOOKUP($F182,taux,21))+(VLOOKUP($F182,taux,22)*VLOOKUP($F182,taux,23))+($E182/12-VLOOKUP($F182,taux,21)-VLOOKUP($F182,taux,23))*VLOOKUP($F182,taux,24),IF($E182/12&gt;VLOOKUP($F182,taux,21),(VLOOKUP($F182,taux,20)*VLOOKUP($F182,taux,21))+($E182/12-VLOOKUP($F182,taux,21))*VLOOKUP($F182,taux,22),$E182/12*VLOOKUP($F182,taux,20))),0)),MIN(VLOOKUP($F182,taux,25),ROUNDUP(IF($E182/12&gt;VLOOKUP($F182,taux,21)+VLOOKUP($F182,taux,23),(VLOOKUP($F182,taux,20)*VLOOKUP($F182,taux,21))+(VLOOKUP($F182,taux,22)*VLOOKUP($F182,taux,23))+($E182/12-VLOOKUP($F182,taux,21)-VLOOKUP($F182,taux,23))*VLOOKUP($F182,taux,24),IF($E182/12&gt;VLOOKUP($F182,taux,21),(VLOOKUP($F182,taux,20)*VLOOKUP($F182,taux,21))+($E182/12-VLOOKUP($F182,taux,21))*VLOOKUP($F182,taux,22),$E182/12*VLOOKUP($F182,taux,20))),0)))))</f>
        <v>0</v>
      </c>
      <c r="AA182" s="111">
        <f ca="1">IF(C182&gt;=70,0,IF($B182=" ",0,IF(Données!$X222="non couvert"," ",Données!Y222)))</f>
        <v>0</v>
      </c>
      <c r="AB182" s="110">
        <f>IF($B182=" ",0,IF(Données!$X273="exo",0,IF($AA182="ind",VLOOKUP($F182,taux,34),IF($AA182="fam",VLOOKUP($F182,taux,35),IF($AA182="mono",VLOOKUP($F182,taux,36),IF($AA182="couple",VLOOKUP($F182,taux,37),0))))))</f>
        <v>0</v>
      </c>
      <c r="AC182" s="111">
        <f ca="1">IF(C182&gt;=70,0,IF($B182=" ",0,IF(Données!$Z222="non couvert"," ",Données!AA222)))</f>
        <v>0</v>
      </c>
      <c r="AD182" s="110">
        <f>IF($B182=" ",0,IF(Données!$Z273="exo",0,IF($AC182="ind",VLOOKUP($F182,taux,38),IF($AC182="fam",VLOOKUP($F182,taux,39),IF($AC182="mono",VLOOKUP($F182,taux,40),IF($AC182="couple",VLOOKUP($F182,taux,41),0))))))</f>
        <v>0</v>
      </c>
      <c r="AE182" s="112">
        <f>IF($B182=" ",0,IF(Données!$AB273="non couvert"," ",Données!AC273))</f>
        <v>0</v>
      </c>
      <c r="AF182" s="113">
        <f>IF($B182=" ",0,IF(Données!$AB273="exo",0,IF($AE182="ind",VLOOKUP($F182,taux,42),IF($AE182="fam",VLOOKUP($F182,taux,43),IF($AE182="mono",VLOOKUP($F182,taux,44),IF($AE182="couple",VLOOKUP($F182,taux,45),0))))))</f>
        <v>0</v>
      </c>
      <c r="AG182" s="114">
        <f t="shared" ca="1" si="24"/>
        <v>0</v>
      </c>
      <c r="AH182" s="114">
        <f>IF($B182=" ",0,IF(Données!J222="Manitoba",(Facture!H182+Facture!J182+Facture!L182+Facture!P182+Facture!R182+Facture!T182)*0.08,(AG182-W182)*IF(Données!$J222="qc",0.09,IF(Données!$J222="on",0.08,0))+W182*VLOOKUP($F182,taux,28)))</f>
        <v>0</v>
      </c>
      <c r="AI182" s="106">
        <f t="shared" ca="1" si="22"/>
        <v>0</v>
      </c>
    </row>
    <row r="183" spans="1:35" s="64" customFormat="1">
      <c r="A183" s="90">
        <f t="shared" si="21"/>
        <v>169</v>
      </c>
      <c r="B183" s="99" t="str">
        <f>CONCATENATE(Données!B274," ",Données!C274)</f>
        <v xml:space="preserve"> </v>
      </c>
      <c r="C183" s="410">
        <f ca="1">IF(B183="",0,INT((TODAY()-Données!E223)/365.25))</f>
        <v>119</v>
      </c>
      <c r="D183" s="100">
        <f>Données!D274</f>
        <v>0</v>
      </c>
      <c r="E183" s="101">
        <f>Données!I274</f>
        <v>0</v>
      </c>
      <c r="F183" s="102">
        <f>Données!AD274</f>
        <v>0</v>
      </c>
      <c r="G183" s="103">
        <f ca="1">INDEX({1;0.5;0},MATCH(C183,{1;65;70}))*M183</f>
        <v>0</v>
      </c>
      <c r="H183" s="104">
        <f>IF($B183=" ",0,IF(Données!$K274="exo",0,$G183/1000*VLOOKUP($F183,taux,2)))</f>
        <v>0</v>
      </c>
      <c r="I183" s="398">
        <f ca="1">IF(C183&gt;=65,0,Données!M223*5000)</f>
        <v>0</v>
      </c>
      <c r="J183" s="104">
        <f ca="1">I183/1000*(IF(I183=0,0,1)*VLOOKUP((1+(C183&gt;=20)+(C183&gt;=25)+(C183&gt;=30)+(C183&gt;=35)+(C183&gt;=40)+(C183&gt;=45)+(C183&gt;=50)+(C183&gt;=55)+(C183&gt;=60)+(C183&gt;=65)),Test,2+(IF(Données!F223="H",1,3))+(IF(Données!G223="F",1,0))))</f>
        <v>0</v>
      </c>
      <c r="K183" s="103">
        <f ca="1">INDEX({1;0.5;0},MATCH(C183,{1;65;70}))*M183</f>
        <v>0</v>
      </c>
      <c r="L183" s="104">
        <f>IF($B183=" ",0,IF(Données!$N274="exo",0,$K183/1000*VLOOKUP($F183,taux,6)))</f>
        <v>0</v>
      </c>
      <c r="M183" s="379">
        <f>IF($B183=" ",0,IF(Données!$K223="NON COUVERT",0,IF(AND(Données!$L223="oui",Données!$K223=0.5),MIN(VLOOKUP($F183,taux,5)/2,ROUNDUP(VLOOKUP($F183,taux,3)*$E183,-3)/2),IF(Données!$K223=0.5,MIN(VLOOKUP($F183,taux,4)/2,ROUNDUP(VLOOKUP($F183,taux,3)*$E183,-3)/2),ROUNDUP(IF(Données!$L223="OUI",MIN(VLOOKUP($F183,taux,3)*$E183,VLOOKUP($F183,taux,5)),MIN(VLOOKUP($F183,taux,3)*$E183,VLOOKUP($F183,taux,4))),-3)))))</f>
        <v>0</v>
      </c>
      <c r="N183" s="379">
        <f>IF($B183=" ",0,IF(Données!$N223="NON COUVERT",0,IF(AND(Données!$O223="oui",Données!$N223=0.5),MIN(VLOOKUP($F183,taux,9)/2,ROUNDUP(VLOOKUP($F183,taux,7)*$E183,-3)/2),IF(Données!$N223=0.5,MIN(VLOOKUP($F183,taux,8)/2,ROUNDUP(VLOOKUP($F183,taux,7)*$E183,-3)/2),ROUNDUP(IF(Données!$O223="OUI",MIN(VLOOKUP($F183,taux,7)*$E183,VLOOKUP($F183,taux,9)),MIN(VLOOKUP($F183,taux,7)*$E183,VLOOKUP($F183,taux,8))),-3)))))</f>
        <v>0</v>
      </c>
      <c r="O183" s="105">
        <f ca="1">IF(C183&gt;=70,0,IF($B183=" ",0,IF(Données!P223="non couvert"," ",Données!Q223)))</f>
        <v>0</v>
      </c>
      <c r="P183" s="106">
        <f>IF($B183=" ",0,IF(Données!$P274="exo",0,IF($O183="FAM",VLOOKUP($F183,taux,10),IF($O183="MONO",VLOOKUP($F183,taux,11),IF($O183="COUPLE",VLOOKUP($F183,taux,12),0)))))</f>
        <v>0</v>
      </c>
      <c r="Q183" s="107">
        <f ca="1">IF(C183&gt;=70,0,IF($B183=" ",0,IF(Données!$R223="NON COUVERT",0,ROUNDUP(IF(Données!$S223="OUI",MIN($E183*VLOOKUP($F183,taux,15)/52,VLOOKUP($F183,taux,17)),MIN($E183*VLOOKUP($F183,taux,15)/52,VLOOKUP($F183,taux,16))),0))))</f>
        <v>0</v>
      </c>
      <c r="R183" s="108">
        <f>IF($B183=" ",0,IF(Données!$R274="EXO",0,$Q183*VLOOKUP($F183,taux,13)/10))</f>
        <v>0</v>
      </c>
      <c r="S183" s="109">
        <f t="shared" ca="1" si="20"/>
        <v>0</v>
      </c>
      <c r="T183" s="110">
        <f>IF(B183=" ",0,IF(Données!$T274="exo",0,$S183*VLOOKUP($F183,taux,18)/100))</f>
        <v>0</v>
      </c>
      <c r="U183" s="109">
        <f>IF($B183=" ",0,IF(Données!$V274="non couvert",0,IF(VLOOKUP($F183,taux,29)="fixe","s/o",IF(Données!$W274="oui",MIN(ROUNDUP(VLOOKUP($F183,taux,31)*$E183,-3),VLOOKUP($F183,taux,33)),MIN(ROUNDUP(VLOOKUP($F183,taux,31)*$E183,-3),VLOOKUP($F183,taux,32))))))</f>
        <v>0</v>
      </c>
      <c r="V183" s="110">
        <f>IF(B183=" ",0,IF(Données!$V274="exo",0,IF(VLOOKUP($F183,taux,29)="fixe",VLOOKUP($F183,taux,30),$U183/1000*VLOOKUP($F183,taux,30))))</f>
        <v>0</v>
      </c>
      <c r="W183" s="110">
        <f t="shared" si="17"/>
        <v>0</v>
      </c>
      <c r="X183" s="383">
        <f>IF(B183=" ",0,EDATE((Données!E223),780))</f>
        <v>0</v>
      </c>
      <c r="Y183" s="383">
        <f t="shared" si="23"/>
        <v>0</v>
      </c>
      <c r="Z183" s="109">
        <f>IF($B183=" ",0,IF(Données!$T223="non couvert",0,IF(Données!$U223="oui",MIN(VLOOKUP($F183,taux,26),ROUNDUP(IF($E183/12&gt;VLOOKUP($F183,taux,21)+VLOOKUP($F183,taux,23),(VLOOKUP($F183,taux,20)*VLOOKUP($F183,taux,21))+(VLOOKUP($F183,taux,22)*VLOOKUP($F183,taux,23))+($E183/12-VLOOKUP($F183,taux,21)-VLOOKUP($F183,taux,23))*VLOOKUP($F183,taux,24),IF($E183/12&gt;VLOOKUP($F183,taux,21),(VLOOKUP($F183,taux,20)*VLOOKUP($F183,taux,21))+($E183/12-VLOOKUP($F183,taux,21))*VLOOKUP($F183,taux,22),$E183/12*VLOOKUP($F183,taux,20))),0)),MIN(VLOOKUP($F183,taux,25),ROUNDUP(IF($E183/12&gt;VLOOKUP($F183,taux,21)+VLOOKUP($F183,taux,23),(VLOOKUP($F183,taux,20)*VLOOKUP($F183,taux,21))+(VLOOKUP($F183,taux,22)*VLOOKUP($F183,taux,23))+($E183/12-VLOOKUP($F183,taux,21)-VLOOKUP($F183,taux,23))*VLOOKUP($F183,taux,24),IF($E183/12&gt;VLOOKUP($F183,taux,21),(VLOOKUP($F183,taux,20)*VLOOKUP($F183,taux,21))+($E183/12-VLOOKUP($F183,taux,21))*VLOOKUP($F183,taux,22),$E183/12*VLOOKUP($F183,taux,20))),0)))))</f>
        <v>0</v>
      </c>
      <c r="AA183" s="111">
        <f ca="1">IF(C183&gt;=70,0,IF($B183=" ",0,IF(Données!$X223="non couvert"," ",Données!Y223)))</f>
        <v>0</v>
      </c>
      <c r="AB183" s="110">
        <f>IF($B183=" ",0,IF(Données!$X274="exo",0,IF($AA183="ind",VLOOKUP($F183,taux,34),IF($AA183="fam",VLOOKUP($F183,taux,35),IF($AA183="mono",VLOOKUP($F183,taux,36),IF($AA183="couple",VLOOKUP($F183,taux,37),0))))))</f>
        <v>0</v>
      </c>
      <c r="AC183" s="111">
        <f ca="1">IF(C183&gt;=70,0,IF($B183=" ",0,IF(Données!$Z223="non couvert"," ",Données!AA223)))</f>
        <v>0</v>
      </c>
      <c r="AD183" s="110">
        <f>IF($B183=" ",0,IF(Données!$Z274="exo",0,IF($AC183="ind",VLOOKUP($F183,taux,38),IF($AC183="fam",VLOOKUP($F183,taux,39),IF($AC183="mono",VLOOKUP($F183,taux,40),IF($AC183="couple",VLOOKUP($F183,taux,41),0))))))</f>
        <v>0</v>
      </c>
      <c r="AE183" s="112">
        <f>IF($B183=" ",0,IF(Données!$AB274="non couvert"," ",Données!AC274))</f>
        <v>0</v>
      </c>
      <c r="AF183" s="113">
        <f>IF($B183=" ",0,IF(Données!$AB274="exo",0,IF($AE183="ind",VLOOKUP($F183,taux,42),IF($AE183="fam",VLOOKUP($F183,taux,43),IF($AE183="mono",VLOOKUP($F183,taux,44),IF($AE183="couple",VLOOKUP($F183,taux,45),0))))))</f>
        <v>0</v>
      </c>
      <c r="AG183" s="114">
        <f t="shared" ca="1" si="24"/>
        <v>0</v>
      </c>
      <c r="AH183" s="114">
        <f>IF($B183=" ",0,IF(Données!J223="Manitoba",(Facture!H183+Facture!J183+Facture!L183+Facture!P183+Facture!R183+Facture!T183)*0.08,(AG183-W183)*IF(Données!$J223="qc",0.09,IF(Données!$J223="on",0.08,0))+W183*VLOOKUP($F183,taux,28)))</f>
        <v>0</v>
      </c>
      <c r="AI183" s="106">
        <f t="shared" ca="1" si="22"/>
        <v>0</v>
      </c>
    </row>
    <row r="184" spans="1:35" s="64" customFormat="1">
      <c r="A184" s="90">
        <f t="shared" si="21"/>
        <v>170</v>
      </c>
      <c r="B184" s="99" t="str">
        <f>CONCATENATE(Données!B275," ",Données!C275)</f>
        <v xml:space="preserve"> </v>
      </c>
      <c r="C184" s="410">
        <f ca="1">IF(B184="",0,INT((TODAY()-Données!E224)/365.25))</f>
        <v>119</v>
      </c>
      <c r="D184" s="100">
        <f>Données!D275</f>
        <v>0</v>
      </c>
      <c r="E184" s="101">
        <f>Données!I275</f>
        <v>0</v>
      </c>
      <c r="F184" s="102">
        <f>Données!AD275</f>
        <v>0</v>
      </c>
      <c r="G184" s="103">
        <f ca="1">INDEX({1;0.5;0},MATCH(C184,{1;65;70}))*M184</f>
        <v>0</v>
      </c>
      <c r="H184" s="104">
        <f>IF($B184=" ",0,IF(Données!$K275="exo",0,$G184/1000*VLOOKUP($F184,taux,2)))</f>
        <v>0</v>
      </c>
      <c r="I184" s="398">
        <f ca="1">IF(C184&gt;=65,0,Données!M224*5000)</f>
        <v>0</v>
      </c>
      <c r="J184" s="104">
        <f ca="1">I184/1000*(IF(I184=0,0,1)*VLOOKUP((1+(C184&gt;=20)+(C184&gt;=25)+(C184&gt;=30)+(C184&gt;=35)+(C184&gt;=40)+(C184&gt;=45)+(C184&gt;=50)+(C184&gt;=55)+(C184&gt;=60)+(C184&gt;=65)),Test,2+(IF(Données!F224="H",1,3))+(IF(Données!G224="F",1,0))))</f>
        <v>0</v>
      </c>
      <c r="K184" s="103">
        <f ca="1">INDEX({1;0.5;0},MATCH(C184,{1;65;70}))*M184</f>
        <v>0</v>
      </c>
      <c r="L184" s="104">
        <f>IF($B184=" ",0,IF(Données!$N275="exo",0,$K184/1000*VLOOKUP($F184,taux,6)))</f>
        <v>0</v>
      </c>
      <c r="M184" s="379">
        <f>IF($B184=" ",0,IF(Données!$K224="NON COUVERT",0,IF(AND(Données!$L224="oui",Données!$K224=0.5),MIN(VLOOKUP($F184,taux,5)/2,ROUNDUP(VLOOKUP($F184,taux,3)*$E184,-3)/2),IF(Données!$K224=0.5,MIN(VLOOKUP($F184,taux,4)/2,ROUNDUP(VLOOKUP($F184,taux,3)*$E184,-3)/2),ROUNDUP(IF(Données!$L224="OUI",MIN(VLOOKUP($F184,taux,3)*$E184,VLOOKUP($F184,taux,5)),MIN(VLOOKUP($F184,taux,3)*$E184,VLOOKUP($F184,taux,4))),-3)))))</f>
        <v>0</v>
      </c>
      <c r="N184" s="379">
        <f>IF($B184=" ",0,IF(Données!$N224="NON COUVERT",0,IF(AND(Données!$O224="oui",Données!$N224=0.5),MIN(VLOOKUP($F184,taux,9)/2,ROUNDUP(VLOOKUP($F184,taux,7)*$E184,-3)/2),IF(Données!$N224=0.5,MIN(VLOOKUP($F184,taux,8)/2,ROUNDUP(VLOOKUP($F184,taux,7)*$E184,-3)/2),ROUNDUP(IF(Données!$O224="OUI",MIN(VLOOKUP($F184,taux,7)*$E184,VLOOKUP($F184,taux,9)),MIN(VLOOKUP($F184,taux,7)*$E184,VLOOKUP($F184,taux,8))),-3)))))</f>
        <v>0</v>
      </c>
      <c r="O184" s="105">
        <f ca="1">IF(C184&gt;=70,0,IF($B184=" ",0,IF(Données!P224="non couvert"," ",Données!Q224)))</f>
        <v>0</v>
      </c>
      <c r="P184" s="106">
        <f>IF($B184=" ",0,IF(Données!$P275="exo",0,IF($O184="FAM",VLOOKUP($F184,taux,10),IF($O184="MONO",VLOOKUP($F184,taux,11),IF($O184="COUPLE",VLOOKUP($F184,taux,12),0)))))</f>
        <v>0</v>
      </c>
      <c r="Q184" s="107">
        <f ca="1">IF(C184&gt;=70,0,IF($B184=" ",0,IF(Données!$R224="NON COUVERT",0,ROUNDUP(IF(Données!$S224="OUI",MIN($E184*VLOOKUP($F184,taux,15)/52,VLOOKUP($F184,taux,17)),MIN($E184*VLOOKUP($F184,taux,15)/52,VLOOKUP($F184,taux,16))),0))))</f>
        <v>0</v>
      </c>
      <c r="R184" s="108">
        <f>IF($B184=" ",0,IF(Données!$R275="EXO",0,$Q184*VLOOKUP($F184,taux,13)/10))</f>
        <v>0</v>
      </c>
      <c r="S184" s="109">
        <f t="shared" ca="1" si="20"/>
        <v>0</v>
      </c>
      <c r="T184" s="110">
        <f>IF(B184=" ",0,IF(Données!$T275="exo",0,$S184*VLOOKUP($F184,taux,18)/100))</f>
        <v>0</v>
      </c>
      <c r="U184" s="109">
        <f>IF($B184=" ",0,IF(Données!$V275="non couvert",0,IF(VLOOKUP($F184,taux,29)="fixe","s/o",IF(Données!$W275="oui",MIN(ROUNDUP(VLOOKUP($F184,taux,31)*$E184,-3),VLOOKUP($F184,taux,33)),MIN(ROUNDUP(VLOOKUP($F184,taux,31)*$E184,-3),VLOOKUP($F184,taux,32))))))</f>
        <v>0</v>
      </c>
      <c r="V184" s="110">
        <f>IF(B184=" ",0,IF(Données!$V275="exo",0,IF(VLOOKUP($F184,taux,29)="fixe",VLOOKUP($F184,taux,30),$U184/1000*VLOOKUP($F184,taux,30))))</f>
        <v>0</v>
      </c>
      <c r="W184" s="110">
        <f t="shared" si="17"/>
        <v>0</v>
      </c>
      <c r="X184" s="383">
        <f>IF(B184=" ",0,EDATE((Données!E224),780))</f>
        <v>0</v>
      </c>
      <c r="Y184" s="383">
        <f t="shared" si="23"/>
        <v>0</v>
      </c>
      <c r="Z184" s="109">
        <f>IF($B184=" ",0,IF(Données!$T224="non couvert",0,IF(Données!$U224="oui",MIN(VLOOKUP($F184,taux,26),ROUNDUP(IF($E184/12&gt;VLOOKUP($F184,taux,21)+VLOOKUP($F184,taux,23),(VLOOKUP($F184,taux,20)*VLOOKUP($F184,taux,21))+(VLOOKUP($F184,taux,22)*VLOOKUP($F184,taux,23))+($E184/12-VLOOKUP($F184,taux,21)-VLOOKUP($F184,taux,23))*VLOOKUP($F184,taux,24),IF($E184/12&gt;VLOOKUP($F184,taux,21),(VLOOKUP($F184,taux,20)*VLOOKUP($F184,taux,21))+($E184/12-VLOOKUP($F184,taux,21))*VLOOKUP($F184,taux,22),$E184/12*VLOOKUP($F184,taux,20))),0)),MIN(VLOOKUP($F184,taux,25),ROUNDUP(IF($E184/12&gt;VLOOKUP($F184,taux,21)+VLOOKUP($F184,taux,23),(VLOOKUP($F184,taux,20)*VLOOKUP($F184,taux,21))+(VLOOKUP($F184,taux,22)*VLOOKUP($F184,taux,23))+($E184/12-VLOOKUP($F184,taux,21)-VLOOKUP($F184,taux,23))*VLOOKUP($F184,taux,24),IF($E184/12&gt;VLOOKUP($F184,taux,21),(VLOOKUP($F184,taux,20)*VLOOKUP($F184,taux,21))+($E184/12-VLOOKUP($F184,taux,21))*VLOOKUP($F184,taux,22),$E184/12*VLOOKUP($F184,taux,20))),0)))))</f>
        <v>0</v>
      </c>
      <c r="AA184" s="111">
        <f ca="1">IF(C184&gt;=70,0,IF($B184=" ",0,IF(Données!$X224="non couvert"," ",Données!Y224)))</f>
        <v>0</v>
      </c>
      <c r="AB184" s="110">
        <f>IF($B184=" ",0,IF(Données!$X275="exo",0,IF($AA184="ind",VLOOKUP($F184,taux,34),IF($AA184="fam",VLOOKUP($F184,taux,35),IF($AA184="mono",VLOOKUP($F184,taux,36),IF($AA184="couple",VLOOKUP($F184,taux,37),0))))))</f>
        <v>0</v>
      </c>
      <c r="AC184" s="111">
        <f ca="1">IF(C184&gt;=70,0,IF($B184=" ",0,IF(Données!$Z224="non couvert"," ",Données!AA224)))</f>
        <v>0</v>
      </c>
      <c r="AD184" s="110">
        <f>IF($B184=" ",0,IF(Données!$Z275="exo",0,IF($AC184="ind",VLOOKUP($F184,taux,38),IF($AC184="fam",VLOOKUP($F184,taux,39),IF($AC184="mono",VLOOKUP($F184,taux,40),IF($AC184="couple",VLOOKUP($F184,taux,41),0))))))</f>
        <v>0</v>
      </c>
      <c r="AE184" s="112">
        <f>IF($B184=" ",0,IF(Données!$AB275="non couvert"," ",Données!AC275))</f>
        <v>0</v>
      </c>
      <c r="AF184" s="113">
        <f>IF($B184=" ",0,IF(Données!$AB275="exo",0,IF($AE184="ind",VLOOKUP($F184,taux,42),IF($AE184="fam",VLOOKUP($F184,taux,43),IF($AE184="mono",VLOOKUP($F184,taux,44),IF($AE184="couple",VLOOKUP($F184,taux,45),0))))))</f>
        <v>0</v>
      </c>
      <c r="AG184" s="114">
        <f t="shared" ca="1" si="24"/>
        <v>0</v>
      </c>
      <c r="AH184" s="114">
        <f>IF($B184=" ",0,IF(Données!J224="Manitoba",(Facture!H184+Facture!J184+Facture!L184+Facture!P184+Facture!R184+Facture!T184)*0.08,(AG184-W184)*IF(Données!$J224="qc",0.09,IF(Données!$J224="on",0.08,0))+W184*VLOOKUP($F184,taux,28)))</f>
        <v>0</v>
      </c>
      <c r="AI184" s="106">
        <f t="shared" ca="1" si="22"/>
        <v>0</v>
      </c>
    </row>
    <row r="185" spans="1:35" s="64" customFormat="1">
      <c r="A185" s="90">
        <f t="shared" si="21"/>
        <v>171</v>
      </c>
      <c r="B185" s="99" t="str">
        <f>CONCATENATE(Données!B276," ",Données!C276)</f>
        <v xml:space="preserve"> </v>
      </c>
      <c r="C185" s="410">
        <f ca="1">IF(B185="",0,INT((TODAY()-Données!E225)/365.25))</f>
        <v>119</v>
      </c>
      <c r="D185" s="100">
        <f>Données!D276</f>
        <v>0</v>
      </c>
      <c r="E185" s="101">
        <f>Données!I276</f>
        <v>0</v>
      </c>
      <c r="F185" s="102">
        <f>Données!AD276</f>
        <v>0</v>
      </c>
      <c r="G185" s="103">
        <f ca="1">INDEX({1;0.5;0},MATCH(C185,{1;65;70}))*M185</f>
        <v>0</v>
      </c>
      <c r="H185" s="104">
        <f>IF($B185=" ",0,IF(Données!$K276="exo",0,$G185/1000*VLOOKUP($F185,taux,2)))</f>
        <v>0</v>
      </c>
      <c r="I185" s="398">
        <f ca="1">IF(C185&gt;=65,0,Données!M225*5000)</f>
        <v>0</v>
      </c>
      <c r="J185" s="104">
        <f ca="1">I185/1000*(IF(I185=0,0,1)*VLOOKUP((1+(C185&gt;=20)+(C185&gt;=25)+(C185&gt;=30)+(C185&gt;=35)+(C185&gt;=40)+(C185&gt;=45)+(C185&gt;=50)+(C185&gt;=55)+(C185&gt;=60)+(C185&gt;=65)),Test,2+(IF(Données!F225="H",1,3))+(IF(Données!G225="F",1,0))))</f>
        <v>0</v>
      </c>
      <c r="K185" s="103">
        <f ca="1">INDEX({1;0.5;0},MATCH(C185,{1;65;70}))*M185</f>
        <v>0</v>
      </c>
      <c r="L185" s="104">
        <f>IF($B185=" ",0,IF(Données!$N276="exo",0,$K185/1000*VLOOKUP($F185,taux,6)))</f>
        <v>0</v>
      </c>
      <c r="M185" s="379">
        <f>IF($B185=" ",0,IF(Données!$K225="NON COUVERT",0,IF(AND(Données!$L225="oui",Données!$K225=0.5),MIN(VLOOKUP($F185,taux,5)/2,ROUNDUP(VLOOKUP($F185,taux,3)*$E185,-3)/2),IF(Données!$K225=0.5,MIN(VLOOKUP($F185,taux,4)/2,ROUNDUP(VLOOKUP($F185,taux,3)*$E185,-3)/2),ROUNDUP(IF(Données!$L225="OUI",MIN(VLOOKUP($F185,taux,3)*$E185,VLOOKUP($F185,taux,5)),MIN(VLOOKUP($F185,taux,3)*$E185,VLOOKUP($F185,taux,4))),-3)))))</f>
        <v>0</v>
      </c>
      <c r="N185" s="379">
        <f>IF($B185=" ",0,IF(Données!$N225="NON COUVERT",0,IF(AND(Données!$O225="oui",Données!$N225=0.5),MIN(VLOOKUP($F185,taux,9)/2,ROUNDUP(VLOOKUP($F185,taux,7)*$E185,-3)/2),IF(Données!$N225=0.5,MIN(VLOOKUP($F185,taux,8)/2,ROUNDUP(VLOOKUP($F185,taux,7)*$E185,-3)/2),ROUNDUP(IF(Données!$O225="OUI",MIN(VLOOKUP($F185,taux,7)*$E185,VLOOKUP($F185,taux,9)),MIN(VLOOKUP($F185,taux,7)*$E185,VLOOKUP($F185,taux,8))),-3)))))</f>
        <v>0</v>
      </c>
      <c r="O185" s="105">
        <f ca="1">IF(C185&gt;=70,0,IF($B185=" ",0,IF(Données!P225="non couvert"," ",Données!Q225)))</f>
        <v>0</v>
      </c>
      <c r="P185" s="106">
        <f>IF($B185=" ",0,IF(Données!$P276="exo",0,IF($O185="FAM",VLOOKUP($F185,taux,10),IF($O185="MONO",VLOOKUP($F185,taux,11),IF($O185="COUPLE",VLOOKUP($F185,taux,12),0)))))</f>
        <v>0</v>
      </c>
      <c r="Q185" s="107">
        <f ca="1">IF(C185&gt;=70,0,IF($B185=" ",0,IF(Données!$R225="NON COUVERT",0,ROUNDUP(IF(Données!$S225="OUI",MIN($E185*VLOOKUP($F185,taux,15)/52,VLOOKUP($F185,taux,17)),MIN($E185*VLOOKUP($F185,taux,15)/52,VLOOKUP($F185,taux,16))),0))))</f>
        <v>0</v>
      </c>
      <c r="R185" s="108">
        <f>IF($B185=" ",0,IF(Données!$R276="EXO",0,$Q185*VLOOKUP($F185,taux,13)/10))</f>
        <v>0</v>
      </c>
      <c r="S185" s="109">
        <f t="shared" ca="1" si="20"/>
        <v>0</v>
      </c>
      <c r="T185" s="110">
        <f>IF(B185=" ",0,IF(Données!$T276="exo",0,$S185*VLOOKUP($F185,taux,18)/100))</f>
        <v>0</v>
      </c>
      <c r="U185" s="109">
        <f>IF($B185=" ",0,IF(Données!$V276="non couvert",0,IF(VLOOKUP($F185,taux,29)="fixe","s/o",IF(Données!$W276="oui",MIN(ROUNDUP(VLOOKUP($F185,taux,31)*$E185,-3),VLOOKUP($F185,taux,33)),MIN(ROUNDUP(VLOOKUP($F185,taux,31)*$E185,-3),VLOOKUP($F185,taux,32))))))</f>
        <v>0</v>
      </c>
      <c r="V185" s="110">
        <f>IF(B185=" ",0,IF(Données!$V276="exo",0,IF(VLOOKUP($F185,taux,29)="fixe",VLOOKUP($F185,taux,30),$U185/1000*VLOOKUP($F185,taux,30))))</f>
        <v>0</v>
      </c>
      <c r="W185" s="110">
        <f t="shared" si="17"/>
        <v>0</v>
      </c>
      <c r="X185" s="383">
        <f>IF(B185=" ",0,EDATE((Données!E225),780))</f>
        <v>0</v>
      </c>
      <c r="Y185" s="383">
        <f t="shared" si="23"/>
        <v>0</v>
      </c>
      <c r="Z185" s="109">
        <f>IF($B185=" ",0,IF(Données!$T225="non couvert",0,IF(Données!$U225="oui",MIN(VLOOKUP($F185,taux,26),ROUNDUP(IF($E185/12&gt;VLOOKUP($F185,taux,21)+VLOOKUP($F185,taux,23),(VLOOKUP($F185,taux,20)*VLOOKUP($F185,taux,21))+(VLOOKUP($F185,taux,22)*VLOOKUP($F185,taux,23))+($E185/12-VLOOKUP($F185,taux,21)-VLOOKUP($F185,taux,23))*VLOOKUP($F185,taux,24),IF($E185/12&gt;VLOOKUP($F185,taux,21),(VLOOKUP($F185,taux,20)*VLOOKUP($F185,taux,21))+($E185/12-VLOOKUP($F185,taux,21))*VLOOKUP($F185,taux,22),$E185/12*VLOOKUP($F185,taux,20))),0)),MIN(VLOOKUP($F185,taux,25),ROUNDUP(IF($E185/12&gt;VLOOKUP($F185,taux,21)+VLOOKUP($F185,taux,23),(VLOOKUP($F185,taux,20)*VLOOKUP($F185,taux,21))+(VLOOKUP($F185,taux,22)*VLOOKUP($F185,taux,23))+($E185/12-VLOOKUP($F185,taux,21)-VLOOKUP($F185,taux,23))*VLOOKUP($F185,taux,24),IF($E185/12&gt;VLOOKUP($F185,taux,21),(VLOOKUP($F185,taux,20)*VLOOKUP($F185,taux,21))+($E185/12-VLOOKUP($F185,taux,21))*VLOOKUP($F185,taux,22),$E185/12*VLOOKUP($F185,taux,20))),0)))))</f>
        <v>0</v>
      </c>
      <c r="AA185" s="111">
        <f ca="1">IF(C185&gt;=70,0,IF($B185=" ",0,IF(Données!$X225="non couvert"," ",Données!Y225)))</f>
        <v>0</v>
      </c>
      <c r="AB185" s="110">
        <f>IF($B185=" ",0,IF(Données!$X276="exo",0,IF($AA185="ind",VLOOKUP($F185,taux,34),IF($AA185="fam",VLOOKUP($F185,taux,35),IF($AA185="mono",VLOOKUP($F185,taux,36),IF($AA185="couple",VLOOKUP($F185,taux,37),0))))))</f>
        <v>0</v>
      </c>
      <c r="AC185" s="111">
        <f ca="1">IF(C185&gt;=70,0,IF($B185=" ",0,IF(Données!$Z225="non couvert"," ",Données!AA225)))</f>
        <v>0</v>
      </c>
      <c r="AD185" s="110">
        <f>IF($B185=" ",0,IF(Données!$Z276="exo",0,IF($AC185="ind",VLOOKUP($F185,taux,38),IF($AC185="fam",VLOOKUP($F185,taux,39),IF($AC185="mono",VLOOKUP($F185,taux,40),IF($AC185="couple",VLOOKUP($F185,taux,41),0))))))</f>
        <v>0</v>
      </c>
      <c r="AE185" s="112">
        <f>IF($B185=" ",0,IF(Données!$AB276="non couvert"," ",Données!AC276))</f>
        <v>0</v>
      </c>
      <c r="AF185" s="113">
        <f>IF($B185=" ",0,IF(Données!$AB276="exo",0,IF($AE185="ind",VLOOKUP($F185,taux,42),IF($AE185="fam",VLOOKUP($F185,taux,43),IF($AE185="mono",VLOOKUP($F185,taux,44),IF($AE185="couple",VLOOKUP($F185,taux,45),0))))))</f>
        <v>0</v>
      </c>
      <c r="AG185" s="114">
        <f t="shared" ca="1" si="24"/>
        <v>0</v>
      </c>
      <c r="AH185" s="114">
        <f>IF($B185=" ",0,IF(Données!J225="Manitoba",(Facture!H185+Facture!J185+Facture!L185+Facture!P185+Facture!R185+Facture!T185)*0.08,(AG185-W185)*IF(Données!$J225="qc",0.09,IF(Données!$J225="on",0.08,0))+W185*VLOOKUP($F185,taux,28)))</f>
        <v>0</v>
      </c>
      <c r="AI185" s="106">
        <f t="shared" ca="1" si="22"/>
        <v>0</v>
      </c>
    </row>
    <row r="186" spans="1:35" s="64" customFormat="1">
      <c r="A186" s="90">
        <f t="shared" si="21"/>
        <v>172</v>
      </c>
      <c r="B186" s="99" t="str">
        <f>CONCATENATE(Données!B277," ",Données!C277)</f>
        <v xml:space="preserve"> </v>
      </c>
      <c r="C186" s="410">
        <f ca="1">IF(B186="",0,INT((TODAY()-Données!E226)/365.25))</f>
        <v>119</v>
      </c>
      <c r="D186" s="100">
        <f>Données!D277</f>
        <v>0</v>
      </c>
      <c r="E186" s="101">
        <f>Données!I277</f>
        <v>0</v>
      </c>
      <c r="F186" s="102">
        <f>Données!AD277</f>
        <v>0</v>
      </c>
      <c r="G186" s="103">
        <f ca="1">INDEX({1;0.5;0},MATCH(C186,{1;65;70}))*M186</f>
        <v>0</v>
      </c>
      <c r="H186" s="104">
        <f>IF($B186=" ",0,IF(Données!$K277="exo",0,$G186/1000*VLOOKUP($F186,taux,2)))</f>
        <v>0</v>
      </c>
      <c r="I186" s="398">
        <f ca="1">IF(C186&gt;=65,0,Données!M226*5000)</f>
        <v>0</v>
      </c>
      <c r="J186" s="104">
        <f ca="1">I186/1000*(IF(I186=0,0,1)*VLOOKUP((1+(C186&gt;=20)+(C186&gt;=25)+(C186&gt;=30)+(C186&gt;=35)+(C186&gt;=40)+(C186&gt;=45)+(C186&gt;=50)+(C186&gt;=55)+(C186&gt;=60)+(C186&gt;=65)),Test,2+(IF(Données!F226="H",1,3))+(IF(Données!G226="F",1,0))))</f>
        <v>0</v>
      </c>
      <c r="K186" s="103">
        <f ca="1">INDEX({1;0.5;0},MATCH(C186,{1;65;70}))*M186</f>
        <v>0</v>
      </c>
      <c r="L186" s="104">
        <f>IF($B186=" ",0,IF(Données!$N277="exo",0,$K186/1000*VLOOKUP($F186,taux,6)))</f>
        <v>0</v>
      </c>
      <c r="M186" s="379">
        <f>IF($B186=" ",0,IF(Données!$K226="NON COUVERT",0,IF(AND(Données!$L226="oui",Données!$K226=0.5),MIN(VLOOKUP($F186,taux,5)/2,ROUNDUP(VLOOKUP($F186,taux,3)*$E186,-3)/2),IF(Données!$K226=0.5,MIN(VLOOKUP($F186,taux,4)/2,ROUNDUP(VLOOKUP($F186,taux,3)*$E186,-3)/2),ROUNDUP(IF(Données!$L226="OUI",MIN(VLOOKUP($F186,taux,3)*$E186,VLOOKUP($F186,taux,5)),MIN(VLOOKUP($F186,taux,3)*$E186,VLOOKUP($F186,taux,4))),-3)))))</f>
        <v>0</v>
      </c>
      <c r="N186" s="379">
        <f>IF($B186=" ",0,IF(Données!$N226="NON COUVERT",0,IF(AND(Données!$O226="oui",Données!$N226=0.5),MIN(VLOOKUP($F186,taux,9)/2,ROUNDUP(VLOOKUP($F186,taux,7)*$E186,-3)/2),IF(Données!$N226=0.5,MIN(VLOOKUP($F186,taux,8)/2,ROUNDUP(VLOOKUP($F186,taux,7)*$E186,-3)/2),ROUNDUP(IF(Données!$O226="OUI",MIN(VLOOKUP($F186,taux,7)*$E186,VLOOKUP($F186,taux,9)),MIN(VLOOKUP($F186,taux,7)*$E186,VLOOKUP($F186,taux,8))),-3)))))</f>
        <v>0</v>
      </c>
      <c r="O186" s="105">
        <f ca="1">IF(C186&gt;=70,0,IF($B186=" ",0,IF(Données!P226="non couvert"," ",Données!Q226)))</f>
        <v>0</v>
      </c>
      <c r="P186" s="106">
        <f>IF($B186=" ",0,IF(Données!$P277="exo",0,IF($O186="FAM",VLOOKUP($F186,taux,10),IF($O186="MONO",VLOOKUP($F186,taux,11),IF($O186="COUPLE",VLOOKUP($F186,taux,12),0)))))</f>
        <v>0</v>
      </c>
      <c r="Q186" s="107">
        <f ca="1">IF(C186&gt;=70,0,IF($B186=" ",0,IF(Données!$R226="NON COUVERT",0,ROUNDUP(IF(Données!$S226="OUI",MIN($E186*VLOOKUP($F186,taux,15)/52,VLOOKUP($F186,taux,17)),MIN($E186*VLOOKUP($F186,taux,15)/52,VLOOKUP($F186,taux,16))),0))))</f>
        <v>0</v>
      </c>
      <c r="R186" s="108">
        <f>IF($B186=" ",0,IF(Données!$R277="EXO",0,$Q186*VLOOKUP($F186,taux,13)/10))</f>
        <v>0</v>
      </c>
      <c r="S186" s="109">
        <f t="shared" ca="1" si="20"/>
        <v>0</v>
      </c>
      <c r="T186" s="110">
        <f>IF(B186=" ",0,IF(Données!$T277="exo",0,$S186*VLOOKUP($F186,taux,18)/100))</f>
        <v>0</v>
      </c>
      <c r="U186" s="109">
        <f>IF($B186=" ",0,IF(Données!$V277="non couvert",0,IF(VLOOKUP($F186,taux,29)="fixe","s/o",IF(Données!$W277="oui",MIN(ROUNDUP(VLOOKUP($F186,taux,31)*$E186,-3),VLOOKUP($F186,taux,33)),MIN(ROUNDUP(VLOOKUP($F186,taux,31)*$E186,-3),VLOOKUP($F186,taux,32))))))</f>
        <v>0</v>
      </c>
      <c r="V186" s="110">
        <f>IF(B186=" ",0,IF(Données!$V277="exo",0,IF(VLOOKUP($F186,taux,29)="fixe",VLOOKUP($F186,taux,30),$U186/1000*VLOOKUP($F186,taux,30))))</f>
        <v>0</v>
      </c>
      <c r="W186" s="110">
        <f t="shared" si="17"/>
        <v>0</v>
      </c>
      <c r="X186" s="383">
        <f>IF(B186=" ",0,EDATE((Données!E226),780))</f>
        <v>0</v>
      </c>
      <c r="Y186" s="383">
        <f t="shared" si="23"/>
        <v>0</v>
      </c>
      <c r="Z186" s="109">
        <f>IF($B186=" ",0,IF(Données!$T226="non couvert",0,IF(Données!$U226="oui",MIN(VLOOKUP($F186,taux,26),ROUNDUP(IF($E186/12&gt;VLOOKUP($F186,taux,21)+VLOOKUP($F186,taux,23),(VLOOKUP($F186,taux,20)*VLOOKUP($F186,taux,21))+(VLOOKUP($F186,taux,22)*VLOOKUP($F186,taux,23))+($E186/12-VLOOKUP($F186,taux,21)-VLOOKUP($F186,taux,23))*VLOOKUP($F186,taux,24),IF($E186/12&gt;VLOOKUP($F186,taux,21),(VLOOKUP($F186,taux,20)*VLOOKUP($F186,taux,21))+($E186/12-VLOOKUP($F186,taux,21))*VLOOKUP($F186,taux,22),$E186/12*VLOOKUP($F186,taux,20))),0)),MIN(VLOOKUP($F186,taux,25),ROUNDUP(IF($E186/12&gt;VLOOKUP($F186,taux,21)+VLOOKUP($F186,taux,23),(VLOOKUP($F186,taux,20)*VLOOKUP($F186,taux,21))+(VLOOKUP($F186,taux,22)*VLOOKUP($F186,taux,23))+($E186/12-VLOOKUP($F186,taux,21)-VLOOKUP($F186,taux,23))*VLOOKUP($F186,taux,24),IF($E186/12&gt;VLOOKUP($F186,taux,21),(VLOOKUP($F186,taux,20)*VLOOKUP($F186,taux,21))+($E186/12-VLOOKUP($F186,taux,21))*VLOOKUP($F186,taux,22),$E186/12*VLOOKUP($F186,taux,20))),0)))))</f>
        <v>0</v>
      </c>
      <c r="AA186" s="111">
        <f ca="1">IF(C186&gt;=70,0,IF($B186=" ",0,IF(Données!$X226="non couvert"," ",Données!Y226)))</f>
        <v>0</v>
      </c>
      <c r="AB186" s="110">
        <f>IF($B186=" ",0,IF(Données!$X277="exo",0,IF($AA186="ind",VLOOKUP($F186,taux,34),IF($AA186="fam",VLOOKUP($F186,taux,35),IF($AA186="mono",VLOOKUP($F186,taux,36),IF($AA186="couple",VLOOKUP($F186,taux,37),0))))))</f>
        <v>0</v>
      </c>
      <c r="AC186" s="111">
        <f ca="1">IF(C186&gt;=70,0,IF($B186=" ",0,IF(Données!$Z226="non couvert"," ",Données!AA226)))</f>
        <v>0</v>
      </c>
      <c r="AD186" s="110">
        <f>IF($B186=" ",0,IF(Données!$Z277="exo",0,IF($AC186="ind",VLOOKUP($F186,taux,38),IF($AC186="fam",VLOOKUP($F186,taux,39),IF($AC186="mono",VLOOKUP($F186,taux,40),IF($AC186="couple",VLOOKUP($F186,taux,41),0))))))</f>
        <v>0</v>
      </c>
      <c r="AE186" s="112">
        <f>IF($B186=" ",0,IF(Données!$AB277="non couvert"," ",Données!AC277))</f>
        <v>0</v>
      </c>
      <c r="AF186" s="113">
        <f>IF($B186=" ",0,IF(Données!$AB277="exo",0,IF($AE186="ind",VLOOKUP($F186,taux,42),IF($AE186="fam",VLOOKUP($F186,taux,43),IF($AE186="mono",VLOOKUP($F186,taux,44),IF($AE186="couple",VLOOKUP($F186,taux,45),0))))))</f>
        <v>0</v>
      </c>
      <c r="AG186" s="114">
        <f t="shared" ca="1" si="24"/>
        <v>0</v>
      </c>
      <c r="AH186" s="114">
        <f>IF($B186=" ",0,IF(Données!J226="Manitoba",(Facture!H186+Facture!J186+Facture!L186+Facture!P186+Facture!R186+Facture!T186)*0.08,(AG186-W186)*IF(Données!$J226="qc",0.09,IF(Données!$J226="on",0.08,0))+W186*VLOOKUP($F186,taux,28)))</f>
        <v>0</v>
      </c>
      <c r="AI186" s="106">
        <f t="shared" ca="1" si="22"/>
        <v>0</v>
      </c>
    </row>
    <row r="187" spans="1:35" s="64" customFormat="1">
      <c r="A187" s="90">
        <f t="shared" si="21"/>
        <v>173</v>
      </c>
      <c r="B187" s="99" t="str">
        <f>CONCATENATE(Données!B278," ",Données!C278)</f>
        <v xml:space="preserve"> </v>
      </c>
      <c r="C187" s="410">
        <f ca="1">IF(B187="",0,INT((TODAY()-Données!E227)/365.25))</f>
        <v>119</v>
      </c>
      <c r="D187" s="100">
        <f>Données!D278</f>
        <v>0</v>
      </c>
      <c r="E187" s="101">
        <f>Données!I278</f>
        <v>0</v>
      </c>
      <c r="F187" s="102">
        <f>Données!AD278</f>
        <v>0</v>
      </c>
      <c r="G187" s="103">
        <f ca="1">INDEX({1;0.5;0},MATCH(C187,{1;65;70}))*M187</f>
        <v>0</v>
      </c>
      <c r="H187" s="104">
        <f>IF($B187=" ",0,IF(Données!$K278="exo",0,$G187/1000*VLOOKUP($F187,taux,2)))</f>
        <v>0</v>
      </c>
      <c r="I187" s="398">
        <f ca="1">IF(C187&gt;=65,0,Données!M227*5000)</f>
        <v>0</v>
      </c>
      <c r="J187" s="104">
        <f ca="1">I187/1000*(IF(I187=0,0,1)*VLOOKUP((1+(C187&gt;=20)+(C187&gt;=25)+(C187&gt;=30)+(C187&gt;=35)+(C187&gt;=40)+(C187&gt;=45)+(C187&gt;=50)+(C187&gt;=55)+(C187&gt;=60)+(C187&gt;=65)),Test,2+(IF(Données!F227="H",1,3))+(IF(Données!G227="F",1,0))))</f>
        <v>0</v>
      </c>
      <c r="K187" s="103">
        <f ca="1">INDEX({1;0.5;0},MATCH(C187,{1;65;70}))*M187</f>
        <v>0</v>
      </c>
      <c r="L187" s="104">
        <f>IF($B187=" ",0,IF(Données!$N278="exo",0,$K187/1000*VLOOKUP($F187,taux,6)))</f>
        <v>0</v>
      </c>
      <c r="M187" s="379">
        <f>IF($B187=" ",0,IF(Données!$K227="NON COUVERT",0,IF(AND(Données!$L227="oui",Données!$K227=0.5),MIN(VLOOKUP($F187,taux,5)/2,ROUNDUP(VLOOKUP($F187,taux,3)*$E187,-3)/2),IF(Données!$K227=0.5,MIN(VLOOKUP($F187,taux,4)/2,ROUNDUP(VLOOKUP($F187,taux,3)*$E187,-3)/2),ROUNDUP(IF(Données!$L227="OUI",MIN(VLOOKUP($F187,taux,3)*$E187,VLOOKUP($F187,taux,5)),MIN(VLOOKUP($F187,taux,3)*$E187,VLOOKUP($F187,taux,4))),-3)))))</f>
        <v>0</v>
      </c>
      <c r="N187" s="379">
        <f>IF($B187=" ",0,IF(Données!$N227="NON COUVERT",0,IF(AND(Données!$O227="oui",Données!$N227=0.5),MIN(VLOOKUP($F187,taux,9)/2,ROUNDUP(VLOOKUP($F187,taux,7)*$E187,-3)/2),IF(Données!$N227=0.5,MIN(VLOOKUP($F187,taux,8)/2,ROUNDUP(VLOOKUP($F187,taux,7)*$E187,-3)/2),ROUNDUP(IF(Données!$O227="OUI",MIN(VLOOKUP($F187,taux,7)*$E187,VLOOKUP($F187,taux,9)),MIN(VLOOKUP($F187,taux,7)*$E187,VLOOKUP($F187,taux,8))),-3)))))</f>
        <v>0</v>
      </c>
      <c r="O187" s="105">
        <f ca="1">IF(C187&gt;=70,0,IF($B187=" ",0,IF(Données!P227="non couvert"," ",Données!Q227)))</f>
        <v>0</v>
      </c>
      <c r="P187" s="106">
        <f>IF($B187=" ",0,IF(Données!$P278="exo",0,IF($O187="FAM",VLOOKUP($F187,taux,10),IF($O187="MONO",VLOOKUP($F187,taux,11),IF($O187="COUPLE",VLOOKUP($F187,taux,12),0)))))</f>
        <v>0</v>
      </c>
      <c r="Q187" s="107">
        <f ca="1">IF(C187&gt;=70,0,IF($B187=" ",0,IF(Données!$R227="NON COUVERT",0,ROUNDUP(IF(Données!$S227="OUI",MIN($E187*VLOOKUP($F187,taux,15)/52,VLOOKUP($F187,taux,17)),MIN($E187*VLOOKUP($F187,taux,15)/52,VLOOKUP($F187,taux,16))),0))))</f>
        <v>0</v>
      </c>
      <c r="R187" s="108">
        <f>IF($B187=" ",0,IF(Données!$R278="EXO",0,$Q187*VLOOKUP($F187,taux,13)/10))</f>
        <v>0</v>
      </c>
      <c r="S187" s="109">
        <f t="shared" ca="1" si="20"/>
        <v>0</v>
      </c>
      <c r="T187" s="110">
        <f>IF(B187=" ",0,IF(Données!$T278="exo",0,$S187*VLOOKUP($F187,taux,18)/100))</f>
        <v>0</v>
      </c>
      <c r="U187" s="109">
        <f>IF($B187=" ",0,IF(Données!$V278="non couvert",0,IF(VLOOKUP($F187,taux,29)="fixe","s/o",IF(Données!$W278="oui",MIN(ROUNDUP(VLOOKUP($F187,taux,31)*$E187,-3),VLOOKUP($F187,taux,33)),MIN(ROUNDUP(VLOOKUP($F187,taux,31)*$E187,-3),VLOOKUP($F187,taux,32))))))</f>
        <v>0</v>
      </c>
      <c r="V187" s="110">
        <f>IF(B187=" ",0,IF(Données!$V278="exo",0,IF(VLOOKUP($F187,taux,29)="fixe",VLOOKUP($F187,taux,30),$U187/1000*VLOOKUP($F187,taux,30))))</f>
        <v>0</v>
      </c>
      <c r="W187" s="110">
        <f t="shared" si="17"/>
        <v>0</v>
      </c>
      <c r="X187" s="383">
        <f>IF(B187=" ",0,EDATE((Données!E227),780))</f>
        <v>0</v>
      </c>
      <c r="Y187" s="383">
        <f t="shared" si="23"/>
        <v>0</v>
      </c>
      <c r="Z187" s="109">
        <f>IF($B187=" ",0,IF(Données!$T227="non couvert",0,IF(Données!$U227="oui",MIN(VLOOKUP($F187,taux,26),ROUNDUP(IF($E187/12&gt;VLOOKUP($F187,taux,21)+VLOOKUP($F187,taux,23),(VLOOKUP($F187,taux,20)*VLOOKUP($F187,taux,21))+(VLOOKUP($F187,taux,22)*VLOOKUP($F187,taux,23))+($E187/12-VLOOKUP($F187,taux,21)-VLOOKUP($F187,taux,23))*VLOOKUP($F187,taux,24),IF($E187/12&gt;VLOOKUP($F187,taux,21),(VLOOKUP($F187,taux,20)*VLOOKUP($F187,taux,21))+($E187/12-VLOOKUP($F187,taux,21))*VLOOKUP($F187,taux,22),$E187/12*VLOOKUP($F187,taux,20))),0)),MIN(VLOOKUP($F187,taux,25),ROUNDUP(IF($E187/12&gt;VLOOKUP($F187,taux,21)+VLOOKUP($F187,taux,23),(VLOOKUP($F187,taux,20)*VLOOKUP($F187,taux,21))+(VLOOKUP($F187,taux,22)*VLOOKUP($F187,taux,23))+($E187/12-VLOOKUP($F187,taux,21)-VLOOKUP($F187,taux,23))*VLOOKUP($F187,taux,24),IF($E187/12&gt;VLOOKUP($F187,taux,21),(VLOOKUP($F187,taux,20)*VLOOKUP($F187,taux,21))+($E187/12-VLOOKUP($F187,taux,21))*VLOOKUP($F187,taux,22),$E187/12*VLOOKUP($F187,taux,20))),0)))))</f>
        <v>0</v>
      </c>
      <c r="AA187" s="111">
        <f ca="1">IF(C187&gt;=70,0,IF($B187=" ",0,IF(Données!$X227="non couvert"," ",Données!Y227)))</f>
        <v>0</v>
      </c>
      <c r="AB187" s="110">
        <f>IF($B187=" ",0,IF(Données!$X278="exo",0,IF($AA187="ind",VLOOKUP($F187,taux,34),IF($AA187="fam",VLOOKUP($F187,taux,35),IF($AA187="mono",VLOOKUP($F187,taux,36),IF($AA187="couple",VLOOKUP($F187,taux,37),0))))))</f>
        <v>0</v>
      </c>
      <c r="AC187" s="111">
        <f ca="1">IF(C187&gt;=70,0,IF($B187=" ",0,IF(Données!$Z227="non couvert"," ",Données!AA227)))</f>
        <v>0</v>
      </c>
      <c r="AD187" s="110">
        <f>IF($B187=" ",0,IF(Données!$Z278="exo",0,IF($AC187="ind",VLOOKUP($F187,taux,38),IF($AC187="fam",VLOOKUP($F187,taux,39),IF($AC187="mono",VLOOKUP($F187,taux,40),IF($AC187="couple",VLOOKUP($F187,taux,41),0))))))</f>
        <v>0</v>
      </c>
      <c r="AE187" s="112">
        <f>IF($B187=" ",0,IF(Données!$AB278="non couvert"," ",Données!AC278))</f>
        <v>0</v>
      </c>
      <c r="AF187" s="113">
        <f>IF($B187=" ",0,IF(Données!$AB278="exo",0,IF($AE187="ind",VLOOKUP($F187,taux,42),IF($AE187="fam",VLOOKUP($F187,taux,43),IF($AE187="mono",VLOOKUP($F187,taux,44),IF($AE187="couple",VLOOKUP($F187,taux,45),0))))))</f>
        <v>0</v>
      </c>
      <c r="AG187" s="114">
        <f t="shared" ca="1" si="24"/>
        <v>0</v>
      </c>
      <c r="AH187" s="114">
        <f>IF($B187=" ",0,IF(Données!J227="Manitoba",(Facture!H187+Facture!J187+Facture!L187+Facture!P187+Facture!R187+Facture!T187)*0.08,(AG187-W187)*IF(Données!$J227="qc",0.09,IF(Données!$J227="on",0.08,0))+W187*VLOOKUP($F187,taux,28)))</f>
        <v>0</v>
      </c>
      <c r="AI187" s="106">
        <f t="shared" ca="1" si="22"/>
        <v>0</v>
      </c>
    </row>
    <row r="188" spans="1:35" s="64" customFormat="1">
      <c r="A188" s="90">
        <f t="shared" si="21"/>
        <v>174</v>
      </c>
      <c r="B188" s="99" t="str">
        <f>CONCATENATE(Données!B279," ",Données!C279)</f>
        <v xml:space="preserve"> </v>
      </c>
      <c r="C188" s="410">
        <f ca="1">IF(B188="",0,INT((TODAY()-Données!E228)/365.25))</f>
        <v>119</v>
      </c>
      <c r="D188" s="100">
        <f>Données!D279</f>
        <v>0</v>
      </c>
      <c r="E188" s="101">
        <f>Données!I279</f>
        <v>0</v>
      </c>
      <c r="F188" s="102">
        <f>Données!AD279</f>
        <v>0</v>
      </c>
      <c r="G188" s="103">
        <f ca="1">INDEX({1;0.5;0},MATCH(C188,{1;65;70}))*M188</f>
        <v>0</v>
      </c>
      <c r="H188" s="104">
        <f>IF($B188=" ",0,IF(Données!$K279="exo",0,$G188/1000*VLOOKUP($F188,taux,2)))</f>
        <v>0</v>
      </c>
      <c r="I188" s="398">
        <f ca="1">IF(C188&gt;=65,0,Données!M228*5000)</f>
        <v>0</v>
      </c>
      <c r="J188" s="104">
        <f ca="1">I188/1000*(IF(I188=0,0,1)*VLOOKUP((1+(C188&gt;=20)+(C188&gt;=25)+(C188&gt;=30)+(C188&gt;=35)+(C188&gt;=40)+(C188&gt;=45)+(C188&gt;=50)+(C188&gt;=55)+(C188&gt;=60)+(C188&gt;=65)),Test,2+(IF(Données!F228="H",1,3))+(IF(Données!G228="F",1,0))))</f>
        <v>0</v>
      </c>
      <c r="K188" s="103">
        <f ca="1">INDEX({1;0.5;0},MATCH(C188,{1;65;70}))*M188</f>
        <v>0</v>
      </c>
      <c r="L188" s="104">
        <f>IF($B188=" ",0,IF(Données!$N279="exo",0,$K188/1000*VLOOKUP($F188,taux,6)))</f>
        <v>0</v>
      </c>
      <c r="M188" s="379">
        <f>IF($B188=" ",0,IF(Données!$K228="NON COUVERT",0,IF(AND(Données!$L228="oui",Données!$K228=0.5),MIN(VLOOKUP($F188,taux,5)/2,ROUNDUP(VLOOKUP($F188,taux,3)*$E188,-3)/2),IF(Données!$K228=0.5,MIN(VLOOKUP($F188,taux,4)/2,ROUNDUP(VLOOKUP($F188,taux,3)*$E188,-3)/2),ROUNDUP(IF(Données!$L228="OUI",MIN(VLOOKUP($F188,taux,3)*$E188,VLOOKUP($F188,taux,5)),MIN(VLOOKUP($F188,taux,3)*$E188,VLOOKUP($F188,taux,4))),-3)))))</f>
        <v>0</v>
      </c>
      <c r="N188" s="379">
        <f>IF($B188=" ",0,IF(Données!$N228="NON COUVERT",0,IF(AND(Données!$O228="oui",Données!$N228=0.5),MIN(VLOOKUP($F188,taux,9)/2,ROUNDUP(VLOOKUP($F188,taux,7)*$E188,-3)/2),IF(Données!$N228=0.5,MIN(VLOOKUP($F188,taux,8)/2,ROUNDUP(VLOOKUP($F188,taux,7)*$E188,-3)/2),ROUNDUP(IF(Données!$O228="OUI",MIN(VLOOKUP($F188,taux,7)*$E188,VLOOKUP($F188,taux,9)),MIN(VLOOKUP($F188,taux,7)*$E188,VLOOKUP($F188,taux,8))),-3)))))</f>
        <v>0</v>
      </c>
      <c r="O188" s="105">
        <f ca="1">IF(C188&gt;=70,0,IF($B188=" ",0,IF(Données!P228="non couvert"," ",Données!Q228)))</f>
        <v>0</v>
      </c>
      <c r="P188" s="106">
        <f>IF($B188=" ",0,IF(Données!$P279="exo",0,IF($O188="FAM",VLOOKUP($F188,taux,10),IF($O188="MONO",VLOOKUP($F188,taux,11),IF($O188="COUPLE",VLOOKUP($F188,taux,12),0)))))</f>
        <v>0</v>
      </c>
      <c r="Q188" s="107">
        <f ca="1">IF(C188&gt;=70,0,IF($B188=" ",0,IF(Données!$R228="NON COUVERT",0,ROUNDUP(IF(Données!$S228="OUI",MIN($E188*VLOOKUP($F188,taux,15)/52,VLOOKUP($F188,taux,17)),MIN($E188*VLOOKUP($F188,taux,15)/52,VLOOKUP($F188,taux,16))),0))))</f>
        <v>0</v>
      </c>
      <c r="R188" s="108">
        <f>IF($B188=" ",0,IF(Données!$R279="EXO",0,$Q188*VLOOKUP($F188,taux,13)/10))</f>
        <v>0</v>
      </c>
      <c r="S188" s="109">
        <f t="shared" ca="1" si="20"/>
        <v>0</v>
      </c>
      <c r="T188" s="110">
        <f>IF(B188=" ",0,IF(Données!$T279="exo",0,$S188*VLOOKUP($F188,taux,18)/100))</f>
        <v>0</v>
      </c>
      <c r="U188" s="109">
        <f>IF($B188=" ",0,IF(Données!$V279="non couvert",0,IF(VLOOKUP($F188,taux,29)="fixe","s/o",IF(Données!$W279="oui",MIN(ROUNDUP(VLOOKUP($F188,taux,31)*$E188,-3),VLOOKUP($F188,taux,33)),MIN(ROUNDUP(VLOOKUP($F188,taux,31)*$E188,-3),VLOOKUP($F188,taux,32))))))</f>
        <v>0</v>
      </c>
      <c r="V188" s="110">
        <f>IF(B188=" ",0,IF(Données!$V279="exo",0,IF(VLOOKUP($F188,taux,29)="fixe",VLOOKUP($F188,taux,30),$U188/1000*VLOOKUP($F188,taux,30))))</f>
        <v>0</v>
      </c>
      <c r="W188" s="110">
        <f t="shared" si="17"/>
        <v>0</v>
      </c>
      <c r="X188" s="383">
        <f>IF(B188=" ",0,EDATE((Données!E228),780))</f>
        <v>0</v>
      </c>
      <c r="Y188" s="383">
        <f t="shared" si="23"/>
        <v>0</v>
      </c>
      <c r="Z188" s="109">
        <f>IF($B188=" ",0,IF(Données!$T228="non couvert",0,IF(Données!$U228="oui",MIN(VLOOKUP($F188,taux,26),ROUNDUP(IF($E188/12&gt;VLOOKUP($F188,taux,21)+VLOOKUP($F188,taux,23),(VLOOKUP($F188,taux,20)*VLOOKUP($F188,taux,21))+(VLOOKUP($F188,taux,22)*VLOOKUP($F188,taux,23))+($E188/12-VLOOKUP($F188,taux,21)-VLOOKUP($F188,taux,23))*VLOOKUP($F188,taux,24),IF($E188/12&gt;VLOOKUP($F188,taux,21),(VLOOKUP($F188,taux,20)*VLOOKUP($F188,taux,21))+($E188/12-VLOOKUP($F188,taux,21))*VLOOKUP($F188,taux,22),$E188/12*VLOOKUP($F188,taux,20))),0)),MIN(VLOOKUP($F188,taux,25),ROUNDUP(IF($E188/12&gt;VLOOKUP($F188,taux,21)+VLOOKUP($F188,taux,23),(VLOOKUP($F188,taux,20)*VLOOKUP($F188,taux,21))+(VLOOKUP($F188,taux,22)*VLOOKUP($F188,taux,23))+($E188/12-VLOOKUP($F188,taux,21)-VLOOKUP($F188,taux,23))*VLOOKUP($F188,taux,24),IF($E188/12&gt;VLOOKUP($F188,taux,21),(VLOOKUP($F188,taux,20)*VLOOKUP($F188,taux,21))+($E188/12-VLOOKUP($F188,taux,21))*VLOOKUP($F188,taux,22),$E188/12*VLOOKUP($F188,taux,20))),0)))))</f>
        <v>0</v>
      </c>
      <c r="AA188" s="111">
        <f ca="1">IF(C188&gt;=70,0,IF($B188=" ",0,IF(Données!$X228="non couvert"," ",Données!Y228)))</f>
        <v>0</v>
      </c>
      <c r="AB188" s="110">
        <f>IF($B188=" ",0,IF(Données!$X279="exo",0,IF($AA188="ind",VLOOKUP($F188,taux,34),IF($AA188="fam",VLOOKUP($F188,taux,35),IF($AA188="mono",VLOOKUP($F188,taux,36),IF($AA188="couple",VLOOKUP($F188,taux,37),0))))))</f>
        <v>0</v>
      </c>
      <c r="AC188" s="111">
        <f ca="1">IF(C188&gt;=70,0,IF($B188=" ",0,IF(Données!$Z228="non couvert"," ",Données!AA228)))</f>
        <v>0</v>
      </c>
      <c r="AD188" s="110">
        <f>IF($B188=" ",0,IF(Données!$Z279="exo",0,IF($AC188="ind",VLOOKUP($F188,taux,38),IF($AC188="fam",VLOOKUP($F188,taux,39),IF($AC188="mono",VLOOKUP($F188,taux,40),IF($AC188="couple",VLOOKUP($F188,taux,41),0))))))</f>
        <v>0</v>
      </c>
      <c r="AE188" s="112">
        <f>IF($B188=" ",0,IF(Données!$AB279="non couvert"," ",Données!AC279))</f>
        <v>0</v>
      </c>
      <c r="AF188" s="113">
        <f>IF($B188=" ",0,IF(Données!$AB279="exo",0,IF($AE188="ind",VLOOKUP($F188,taux,42),IF($AE188="fam",VLOOKUP($F188,taux,43),IF($AE188="mono",VLOOKUP($F188,taux,44),IF($AE188="couple",VLOOKUP($F188,taux,45),0))))))</f>
        <v>0</v>
      </c>
      <c r="AG188" s="114">
        <f t="shared" ca="1" si="24"/>
        <v>0</v>
      </c>
      <c r="AH188" s="114">
        <f>IF($B188=" ",0,IF(Données!J228="Manitoba",(Facture!H188+Facture!J188+Facture!L188+Facture!P188+Facture!R188+Facture!T188)*0.08,(AG188-W188)*IF(Données!$J228="qc",0.09,IF(Données!$J228="on",0.08,0))+W188*VLOOKUP($F188,taux,28)))</f>
        <v>0</v>
      </c>
      <c r="AI188" s="106">
        <f t="shared" ca="1" si="22"/>
        <v>0</v>
      </c>
    </row>
    <row r="189" spans="1:35" s="64" customFormat="1">
      <c r="A189" s="90">
        <f t="shared" si="21"/>
        <v>175</v>
      </c>
      <c r="B189" s="99" t="str">
        <f>CONCATENATE(Données!B280," ",Données!C280)</f>
        <v xml:space="preserve"> </v>
      </c>
      <c r="C189" s="410">
        <f ca="1">IF(B189="",0,INT((TODAY()-Données!E229)/365.25))</f>
        <v>119</v>
      </c>
      <c r="D189" s="100">
        <f>Données!D280</f>
        <v>0</v>
      </c>
      <c r="E189" s="101">
        <f>Données!I280</f>
        <v>0</v>
      </c>
      <c r="F189" s="102">
        <f>Données!AD280</f>
        <v>0</v>
      </c>
      <c r="G189" s="103">
        <f ca="1">INDEX({1;0.5;0},MATCH(C189,{1;65;70}))*M189</f>
        <v>0</v>
      </c>
      <c r="H189" s="104">
        <f>IF($B189=" ",0,IF(Données!$K280="exo",0,$G189/1000*VLOOKUP($F189,taux,2)))</f>
        <v>0</v>
      </c>
      <c r="I189" s="398">
        <f ca="1">IF(C189&gt;=65,0,Données!M229*5000)</f>
        <v>0</v>
      </c>
      <c r="J189" s="104">
        <f ca="1">I189/1000*(IF(I189=0,0,1)*VLOOKUP((1+(C189&gt;=20)+(C189&gt;=25)+(C189&gt;=30)+(C189&gt;=35)+(C189&gt;=40)+(C189&gt;=45)+(C189&gt;=50)+(C189&gt;=55)+(C189&gt;=60)+(C189&gt;=65)),Test,2+(IF(Données!F229="H",1,3))+(IF(Données!G229="F",1,0))))</f>
        <v>0</v>
      </c>
      <c r="K189" s="103">
        <f ca="1">INDEX({1;0.5;0},MATCH(C189,{1;65;70}))*M189</f>
        <v>0</v>
      </c>
      <c r="L189" s="104">
        <f>IF($B189=" ",0,IF(Données!$N280="exo",0,$K189/1000*VLOOKUP($F189,taux,6)))</f>
        <v>0</v>
      </c>
      <c r="M189" s="379">
        <f>IF($B189=" ",0,IF(Données!$K229="NON COUVERT",0,IF(AND(Données!$L229="oui",Données!$K229=0.5),MIN(VLOOKUP($F189,taux,5)/2,ROUNDUP(VLOOKUP($F189,taux,3)*$E189,-3)/2),IF(Données!$K229=0.5,MIN(VLOOKUP($F189,taux,4)/2,ROUNDUP(VLOOKUP($F189,taux,3)*$E189,-3)/2),ROUNDUP(IF(Données!$L229="OUI",MIN(VLOOKUP($F189,taux,3)*$E189,VLOOKUP($F189,taux,5)),MIN(VLOOKUP($F189,taux,3)*$E189,VLOOKUP($F189,taux,4))),-3)))))</f>
        <v>0</v>
      </c>
      <c r="N189" s="379">
        <f>IF($B189=" ",0,IF(Données!$N229="NON COUVERT",0,IF(AND(Données!$O229="oui",Données!$N229=0.5),MIN(VLOOKUP($F189,taux,9)/2,ROUNDUP(VLOOKUP($F189,taux,7)*$E189,-3)/2),IF(Données!$N229=0.5,MIN(VLOOKUP($F189,taux,8)/2,ROUNDUP(VLOOKUP($F189,taux,7)*$E189,-3)/2),ROUNDUP(IF(Données!$O229="OUI",MIN(VLOOKUP($F189,taux,7)*$E189,VLOOKUP($F189,taux,9)),MIN(VLOOKUP($F189,taux,7)*$E189,VLOOKUP($F189,taux,8))),-3)))))</f>
        <v>0</v>
      </c>
      <c r="O189" s="105">
        <f ca="1">IF(C189&gt;=70,0,IF($B189=" ",0,IF(Données!P229="non couvert"," ",Données!Q229)))</f>
        <v>0</v>
      </c>
      <c r="P189" s="106">
        <f>IF($B189=" ",0,IF(Données!$P280="exo",0,IF($O189="FAM",VLOOKUP($F189,taux,10),IF($O189="MONO",VLOOKUP($F189,taux,11),IF($O189="COUPLE",VLOOKUP($F189,taux,12),0)))))</f>
        <v>0</v>
      </c>
      <c r="Q189" s="107">
        <f ca="1">IF(C189&gt;=70,0,IF($B189=" ",0,IF(Données!$R229="NON COUVERT",0,ROUNDUP(IF(Données!$S229="OUI",MIN($E189*VLOOKUP($F189,taux,15)/52,VLOOKUP($F189,taux,17)),MIN($E189*VLOOKUP($F189,taux,15)/52,VLOOKUP($F189,taux,16))),0))))</f>
        <v>0</v>
      </c>
      <c r="R189" s="108">
        <f>IF($B189=" ",0,IF(Données!$R280="EXO",0,$Q189*VLOOKUP($F189,taux,13)/10))</f>
        <v>0</v>
      </c>
      <c r="S189" s="109">
        <f t="shared" ca="1" si="20"/>
        <v>0</v>
      </c>
      <c r="T189" s="110">
        <f>IF(B189=" ",0,IF(Données!$T280="exo",0,$S189*VLOOKUP($F189,taux,18)/100))</f>
        <v>0</v>
      </c>
      <c r="U189" s="109">
        <f>IF($B189=" ",0,IF(Données!$V280="non couvert",0,IF(VLOOKUP($F189,taux,29)="fixe","s/o",IF(Données!$W280="oui",MIN(ROUNDUP(VLOOKUP($F189,taux,31)*$E189,-3),VLOOKUP($F189,taux,33)),MIN(ROUNDUP(VLOOKUP($F189,taux,31)*$E189,-3),VLOOKUP($F189,taux,32))))))</f>
        <v>0</v>
      </c>
      <c r="V189" s="110">
        <f>IF(B189=" ",0,IF(Données!$V280="exo",0,IF(VLOOKUP($F189,taux,29)="fixe",VLOOKUP($F189,taux,30),$U189/1000*VLOOKUP($F189,taux,30))))</f>
        <v>0</v>
      </c>
      <c r="W189" s="110">
        <f t="shared" si="17"/>
        <v>0</v>
      </c>
      <c r="X189" s="383">
        <f>IF(B189=" ",0,EDATE((Données!E229),780))</f>
        <v>0</v>
      </c>
      <c r="Y189" s="383">
        <f t="shared" si="23"/>
        <v>0</v>
      </c>
      <c r="Z189" s="109">
        <f>IF($B189=" ",0,IF(Données!$T229="non couvert",0,IF(Données!$U229="oui",MIN(VLOOKUP($F189,taux,26),ROUNDUP(IF($E189/12&gt;VLOOKUP($F189,taux,21)+VLOOKUP($F189,taux,23),(VLOOKUP($F189,taux,20)*VLOOKUP($F189,taux,21))+(VLOOKUP($F189,taux,22)*VLOOKUP($F189,taux,23))+($E189/12-VLOOKUP($F189,taux,21)-VLOOKUP($F189,taux,23))*VLOOKUP($F189,taux,24),IF($E189/12&gt;VLOOKUP($F189,taux,21),(VLOOKUP($F189,taux,20)*VLOOKUP($F189,taux,21))+($E189/12-VLOOKUP($F189,taux,21))*VLOOKUP($F189,taux,22),$E189/12*VLOOKUP($F189,taux,20))),0)),MIN(VLOOKUP($F189,taux,25),ROUNDUP(IF($E189/12&gt;VLOOKUP($F189,taux,21)+VLOOKUP($F189,taux,23),(VLOOKUP($F189,taux,20)*VLOOKUP($F189,taux,21))+(VLOOKUP($F189,taux,22)*VLOOKUP($F189,taux,23))+($E189/12-VLOOKUP($F189,taux,21)-VLOOKUP($F189,taux,23))*VLOOKUP($F189,taux,24),IF($E189/12&gt;VLOOKUP($F189,taux,21),(VLOOKUP($F189,taux,20)*VLOOKUP($F189,taux,21))+($E189/12-VLOOKUP($F189,taux,21))*VLOOKUP($F189,taux,22),$E189/12*VLOOKUP($F189,taux,20))),0)))))</f>
        <v>0</v>
      </c>
      <c r="AA189" s="111">
        <f ca="1">IF(C189&gt;=70,0,IF($B189=" ",0,IF(Données!$X229="non couvert"," ",Données!Y229)))</f>
        <v>0</v>
      </c>
      <c r="AB189" s="110">
        <f>IF($B189=" ",0,IF(Données!$X280="exo",0,IF($AA189="ind",VLOOKUP($F189,taux,34),IF($AA189="fam",VLOOKUP($F189,taux,35),IF($AA189="mono",VLOOKUP($F189,taux,36),IF($AA189="couple",VLOOKUP($F189,taux,37),0))))))</f>
        <v>0</v>
      </c>
      <c r="AC189" s="111">
        <f ca="1">IF(C189&gt;=70,0,IF($B189=" ",0,IF(Données!$Z229="non couvert"," ",Données!AA229)))</f>
        <v>0</v>
      </c>
      <c r="AD189" s="110">
        <f>IF($B189=" ",0,IF(Données!$Z280="exo",0,IF($AC189="ind",VLOOKUP($F189,taux,38),IF($AC189="fam",VLOOKUP($F189,taux,39),IF($AC189="mono",VLOOKUP($F189,taux,40),IF($AC189="couple",VLOOKUP($F189,taux,41),0))))))</f>
        <v>0</v>
      </c>
      <c r="AE189" s="112">
        <f>IF($B189=" ",0,IF(Données!$AB280="non couvert"," ",Données!AC280))</f>
        <v>0</v>
      </c>
      <c r="AF189" s="113">
        <f>IF($B189=" ",0,IF(Données!$AB280="exo",0,IF($AE189="ind",VLOOKUP($F189,taux,42),IF($AE189="fam",VLOOKUP($F189,taux,43),IF($AE189="mono",VLOOKUP($F189,taux,44),IF($AE189="couple",VLOOKUP($F189,taux,45),0))))))</f>
        <v>0</v>
      </c>
      <c r="AG189" s="114">
        <f t="shared" ca="1" si="24"/>
        <v>0</v>
      </c>
      <c r="AH189" s="114">
        <f>IF($B189=" ",0,IF(Données!J229="Manitoba",(Facture!H189+Facture!J189+Facture!L189+Facture!P189+Facture!R189+Facture!T189)*0.08,(AG189-W189)*IF(Données!$J229="qc",0.09,IF(Données!$J229="on",0.08,0))+W189*VLOOKUP($F189,taux,28)))</f>
        <v>0</v>
      </c>
      <c r="AI189" s="106">
        <f t="shared" ca="1" si="22"/>
        <v>0</v>
      </c>
    </row>
    <row r="190" spans="1:35" s="64" customFormat="1">
      <c r="A190" s="90">
        <f t="shared" si="21"/>
        <v>176</v>
      </c>
      <c r="B190" s="99" t="str">
        <f>CONCATENATE(Données!B281," ",Données!C281)</f>
        <v xml:space="preserve"> </v>
      </c>
      <c r="C190" s="410">
        <f ca="1">IF(B190="",0,INT((TODAY()-Données!E230)/365.25))</f>
        <v>119</v>
      </c>
      <c r="D190" s="100">
        <f>Données!D281</f>
        <v>0</v>
      </c>
      <c r="E190" s="101">
        <f>Données!I281</f>
        <v>0</v>
      </c>
      <c r="F190" s="102">
        <f>Données!AD281</f>
        <v>0</v>
      </c>
      <c r="G190" s="103">
        <f ca="1">INDEX({1;0.5;0},MATCH(C190,{1;65;70}))*M190</f>
        <v>0</v>
      </c>
      <c r="H190" s="104">
        <f>IF($B190=" ",0,IF(Données!$K281="exo",0,$G190/1000*VLOOKUP($F190,taux,2)))</f>
        <v>0</v>
      </c>
      <c r="I190" s="398">
        <f ca="1">IF(C190&gt;=65,0,Données!M230*5000)</f>
        <v>0</v>
      </c>
      <c r="J190" s="104">
        <f ca="1">I190/1000*(IF(I190=0,0,1)*VLOOKUP((1+(C190&gt;=20)+(C190&gt;=25)+(C190&gt;=30)+(C190&gt;=35)+(C190&gt;=40)+(C190&gt;=45)+(C190&gt;=50)+(C190&gt;=55)+(C190&gt;=60)+(C190&gt;=65)),Test,2+(IF(Données!F230="H",1,3))+(IF(Données!G230="F",1,0))))</f>
        <v>0</v>
      </c>
      <c r="K190" s="103">
        <f ca="1">INDEX({1;0.5;0},MATCH(C190,{1;65;70}))*M190</f>
        <v>0</v>
      </c>
      <c r="L190" s="104">
        <f>IF($B190=" ",0,IF(Données!$N281="exo",0,$K190/1000*VLOOKUP($F190,taux,6)))</f>
        <v>0</v>
      </c>
      <c r="M190" s="379">
        <f>IF($B190=" ",0,IF(Données!$K230="NON COUVERT",0,IF(AND(Données!$L230="oui",Données!$K230=0.5),MIN(VLOOKUP($F190,taux,5)/2,ROUNDUP(VLOOKUP($F190,taux,3)*$E190,-3)/2),IF(Données!$K230=0.5,MIN(VLOOKUP($F190,taux,4)/2,ROUNDUP(VLOOKUP($F190,taux,3)*$E190,-3)/2),ROUNDUP(IF(Données!$L230="OUI",MIN(VLOOKUP($F190,taux,3)*$E190,VLOOKUP($F190,taux,5)),MIN(VLOOKUP($F190,taux,3)*$E190,VLOOKUP($F190,taux,4))),-3)))))</f>
        <v>0</v>
      </c>
      <c r="N190" s="379">
        <f>IF($B190=" ",0,IF(Données!$N230="NON COUVERT",0,IF(AND(Données!$O230="oui",Données!$N230=0.5),MIN(VLOOKUP($F190,taux,9)/2,ROUNDUP(VLOOKUP($F190,taux,7)*$E190,-3)/2),IF(Données!$N230=0.5,MIN(VLOOKUP($F190,taux,8)/2,ROUNDUP(VLOOKUP($F190,taux,7)*$E190,-3)/2),ROUNDUP(IF(Données!$O230="OUI",MIN(VLOOKUP($F190,taux,7)*$E190,VLOOKUP($F190,taux,9)),MIN(VLOOKUP($F190,taux,7)*$E190,VLOOKUP($F190,taux,8))),-3)))))</f>
        <v>0</v>
      </c>
      <c r="O190" s="105">
        <f ca="1">IF(C190&gt;=70,0,IF($B190=" ",0,IF(Données!P230="non couvert"," ",Données!Q230)))</f>
        <v>0</v>
      </c>
      <c r="P190" s="106">
        <f>IF($B190=" ",0,IF(Données!$P281="exo",0,IF($O190="FAM",VLOOKUP($F190,taux,10),IF($O190="MONO",VLOOKUP($F190,taux,11),IF($O190="COUPLE",VLOOKUP($F190,taux,12),0)))))</f>
        <v>0</v>
      </c>
      <c r="Q190" s="107">
        <f ca="1">IF(C190&gt;=70,0,IF($B190=" ",0,IF(Données!$R230="NON COUVERT",0,ROUNDUP(IF(Données!$S230="OUI",MIN($E190*VLOOKUP($F190,taux,15)/52,VLOOKUP($F190,taux,17)),MIN($E190*VLOOKUP($F190,taux,15)/52,VLOOKUP($F190,taux,16))),0))))</f>
        <v>0</v>
      </c>
      <c r="R190" s="108">
        <f>IF($B190=" ",0,IF(Données!$R281="EXO",0,$Q190*VLOOKUP($F190,taux,13)/10))</f>
        <v>0</v>
      </c>
      <c r="S190" s="109">
        <f t="shared" ca="1" si="20"/>
        <v>0</v>
      </c>
      <c r="T190" s="110">
        <f>IF(B190=" ",0,IF(Données!$T281="exo",0,$S190*VLOOKUP($F190,taux,18)/100))</f>
        <v>0</v>
      </c>
      <c r="U190" s="109">
        <f>IF($B190=" ",0,IF(Données!$V281="non couvert",0,IF(VLOOKUP($F190,taux,29)="fixe","s/o",IF(Données!$W281="oui",MIN(ROUNDUP(VLOOKUP($F190,taux,31)*$E190,-3),VLOOKUP($F190,taux,33)),MIN(ROUNDUP(VLOOKUP($F190,taux,31)*$E190,-3),VLOOKUP($F190,taux,32))))))</f>
        <v>0</v>
      </c>
      <c r="V190" s="110">
        <f>IF(B190=" ",0,IF(Données!$V281="exo",0,IF(VLOOKUP($F190,taux,29)="fixe",VLOOKUP($F190,taux,30),$U190/1000*VLOOKUP($F190,taux,30))))</f>
        <v>0</v>
      </c>
      <c r="W190" s="110">
        <f t="shared" si="17"/>
        <v>0</v>
      </c>
      <c r="X190" s="383">
        <f>IF(B190=" ",0,EDATE((Données!E230),780))</f>
        <v>0</v>
      </c>
      <c r="Y190" s="383">
        <f t="shared" si="23"/>
        <v>0</v>
      </c>
      <c r="Z190" s="109">
        <f>IF($B190=" ",0,IF(Données!$T230="non couvert",0,IF(Données!$U230="oui",MIN(VLOOKUP($F190,taux,26),ROUNDUP(IF($E190/12&gt;VLOOKUP($F190,taux,21)+VLOOKUP($F190,taux,23),(VLOOKUP($F190,taux,20)*VLOOKUP($F190,taux,21))+(VLOOKUP($F190,taux,22)*VLOOKUP($F190,taux,23))+($E190/12-VLOOKUP($F190,taux,21)-VLOOKUP($F190,taux,23))*VLOOKUP($F190,taux,24),IF($E190/12&gt;VLOOKUP($F190,taux,21),(VLOOKUP($F190,taux,20)*VLOOKUP($F190,taux,21))+($E190/12-VLOOKUP($F190,taux,21))*VLOOKUP($F190,taux,22),$E190/12*VLOOKUP($F190,taux,20))),0)),MIN(VLOOKUP($F190,taux,25),ROUNDUP(IF($E190/12&gt;VLOOKUP($F190,taux,21)+VLOOKUP($F190,taux,23),(VLOOKUP($F190,taux,20)*VLOOKUP($F190,taux,21))+(VLOOKUP($F190,taux,22)*VLOOKUP($F190,taux,23))+($E190/12-VLOOKUP($F190,taux,21)-VLOOKUP($F190,taux,23))*VLOOKUP($F190,taux,24),IF($E190/12&gt;VLOOKUP($F190,taux,21),(VLOOKUP($F190,taux,20)*VLOOKUP($F190,taux,21))+($E190/12-VLOOKUP($F190,taux,21))*VLOOKUP($F190,taux,22),$E190/12*VLOOKUP($F190,taux,20))),0)))))</f>
        <v>0</v>
      </c>
      <c r="AA190" s="111">
        <f ca="1">IF(C190&gt;=70,0,IF($B190=" ",0,IF(Données!$X230="non couvert"," ",Données!Y230)))</f>
        <v>0</v>
      </c>
      <c r="AB190" s="110">
        <f>IF($B190=" ",0,IF(Données!$X281="exo",0,IF($AA190="ind",VLOOKUP($F190,taux,34),IF($AA190="fam",VLOOKUP($F190,taux,35),IF($AA190="mono",VLOOKUP($F190,taux,36),IF($AA190="couple",VLOOKUP($F190,taux,37),0))))))</f>
        <v>0</v>
      </c>
      <c r="AC190" s="111">
        <f ca="1">IF(C190&gt;=70,0,IF($B190=" ",0,IF(Données!$Z230="non couvert"," ",Données!AA230)))</f>
        <v>0</v>
      </c>
      <c r="AD190" s="110">
        <f>IF($B190=" ",0,IF(Données!$Z281="exo",0,IF($AC190="ind",VLOOKUP($F190,taux,38),IF($AC190="fam",VLOOKUP($F190,taux,39),IF($AC190="mono",VLOOKUP($F190,taux,40),IF($AC190="couple",VLOOKUP($F190,taux,41),0))))))</f>
        <v>0</v>
      </c>
      <c r="AE190" s="112">
        <f>IF($B190=" ",0,IF(Données!$AB281="non couvert"," ",Données!AC281))</f>
        <v>0</v>
      </c>
      <c r="AF190" s="113">
        <f>IF($B190=" ",0,IF(Données!$AB281="exo",0,IF($AE190="ind",VLOOKUP($F190,taux,42),IF($AE190="fam",VLOOKUP($F190,taux,43),IF($AE190="mono",VLOOKUP($F190,taux,44),IF($AE190="couple",VLOOKUP($F190,taux,45),0))))))</f>
        <v>0</v>
      </c>
      <c r="AG190" s="114">
        <f t="shared" ca="1" si="24"/>
        <v>0</v>
      </c>
      <c r="AH190" s="114">
        <f>IF($B190=" ",0,IF(Données!J230="Manitoba",(Facture!H190+Facture!J190+Facture!L190+Facture!P190+Facture!R190+Facture!T190)*0.08,(AG190-W190)*IF(Données!$J230="qc",0.09,IF(Données!$J230="on",0.08,0))+W190*VLOOKUP($F190,taux,28)))</f>
        <v>0</v>
      </c>
      <c r="AI190" s="106">
        <f t="shared" ca="1" si="22"/>
        <v>0</v>
      </c>
    </row>
    <row r="191" spans="1:35" s="64" customFormat="1">
      <c r="A191" s="90">
        <f t="shared" si="21"/>
        <v>177</v>
      </c>
      <c r="B191" s="99" t="str">
        <f>CONCATENATE(Données!B282," ",Données!C282)</f>
        <v xml:space="preserve"> </v>
      </c>
      <c r="C191" s="410">
        <f ca="1">IF(B191="",0,INT((TODAY()-Données!E231)/365.25))</f>
        <v>119</v>
      </c>
      <c r="D191" s="100">
        <f>Données!D282</f>
        <v>0</v>
      </c>
      <c r="E191" s="101">
        <f>Données!I282</f>
        <v>0</v>
      </c>
      <c r="F191" s="102">
        <f>Données!AD282</f>
        <v>0</v>
      </c>
      <c r="G191" s="103">
        <f ca="1">INDEX({1;0.5;0},MATCH(C191,{1;65;70}))*M191</f>
        <v>0</v>
      </c>
      <c r="H191" s="104">
        <f>IF($B191=" ",0,IF(Données!$K282="exo",0,$G191/1000*VLOOKUP($F191,taux,2)))</f>
        <v>0</v>
      </c>
      <c r="I191" s="398">
        <f ca="1">IF(C191&gt;=65,0,Données!M231*5000)</f>
        <v>0</v>
      </c>
      <c r="J191" s="104">
        <f ca="1">I191/1000*(IF(I191=0,0,1)*VLOOKUP((1+(C191&gt;=20)+(C191&gt;=25)+(C191&gt;=30)+(C191&gt;=35)+(C191&gt;=40)+(C191&gt;=45)+(C191&gt;=50)+(C191&gt;=55)+(C191&gt;=60)+(C191&gt;=65)),Test,2+(IF(Données!F231="H",1,3))+(IF(Données!G231="F",1,0))))</f>
        <v>0</v>
      </c>
      <c r="K191" s="103">
        <f ca="1">INDEX({1;0.5;0},MATCH(C191,{1;65;70}))*M191</f>
        <v>0</v>
      </c>
      <c r="L191" s="104">
        <f>IF($B191=" ",0,IF(Données!$N282="exo",0,$K191/1000*VLOOKUP($F191,taux,6)))</f>
        <v>0</v>
      </c>
      <c r="M191" s="379">
        <f>IF($B191=" ",0,IF(Données!$K231="NON COUVERT",0,IF(AND(Données!$L231="oui",Données!$K231=0.5),MIN(VLOOKUP($F191,taux,5)/2,ROUNDUP(VLOOKUP($F191,taux,3)*$E191,-3)/2),IF(Données!$K231=0.5,MIN(VLOOKUP($F191,taux,4)/2,ROUNDUP(VLOOKUP($F191,taux,3)*$E191,-3)/2),ROUNDUP(IF(Données!$L231="OUI",MIN(VLOOKUP($F191,taux,3)*$E191,VLOOKUP($F191,taux,5)),MIN(VLOOKUP($F191,taux,3)*$E191,VLOOKUP($F191,taux,4))),-3)))))</f>
        <v>0</v>
      </c>
      <c r="N191" s="379">
        <f>IF($B191=" ",0,IF(Données!$N231="NON COUVERT",0,IF(AND(Données!$O231="oui",Données!$N231=0.5),MIN(VLOOKUP($F191,taux,9)/2,ROUNDUP(VLOOKUP($F191,taux,7)*$E191,-3)/2),IF(Données!$N231=0.5,MIN(VLOOKUP($F191,taux,8)/2,ROUNDUP(VLOOKUP($F191,taux,7)*$E191,-3)/2),ROUNDUP(IF(Données!$O231="OUI",MIN(VLOOKUP($F191,taux,7)*$E191,VLOOKUP($F191,taux,9)),MIN(VLOOKUP($F191,taux,7)*$E191,VLOOKUP($F191,taux,8))),-3)))))</f>
        <v>0</v>
      </c>
      <c r="O191" s="105">
        <f ca="1">IF(C191&gt;=70,0,IF($B191=" ",0,IF(Données!P231="non couvert"," ",Données!Q231)))</f>
        <v>0</v>
      </c>
      <c r="P191" s="106">
        <f>IF($B191=" ",0,IF(Données!$P282="exo",0,IF($O191="FAM",VLOOKUP($F191,taux,10),IF($O191="MONO",VLOOKUP($F191,taux,11),IF($O191="COUPLE",VLOOKUP($F191,taux,12),0)))))</f>
        <v>0</v>
      </c>
      <c r="Q191" s="107">
        <f ca="1">IF(C191&gt;=70,0,IF($B191=" ",0,IF(Données!$R231="NON COUVERT",0,ROUNDUP(IF(Données!$S231="OUI",MIN($E191*VLOOKUP($F191,taux,15)/52,VLOOKUP($F191,taux,17)),MIN($E191*VLOOKUP($F191,taux,15)/52,VLOOKUP($F191,taux,16))),0))))</f>
        <v>0</v>
      </c>
      <c r="R191" s="108">
        <f>IF($B191=" ",0,IF(Données!$R282="EXO",0,$Q191*VLOOKUP($F191,taux,13)/10))</f>
        <v>0</v>
      </c>
      <c r="S191" s="109">
        <f t="shared" ca="1" si="20"/>
        <v>0</v>
      </c>
      <c r="T191" s="110">
        <f>IF(B191=" ",0,IF(Données!$T282="exo",0,$S191*VLOOKUP($F191,taux,18)/100))</f>
        <v>0</v>
      </c>
      <c r="U191" s="109">
        <f>IF($B191=" ",0,IF(Données!$V282="non couvert",0,IF(VLOOKUP($F191,taux,29)="fixe","s/o",IF(Données!$W282="oui",MIN(ROUNDUP(VLOOKUP($F191,taux,31)*$E191,-3),VLOOKUP($F191,taux,33)),MIN(ROUNDUP(VLOOKUP($F191,taux,31)*$E191,-3),VLOOKUP($F191,taux,32))))))</f>
        <v>0</v>
      </c>
      <c r="V191" s="110">
        <f>IF(B191=" ",0,IF(Données!$V282="exo",0,IF(VLOOKUP($F191,taux,29)="fixe",VLOOKUP($F191,taux,30),$U191/1000*VLOOKUP($F191,taux,30))))</f>
        <v>0</v>
      </c>
      <c r="W191" s="110">
        <f t="shared" si="17"/>
        <v>0</v>
      </c>
      <c r="X191" s="383">
        <f>IF(B191=" ",0,EDATE((Données!E231),780))</f>
        <v>0</v>
      </c>
      <c r="Y191" s="383">
        <f t="shared" si="23"/>
        <v>0</v>
      </c>
      <c r="Z191" s="109">
        <f>IF($B191=" ",0,IF(Données!$T231="non couvert",0,IF(Données!$U231="oui",MIN(VLOOKUP($F191,taux,26),ROUNDUP(IF($E191/12&gt;VLOOKUP($F191,taux,21)+VLOOKUP($F191,taux,23),(VLOOKUP($F191,taux,20)*VLOOKUP($F191,taux,21))+(VLOOKUP($F191,taux,22)*VLOOKUP($F191,taux,23))+($E191/12-VLOOKUP($F191,taux,21)-VLOOKUP($F191,taux,23))*VLOOKUP($F191,taux,24),IF($E191/12&gt;VLOOKUP($F191,taux,21),(VLOOKUP($F191,taux,20)*VLOOKUP($F191,taux,21))+($E191/12-VLOOKUP($F191,taux,21))*VLOOKUP($F191,taux,22),$E191/12*VLOOKUP($F191,taux,20))),0)),MIN(VLOOKUP($F191,taux,25),ROUNDUP(IF($E191/12&gt;VLOOKUP($F191,taux,21)+VLOOKUP($F191,taux,23),(VLOOKUP($F191,taux,20)*VLOOKUP($F191,taux,21))+(VLOOKUP($F191,taux,22)*VLOOKUP($F191,taux,23))+($E191/12-VLOOKUP($F191,taux,21)-VLOOKUP($F191,taux,23))*VLOOKUP($F191,taux,24),IF($E191/12&gt;VLOOKUP($F191,taux,21),(VLOOKUP($F191,taux,20)*VLOOKUP($F191,taux,21))+($E191/12-VLOOKUP($F191,taux,21))*VLOOKUP($F191,taux,22),$E191/12*VLOOKUP($F191,taux,20))),0)))))</f>
        <v>0</v>
      </c>
      <c r="AA191" s="111">
        <f ca="1">IF(C191&gt;=70,0,IF($B191=" ",0,IF(Données!$X231="non couvert"," ",Données!Y231)))</f>
        <v>0</v>
      </c>
      <c r="AB191" s="110">
        <f>IF($B191=" ",0,IF(Données!$X282="exo",0,IF($AA191="ind",VLOOKUP($F191,taux,34),IF($AA191="fam",VLOOKUP($F191,taux,35),IF($AA191="mono",VLOOKUP($F191,taux,36),IF($AA191="couple",VLOOKUP($F191,taux,37),0))))))</f>
        <v>0</v>
      </c>
      <c r="AC191" s="111">
        <f ca="1">IF(C191&gt;=70,0,IF($B191=" ",0,IF(Données!$Z231="non couvert"," ",Données!AA231)))</f>
        <v>0</v>
      </c>
      <c r="AD191" s="110">
        <f>IF($B191=" ",0,IF(Données!$Z282="exo",0,IF($AC191="ind",VLOOKUP($F191,taux,38),IF($AC191="fam",VLOOKUP($F191,taux,39),IF($AC191="mono",VLOOKUP($F191,taux,40),IF($AC191="couple",VLOOKUP($F191,taux,41),0))))))</f>
        <v>0</v>
      </c>
      <c r="AE191" s="112">
        <f>IF($B191=" ",0,IF(Données!$AB282="non couvert"," ",Données!AC282))</f>
        <v>0</v>
      </c>
      <c r="AF191" s="113">
        <f>IF($B191=" ",0,IF(Données!$AB282="exo",0,IF($AE191="ind",VLOOKUP($F191,taux,42),IF($AE191="fam",VLOOKUP($F191,taux,43),IF($AE191="mono",VLOOKUP($F191,taux,44),IF($AE191="couple",VLOOKUP($F191,taux,45),0))))))</f>
        <v>0</v>
      </c>
      <c r="AG191" s="114">
        <f t="shared" ca="1" si="24"/>
        <v>0</v>
      </c>
      <c r="AH191" s="114">
        <f>IF($B191=" ",0,IF(Données!J231="Manitoba",(Facture!H191+Facture!J191+Facture!L191+Facture!P191+Facture!R191+Facture!T191)*0.08,(AG191-W191)*IF(Données!$J231="qc",0.09,IF(Données!$J231="on",0.08,0))+W191*VLOOKUP($F191,taux,28)))</f>
        <v>0</v>
      </c>
      <c r="AI191" s="106">
        <f t="shared" ca="1" si="22"/>
        <v>0</v>
      </c>
    </row>
    <row r="192" spans="1:35" s="64" customFormat="1">
      <c r="A192" s="90">
        <f t="shared" si="21"/>
        <v>178</v>
      </c>
      <c r="B192" s="99" t="str">
        <f>CONCATENATE(Données!B283," ",Données!C283)</f>
        <v xml:space="preserve"> </v>
      </c>
      <c r="C192" s="410">
        <f ca="1">IF(B192="",0,INT((TODAY()-Données!E232)/365.25))</f>
        <v>119</v>
      </c>
      <c r="D192" s="100">
        <f>Données!D283</f>
        <v>0</v>
      </c>
      <c r="E192" s="101">
        <f>Données!I283</f>
        <v>0</v>
      </c>
      <c r="F192" s="102">
        <f>Données!AD283</f>
        <v>0</v>
      </c>
      <c r="G192" s="103">
        <f ca="1">INDEX({1;0.5;0},MATCH(C192,{1;65;70}))*M192</f>
        <v>0</v>
      </c>
      <c r="H192" s="104">
        <f>IF($B192=" ",0,IF(Données!$K283="exo",0,$G192/1000*VLOOKUP($F192,taux,2)))</f>
        <v>0</v>
      </c>
      <c r="I192" s="398">
        <f ca="1">IF(C192&gt;=65,0,Données!M232*5000)</f>
        <v>0</v>
      </c>
      <c r="J192" s="104">
        <f ca="1">I192/1000*(IF(I192=0,0,1)*VLOOKUP((1+(C192&gt;=20)+(C192&gt;=25)+(C192&gt;=30)+(C192&gt;=35)+(C192&gt;=40)+(C192&gt;=45)+(C192&gt;=50)+(C192&gt;=55)+(C192&gt;=60)+(C192&gt;=65)),Test,2+(IF(Données!F232="H",1,3))+(IF(Données!G232="F",1,0))))</f>
        <v>0</v>
      </c>
      <c r="K192" s="103">
        <f ca="1">INDEX({1;0.5;0},MATCH(C192,{1;65;70}))*M192</f>
        <v>0</v>
      </c>
      <c r="L192" s="104">
        <f>IF($B192=" ",0,IF(Données!$N283="exo",0,$K192/1000*VLOOKUP($F192,taux,6)))</f>
        <v>0</v>
      </c>
      <c r="M192" s="379">
        <f>IF($B192=" ",0,IF(Données!$K232="NON COUVERT",0,IF(AND(Données!$L232="oui",Données!$K232=0.5),MIN(VLOOKUP($F192,taux,5)/2,ROUNDUP(VLOOKUP($F192,taux,3)*$E192,-3)/2),IF(Données!$K232=0.5,MIN(VLOOKUP($F192,taux,4)/2,ROUNDUP(VLOOKUP($F192,taux,3)*$E192,-3)/2),ROUNDUP(IF(Données!$L232="OUI",MIN(VLOOKUP($F192,taux,3)*$E192,VLOOKUP($F192,taux,5)),MIN(VLOOKUP($F192,taux,3)*$E192,VLOOKUP($F192,taux,4))),-3)))))</f>
        <v>0</v>
      </c>
      <c r="N192" s="379">
        <f>IF($B192=" ",0,IF(Données!$N232="NON COUVERT",0,IF(AND(Données!$O232="oui",Données!$N232=0.5),MIN(VLOOKUP($F192,taux,9)/2,ROUNDUP(VLOOKUP($F192,taux,7)*$E192,-3)/2),IF(Données!$N232=0.5,MIN(VLOOKUP($F192,taux,8)/2,ROUNDUP(VLOOKUP($F192,taux,7)*$E192,-3)/2),ROUNDUP(IF(Données!$O232="OUI",MIN(VLOOKUP($F192,taux,7)*$E192,VLOOKUP($F192,taux,9)),MIN(VLOOKUP($F192,taux,7)*$E192,VLOOKUP($F192,taux,8))),-3)))))</f>
        <v>0</v>
      </c>
      <c r="O192" s="105">
        <f ca="1">IF(C192&gt;=70,0,IF($B192=" ",0,IF(Données!P232="non couvert"," ",Données!Q232)))</f>
        <v>0</v>
      </c>
      <c r="P192" s="106">
        <f>IF($B192=" ",0,IF(Données!$P283="exo",0,IF($O192="FAM",VLOOKUP($F192,taux,10),IF($O192="MONO",VLOOKUP($F192,taux,11),IF($O192="COUPLE",VLOOKUP($F192,taux,12),0)))))</f>
        <v>0</v>
      </c>
      <c r="Q192" s="107">
        <f ca="1">IF(C192&gt;=70,0,IF($B192=" ",0,IF(Données!$R232="NON COUVERT",0,ROUNDUP(IF(Données!$S232="OUI",MIN($E192*VLOOKUP($F192,taux,15)/52,VLOOKUP($F192,taux,17)),MIN($E192*VLOOKUP($F192,taux,15)/52,VLOOKUP($F192,taux,16))),0))))</f>
        <v>0</v>
      </c>
      <c r="R192" s="108">
        <f>IF($B192=" ",0,IF(Données!$R283="EXO",0,$Q192*VLOOKUP($F192,taux,13)/10))</f>
        <v>0</v>
      </c>
      <c r="S192" s="109">
        <f t="shared" ca="1" si="20"/>
        <v>0</v>
      </c>
      <c r="T192" s="110">
        <f>IF(B192=" ",0,IF(Données!$T283="exo",0,$S192*VLOOKUP($F192,taux,18)/100))</f>
        <v>0</v>
      </c>
      <c r="U192" s="109">
        <f>IF($B192=" ",0,IF(Données!$V283="non couvert",0,IF(VLOOKUP($F192,taux,29)="fixe","s/o",IF(Données!$W283="oui",MIN(ROUNDUP(VLOOKUP($F192,taux,31)*$E192,-3),VLOOKUP($F192,taux,33)),MIN(ROUNDUP(VLOOKUP($F192,taux,31)*$E192,-3),VLOOKUP($F192,taux,32))))))</f>
        <v>0</v>
      </c>
      <c r="V192" s="110">
        <f>IF(B192=" ",0,IF(Données!$V283="exo",0,IF(VLOOKUP($F192,taux,29)="fixe",VLOOKUP($F192,taux,30),$U192/1000*VLOOKUP($F192,taux,30))))</f>
        <v>0</v>
      </c>
      <c r="W192" s="110">
        <f t="shared" si="17"/>
        <v>0</v>
      </c>
      <c r="X192" s="383">
        <f>IF(B192=" ",0,EDATE((Données!E232),780))</f>
        <v>0</v>
      </c>
      <c r="Y192" s="383">
        <f t="shared" si="23"/>
        <v>0</v>
      </c>
      <c r="Z192" s="109">
        <f>IF($B192=" ",0,IF(Données!$T232="non couvert",0,IF(Données!$U232="oui",MIN(VLOOKUP($F192,taux,26),ROUNDUP(IF($E192/12&gt;VLOOKUP($F192,taux,21)+VLOOKUP($F192,taux,23),(VLOOKUP($F192,taux,20)*VLOOKUP($F192,taux,21))+(VLOOKUP($F192,taux,22)*VLOOKUP($F192,taux,23))+($E192/12-VLOOKUP($F192,taux,21)-VLOOKUP($F192,taux,23))*VLOOKUP($F192,taux,24),IF($E192/12&gt;VLOOKUP($F192,taux,21),(VLOOKUP($F192,taux,20)*VLOOKUP($F192,taux,21))+($E192/12-VLOOKUP($F192,taux,21))*VLOOKUP($F192,taux,22),$E192/12*VLOOKUP($F192,taux,20))),0)),MIN(VLOOKUP($F192,taux,25),ROUNDUP(IF($E192/12&gt;VLOOKUP($F192,taux,21)+VLOOKUP($F192,taux,23),(VLOOKUP($F192,taux,20)*VLOOKUP($F192,taux,21))+(VLOOKUP($F192,taux,22)*VLOOKUP($F192,taux,23))+($E192/12-VLOOKUP($F192,taux,21)-VLOOKUP($F192,taux,23))*VLOOKUP($F192,taux,24),IF($E192/12&gt;VLOOKUP($F192,taux,21),(VLOOKUP($F192,taux,20)*VLOOKUP($F192,taux,21))+($E192/12-VLOOKUP($F192,taux,21))*VLOOKUP($F192,taux,22),$E192/12*VLOOKUP($F192,taux,20))),0)))))</f>
        <v>0</v>
      </c>
      <c r="AA192" s="111">
        <f ca="1">IF(C192&gt;=70,0,IF($B192=" ",0,IF(Données!$X232="non couvert"," ",Données!Y232)))</f>
        <v>0</v>
      </c>
      <c r="AB192" s="110">
        <f>IF($B192=" ",0,IF(Données!$X283="exo",0,IF($AA192="ind",VLOOKUP($F192,taux,34),IF($AA192="fam",VLOOKUP($F192,taux,35),IF($AA192="mono",VLOOKUP($F192,taux,36),IF($AA192="couple",VLOOKUP($F192,taux,37),0))))))</f>
        <v>0</v>
      </c>
      <c r="AC192" s="111">
        <f ca="1">IF(C192&gt;=70,0,IF($B192=" ",0,IF(Données!$Z232="non couvert"," ",Données!AA232)))</f>
        <v>0</v>
      </c>
      <c r="AD192" s="110">
        <f>IF($B192=" ",0,IF(Données!$Z283="exo",0,IF($AC192="ind",VLOOKUP($F192,taux,38),IF($AC192="fam",VLOOKUP($F192,taux,39),IF($AC192="mono",VLOOKUP($F192,taux,40),IF($AC192="couple",VLOOKUP($F192,taux,41),0))))))</f>
        <v>0</v>
      </c>
      <c r="AE192" s="112">
        <f>IF($B192=" ",0,IF(Données!$AB283="non couvert"," ",Données!AC283))</f>
        <v>0</v>
      </c>
      <c r="AF192" s="113">
        <f>IF($B192=" ",0,IF(Données!$AB283="exo",0,IF($AE192="ind",VLOOKUP($F192,taux,42),IF($AE192="fam",VLOOKUP($F192,taux,43),IF($AE192="mono",VLOOKUP($F192,taux,44),IF($AE192="couple",VLOOKUP($F192,taux,45),0))))))</f>
        <v>0</v>
      </c>
      <c r="AG192" s="114">
        <f t="shared" ca="1" si="24"/>
        <v>0</v>
      </c>
      <c r="AH192" s="114">
        <f>IF($B192=" ",0,IF(Données!J232="Manitoba",(Facture!H192+Facture!J192+Facture!L192+Facture!P192+Facture!R192+Facture!T192)*0.08,(AG192-W192)*IF(Données!$J232="qc",0.09,IF(Données!$J232="on",0.08,0))+W192*VLOOKUP($F192,taux,28)))</f>
        <v>0</v>
      </c>
      <c r="AI192" s="106">
        <f t="shared" ca="1" si="22"/>
        <v>0</v>
      </c>
    </row>
    <row r="193" spans="1:35" s="64" customFormat="1">
      <c r="A193" s="90">
        <f t="shared" si="21"/>
        <v>179</v>
      </c>
      <c r="B193" s="99" t="str">
        <f>CONCATENATE(Données!B284," ",Données!C284)</f>
        <v xml:space="preserve"> </v>
      </c>
      <c r="C193" s="410">
        <f ca="1">IF(B193="",0,INT((TODAY()-Données!E233)/365.25))</f>
        <v>119</v>
      </c>
      <c r="D193" s="100">
        <f>Données!D284</f>
        <v>0</v>
      </c>
      <c r="E193" s="101">
        <f>Données!I284</f>
        <v>0</v>
      </c>
      <c r="F193" s="102">
        <f>Données!AD284</f>
        <v>0</v>
      </c>
      <c r="G193" s="103">
        <f ca="1">INDEX({1;0.5;0},MATCH(C193,{1;65;70}))*M193</f>
        <v>0</v>
      </c>
      <c r="H193" s="104">
        <f>IF($B193=" ",0,IF(Données!$K284="exo",0,$G193/1000*VLOOKUP($F193,taux,2)))</f>
        <v>0</v>
      </c>
      <c r="I193" s="398">
        <f ca="1">IF(C193&gt;=65,0,Données!M233*5000)</f>
        <v>0</v>
      </c>
      <c r="J193" s="104">
        <f ca="1">I193/1000*(IF(I193=0,0,1)*VLOOKUP((1+(C193&gt;=20)+(C193&gt;=25)+(C193&gt;=30)+(C193&gt;=35)+(C193&gt;=40)+(C193&gt;=45)+(C193&gt;=50)+(C193&gt;=55)+(C193&gt;=60)+(C193&gt;=65)),Test,2+(IF(Données!F233="H",1,3))+(IF(Données!G233="F",1,0))))</f>
        <v>0</v>
      </c>
      <c r="K193" s="103">
        <f ca="1">INDEX({1;0.5;0},MATCH(C193,{1;65;70}))*M193</f>
        <v>0</v>
      </c>
      <c r="L193" s="104">
        <f>IF($B193=" ",0,IF(Données!$N284="exo",0,$K193/1000*VLOOKUP($F193,taux,6)))</f>
        <v>0</v>
      </c>
      <c r="M193" s="379">
        <f>IF($B193=" ",0,IF(Données!$K233="NON COUVERT",0,IF(AND(Données!$L233="oui",Données!$K233=0.5),MIN(VLOOKUP($F193,taux,5)/2,ROUNDUP(VLOOKUP($F193,taux,3)*$E193,-3)/2),IF(Données!$K233=0.5,MIN(VLOOKUP($F193,taux,4)/2,ROUNDUP(VLOOKUP($F193,taux,3)*$E193,-3)/2),ROUNDUP(IF(Données!$L233="OUI",MIN(VLOOKUP($F193,taux,3)*$E193,VLOOKUP($F193,taux,5)),MIN(VLOOKUP($F193,taux,3)*$E193,VLOOKUP($F193,taux,4))),-3)))))</f>
        <v>0</v>
      </c>
      <c r="N193" s="379">
        <f>IF($B193=" ",0,IF(Données!$N233="NON COUVERT",0,IF(AND(Données!$O233="oui",Données!$N233=0.5),MIN(VLOOKUP($F193,taux,9)/2,ROUNDUP(VLOOKUP($F193,taux,7)*$E193,-3)/2),IF(Données!$N233=0.5,MIN(VLOOKUP($F193,taux,8)/2,ROUNDUP(VLOOKUP($F193,taux,7)*$E193,-3)/2),ROUNDUP(IF(Données!$O233="OUI",MIN(VLOOKUP($F193,taux,7)*$E193,VLOOKUP($F193,taux,9)),MIN(VLOOKUP($F193,taux,7)*$E193,VLOOKUP($F193,taux,8))),-3)))))</f>
        <v>0</v>
      </c>
      <c r="O193" s="105">
        <f ca="1">IF(C193&gt;=70,0,IF($B193=" ",0,IF(Données!P233="non couvert"," ",Données!Q233)))</f>
        <v>0</v>
      </c>
      <c r="P193" s="106">
        <f>IF($B193=" ",0,IF(Données!$P284="exo",0,IF($O193="FAM",VLOOKUP($F193,taux,10),IF($O193="MONO",VLOOKUP($F193,taux,11),IF($O193="COUPLE",VLOOKUP($F193,taux,12),0)))))</f>
        <v>0</v>
      </c>
      <c r="Q193" s="107">
        <f ca="1">IF(C193&gt;=70,0,IF($B193=" ",0,IF(Données!$R233="NON COUVERT",0,ROUNDUP(IF(Données!$S233="OUI",MIN($E193*VLOOKUP($F193,taux,15)/52,VLOOKUP($F193,taux,17)),MIN($E193*VLOOKUP($F193,taux,15)/52,VLOOKUP($F193,taux,16))),0))))</f>
        <v>0</v>
      </c>
      <c r="R193" s="108">
        <f>IF($B193=" ",0,IF(Données!$R284="EXO",0,$Q193*VLOOKUP($F193,taux,13)/10))</f>
        <v>0</v>
      </c>
      <c r="S193" s="109">
        <f t="shared" ca="1" si="20"/>
        <v>0</v>
      </c>
      <c r="T193" s="110">
        <f>IF(B193=" ",0,IF(Données!$T284="exo",0,$S193*VLOOKUP($F193,taux,18)/100))</f>
        <v>0</v>
      </c>
      <c r="U193" s="109">
        <f>IF($B193=" ",0,IF(Données!$V284="non couvert",0,IF(VLOOKUP($F193,taux,29)="fixe","s/o",IF(Données!$W284="oui",MIN(ROUNDUP(VLOOKUP($F193,taux,31)*$E193,-3),VLOOKUP($F193,taux,33)),MIN(ROUNDUP(VLOOKUP($F193,taux,31)*$E193,-3),VLOOKUP($F193,taux,32))))))</f>
        <v>0</v>
      </c>
      <c r="V193" s="110">
        <f>IF(B193=" ",0,IF(Données!$V284="exo",0,IF(VLOOKUP($F193,taux,29)="fixe",VLOOKUP($F193,taux,30),$U193/1000*VLOOKUP($F193,taux,30))))</f>
        <v>0</v>
      </c>
      <c r="W193" s="110">
        <f t="shared" si="17"/>
        <v>0</v>
      </c>
      <c r="X193" s="383">
        <f>IF(B193=" ",0,EDATE((Données!E233),780))</f>
        <v>0</v>
      </c>
      <c r="Y193" s="383">
        <f t="shared" si="23"/>
        <v>0</v>
      </c>
      <c r="Z193" s="109">
        <f>IF($B193=" ",0,IF(Données!$T233="non couvert",0,IF(Données!$U233="oui",MIN(VLOOKUP($F193,taux,26),ROUNDUP(IF($E193/12&gt;VLOOKUP($F193,taux,21)+VLOOKUP($F193,taux,23),(VLOOKUP($F193,taux,20)*VLOOKUP($F193,taux,21))+(VLOOKUP($F193,taux,22)*VLOOKUP($F193,taux,23))+($E193/12-VLOOKUP($F193,taux,21)-VLOOKUP($F193,taux,23))*VLOOKUP($F193,taux,24),IF($E193/12&gt;VLOOKUP($F193,taux,21),(VLOOKUP($F193,taux,20)*VLOOKUP($F193,taux,21))+($E193/12-VLOOKUP($F193,taux,21))*VLOOKUP($F193,taux,22),$E193/12*VLOOKUP($F193,taux,20))),0)),MIN(VLOOKUP($F193,taux,25),ROUNDUP(IF($E193/12&gt;VLOOKUP($F193,taux,21)+VLOOKUP($F193,taux,23),(VLOOKUP($F193,taux,20)*VLOOKUP($F193,taux,21))+(VLOOKUP($F193,taux,22)*VLOOKUP($F193,taux,23))+($E193/12-VLOOKUP($F193,taux,21)-VLOOKUP($F193,taux,23))*VLOOKUP($F193,taux,24),IF($E193/12&gt;VLOOKUP($F193,taux,21),(VLOOKUP($F193,taux,20)*VLOOKUP($F193,taux,21))+($E193/12-VLOOKUP($F193,taux,21))*VLOOKUP($F193,taux,22),$E193/12*VLOOKUP($F193,taux,20))),0)))))</f>
        <v>0</v>
      </c>
      <c r="AA193" s="111">
        <f ca="1">IF(C193&gt;=70,0,IF($B193=" ",0,IF(Données!$X233="non couvert"," ",Données!Y233)))</f>
        <v>0</v>
      </c>
      <c r="AB193" s="110">
        <f>IF($B193=" ",0,IF(Données!$X284="exo",0,IF($AA193="ind",VLOOKUP($F193,taux,34),IF($AA193="fam",VLOOKUP($F193,taux,35),IF($AA193="mono",VLOOKUP($F193,taux,36),IF($AA193="couple",VLOOKUP($F193,taux,37),0))))))</f>
        <v>0</v>
      </c>
      <c r="AC193" s="111">
        <f ca="1">IF(C193&gt;=70,0,IF($B193=" ",0,IF(Données!$Z233="non couvert"," ",Données!AA233)))</f>
        <v>0</v>
      </c>
      <c r="AD193" s="110">
        <f>IF($B193=" ",0,IF(Données!$Z284="exo",0,IF($AC193="ind",VLOOKUP($F193,taux,38),IF($AC193="fam",VLOOKUP($F193,taux,39),IF($AC193="mono",VLOOKUP($F193,taux,40),IF($AC193="couple",VLOOKUP($F193,taux,41),0))))))</f>
        <v>0</v>
      </c>
      <c r="AE193" s="112">
        <f>IF($B193=" ",0,IF(Données!$AB284="non couvert"," ",Données!AC284))</f>
        <v>0</v>
      </c>
      <c r="AF193" s="113">
        <f>IF($B193=" ",0,IF(Données!$AB284="exo",0,IF($AE193="ind",VLOOKUP($F193,taux,42),IF($AE193="fam",VLOOKUP($F193,taux,43),IF($AE193="mono",VLOOKUP($F193,taux,44),IF($AE193="couple",VLOOKUP($F193,taux,45),0))))))</f>
        <v>0</v>
      </c>
      <c r="AG193" s="114">
        <f t="shared" ca="1" si="24"/>
        <v>0</v>
      </c>
      <c r="AH193" s="114">
        <f>IF($B193=" ",0,IF(Données!J233="Manitoba",(Facture!H193+Facture!J193+Facture!L193+Facture!P193+Facture!R193+Facture!T193)*0.08,(AG193-W193)*IF(Données!$J233="qc",0.09,IF(Données!$J233="on",0.08,0))+W193*VLOOKUP($F193,taux,28)))</f>
        <v>0</v>
      </c>
      <c r="AI193" s="106">
        <f t="shared" ca="1" si="22"/>
        <v>0</v>
      </c>
    </row>
    <row r="194" spans="1:35" s="64" customFormat="1">
      <c r="A194" s="90">
        <f t="shared" si="21"/>
        <v>180</v>
      </c>
      <c r="B194" s="99" t="str">
        <f>CONCATENATE(Données!B285," ",Données!C285)</f>
        <v xml:space="preserve"> </v>
      </c>
      <c r="C194" s="410">
        <f ca="1">IF(B194="",0,INT((TODAY()-Données!E234)/365.25))</f>
        <v>119</v>
      </c>
      <c r="D194" s="100">
        <f>Données!D285</f>
        <v>0</v>
      </c>
      <c r="E194" s="101">
        <f>Données!I285</f>
        <v>0</v>
      </c>
      <c r="F194" s="102">
        <f>Données!AD285</f>
        <v>0</v>
      </c>
      <c r="G194" s="103">
        <f ca="1">INDEX({1;0.5;0},MATCH(C194,{1;65;70}))*M194</f>
        <v>0</v>
      </c>
      <c r="H194" s="104">
        <f>IF($B194=" ",0,IF(Données!$K285="exo",0,$G194/1000*VLOOKUP($F194,taux,2)))</f>
        <v>0</v>
      </c>
      <c r="I194" s="398">
        <f ca="1">IF(C194&gt;=65,0,Données!M234*5000)</f>
        <v>0</v>
      </c>
      <c r="J194" s="104">
        <f ca="1">I194/1000*(IF(I194=0,0,1)*VLOOKUP((1+(C194&gt;=20)+(C194&gt;=25)+(C194&gt;=30)+(C194&gt;=35)+(C194&gt;=40)+(C194&gt;=45)+(C194&gt;=50)+(C194&gt;=55)+(C194&gt;=60)+(C194&gt;=65)),Test,2+(IF(Données!F234="H",1,3))+(IF(Données!G234="F",1,0))))</f>
        <v>0</v>
      </c>
      <c r="K194" s="103">
        <f ca="1">INDEX({1;0.5;0},MATCH(C194,{1;65;70}))*M194</f>
        <v>0</v>
      </c>
      <c r="L194" s="104">
        <f>IF($B194=" ",0,IF(Données!$N285="exo",0,$K194/1000*VLOOKUP($F194,taux,6)))</f>
        <v>0</v>
      </c>
      <c r="M194" s="379">
        <f>IF($B194=" ",0,IF(Données!$K234="NON COUVERT",0,IF(AND(Données!$L234="oui",Données!$K234=0.5),MIN(VLOOKUP($F194,taux,5)/2,ROUNDUP(VLOOKUP($F194,taux,3)*$E194,-3)/2),IF(Données!$K234=0.5,MIN(VLOOKUP($F194,taux,4)/2,ROUNDUP(VLOOKUP($F194,taux,3)*$E194,-3)/2),ROUNDUP(IF(Données!$L234="OUI",MIN(VLOOKUP($F194,taux,3)*$E194,VLOOKUP($F194,taux,5)),MIN(VLOOKUP($F194,taux,3)*$E194,VLOOKUP($F194,taux,4))),-3)))))</f>
        <v>0</v>
      </c>
      <c r="N194" s="379">
        <f>IF($B194=" ",0,IF(Données!$N234="NON COUVERT",0,IF(AND(Données!$O234="oui",Données!$N234=0.5),MIN(VLOOKUP($F194,taux,9)/2,ROUNDUP(VLOOKUP($F194,taux,7)*$E194,-3)/2),IF(Données!$N234=0.5,MIN(VLOOKUP($F194,taux,8)/2,ROUNDUP(VLOOKUP($F194,taux,7)*$E194,-3)/2),ROUNDUP(IF(Données!$O234="OUI",MIN(VLOOKUP($F194,taux,7)*$E194,VLOOKUP($F194,taux,9)),MIN(VLOOKUP($F194,taux,7)*$E194,VLOOKUP($F194,taux,8))),-3)))))</f>
        <v>0</v>
      </c>
      <c r="O194" s="105">
        <f ca="1">IF(C194&gt;=70,0,IF($B194=" ",0,IF(Données!P234="non couvert"," ",Données!Q234)))</f>
        <v>0</v>
      </c>
      <c r="P194" s="106">
        <f>IF($B194=" ",0,IF(Données!$P285="exo",0,IF($O194="FAM",VLOOKUP($F194,taux,10),IF($O194="MONO",VLOOKUP($F194,taux,11),IF($O194="COUPLE",VLOOKUP($F194,taux,12),0)))))</f>
        <v>0</v>
      </c>
      <c r="Q194" s="107">
        <f ca="1">IF(C194&gt;=70,0,IF($B194=" ",0,IF(Données!$R234="NON COUVERT",0,ROUNDUP(IF(Données!$S234="OUI",MIN($E194*VLOOKUP($F194,taux,15)/52,VLOOKUP($F194,taux,17)),MIN($E194*VLOOKUP($F194,taux,15)/52,VLOOKUP($F194,taux,16))),0))))</f>
        <v>0</v>
      </c>
      <c r="R194" s="108">
        <f>IF($B194=" ",0,IF(Données!$R285="EXO",0,$Q194*VLOOKUP($F194,taux,13)/10))</f>
        <v>0</v>
      </c>
      <c r="S194" s="109">
        <f t="shared" ca="1" si="20"/>
        <v>0</v>
      </c>
      <c r="T194" s="110">
        <f>IF(B194=" ",0,IF(Données!$T285="exo",0,$S194*VLOOKUP($F194,taux,18)/100))</f>
        <v>0</v>
      </c>
      <c r="U194" s="109">
        <f>IF($B194=" ",0,IF(Données!$V285="non couvert",0,IF(VLOOKUP($F194,taux,29)="fixe","s/o",IF(Données!$W285="oui",MIN(ROUNDUP(VLOOKUP($F194,taux,31)*$E194,-3),VLOOKUP($F194,taux,33)),MIN(ROUNDUP(VLOOKUP($F194,taux,31)*$E194,-3),VLOOKUP($F194,taux,32))))))</f>
        <v>0</v>
      </c>
      <c r="V194" s="110">
        <f>IF(B194=" ",0,IF(Données!$V285="exo",0,IF(VLOOKUP($F194,taux,29)="fixe",VLOOKUP($F194,taux,30),$U194/1000*VLOOKUP($F194,taux,30))))</f>
        <v>0</v>
      </c>
      <c r="W194" s="110">
        <f t="shared" si="17"/>
        <v>0</v>
      </c>
      <c r="X194" s="383">
        <f>IF(B194=" ",0,EDATE((Données!E234),780))</f>
        <v>0</v>
      </c>
      <c r="Y194" s="383">
        <f t="shared" si="23"/>
        <v>0</v>
      </c>
      <c r="Z194" s="109">
        <f>IF($B194=" ",0,IF(Données!$T234="non couvert",0,IF(Données!$U234="oui",MIN(VLOOKUP($F194,taux,26),ROUNDUP(IF($E194/12&gt;VLOOKUP($F194,taux,21)+VLOOKUP($F194,taux,23),(VLOOKUP($F194,taux,20)*VLOOKUP($F194,taux,21))+(VLOOKUP($F194,taux,22)*VLOOKUP($F194,taux,23))+($E194/12-VLOOKUP($F194,taux,21)-VLOOKUP($F194,taux,23))*VLOOKUP($F194,taux,24),IF($E194/12&gt;VLOOKUP($F194,taux,21),(VLOOKUP($F194,taux,20)*VLOOKUP($F194,taux,21))+($E194/12-VLOOKUP($F194,taux,21))*VLOOKUP($F194,taux,22),$E194/12*VLOOKUP($F194,taux,20))),0)),MIN(VLOOKUP($F194,taux,25),ROUNDUP(IF($E194/12&gt;VLOOKUP($F194,taux,21)+VLOOKUP($F194,taux,23),(VLOOKUP($F194,taux,20)*VLOOKUP($F194,taux,21))+(VLOOKUP($F194,taux,22)*VLOOKUP($F194,taux,23))+($E194/12-VLOOKUP($F194,taux,21)-VLOOKUP($F194,taux,23))*VLOOKUP($F194,taux,24),IF($E194/12&gt;VLOOKUP($F194,taux,21),(VLOOKUP($F194,taux,20)*VLOOKUP($F194,taux,21))+($E194/12-VLOOKUP($F194,taux,21))*VLOOKUP($F194,taux,22),$E194/12*VLOOKUP($F194,taux,20))),0)))))</f>
        <v>0</v>
      </c>
      <c r="AA194" s="111">
        <f ca="1">IF(C194&gt;=70,0,IF($B194=" ",0,IF(Données!$X234="non couvert"," ",Données!Y234)))</f>
        <v>0</v>
      </c>
      <c r="AB194" s="110">
        <f>IF($B194=" ",0,IF(Données!$X285="exo",0,IF($AA194="ind",VLOOKUP($F194,taux,34),IF($AA194="fam",VLOOKUP($F194,taux,35),IF($AA194="mono",VLOOKUP($F194,taux,36),IF($AA194="couple",VLOOKUP($F194,taux,37),0))))))</f>
        <v>0</v>
      </c>
      <c r="AC194" s="111">
        <f ca="1">IF(C194&gt;=70,0,IF($B194=" ",0,IF(Données!$Z234="non couvert"," ",Données!AA234)))</f>
        <v>0</v>
      </c>
      <c r="AD194" s="110">
        <f>IF($B194=" ",0,IF(Données!$Z285="exo",0,IF($AC194="ind",VLOOKUP($F194,taux,38),IF($AC194="fam",VLOOKUP($F194,taux,39),IF($AC194="mono",VLOOKUP($F194,taux,40),IF($AC194="couple",VLOOKUP($F194,taux,41),0))))))</f>
        <v>0</v>
      </c>
      <c r="AE194" s="112">
        <f>IF($B194=" ",0,IF(Données!$AB285="non couvert"," ",Données!AC285))</f>
        <v>0</v>
      </c>
      <c r="AF194" s="113">
        <f>IF($B194=" ",0,IF(Données!$AB285="exo",0,IF($AE194="ind",VLOOKUP($F194,taux,42),IF($AE194="fam",VLOOKUP($F194,taux,43),IF($AE194="mono",VLOOKUP($F194,taux,44),IF($AE194="couple",VLOOKUP($F194,taux,45),0))))))</f>
        <v>0</v>
      </c>
      <c r="AG194" s="114">
        <f t="shared" ca="1" si="24"/>
        <v>0</v>
      </c>
      <c r="AH194" s="114">
        <f>IF($B194=" ",0,IF(Données!J234="Manitoba",(Facture!H194+Facture!J194+Facture!L194+Facture!P194+Facture!R194+Facture!T194)*0.08,(AG194-W194)*IF(Données!$J234="qc",0.09,IF(Données!$J234="on",0.08,0))+W194*VLOOKUP($F194,taux,28)))</f>
        <v>0</v>
      </c>
      <c r="AI194" s="106">
        <f t="shared" ca="1" si="22"/>
        <v>0</v>
      </c>
    </row>
    <row r="195" spans="1:35" s="64" customFormat="1">
      <c r="A195" s="90">
        <f t="shared" si="21"/>
        <v>181</v>
      </c>
      <c r="B195" s="99" t="str">
        <f>CONCATENATE(Données!B286," ",Données!C286)</f>
        <v xml:space="preserve"> </v>
      </c>
      <c r="C195" s="410">
        <f ca="1">IF(B195="",0,INT((TODAY()-Données!E235)/365.25))</f>
        <v>119</v>
      </c>
      <c r="D195" s="100">
        <f>Données!D286</f>
        <v>0</v>
      </c>
      <c r="E195" s="101">
        <f>Données!I286</f>
        <v>0</v>
      </c>
      <c r="F195" s="102">
        <f>Données!AD286</f>
        <v>0</v>
      </c>
      <c r="G195" s="103">
        <f ca="1">INDEX({1;0.5;0},MATCH(C195,{1;65;70}))*M195</f>
        <v>0</v>
      </c>
      <c r="H195" s="104">
        <f>IF($B195=" ",0,IF(Données!$K286="exo",0,$G195/1000*VLOOKUP($F195,taux,2)))</f>
        <v>0</v>
      </c>
      <c r="I195" s="398">
        <f ca="1">IF(C195&gt;=65,0,Données!M235*5000)</f>
        <v>0</v>
      </c>
      <c r="J195" s="104">
        <f ca="1">I195/1000*(IF(I195=0,0,1)*VLOOKUP((1+(C195&gt;=20)+(C195&gt;=25)+(C195&gt;=30)+(C195&gt;=35)+(C195&gt;=40)+(C195&gt;=45)+(C195&gt;=50)+(C195&gt;=55)+(C195&gt;=60)+(C195&gt;=65)),Test,2+(IF(Données!F235="H",1,3))+(IF(Données!G235="F",1,0))))</f>
        <v>0</v>
      </c>
      <c r="K195" s="103">
        <f ca="1">INDEX({1;0.5;0},MATCH(C195,{1;65;70}))*M195</f>
        <v>0</v>
      </c>
      <c r="L195" s="104">
        <f>IF($B195=" ",0,IF(Données!$N286="exo",0,$K195/1000*VLOOKUP($F195,taux,6)))</f>
        <v>0</v>
      </c>
      <c r="M195" s="379">
        <f>IF($B195=" ",0,IF(Données!$K235="NON COUVERT",0,IF(AND(Données!$L235="oui",Données!$K235=0.5),MIN(VLOOKUP($F195,taux,5)/2,ROUNDUP(VLOOKUP($F195,taux,3)*$E195,-3)/2),IF(Données!$K235=0.5,MIN(VLOOKUP($F195,taux,4)/2,ROUNDUP(VLOOKUP($F195,taux,3)*$E195,-3)/2),ROUNDUP(IF(Données!$L235="OUI",MIN(VLOOKUP($F195,taux,3)*$E195,VLOOKUP($F195,taux,5)),MIN(VLOOKUP($F195,taux,3)*$E195,VLOOKUP($F195,taux,4))),-3)))))</f>
        <v>0</v>
      </c>
      <c r="N195" s="379">
        <f>IF($B195=" ",0,IF(Données!$N235="NON COUVERT",0,IF(AND(Données!$O235="oui",Données!$N235=0.5),MIN(VLOOKUP($F195,taux,9)/2,ROUNDUP(VLOOKUP($F195,taux,7)*$E195,-3)/2),IF(Données!$N235=0.5,MIN(VLOOKUP($F195,taux,8)/2,ROUNDUP(VLOOKUP($F195,taux,7)*$E195,-3)/2),ROUNDUP(IF(Données!$O235="OUI",MIN(VLOOKUP($F195,taux,7)*$E195,VLOOKUP($F195,taux,9)),MIN(VLOOKUP($F195,taux,7)*$E195,VLOOKUP($F195,taux,8))),-3)))))</f>
        <v>0</v>
      </c>
      <c r="O195" s="105">
        <f ca="1">IF(C195&gt;=70,0,IF($B195=" ",0,IF(Données!P235="non couvert"," ",Données!Q235)))</f>
        <v>0</v>
      </c>
      <c r="P195" s="106">
        <f>IF($B195=" ",0,IF(Données!$P286="exo",0,IF($O195="FAM",VLOOKUP($F195,taux,10),IF($O195="MONO",VLOOKUP($F195,taux,11),IF($O195="COUPLE",VLOOKUP($F195,taux,12),0)))))</f>
        <v>0</v>
      </c>
      <c r="Q195" s="107">
        <f ca="1">IF(C195&gt;=70,0,IF($B195=" ",0,IF(Données!$R235="NON COUVERT",0,ROUNDUP(IF(Données!$S235="OUI",MIN($E195*VLOOKUP($F195,taux,15)/52,VLOOKUP($F195,taux,17)),MIN($E195*VLOOKUP($F195,taux,15)/52,VLOOKUP($F195,taux,16))),0))))</f>
        <v>0</v>
      </c>
      <c r="R195" s="108">
        <f>IF($B195=" ",0,IF(Données!$R286="EXO",0,$Q195*VLOOKUP($F195,taux,13)/10))</f>
        <v>0</v>
      </c>
      <c r="S195" s="109">
        <f t="shared" ca="1" si="20"/>
        <v>0</v>
      </c>
      <c r="T195" s="110">
        <f>IF(B195=" ",0,IF(Données!$T286="exo",0,$S195*VLOOKUP($F195,taux,18)/100))</f>
        <v>0</v>
      </c>
      <c r="U195" s="109">
        <f>IF($B195=" ",0,IF(Données!$V286="non couvert",0,IF(VLOOKUP($F195,taux,29)="fixe","s/o",IF(Données!$W286="oui",MIN(ROUNDUP(VLOOKUP($F195,taux,31)*$E195,-3),VLOOKUP($F195,taux,33)),MIN(ROUNDUP(VLOOKUP($F195,taux,31)*$E195,-3),VLOOKUP($F195,taux,32))))))</f>
        <v>0</v>
      </c>
      <c r="V195" s="110">
        <f>IF(B195=" ",0,IF(Données!$V286="exo",0,IF(VLOOKUP($F195,taux,29)="fixe",VLOOKUP($F195,taux,30),$U195/1000*VLOOKUP($F195,taux,30))))</f>
        <v>0</v>
      </c>
      <c r="W195" s="110">
        <f t="shared" si="17"/>
        <v>0</v>
      </c>
      <c r="X195" s="383">
        <f>IF(B195=" ",0,EDATE((Données!E235),780))</f>
        <v>0</v>
      </c>
      <c r="Y195" s="383">
        <f t="shared" si="23"/>
        <v>0</v>
      </c>
      <c r="Z195" s="109">
        <f>IF($B195=" ",0,IF(Données!$T235="non couvert",0,IF(Données!$U235="oui",MIN(VLOOKUP($F195,taux,26),ROUNDUP(IF($E195/12&gt;VLOOKUP($F195,taux,21)+VLOOKUP($F195,taux,23),(VLOOKUP($F195,taux,20)*VLOOKUP($F195,taux,21))+(VLOOKUP($F195,taux,22)*VLOOKUP($F195,taux,23))+($E195/12-VLOOKUP($F195,taux,21)-VLOOKUP($F195,taux,23))*VLOOKUP($F195,taux,24),IF($E195/12&gt;VLOOKUP($F195,taux,21),(VLOOKUP($F195,taux,20)*VLOOKUP($F195,taux,21))+($E195/12-VLOOKUP($F195,taux,21))*VLOOKUP($F195,taux,22),$E195/12*VLOOKUP($F195,taux,20))),0)),MIN(VLOOKUP($F195,taux,25),ROUNDUP(IF($E195/12&gt;VLOOKUP($F195,taux,21)+VLOOKUP($F195,taux,23),(VLOOKUP($F195,taux,20)*VLOOKUP($F195,taux,21))+(VLOOKUP($F195,taux,22)*VLOOKUP($F195,taux,23))+($E195/12-VLOOKUP($F195,taux,21)-VLOOKUP($F195,taux,23))*VLOOKUP($F195,taux,24),IF($E195/12&gt;VLOOKUP($F195,taux,21),(VLOOKUP($F195,taux,20)*VLOOKUP($F195,taux,21))+($E195/12-VLOOKUP($F195,taux,21))*VLOOKUP($F195,taux,22),$E195/12*VLOOKUP($F195,taux,20))),0)))))</f>
        <v>0</v>
      </c>
      <c r="AA195" s="111">
        <f ca="1">IF(C195&gt;=70,0,IF($B195=" ",0,IF(Données!$X235="non couvert"," ",Données!Y235)))</f>
        <v>0</v>
      </c>
      <c r="AB195" s="110">
        <f>IF($B195=" ",0,IF(Données!$X286="exo",0,IF($AA195="ind",VLOOKUP($F195,taux,34),IF($AA195="fam",VLOOKUP($F195,taux,35),IF($AA195="mono",VLOOKUP($F195,taux,36),IF($AA195="couple",VLOOKUP($F195,taux,37),0))))))</f>
        <v>0</v>
      </c>
      <c r="AC195" s="111">
        <f ca="1">IF(C195&gt;=70,0,IF($B195=" ",0,IF(Données!$Z235="non couvert"," ",Données!AA235)))</f>
        <v>0</v>
      </c>
      <c r="AD195" s="110">
        <f>IF($B195=" ",0,IF(Données!$Z286="exo",0,IF($AC195="ind",VLOOKUP($F195,taux,38),IF($AC195="fam",VLOOKUP($F195,taux,39),IF($AC195="mono",VLOOKUP($F195,taux,40),IF($AC195="couple",VLOOKUP($F195,taux,41),0))))))</f>
        <v>0</v>
      </c>
      <c r="AE195" s="112">
        <f>IF($B195=" ",0,IF(Données!$AB286="non couvert"," ",Données!AC286))</f>
        <v>0</v>
      </c>
      <c r="AF195" s="113">
        <f>IF($B195=" ",0,IF(Données!$AB286="exo",0,IF($AE195="ind",VLOOKUP($F195,taux,42),IF($AE195="fam",VLOOKUP($F195,taux,43),IF($AE195="mono",VLOOKUP($F195,taux,44),IF($AE195="couple",VLOOKUP($F195,taux,45),0))))))</f>
        <v>0</v>
      </c>
      <c r="AG195" s="114">
        <f t="shared" ca="1" si="24"/>
        <v>0</v>
      </c>
      <c r="AH195" s="114">
        <f>IF($B195=" ",0,IF(Données!J235="Manitoba",(Facture!H195+Facture!J195+Facture!L195+Facture!P195+Facture!R195+Facture!T195)*0.08,(AG195-W195)*IF(Données!$J235="qc",0.09,IF(Données!$J235="on",0.08,0))+W195*VLOOKUP($F195,taux,28)))</f>
        <v>0</v>
      </c>
      <c r="AI195" s="106">
        <f t="shared" ca="1" si="22"/>
        <v>0</v>
      </c>
    </row>
    <row r="196" spans="1:35" s="64" customFormat="1">
      <c r="A196" s="90">
        <f t="shared" si="21"/>
        <v>182</v>
      </c>
      <c r="B196" s="99" t="str">
        <f>CONCATENATE(Données!B287," ",Données!C287)</f>
        <v xml:space="preserve"> </v>
      </c>
      <c r="C196" s="410">
        <f ca="1">IF(B196="",0,INT((TODAY()-Données!E236)/365.25))</f>
        <v>119</v>
      </c>
      <c r="D196" s="100">
        <f>Données!D287</f>
        <v>0</v>
      </c>
      <c r="E196" s="101">
        <f>Données!I287</f>
        <v>0</v>
      </c>
      <c r="F196" s="102">
        <f>Données!AD287</f>
        <v>0</v>
      </c>
      <c r="G196" s="103">
        <f ca="1">INDEX({1;0.5;0},MATCH(C196,{1;65;70}))*M196</f>
        <v>0</v>
      </c>
      <c r="H196" s="104">
        <f>IF($B196=" ",0,IF(Données!$K287="exo",0,$G196/1000*VLOOKUP($F196,taux,2)))</f>
        <v>0</v>
      </c>
      <c r="I196" s="398">
        <f ca="1">IF(C196&gt;=65,0,Données!M236*5000)</f>
        <v>0</v>
      </c>
      <c r="J196" s="104">
        <f ca="1">I196/1000*(IF(I196=0,0,1)*VLOOKUP((1+(C196&gt;=20)+(C196&gt;=25)+(C196&gt;=30)+(C196&gt;=35)+(C196&gt;=40)+(C196&gt;=45)+(C196&gt;=50)+(C196&gt;=55)+(C196&gt;=60)+(C196&gt;=65)),Test,2+(IF(Données!F236="H",1,3))+(IF(Données!G236="F",1,0))))</f>
        <v>0</v>
      </c>
      <c r="K196" s="103">
        <f ca="1">INDEX({1;0.5;0},MATCH(C196,{1;65;70}))*M196</f>
        <v>0</v>
      </c>
      <c r="L196" s="104">
        <f>IF($B196=" ",0,IF(Données!$N287="exo",0,$K196/1000*VLOOKUP($F196,taux,6)))</f>
        <v>0</v>
      </c>
      <c r="M196" s="379">
        <f>IF($B196=" ",0,IF(Données!$K236="NON COUVERT",0,IF(AND(Données!$L236="oui",Données!$K236=0.5),MIN(VLOOKUP($F196,taux,5)/2,ROUNDUP(VLOOKUP($F196,taux,3)*$E196,-3)/2),IF(Données!$K236=0.5,MIN(VLOOKUP($F196,taux,4)/2,ROUNDUP(VLOOKUP($F196,taux,3)*$E196,-3)/2),ROUNDUP(IF(Données!$L236="OUI",MIN(VLOOKUP($F196,taux,3)*$E196,VLOOKUP($F196,taux,5)),MIN(VLOOKUP($F196,taux,3)*$E196,VLOOKUP($F196,taux,4))),-3)))))</f>
        <v>0</v>
      </c>
      <c r="N196" s="379">
        <f>IF($B196=" ",0,IF(Données!$N236="NON COUVERT",0,IF(AND(Données!$O236="oui",Données!$N236=0.5),MIN(VLOOKUP($F196,taux,9)/2,ROUNDUP(VLOOKUP($F196,taux,7)*$E196,-3)/2),IF(Données!$N236=0.5,MIN(VLOOKUP($F196,taux,8)/2,ROUNDUP(VLOOKUP($F196,taux,7)*$E196,-3)/2),ROUNDUP(IF(Données!$O236="OUI",MIN(VLOOKUP($F196,taux,7)*$E196,VLOOKUP($F196,taux,9)),MIN(VLOOKUP($F196,taux,7)*$E196,VLOOKUP($F196,taux,8))),-3)))))</f>
        <v>0</v>
      </c>
      <c r="O196" s="105">
        <f ca="1">IF(C196&gt;=70,0,IF($B196=" ",0,IF(Données!P236="non couvert"," ",Données!Q236)))</f>
        <v>0</v>
      </c>
      <c r="P196" s="106">
        <f>IF($B196=" ",0,IF(Données!$P287="exo",0,IF($O196="FAM",VLOOKUP($F196,taux,10),IF($O196="MONO",VLOOKUP($F196,taux,11),IF($O196="COUPLE",VLOOKUP($F196,taux,12),0)))))</f>
        <v>0</v>
      </c>
      <c r="Q196" s="107">
        <f ca="1">IF(C196&gt;=70,0,IF($B196=" ",0,IF(Données!$R236="NON COUVERT",0,ROUNDUP(IF(Données!$S236="OUI",MIN($E196*VLOOKUP($F196,taux,15)/52,VLOOKUP($F196,taux,17)),MIN($E196*VLOOKUP($F196,taux,15)/52,VLOOKUP($F196,taux,16))),0))))</f>
        <v>0</v>
      </c>
      <c r="R196" s="108">
        <f>IF($B196=" ",0,IF(Données!$R287="EXO",0,$Q196*VLOOKUP($F196,taux,13)/10))</f>
        <v>0</v>
      </c>
      <c r="S196" s="109">
        <f t="shared" ca="1" si="20"/>
        <v>0</v>
      </c>
      <c r="T196" s="110">
        <f>IF(B196=" ",0,IF(Données!$T287="exo",0,$S196*VLOOKUP($F196,taux,18)/100))</f>
        <v>0</v>
      </c>
      <c r="U196" s="109">
        <f>IF($B196=" ",0,IF(Données!$V287="non couvert",0,IF(VLOOKUP($F196,taux,29)="fixe","s/o",IF(Données!$W287="oui",MIN(ROUNDUP(VLOOKUP($F196,taux,31)*$E196,-3),VLOOKUP($F196,taux,33)),MIN(ROUNDUP(VLOOKUP($F196,taux,31)*$E196,-3),VLOOKUP($F196,taux,32))))))</f>
        <v>0</v>
      </c>
      <c r="V196" s="110">
        <f>IF(B196=" ",0,IF(Données!$V287="exo",0,IF(VLOOKUP($F196,taux,29)="fixe",VLOOKUP($F196,taux,30),$U196/1000*VLOOKUP($F196,taux,30))))</f>
        <v>0</v>
      </c>
      <c r="W196" s="110">
        <f t="shared" si="17"/>
        <v>0</v>
      </c>
      <c r="X196" s="383">
        <f>IF(B196=" ",0,EDATE((Données!E236),780))</f>
        <v>0</v>
      </c>
      <c r="Y196" s="383">
        <f t="shared" si="23"/>
        <v>0</v>
      </c>
      <c r="Z196" s="109">
        <f>IF($B196=" ",0,IF(Données!$T236="non couvert",0,IF(Données!$U236="oui",MIN(VLOOKUP($F196,taux,26),ROUNDUP(IF($E196/12&gt;VLOOKUP($F196,taux,21)+VLOOKUP($F196,taux,23),(VLOOKUP($F196,taux,20)*VLOOKUP($F196,taux,21))+(VLOOKUP($F196,taux,22)*VLOOKUP($F196,taux,23))+($E196/12-VLOOKUP($F196,taux,21)-VLOOKUP($F196,taux,23))*VLOOKUP($F196,taux,24),IF($E196/12&gt;VLOOKUP($F196,taux,21),(VLOOKUP($F196,taux,20)*VLOOKUP($F196,taux,21))+($E196/12-VLOOKUP($F196,taux,21))*VLOOKUP($F196,taux,22),$E196/12*VLOOKUP($F196,taux,20))),0)),MIN(VLOOKUP($F196,taux,25),ROUNDUP(IF($E196/12&gt;VLOOKUP($F196,taux,21)+VLOOKUP($F196,taux,23),(VLOOKUP($F196,taux,20)*VLOOKUP($F196,taux,21))+(VLOOKUP($F196,taux,22)*VLOOKUP($F196,taux,23))+($E196/12-VLOOKUP($F196,taux,21)-VLOOKUP($F196,taux,23))*VLOOKUP($F196,taux,24),IF($E196/12&gt;VLOOKUP($F196,taux,21),(VLOOKUP($F196,taux,20)*VLOOKUP($F196,taux,21))+($E196/12-VLOOKUP($F196,taux,21))*VLOOKUP($F196,taux,22),$E196/12*VLOOKUP($F196,taux,20))),0)))))</f>
        <v>0</v>
      </c>
      <c r="AA196" s="111">
        <f ca="1">IF(C196&gt;=70,0,IF($B196=" ",0,IF(Données!$X236="non couvert"," ",Données!Y236)))</f>
        <v>0</v>
      </c>
      <c r="AB196" s="110">
        <f>IF($B196=" ",0,IF(Données!$X287="exo",0,IF($AA196="ind",VLOOKUP($F196,taux,34),IF($AA196="fam",VLOOKUP($F196,taux,35),IF($AA196="mono",VLOOKUP($F196,taux,36),IF($AA196="couple",VLOOKUP($F196,taux,37),0))))))</f>
        <v>0</v>
      </c>
      <c r="AC196" s="111">
        <f ca="1">IF(C196&gt;=70,0,IF($B196=" ",0,IF(Données!$Z236="non couvert"," ",Données!AA236)))</f>
        <v>0</v>
      </c>
      <c r="AD196" s="110">
        <f>IF($B196=" ",0,IF(Données!$Z287="exo",0,IF($AC196="ind",VLOOKUP($F196,taux,38),IF($AC196="fam",VLOOKUP($F196,taux,39),IF($AC196="mono",VLOOKUP($F196,taux,40),IF($AC196="couple",VLOOKUP($F196,taux,41),0))))))</f>
        <v>0</v>
      </c>
      <c r="AE196" s="112">
        <f>IF($B196=" ",0,IF(Données!$AB287="non couvert"," ",Données!AC287))</f>
        <v>0</v>
      </c>
      <c r="AF196" s="113">
        <f>IF($B196=" ",0,IF(Données!$AB287="exo",0,IF($AE196="ind",VLOOKUP($F196,taux,42),IF($AE196="fam",VLOOKUP($F196,taux,43),IF($AE196="mono",VLOOKUP($F196,taux,44),IF($AE196="couple",VLOOKUP($F196,taux,45),0))))))</f>
        <v>0</v>
      </c>
      <c r="AG196" s="114">
        <f t="shared" ca="1" si="24"/>
        <v>0</v>
      </c>
      <c r="AH196" s="114">
        <f>IF($B196=" ",0,IF(Données!J236="Manitoba",(Facture!H196+Facture!J196+Facture!L196+Facture!P196+Facture!R196+Facture!T196)*0.08,(AG196-W196)*IF(Données!$J236="qc",0.09,IF(Données!$J236="on",0.08,0))+W196*VLOOKUP($F196,taux,28)))</f>
        <v>0</v>
      </c>
      <c r="AI196" s="106">
        <f t="shared" ca="1" si="22"/>
        <v>0</v>
      </c>
    </row>
    <row r="197" spans="1:35" s="64" customFormat="1">
      <c r="A197" s="90">
        <f t="shared" si="21"/>
        <v>183</v>
      </c>
      <c r="B197" s="99" t="str">
        <f>CONCATENATE(Données!B288," ",Données!C288)</f>
        <v xml:space="preserve"> </v>
      </c>
      <c r="C197" s="410">
        <f ca="1">IF(B197="",0,INT((TODAY()-Données!E237)/365.25))</f>
        <v>119</v>
      </c>
      <c r="D197" s="100">
        <f>Données!D288</f>
        <v>0</v>
      </c>
      <c r="E197" s="101">
        <f>Données!I288</f>
        <v>0</v>
      </c>
      <c r="F197" s="102">
        <f>Données!AD288</f>
        <v>0</v>
      </c>
      <c r="G197" s="103">
        <f ca="1">INDEX({1;0.5;0},MATCH(C197,{1;65;70}))*M197</f>
        <v>0</v>
      </c>
      <c r="H197" s="104">
        <f>IF($B197=" ",0,IF(Données!$K288="exo",0,$G197/1000*VLOOKUP($F197,taux,2)))</f>
        <v>0</v>
      </c>
      <c r="I197" s="398">
        <f ca="1">IF(C197&gt;=65,0,Données!M237*5000)</f>
        <v>0</v>
      </c>
      <c r="J197" s="104">
        <f ca="1">I197/1000*(IF(I197=0,0,1)*VLOOKUP((1+(C197&gt;=20)+(C197&gt;=25)+(C197&gt;=30)+(C197&gt;=35)+(C197&gt;=40)+(C197&gt;=45)+(C197&gt;=50)+(C197&gt;=55)+(C197&gt;=60)+(C197&gt;=65)),Test,2+(IF(Données!F237="H",1,3))+(IF(Données!G237="F",1,0))))</f>
        <v>0</v>
      </c>
      <c r="K197" s="103">
        <f ca="1">INDEX({1;0.5;0},MATCH(C197,{1;65;70}))*M197</f>
        <v>0</v>
      </c>
      <c r="L197" s="104">
        <f>IF($B197=" ",0,IF(Données!$N288="exo",0,$K197/1000*VLOOKUP($F197,taux,6)))</f>
        <v>0</v>
      </c>
      <c r="M197" s="379">
        <f>IF($B197=" ",0,IF(Données!$K237="NON COUVERT",0,IF(AND(Données!$L237="oui",Données!$K237=0.5),MIN(VLOOKUP($F197,taux,5)/2,ROUNDUP(VLOOKUP($F197,taux,3)*$E197,-3)/2),IF(Données!$K237=0.5,MIN(VLOOKUP($F197,taux,4)/2,ROUNDUP(VLOOKUP($F197,taux,3)*$E197,-3)/2),ROUNDUP(IF(Données!$L237="OUI",MIN(VLOOKUP($F197,taux,3)*$E197,VLOOKUP($F197,taux,5)),MIN(VLOOKUP($F197,taux,3)*$E197,VLOOKUP($F197,taux,4))),-3)))))</f>
        <v>0</v>
      </c>
      <c r="N197" s="379">
        <f>IF($B197=" ",0,IF(Données!$N237="NON COUVERT",0,IF(AND(Données!$O237="oui",Données!$N237=0.5),MIN(VLOOKUP($F197,taux,9)/2,ROUNDUP(VLOOKUP($F197,taux,7)*$E197,-3)/2),IF(Données!$N237=0.5,MIN(VLOOKUP($F197,taux,8)/2,ROUNDUP(VLOOKUP($F197,taux,7)*$E197,-3)/2),ROUNDUP(IF(Données!$O237="OUI",MIN(VLOOKUP($F197,taux,7)*$E197,VLOOKUP($F197,taux,9)),MIN(VLOOKUP($F197,taux,7)*$E197,VLOOKUP($F197,taux,8))),-3)))))</f>
        <v>0</v>
      </c>
      <c r="O197" s="105">
        <f ca="1">IF(C197&gt;=70,0,IF($B197=" ",0,IF(Données!P237="non couvert"," ",Données!Q237)))</f>
        <v>0</v>
      </c>
      <c r="P197" s="106">
        <f>IF($B197=" ",0,IF(Données!$P288="exo",0,IF($O197="FAM",VLOOKUP($F197,taux,10),IF($O197="MONO",VLOOKUP($F197,taux,11),IF($O197="COUPLE",VLOOKUP($F197,taux,12),0)))))</f>
        <v>0</v>
      </c>
      <c r="Q197" s="107">
        <f ca="1">IF(C197&gt;=70,0,IF($B197=" ",0,IF(Données!$R237="NON COUVERT",0,ROUNDUP(IF(Données!$S237="OUI",MIN($E197*VLOOKUP($F197,taux,15)/52,VLOOKUP($F197,taux,17)),MIN($E197*VLOOKUP($F197,taux,15)/52,VLOOKUP($F197,taux,16))),0))))</f>
        <v>0</v>
      </c>
      <c r="R197" s="108">
        <f>IF($B197=" ",0,IF(Données!$R288="EXO",0,$Q197*VLOOKUP($F197,taux,13)/10))</f>
        <v>0</v>
      </c>
      <c r="S197" s="109">
        <f t="shared" ca="1" si="20"/>
        <v>0</v>
      </c>
      <c r="T197" s="110">
        <f>IF(B197=" ",0,IF(Données!$T288="exo",0,$S197*VLOOKUP($F197,taux,18)/100))</f>
        <v>0</v>
      </c>
      <c r="U197" s="109">
        <f>IF($B197=" ",0,IF(Données!$V288="non couvert",0,IF(VLOOKUP($F197,taux,29)="fixe","s/o",IF(Données!$W288="oui",MIN(ROUNDUP(VLOOKUP($F197,taux,31)*$E197,-3),VLOOKUP($F197,taux,33)),MIN(ROUNDUP(VLOOKUP($F197,taux,31)*$E197,-3),VLOOKUP($F197,taux,32))))))</f>
        <v>0</v>
      </c>
      <c r="V197" s="110">
        <f>IF(B197=" ",0,IF(Données!$V288="exo",0,IF(VLOOKUP($F197,taux,29)="fixe",VLOOKUP($F197,taux,30),$U197/1000*VLOOKUP($F197,taux,30))))</f>
        <v>0</v>
      </c>
      <c r="W197" s="110">
        <f t="shared" si="17"/>
        <v>0</v>
      </c>
      <c r="X197" s="383">
        <f>IF(B197=" ",0,EDATE((Données!E237),780))</f>
        <v>0</v>
      </c>
      <c r="Y197" s="383">
        <f t="shared" si="23"/>
        <v>0</v>
      </c>
      <c r="Z197" s="109">
        <f>IF($B197=" ",0,IF(Données!$T237="non couvert",0,IF(Données!$U237="oui",MIN(VLOOKUP($F197,taux,26),ROUNDUP(IF($E197/12&gt;VLOOKUP($F197,taux,21)+VLOOKUP($F197,taux,23),(VLOOKUP($F197,taux,20)*VLOOKUP($F197,taux,21))+(VLOOKUP($F197,taux,22)*VLOOKUP($F197,taux,23))+($E197/12-VLOOKUP($F197,taux,21)-VLOOKUP($F197,taux,23))*VLOOKUP($F197,taux,24),IF($E197/12&gt;VLOOKUP($F197,taux,21),(VLOOKUP($F197,taux,20)*VLOOKUP($F197,taux,21))+($E197/12-VLOOKUP($F197,taux,21))*VLOOKUP($F197,taux,22),$E197/12*VLOOKUP($F197,taux,20))),0)),MIN(VLOOKUP($F197,taux,25),ROUNDUP(IF($E197/12&gt;VLOOKUP($F197,taux,21)+VLOOKUP($F197,taux,23),(VLOOKUP($F197,taux,20)*VLOOKUP($F197,taux,21))+(VLOOKUP($F197,taux,22)*VLOOKUP($F197,taux,23))+($E197/12-VLOOKUP($F197,taux,21)-VLOOKUP($F197,taux,23))*VLOOKUP($F197,taux,24),IF($E197/12&gt;VLOOKUP($F197,taux,21),(VLOOKUP($F197,taux,20)*VLOOKUP($F197,taux,21))+($E197/12-VLOOKUP($F197,taux,21))*VLOOKUP($F197,taux,22),$E197/12*VLOOKUP($F197,taux,20))),0)))))</f>
        <v>0</v>
      </c>
      <c r="AA197" s="111">
        <f ca="1">IF(C197&gt;=70,0,IF($B197=" ",0,IF(Données!$X237="non couvert"," ",Données!Y237)))</f>
        <v>0</v>
      </c>
      <c r="AB197" s="110">
        <f>IF($B197=" ",0,IF(Données!$X288="exo",0,IF($AA197="ind",VLOOKUP($F197,taux,34),IF($AA197="fam",VLOOKUP($F197,taux,35),IF($AA197="mono",VLOOKUP($F197,taux,36),IF($AA197="couple",VLOOKUP($F197,taux,37),0))))))</f>
        <v>0</v>
      </c>
      <c r="AC197" s="111">
        <f ca="1">IF(C197&gt;=70,0,IF($B197=" ",0,IF(Données!$Z237="non couvert"," ",Données!AA237)))</f>
        <v>0</v>
      </c>
      <c r="AD197" s="110">
        <f>IF($B197=" ",0,IF(Données!$Z288="exo",0,IF($AC197="ind",VLOOKUP($F197,taux,38),IF($AC197="fam",VLOOKUP($F197,taux,39),IF($AC197="mono",VLOOKUP($F197,taux,40),IF($AC197="couple",VLOOKUP($F197,taux,41),0))))))</f>
        <v>0</v>
      </c>
      <c r="AE197" s="112">
        <f>IF($B197=" ",0,IF(Données!$AB288="non couvert"," ",Données!AC288))</f>
        <v>0</v>
      </c>
      <c r="AF197" s="113">
        <f>IF($B197=" ",0,IF(Données!$AB288="exo",0,IF($AE197="ind",VLOOKUP($F197,taux,42),IF($AE197="fam",VLOOKUP($F197,taux,43),IF($AE197="mono",VLOOKUP($F197,taux,44),IF($AE197="couple",VLOOKUP($F197,taux,45),0))))))</f>
        <v>0</v>
      </c>
      <c r="AG197" s="114">
        <f t="shared" ca="1" si="24"/>
        <v>0</v>
      </c>
      <c r="AH197" s="114">
        <f>IF($B197=" ",0,IF(Données!J237="Manitoba",(Facture!H197+Facture!J197+Facture!L197+Facture!P197+Facture!R197+Facture!T197)*0.08,(AG197-W197)*IF(Données!$J237="qc",0.09,IF(Données!$J237="on",0.08,0))+W197*VLOOKUP($F197,taux,28)))</f>
        <v>0</v>
      </c>
      <c r="AI197" s="106">
        <f t="shared" ca="1" si="22"/>
        <v>0</v>
      </c>
    </row>
    <row r="198" spans="1:35" s="64" customFormat="1">
      <c r="A198" s="90">
        <f t="shared" si="21"/>
        <v>184</v>
      </c>
      <c r="B198" s="99" t="str">
        <f>CONCATENATE(Données!B289," ",Données!C289)</f>
        <v xml:space="preserve"> </v>
      </c>
      <c r="C198" s="410">
        <f ca="1">IF(B198="",0,INT((TODAY()-Données!E238)/365.25))</f>
        <v>119</v>
      </c>
      <c r="D198" s="100">
        <f>Données!D289</f>
        <v>0</v>
      </c>
      <c r="E198" s="101">
        <f>Données!I289</f>
        <v>0</v>
      </c>
      <c r="F198" s="102">
        <f>Données!AD289</f>
        <v>0</v>
      </c>
      <c r="G198" s="103">
        <f ca="1">INDEX({1;0.5;0},MATCH(C198,{1;65;70}))*M198</f>
        <v>0</v>
      </c>
      <c r="H198" s="104">
        <f>IF($B198=" ",0,IF(Données!$K289="exo",0,$G198/1000*VLOOKUP($F198,taux,2)))</f>
        <v>0</v>
      </c>
      <c r="I198" s="398">
        <f ca="1">IF(C198&gt;=65,0,Données!M238*5000)</f>
        <v>0</v>
      </c>
      <c r="J198" s="104">
        <f ca="1">I198/1000*(IF(I198=0,0,1)*VLOOKUP((1+(C198&gt;=20)+(C198&gt;=25)+(C198&gt;=30)+(C198&gt;=35)+(C198&gt;=40)+(C198&gt;=45)+(C198&gt;=50)+(C198&gt;=55)+(C198&gt;=60)+(C198&gt;=65)),Test,2+(IF(Données!F238="H",1,3))+(IF(Données!G238="F",1,0))))</f>
        <v>0</v>
      </c>
      <c r="K198" s="103">
        <f ca="1">INDEX({1;0.5;0},MATCH(C198,{1;65;70}))*M198</f>
        <v>0</v>
      </c>
      <c r="L198" s="104">
        <f>IF($B198=" ",0,IF(Données!$N289="exo",0,$K198/1000*VLOOKUP($F198,taux,6)))</f>
        <v>0</v>
      </c>
      <c r="M198" s="379">
        <f>IF($B198=" ",0,IF(Données!$K238="NON COUVERT",0,IF(AND(Données!$L238="oui",Données!$K238=0.5),MIN(VLOOKUP($F198,taux,5)/2,ROUNDUP(VLOOKUP($F198,taux,3)*$E198,-3)/2),IF(Données!$K238=0.5,MIN(VLOOKUP($F198,taux,4)/2,ROUNDUP(VLOOKUP($F198,taux,3)*$E198,-3)/2),ROUNDUP(IF(Données!$L238="OUI",MIN(VLOOKUP($F198,taux,3)*$E198,VLOOKUP($F198,taux,5)),MIN(VLOOKUP($F198,taux,3)*$E198,VLOOKUP($F198,taux,4))),-3)))))</f>
        <v>0</v>
      </c>
      <c r="N198" s="379">
        <f>IF($B198=" ",0,IF(Données!$N238="NON COUVERT",0,IF(AND(Données!$O238="oui",Données!$N238=0.5),MIN(VLOOKUP($F198,taux,9)/2,ROUNDUP(VLOOKUP($F198,taux,7)*$E198,-3)/2),IF(Données!$N238=0.5,MIN(VLOOKUP($F198,taux,8)/2,ROUNDUP(VLOOKUP($F198,taux,7)*$E198,-3)/2),ROUNDUP(IF(Données!$O238="OUI",MIN(VLOOKUP($F198,taux,7)*$E198,VLOOKUP($F198,taux,9)),MIN(VLOOKUP($F198,taux,7)*$E198,VLOOKUP($F198,taux,8))),-3)))))</f>
        <v>0</v>
      </c>
      <c r="O198" s="105">
        <f ca="1">IF(C198&gt;=70,0,IF($B198=" ",0,IF(Données!P238="non couvert"," ",Données!Q238)))</f>
        <v>0</v>
      </c>
      <c r="P198" s="106">
        <f>IF($B198=" ",0,IF(Données!$P289="exo",0,IF($O198="FAM",VLOOKUP($F198,taux,10),IF($O198="MONO",VLOOKUP($F198,taux,11),IF($O198="COUPLE",VLOOKUP($F198,taux,12),0)))))</f>
        <v>0</v>
      </c>
      <c r="Q198" s="107">
        <f ca="1">IF(C198&gt;=70,0,IF($B198=" ",0,IF(Données!$R238="NON COUVERT",0,ROUNDUP(IF(Données!$S238="OUI",MIN($E198*VLOOKUP($F198,taux,15)/52,VLOOKUP($F198,taux,17)),MIN($E198*VLOOKUP($F198,taux,15)/52,VLOOKUP($F198,taux,16))),0))))</f>
        <v>0</v>
      </c>
      <c r="R198" s="108">
        <f>IF($B198=" ",0,IF(Données!$R289="EXO",0,$Q198*VLOOKUP($F198,taux,13)/10))</f>
        <v>0</v>
      </c>
      <c r="S198" s="109">
        <f t="shared" ca="1" si="20"/>
        <v>0</v>
      </c>
      <c r="T198" s="110">
        <f>IF(B198=" ",0,IF(Données!$T289="exo",0,$S198*VLOOKUP($F198,taux,18)/100))</f>
        <v>0</v>
      </c>
      <c r="U198" s="109">
        <f>IF($B198=" ",0,IF(Données!$V289="non couvert",0,IF(VLOOKUP($F198,taux,29)="fixe","s/o",IF(Données!$W289="oui",MIN(ROUNDUP(VLOOKUP($F198,taux,31)*$E198,-3),VLOOKUP($F198,taux,33)),MIN(ROUNDUP(VLOOKUP($F198,taux,31)*$E198,-3),VLOOKUP($F198,taux,32))))))</f>
        <v>0</v>
      </c>
      <c r="V198" s="110">
        <f>IF(B198=" ",0,IF(Données!$V289="exo",0,IF(VLOOKUP($F198,taux,29)="fixe",VLOOKUP($F198,taux,30),$U198/1000*VLOOKUP($F198,taux,30))))</f>
        <v>0</v>
      </c>
      <c r="W198" s="110">
        <f t="shared" si="17"/>
        <v>0</v>
      </c>
      <c r="X198" s="383">
        <f>IF(B198=" ",0,EDATE((Données!E238),780))</f>
        <v>0</v>
      </c>
      <c r="Y198" s="383">
        <f t="shared" si="23"/>
        <v>0</v>
      </c>
      <c r="Z198" s="109">
        <f>IF($B198=" ",0,IF(Données!$T238="non couvert",0,IF(Données!$U238="oui",MIN(VLOOKUP($F198,taux,26),ROUNDUP(IF($E198/12&gt;VLOOKUP($F198,taux,21)+VLOOKUP($F198,taux,23),(VLOOKUP($F198,taux,20)*VLOOKUP($F198,taux,21))+(VLOOKUP($F198,taux,22)*VLOOKUP($F198,taux,23))+($E198/12-VLOOKUP($F198,taux,21)-VLOOKUP($F198,taux,23))*VLOOKUP($F198,taux,24),IF($E198/12&gt;VLOOKUP($F198,taux,21),(VLOOKUP($F198,taux,20)*VLOOKUP($F198,taux,21))+($E198/12-VLOOKUP($F198,taux,21))*VLOOKUP($F198,taux,22),$E198/12*VLOOKUP($F198,taux,20))),0)),MIN(VLOOKUP($F198,taux,25),ROUNDUP(IF($E198/12&gt;VLOOKUP($F198,taux,21)+VLOOKUP($F198,taux,23),(VLOOKUP($F198,taux,20)*VLOOKUP($F198,taux,21))+(VLOOKUP($F198,taux,22)*VLOOKUP($F198,taux,23))+($E198/12-VLOOKUP($F198,taux,21)-VLOOKUP($F198,taux,23))*VLOOKUP($F198,taux,24),IF($E198/12&gt;VLOOKUP($F198,taux,21),(VLOOKUP($F198,taux,20)*VLOOKUP($F198,taux,21))+($E198/12-VLOOKUP($F198,taux,21))*VLOOKUP($F198,taux,22),$E198/12*VLOOKUP($F198,taux,20))),0)))))</f>
        <v>0</v>
      </c>
      <c r="AA198" s="111">
        <f ca="1">IF(C198&gt;=70,0,IF($B198=" ",0,IF(Données!$X238="non couvert"," ",Données!Y238)))</f>
        <v>0</v>
      </c>
      <c r="AB198" s="110">
        <f>IF($B198=" ",0,IF(Données!$X289="exo",0,IF($AA198="ind",VLOOKUP($F198,taux,34),IF($AA198="fam",VLOOKUP($F198,taux,35),IF($AA198="mono",VLOOKUP($F198,taux,36),IF($AA198="couple",VLOOKUP($F198,taux,37),0))))))</f>
        <v>0</v>
      </c>
      <c r="AC198" s="111">
        <f ca="1">IF(C198&gt;=70,0,IF($B198=" ",0,IF(Données!$Z238="non couvert"," ",Données!AA238)))</f>
        <v>0</v>
      </c>
      <c r="AD198" s="110">
        <f>IF($B198=" ",0,IF(Données!$Z289="exo",0,IF($AC198="ind",VLOOKUP($F198,taux,38),IF($AC198="fam",VLOOKUP($F198,taux,39),IF($AC198="mono",VLOOKUP($F198,taux,40),IF($AC198="couple",VLOOKUP($F198,taux,41),0))))))</f>
        <v>0</v>
      </c>
      <c r="AE198" s="112">
        <f>IF($B198=" ",0,IF(Données!$AB289="non couvert"," ",Données!AC289))</f>
        <v>0</v>
      </c>
      <c r="AF198" s="113">
        <f>IF($B198=" ",0,IF(Données!$AB289="exo",0,IF($AE198="ind",VLOOKUP($F198,taux,42),IF($AE198="fam",VLOOKUP($F198,taux,43),IF($AE198="mono",VLOOKUP($F198,taux,44),IF($AE198="couple",VLOOKUP($F198,taux,45),0))))))</f>
        <v>0</v>
      </c>
      <c r="AG198" s="114">
        <f t="shared" ca="1" si="24"/>
        <v>0</v>
      </c>
      <c r="AH198" s="114">
        <f>IF($B198=" ",0,IF(Données!J238="Manitoba",(Facture!H198+Facture!J198+Facture!L198+Facture!P198+Facture!R198+Facture!T198)*0.08,(AG198-W198)*IF(Données!$J238="qc",0.09,IF(Données!$J238="on",0.08,0))+W198*VLOOKUP($F198,taux,28)))</f>
        <v>0</v>
      </c>
      <c r="AI198" s="106">
        <f t="shared" ca="1" si="22"/>
        <v>0</v>
      </c>
    </row>
    <row r="199" spans="1:35" s="64" customFormat="1">
      <c r="A199" s="90">
        <f t="shared" si="21"/>
        <v>185</v>
      </c>
      <c r="B199" s="99" t="str">
        <f>CONCATENATE(Données!B290," ",Données!C290)</f>
        <v xml:space="preserve"> </v>
      </c>
      <c r="C199" s="410">
        <f ca="1">IF(B199="",0,INT((TODAY()-Données!E239)/365.25))</f>
        <v>119</v>
      </c>
      <c r="D199" s="100">
        <f>Données!D290</f>
        <v>0</v>
      </c>
      <c r="E199" s="101">
        <f>Données!I290</f>
        <v>0</v>
      </c>
      <c r="F199" s="102">
        <f>Données!AD290</f>
        <v>0</v>
      </c>
      <c r="G199" s="103">
        <f ca="1">INDEX({1;0.5;0},MATCH(C199,{1;65;70}))*M199</f>
        <v>0</v>
      </c>
      <c r="H199" s="104">
        <f>IF($B199=" ",0,IF(Données!$K290="exo",0,$G199/1000*VLOOKUP($F199,taux,2)))</f>
        <v>0</v>
      </c>
      <c r="I199" s="398">
        <f ca="1">IF(C199&gt;=65,0,Données!M239*5000)</f>
        <v>0</v>
      </c>
      <c r="J199" s="104">
        <f ca="1">I199/1000*(IF(I199=0,0,1)*VLOOKUP((1+(C199&gt;=20)+(C199&gt;=25)+(C199&gt;=30)+(C199&gt;=35)+(C199&gt;=40)+(C199&gt;=45)+(C199&gt;=50)+(C199&gt;=55)+(C199&gt;=60)+(C199&gt;=65)),Test,2+(IF(Données!F239="H",1,3))+(IF(Données!G239="F",1,0))))</f>
        <v>0</v>
      </c>
      <c r="K199" s="103">
        <f ca="1">INDEX({1;0.5;0},MATCH(C199,{1;65;70}))*M199</f>
        <v>0</v>
      </c>
      <c r="L199" s="104">
        <f>IF($B199=" ",0,IF(Données!$N290="exo",0,$K199/1000*VLOOKUP($F199,taux,6)))</f>
        <v>0</v>
      </c>
      <c r="M199" s="379">
        <f>IF($B199=" ",0,IF(Données!$K239="NON COUVERT",0,IF(AND(Données!$L239="oui",Données!$K239=0.5),MIN(VLOOKUP($F199,taux,5)/2,ROUNDUP(VLOOKUP($F199,taux,3)*$E199,-3)/2),IF(Données!$K239=0.5,MIN(VLOOKUP($F199,taux,4)/2,ROUNDUP(VLOOKUP($F199,taux,3)*$E199,-3)/2),ROUNDUP(IF(Données!$L239="OUI",MIN(VLOOKUP($F199,taux,3)*$E199,VLOOKUP($F199,taux,5)),MIN(VLOOKUP($F199,taux,3)*$E199,VLOOKUP($F199,taux,4))),-3)))))</f>
        <v>0</v>
      </c>
      <c r="N199" s="379">
        <f>IF($B199=" ",0,IF(Données!$N239="NON COUVERT",0,IF(AND(Données!$O239="oui",Données!$N239=0.5),MIN(VLOOKUP($F199,taux,9)/2,ROUNDUP(VLOOKUP($F199,taux,7)*$E199,-3)/2),IF(Données!$N239=0.5,MIN(VLOOKUP($F199,taux,8)/2,ROUNDUP(VLOOKUP($F199,taux,7)*$E199,-3)/2),ROUNDUP(IF(Données!$O239="OUI",MIN(VLOOKUP($F199,taux,7)*$E199,VLOOKUP($F199,taux,9)),MIN(VLOOKUP($F199,taux,7)*$E199,VLOOKUP($F199,taux,8))),-3)))))</f>
        <v>0</v>
      </c>
      <c r="O199" s="105">
        <f ca="1">IF(C199&gt;=70,0,IF($B199=" ",0,IF(Données!P239="non couvert"," ",Données!Q239)))</f>
        <v>0</v>
      </c>
      <c r="P199" s="106">
        <f>IF($B199=" ",0,IF(Données!$P290="exo",0,IF($O199="FAM",VLOOKUP($F199,taux,10),IF($O199="MONO",VLOOKUP($F199,taux,11),IF($O199="COUPLE",VLOOKUP($F199,taux,12),0)))))</f>
        <v>0</v>
      </c>
      <c r="Q199" s="107">
        <f ca="1">IF(C199&gt;=70,0,IF($B199=" ",0,IF(Données!$R239="NON COUVERT",0,ROUNDUP(IF(Données!$S239="OUI",MIN($E199*VLOOKUP($F199,taux,15)/52,VLOOKUP($F199,taux,17)),MIN($E199*VLOOKUP($F199,taux,15)/52,VLOOKUP($F199,taux,16))),0))))</f>
        <v>0</v>
      </c>
      <c r="R199" s="108">
        <f>IF($B199=" ",0,IF(Données!$R290="EXO",0,$Q199*VLOOKUP($F199,taux,13)/10))</f>
        <v>0</v>
      </c>
      <c r="S199" s="109">
        <f t="shared" ca="1" si="20"/>
        <v>0</v>
      </c>
      <c r="T199" s="110">
        <f>IF(B199=" ",0,IF(Données!$T290="exo",0,$S199*VLOOKUP($F199,taux,18)/100))</f>
        <v>0</v>
      </c>
      <c r="U199" s="109">
        <f>IF($B199=" ",0,IF(Données!$V290="non couvert",0,IF(VLOOKUP($F199,taux,29)="fixe","s/o",IF(Données!$W290="oui",MIN(ROUNDUP(VLOOKUP($F199,taux,31)*$E199,-3),VLOOKUP($F199,taux,33)),MIN(ROUNDUP(VLOOKUP($F199,taux,31)*$E199,-3),VLOOKUP($F199,taux,32))))))</f>
        <v>0</v>
      </c>
      <c r="V199" s="110">
        <f>IF(B199=" ",0,IF(Données!$V290="exo",0,IF(VLOOKUP($F199,taux,29)="fixe",VLOOKUP($F199,taux,30),$U199/1000*VLOOKUP($F199,taux,30))))</f>
        <v>0</v>
      </c>
      <c r="W199" s="110">
        <f t="shared" si="17"/>
        <v>0</v>
      </c>
      <c r="X199" s="383">
        <f>IF(B199=" ",0,EDATE((Données!E239),780))</f>
        <v>0</v>
      </c>
      <c r="Y199" s="383">
        <f t="shared" si="23"/>
        <v>0</v>
      </c>
      <c r="Z199" s="109">
        <f>IF($B199=" ",0,IF(Données!$T239="non couvert",0,IF(Données!$U239="oui",MIN(VLOOKUP($F199,taux,26),ROUNDUP(IF($E199/12&gt;VLOOKUP($F199,taux,21)+VLOOKUP($F199,taux,23),(VLOOKUP($F199,taux,20)*VLOOKUP($F199,taux,21))+(VLOOKUP($F199,taux,22)*VLOOKUP($F199,taux,23))+($E199/12-VLOOKUP($F199,taux,21)-VLOOKUP($F199,taux,23))*VLOOKUP($F199,taux,24),IF($E199/12&gt;VLOOKUP($F199,taux,21),(VLOOKUP($F199,taux,20)*VLOOKUP($F199,taux,21))+($E199/12-VLOOKUP($F199,taux,21))*VLOOKUP($F199,taux,22),$E199/12*VLOOKUP($F199,taux,20))),0)),MIN(VLOOKUP($F199,taux,25),ROUNDUP(IF($E199/12&gt;VLOOKUP($F199,taux,21)+VLOOKUP($F199,taux,23),(VLOOKUP($F199,taux,20)*VLOOKUP($F199,taux,21))+(VLOOKUP($F199,taux,22)*VLOOKUP($F199,taux,23))+($E199/12-VLOOKUP($F199,taux,21)-VLOOKUP($F199,taux,23))*VLOOKUP($F199,taux,24),IF($E199/12&gt;VLOOKUP($F199,taux,21),(VLOOKUP($F199,taux,20)*VLOOKUP($F199,taux,21))+($E199/12-VLOOKUP($F199,taux,21))*VLOOKUP($F199,taux,22),$E199/12*VLOOKUP($F199,taux,20))),0)))))</f>
        <v>0</v>
      </c>
      <c r="AA199" s="111">
        <f ca="1">IF(C199&gt;=70,0,IF($B199=" ",0,IF(Données!$X239="non couvert"," ",Données!Y239)))</f>
        <v>0</v>
      </c>
      <c r="AB199" s="110">
        <f>IF($B199=" ",0,IF(Données!$X290="exo",0,IF($AA199="ind",VLOOKUP($F199,taux,34),IF($AA199="fam",VLOOKUP($F199,taux,35),IF($AA199="mono",VLOOKUP($F199,taux,36),IF($AA199="couple",VLOOKUP($F199,taux,37),0))))))</f>
        <v>0</v>
      </c>
      <c r="AC199" s="111">
        <f ca="1">IF(C199&gt;=70,0,IF($B199=" ",0,IF(Données!$Z239="non couvert"," ",Données!AA239)))</f>
        <v>0</v>
      </c>
      <c r="AD199" s="110">
        <f>IF($B199=" ",0,IF(Données!$Z290="exo",0,IF($AC199="ind",VLOOKUP($F199,taux,38),IF($AC199="fam",VLOOKUP($F199,taux,39),IF($AC199="mono",VLOOKUP($F199,taux,40),IF($AC199="couple",VLOOKUP($F199,taux,41),0))))))</f>
        <v>0</v>
      </c>
      <c r="AE199" s="112">
        <f>IF($B199=" ",0,IF(Données!$AB290="non couvert"," ",Données!AC290))</f>
        <v>0</v>
      </c>
      <c r="AF199" s="113">
        <f>IF($B199=" ",0,IF(Données!$AB290="exo",0,IF($AE199="ind",VLOOKUP($F199,taux,42),IF($AE199="fam",VLOOKUP($F199,taux,43),IF($AE199="mono",VLOOKUP($F199,taux,44),IF($AE199="couple",VLOOKUP($F199,taux,45),0))))))</f>
        <v>0</v>
      </c>
      <c r="AG199" s="114">
        <f t="shared" ca="1" si="24"/>
        <v>0</v>
      </c>
      <c r="AH199" s="114">
        <f>IF($B199=" ",0,IF(Données!J239="Manitoba",(Facture!H199+Facture!J199+Facture!L199+Facture!P199+Facture!R199+Facture!T199)*0.08,(AG199-W199)*IF(Données!$J239="qc",0.09,IF(Données!$J239="on",0.08,0))+W199*VLOOKUP($F199,taux,28)))</f>
        <v>0</v>
      </c>
      <c r="AI199" s="106">
        <f t="shared" ca="1" si="22"/>
        <v>0</v>
      </c>
    </row>
    <row r="200" spans="1:35" s="64" customFormat="1">
      <c r="A200" s="90">
        <f t="shared" si="21"/>
        <v>186</v>
      </c>
      <c r="B200" s="99" t="str">
        <f>CONCATENATE(Données!B291," ",Données!C291)</f>
        <v xml:space="preserve"> </v>
      </c>
      <c r="C200" s="410">
        <f ca="1">IF(B200="",0,INT((TODAY()-Données!E240)/365.25))</f>
        <v>119</v>
      </c>
      <c r="D200" s="100">
        <f>Données!D291</f>
        <v>0</v>
      </c>
      <c r="E200" s="101">
        <f>Données!I291</f>
        <v>0</v>
      </c>
      <c r="F200" s="102">
        <f>Données!AD291</f>
        <v>0</v>
      </c>
      <c r="G200" s="103">
        <f ca="1">INDEX({1;0.5;0},MATCH(C200,{1;65;70}))*M200</f>
        <v>0</v>
      </c>
      <c r="H200" s="104">
        <f>IF($B200=" ",0,IF(Données!$K291="exo",0,$G200/1000*VLOOKUP($F200,taux,2)))</f>
        <v>0</v>
      </c>
      <c r="I200" s="398">
        <f ca="1">IF(C200&gt;=65,0,Données!M240*5000)</f>
        <v>0</v>
      </c>
      <c r="J200" s="104">
        <f ca="1">I200/1000*(IF(I200=0,0,1)*VLOOKUP((1+(C200&gt;=20)+(C200&gt;=25)+(C200&gt;=30)+(C200&gt;=35)+(C200&gt;=40)+(C200&gt;=45)+(C200&gt;=50)+(C200&gt;=55)+(C200&gt;=60)+(C200&gt;=65)),Test,2+(IF(Données!F240="H",1,3))+(IF(Données!G240="F",1,0))))</f>
        <v>0</v>
      </c>
      <c r="K200" s="103">
        <f ca="1">INDEX({1;0.5;0},MATCH(C200,{1;65;70}))*M200</f>
        <v>0</v>
      </c>
      <c r="L200" s="104">
        <f>IF($B200=" ",0,IF(Données!$N291="exo",0,$K200/1000*VLOOKUP($F200,taux,6)))</f>
        <v>0</v>
      </c>
      <c r="M200" s="379">
        <f>IF($B200=" ",0,IF(Données!$K240="NON COUVERT",0,IF(AND(Données!$L240="oui",Données!$K240=0.5),MIN(VLOOKUP($F200,taux,5)/2,ROUNDUP(VLOOKUP($F200,taux,3)*$E200,-3)/2),IF(Données!$K240=0.5,MIN(VLOOKUP($F200,taux,4)/2,ROUNDUP(VLOOKUP($F200,taux,3)*$E200,-3)/2),ROUNDUP(IF(Données!$L240="OUI",MIN(VLOOKUP($F200,taux,3)*$E200,VLOOKUP($F200,taux,5)),MIN(VLOOKUP($F200,taux,3)*$E200,VLOOKUP($F200,taux,4))),-3)))))</f>
        <v>0</v>
      </c>
      <c r="N200" s="379">
        <f>IF($B200=" ",0,IF(Données!$N240="NON COUVERT",0,IF(AND(Données!$O240="oui",Données!$N240=0.5),MIN(VLOOKUP($F200,taux,9)/2,ROUNDUP(VLOOKUP($F200,taux,7)*$E200,-3)/2),IF(Données!$N240=0.5,MIN(VLOOKUP($F200,taux,8)/2,ROUNDUP(VLOOKUP($F200,taux,7)*$E200,-3)/2),ROUNDUP(IF(Données!$O240="OUI",MIN(VLOOKUP($F200,taux,7)*$E200,VLOOKUP($F200,taux,9)),MIN(VLOOKUP($F200,taux,7)*$E200,VLOOKUP($F200,taux,8))),-3)))))</f>
        <v>0</v>
      </c>
      <c r="O200" s="105">
        <f ca="1">IF(C200&gt;=70,0,IF($B200=" ",0,IF(Données!P240="non couvert"," ",Données!Q240)))</f>
        <v>0</v>
      </c>
      <c r="P200" s="106">
        <f>IF($B200=" ",0,IF(Données!$P291="exo",0,IF($O200="FAM",VLOOKUP($F200,taux,10),IF($O200="MONO",VLOOKUP($F200,taux,11),IF($O200="COUPLE",VLOOKUP($F200,taux,12),0)))))</f>
        <v>0</v>
      </c>
      <c r="Q200" s="107">
        <f ca="1">IF(C200&gt;=70,0,IF($B200=" ",0,IF(Données!$R240="NON COUVERT",0,ROUNDUP(IF(Données!$S240="OUI",MIN($E200*VLOOKUP($F200,taux,15)/52,VLOOKUP($F200,taux,17)),MIN($E200*VLOOKUP($F200,taux,15)/52,VLOOKUP($F200,taux,16))),0))))</f>
        <v>0</v>
      </c>
      <c r="R200" s="108">
        <f>IF($B200=" ",0,IF(Données!$R291="EXO",0,$Q200*VLOOKUP($F200,taux,13)/10))</f>
        <v>0</v>
      </c>
      <c r="S200" s="109">
        <f t="shared" ca="1" si="20"/>
        <v>0</v>
      </c>
      <c r="T200" s="110">
        <f>IF(B200=" ",0,IF(Données!$T291="exo",0,$S200*VLOOKUP($F200,taux,18)/100))</f>
        <v>0</v>
      </c>
      <c r="U200" s="109">
        <f>IF($B200=" ",0,IF(Données!$V291="non couvert",0,IF(VLOOKUP($F200,taux,29)="fixe","s/o",IF(Données!$W291="oui",MIN(ROUNDUP(VLOOKUP($F200,taux,31)*$E200,-3),VLOOKUP($F200,taux,33)),MIN(ROUNDUP(VLOOKUP($F200,taux,31)*$E200,-3),VLOOKUP($F200,taux,32))))))</f>
        <v>0</v>
      </c>
      <c r="V200" s="110">
        <f>IF(B200=" ",0,IF(Données!$V291="exo",0,IF(VLOOKUP($F200,taux,29)="fixe",VLOOKUP($F200,taux,30),$U200/1000*VLOOKUP($F200,taux,30))))</f>
        <v>0</v>
      </c>
      <c r="W200" s="110">
        <f t="shared" si="17"/>
        <v>0</v>
      </c>
      <c r="X200" s="383">
        <f>IF(B200=" ",0,EDATE((Données!E240),780))</f>
        <v>0</v>
      </c>
      <c r="Y200" s="383">
        <f t="shared" si="23"/>
        <v>0</v>
      </c>
      <c r="Z200" s="109">
        <f>IF($B200=" ",0,IF(Données!$T240="non couvert",0,IF(Données!$U240="oui",MIN(VLOOKUP($F200,taux,26),ROUNDUP(IF($E200/12&gt;VLOOKUP($F200,taux,21)+VLOOKUP($F200,taux,23),(VLOOKUP($F200,taux,20)*VLOOKUP($F200,taux,21))+(VLOOKUP($F200,taux,22)*VLOOKUP($F200,taux,23))+($E200/12-VLOOKUP($F200,taux,21)-VLOOKUP($F200,taux,23))*VLOOKUP($F200,taux,24),IF($E200/12&gt;VLOOKUP($F200,taux,21),(VLOOKUP($F200,taux,20)*VLOOKUP($F200,taux,21))+($E200/12-VLOOKUP($F200,taux,21))*VLOOKUP($F200,taux,22),$E200/12*VLOOKUP($F200,taux,20))),0)),MIN(VLOOKUP($F200,taux,25),ROUNDUP(IF($E200/12&gt;VLOOKUP($F200,taux,21)+VLOOKUP($F200,taux,23),(VLOOKUP($F200,taux,20)*VLOOKUP($F200,taux,21))+(VLOOKUP($F200,taux,22)*VLOOKUP($F200,taux,23))+($E200/12-VLOOKUP($F200,taux,21)-VLOOKUP($F200,taux,23))*VLOOKUP($F200,taux,24),IF($E200/12&gt;VLOOKUP($F200,taux,21),(VLOOKUP($F200,taux,20)*VLOOKUP($F200,taux,21))+($E200/12-VLOOKUP($F200,taux,21))*VLOOKUP($F200,taux,22),$E200/12*VLOOKUP($F200,taux,20))),0)))))</f>
        <v>0</v>
      </c>
      <c r="AA200" s="111">
        <f ca="1">IF(C200&gt;=70,0,IF($B200=" ",0,IF(Données!$X240="non couvert"," ",Données!Y240)))</f>
        <v>0</v>
      </c>
      <c r="AB200" s="110">
        <f>IF($B200=" ",0,IF(Données!$X291="exo",0,IF($AA200="ind",VLOOKUP($F200,taux,34),IF($AA200="fam",VLOOKUP($F200,taux,35),IF($AA200="mono",VLOOKUP($F200,taux,36),IF($AA200="couple",VLOOKUP($F200,taux,37),0))))))</f>
        <v>0</v>
      </c>
      <c r="AC200" s="111">
        <f ca="1">IF(C200&gt;=70,0,IF($B200=" ",0,IF(Données!$Z240="non couvert"," ",Données!AA240)))</f>
        <v>0</v>
      </c>
      <c r="AD200" s="110">
        <f>IF($B200=" ",0,IF(Données!$Z291="exo",0,IF($AC200="ind",VLOOKUP($F200,taux,38),IF($AC200="fam",VLOOKUP($F200,taux,39),IF($AC200="mono",VLOOKUP($F200,taux,40),IF($AC200="couple",VLOOKUP($F200,taux,41),0))))))</f>
        <v>0</v>
      </c>
      <c r="AE200" s="112">
        <f>IF($B200=" ",0,IF(Données!$AB291="non couvert"," ",Données!AC291))</f>
        <v>0</v>
      </c>
      <c r="AF200" s="113">
        <f>IF($B200=" ",0,IF(Données!$AB291="exo",0,IF($AE200="ind",VLOOKUP($F200,taux,42),IF($AE200="fam",VLOOKUP($F200,taux,43),IF($AE200="mono",VLOOKUP($F200,taux,44),IF($AE200="couple",VLOOKUP($F200,taux,45),0))))))</f>
        <v>0</v>
      </c>
      <c r="AG200" s="114">
        <f t="shared" ca="1" si="24"/>
        <v>0</v>
      </c>
      <c r="AH200" s="114">
        <f>IF($B200=" ",0,IF(Données!J240="Manitoba",(Facture!H200+Facture!J200+Facture!L200+Facture!P200+Facture!R200+Facture!T200)*0.08,(AG200-W200)*IF(Données!$J240="qc",0.09,IF(Données!$J240="on",0.08,0))+W200*VLOOKUP($F200,taux,28)))</f>
        <v>0</v>
      </c>
      <c r="AI200" s="106">
        <f t="shared" ca="1" si="22"/>
        <v>0</v>
      </c>
    </row>
    <row r="201" spans="1:35" s="64" customFormat="1">
      <c r="A201" s="91"/>
      <c r="B201" s="115"/>
      <c r="C201" s="115"/>
      <c r="D201" s="116"/>
      <c r="E201" s="117"/>
      <c r="F201" s="118"/>
      <c r="G201" s="119"/>
      <c r="H201" s="120"/>
      <c r="I201" s="376"/>
      <c r="J201" s="376"/>
      <c r="K201" s="121"/>
      <c r="L201" s="120"/>
      <c r="M201" s="376"/>
      <c r="N201" s="376"/>
      <c r="O201" s="122"/>
      <c r="P201" s="123"/>
      <c r="Q201" s="124"/>
      <c r="R201" s="120"/>
      <c r="S201" s="125"/>
      <c r="T201" s="120"/>
      <c r="U201" s="125"/>
      <c r="V201" s="120"/>
      <c r="W201" s="120"/>
      <c r="X201" s="376"/>
      <c r="Y201" s="376"/>
      <c r="Z201" s="376"/>
      <c r="AA201" s="122"/>
      <c r="AB201" s="123"/>
      <c r="AC201" s="122"/>
      <c r="AD201" s="123"/>
      <c r="AE201" s="122"/>
      <c r="AF201" s="123"/>
      <c r="AG201" s="123"/>
      <c r="AH201" s="123"/>
      <c r="AI201" s="126"/>
    </row>
    <row r="202" spans="1:35" s="64" customFormat="1">
      <c r="A202" s="92" t="s">
        <v>15</v>
      </c>
      <c r="B202" s="127"/>
      <c r="C202" s="127"/>
      <c r="D202" s="128"/>
      <c r="E202" s="129"/>
      <c r="F202" s="130"/>
      <c r="G202" s="131">
        <f ca="1">SUM(G15:G201)</f>
        <v>0</v>
      </c>
      <c r="H202" s="132">
        <f>SUM(H15:H201)</f>
        <v>0</v>
      </c>
      <c r="I202" s="377"/>
      <c r="J202" s="377"/>
      <c r="K202" s="133">
        <f ca="1">SUM(K15:K201)</f>
        <v>0</v>
      </c>
      <c r="L202" s="132">
        <f>SUM(L15:L201)</f>
        <v>0</v>
      </c>
      <c r="M202" s="377"/>
      <c r="N202" s="377"/>
      <c r="O202" s="134"/>
      <c r="P202" s="132">
        <f t="shared" ref="P202:W202" si="25">SUM(P15:P201)</f>
        <v>0</v>
      </c>
      <c r="Q202" s="133">
        <f t="shared" ca="1" si="25"/>
        <v>0</v>
      </c>
      <c r="R202" s="132">
        <f t="shared" si="25"/>
        <v>0</v>
      </c>
      <c r="S202" s="133">
        <f ca="1">SUM(S15:S201)</f>
        <v>0</v>
      </c>
      <c r="T202" s="132">
        <f t="shared" si="25"/>
        <v>0</v>
      </c>
      <c r="U202" s="133">
        <f t="shared" si="25"/>
        <v>0</v>
      </c>
      <c r="V202" s="132">
        <f t="shared" si="25"/>
        <v>0</v>
      </c>
      <c r="W202" s="132">
        <f t="shared" si="25"/>
        <v>0</v>
      </c>
      <c r="X202" s="377"/>
      <c r="Y202" s="377"/>
      <c r="Z202" s="377"/>
      <c r="AA202" s="134"/>
      <c r="AB202" s="132">
        <f>SUM(AB15:AB201)</f>
        <v>0</v>
      </c>
      <c r="AC202" s="134"/>
      <c r="AD202" s="132">
        <f>SUM(AD15:AD201)</f>
        <v>0</v>
      </c>
      <c r="AE202" s="135"/>
      <c r="AF202" s="132">
        <f>SUM(AF15:AF201)</f>
        <v>0</v>
      </c>
      <c r="AG202" s="132">
        <f ca="1">SUM(AG15:AG201)</f>
        <v>0</v>
      </c>
      <c r="AH202" s="132">
        <f>SUM(AH15:AH201)</f>
        <v>0</v>
      </c>
      <c r="AI202" s="132">
        <f ca="1">SUM(AI15:AI201)</f>
        <v>0</v>
      </c>
    </row>
    <row r="203" spans="1:35" s="64" customFormat="1">
      <c r="A203" s="92"/>
      <c r="B203" s="127"/>
      <c r="C203" s="127"/>
      <c r="D203" s="128"/>
      <c r="E203" s="129"/>
      <c r="F203" s="130"/>
      <c r="G203" s="136"/>
      <c r="H203" s="137"/>
      <c r="I203" s="378"/>
      <c r="J203" s="378"/>
      <c r="K203" s="138"/>
      <c r="L203" s="137"/>
      <c r="M203" s="378"/>
      <c r="N203" s="378"/>
      <c r="O203" s="139"/>
      <c r="P203" s="140"/>
      <c r="Q203" s="141"/>
      <c r="R203" s="142"/>
      <c r="S203" s="143"/>
      <c r="T203" s="144"/>
      <c r="U203" s="143"/>
      <c r="V203" s="144"/>
      <c r="W203" s="145"/>
      <c r="X203" s="380"/>
      <c r="Y203" s="380"/>
      <c r="Z203" s="380"/>
      <c r="AA203" s="139" t="s">
        <v>53</v>
      </c>
      <c r="AB203" s="140">
        <f ca="1">COUNTIF($AA$15:$AA$201,AA203)</f>
        <v>0</v>
      </c>
      <c r="AC203" s="139" t="s">
        <v>53</v>
      </c>
      <c r="AD203" s="140">
        <f ca="1">COUNTIF($AC$15:$AC$201,AC203)</f>
        <v>0</v>
      </c>
      <c r="AE203" s="139" t="s">
        <v>53</v>
      </c>
      <c r="AF203" s="140">
        <f>COUNTIF($AE$15:$AE$201,AE203)</f>
        <v>0</v>
      </c>
      <c r="AG203" s="140"/>
      <c r="AH203" s="146"/>
      <c r="AI203" s="146"/>
    </row>
    <row r="204" spans="1:35" s="64" customFormat="1">
      <c r="A204" s="92"/>
      <c r="B204" s="127"/>
      <c r="C204" s="127"/>
      <c r="D204" s="128"/>
      <c r="E204" s="129"/>
      <c r="F204" s="130"/>
      <c r="G204" s="147">
        <f ca="1">COUNTA(G$15:G$201)-COUNTIF(G$15:G$201,0)</f>
        <v>0</v>
      </c>
      <c r="H204" s="137"/>
      <c r="I204" s="378"/>
      <c r="J204" s="378"/>
      <c r="K204" s="147">
        <f ca="1">COUNTA(K$15:K$201)-COUNTIF(K$15:K$201,0)</f>
        <v>0</v>
      </c>
      <c r="L204" s="137"/>
      <c r="M204" s="378"/>
      <c r="N204" s="378"/>
      <c r="O204" s="148" t="s">
        <v>31</v>
      </c>
      <c r="P204" s="140">
        <f ca="1">COUNTIF($O$15:$O$201,O204)</f>
        <v>0</v>
      </c>
      <c r="Q204" s="147">
        <f ca="1">COUNTA(Q$15:Q$201)-COUNTIF(Q$15:Q$201,0)</f>
        <v>0</v>
      </c>
      <c r="R204" s="142"/>
      <c r="S204" s="147">
        <f ca="1">COUNTA(S$15:S$201)-COUNTIF(S$15:S$201,0)</f>
        <v>0</v>
      </c>
      <c r="T204" s="144"/>
      <c r="U204" s="147">
        <f>COUNTA(U$15:U$201)-COUNTIF(U$15:U$201,0)</f>
        <v>0</v>
      </c>
      <c r="V204" s="144"/>
      <c r="W204" s="149">
        <f>COUNTA(W$15:W$201)-COUNTIF(W$15:W$201,0)</f>
        <v>0</v>
      </c>
      <c r="X204" s="381"/>
      <c r="Y204" s="381"/>
      <c r="Z204" s="381"/>
      <c r="AA204" s="139" t="s">
        <v>31</v>
      </c>
      <c r="AB204" s="140">
        <f ca="1">COUNTIF($AA$15:$AA$201,AA204)</f>
        <v>0</v>
      </c>
      <c r="AC204" s="139" t="s">
        <v>31</v>
      </c>
      <c r="AD204" s="140">
        <f ca="1">COUNTIF($AC$15:$AC$201,AC204)</f>
        <v>0</v>
      </c>
      <c r="AE204" s="139" t="s">
        <v>31</v>
      </c>
      <c r="AF204" s="140">
        <f>COUNTIF($AE$15:$AE$201,AE204)</f>
        <v>0</v>
      </c>
      <c r="AG204" s="140"/>
      <c r="AH204" s="146"/>
      <c r="AI204" s="146"/>
    </row>
    <row r="205" spans="1:35" s="64" customFormat="1">
      <c r="A205" s="92"/>
      <c r="B205" s="127"/>
      <c r="C205" s="127"/>
      <c r="D205" s="128"/>
      <c r="E205" s="129"/>
      <c r="F205" s="130"/>
      <c r="G205" s="136"/>
      <c r="H205" s="137"/>
      <c r="I205" s="378"/>
      <c r="J205" s="378"/>
      <c r="K205" s="138"/>
      <c r="L205" s="137"/>
      <c r="M205" s="378"/>
      <c r="N205" s="378"/>
      <c r="O205" s="148" t="s">
        <v>32</v>
      </c>
      <c r="P205" s="140">
        <f ca="1">COUNTIF($O$15:$O$201,O205)</f>
        <v>0</v>
      </c>
      <c r="Q205" s="141"/>
      <c r="R205" s="142"/>
      <c r="S205" s="143"/>
      <c r="T205" s="144"/>
      <c r="U205" s="143"/>
      <c r="V205" s="144"/>
      <c r="W205" s="144"/>
      <c r="X205" s="380"/>
      <c r="Y205" s="380"/>
      <c r="Z205" s="380"/>
      <c r="AA205" s="139" t="s">
        <v>32</v>
      </c>
      <c r="AB205" s="140">
        <f ca="1">COUNTIF($AA$15:$AA$201,AA205)</f>
        <v>0</v>
      </c>
      <c r="AC205" s="139" t="s">
        <v>32</v>
      </c>
      <c r="AD205" s="140">
        <f ca="1">COUNTIF($AC$15:$AC$201,AC205)</f>
        <v>0</v>
      </c>
      <c r="AE205" s="139" t="s">
        <v>32</v>
      </c>
      <c r="AF205" s="140">
        <f>COUNTIF($AE$15:$AE$201,AE205)</f>
        <v>0</v>
      </c>
      <c r="AG205" s="140"/>
      <c r="AH205" s="137"/>
      <c r="AI205" s="146"/>
    </row>
    <row r="206" spans="1:35" s="64" customFormat="1">
      <c r="A206" s="92"/>
      <c r="B206" s="127"/>
      <c r="C206" s="127"/>
      <c r="D206" s="128"/>
      <c r="E206" s="129"/>
      <c r="F206" s="130"/>
      <c r="G206" s="136"/>
      <c r="H206" s="137"/>
      <c r="I206" s="378"/>
      <c r="J206" s="378"/>
      <c r="K206" s="138"/>
      <c r="L206" s="137"/>
      <c r="M206" s="378"/>
      <c r="N206" s="378"/>
      <c r="O206" s="150" t="s">
        <v>33</v>
      </c>
      <c r="P206" s="140">
        <f ca="1">COUNTIF($O$15:$O$201,O206)</f>
        <v>0</v>
      </c>
      <c r="Q206" s="141"/>
      <c r="R206" s="142"/>
      <c r="S206" s="143"/>
      <c r="T206" s="144"/>
      <c r="U206" s="143"/>
      <c r="V206" s="144"/>
      <c r="W206" s="144"/>
      <c r="X206" s="380"/>
      <c r="Y206" s="380"/>
      <c r="Z206" s="380"/>
      <c r="AA206" s="139" t="s">
        <v>33</v>
      </c>
      <c r="AB206" s="140">
        <f ca="1">COUNTIF($AA$15:$AA$201,AA206)</f>
        <v>0</v>
      </c>
      <c r="AC206" s="139" t="s">
        <v>33</v>
      </c>
      <c r="AD206" s="140">
        <f ca="1">COUNTIF($AC$15:$AC$201,AC206)</f>
        <v>0</v>
      </c>
      <c r="AE206" s="139" t="s">
        <v>33</v>
      </c>
      <c r="AF206" s="140">
        <f>COUNTIF($AE$15:$AE$201,AE206)</f>
        <v>0</v>
      </c>
      <c r="AG206" s="140"/>
      <c r="AH206" s="137"/>
      <c r="AI206" s="146"/>
    </row>
    <row r="207" spans="1:35" s="64" customFormat="1">
      <c r="A207" s="93"/>
      <c r="B207" s="151"/>
      <c r="C207" s="151"/>
      <c r="D207" s="152"/>
      <c r="E207" s="153"/>
      <c r="F207" s="154"/>
      <c r="G207" s="155"/>
      <c r="H207" s="156"/>
      <c r="I207" s="352"/>
      <c r="J207" s="352"/>
      <c r="K207" s="157"/>
      <c r="L207" s="156"/>
      <c r="M207" s="352"/>
      <c r="N207" s="352"/>
      <c r="O207" s="158" t="s">
        <v>50</v>
      </c>
      <c r="P207" s="159">
        <f ca="1">COUNTIF($O$15:$O$201,O207)</f>
        <v>0</v>
      </c>
      <c r="Q207" s="160"/>
      <c r="R207" s="156"/>
      <c r="S207" s="161"/>
      <c r="T207" s="156"/>
      <c r="U207" s="161"/>
      <c r="V207" s="156"/>
      <c r="W207" s="156"/>
      <c r="X207" s="160"/>
      <c r="Y207" s="160"/>
      <c r="Z207" s="160"/>
      <c r="AA207" s="162" t="s">
        <v>50</v>
      </c>
      <c r="AB207" s="159">
        <f ca="1">COUNTIF($AA$15:$AA$201,AA207)</f>
        <v>0</v>
      </c>
      <c r="AC207" s="162" t="s">
        <v>50</v>
      </c>
      <c r="AD207" s="159">
        <f ca="1">COUNTIF($AC$15:$AC$201,AC207)</f>
        <v>0</v>
      </c>
      <c r="AE207" s="162" t="s">
        <v>50</v>
      </c>
      <c r="AF207" s="159">
        <f>COUNTIF($AE$15:$AE$201,AE207)</f>
        <v>0</v>
      </c>
      <c r="AG207" s="159"/>
      <c r="AH207" s="163"/>
      <c r="AI207" s="164"/>
    </row>
    <row r="208" spans="1:35" s="64" customFormat="1">
      <c r="A208" s="94"/>
      <c r="B208" s="54"/>
      <c r="C208" s="54"/>
      <c r="D208" s="55"/>
      <c r="E208" s="56"/>
      <c r="F208" s="57"/>
      <c r="G208" s="58"/>
      <c r="H208" s="54"/>
      <c r="I208" s="54"/>
      <c r="J208" s="54"/>
      <c r="K208" s="58"/>
      <c r="L208" s="54"/>
      <c r="M208" s="54"/>
      <c r="N208" s="54"/>
      <c r="O208" s="54"/>
      <c r="P208" s="54"/>
      <c r="Q208" s="54"/>
      <c r="R208" s="54"/>
      <c r="S208" s="54"/>
      <c r="T208" s="54"/>
      <c r="U208" s="54"/>
      <c r="V208" s="54"/>
      <c r="W208" s="54"/>
      <c r="X208" s="54"/>
      <c r="Y208" s="54"/>
      <c r="Z208" s="54"/>
      <c r="AA208" s="54"/>
      <c r="AB208" s="54"/>
      <c r="AC208" s="54"/>
      <c r="AD208" s="54"/>
      <c r="AE208" s="54"/>
      <c r="AF208" s="54"/>
      <c r="AG208" s="54"/>
      <c r="AH208" s="54"/>
      <c r="AI208" s="54"/>
    </row>
    <row r="209" spans="1:35">
      <c r="T209" s="54"/>
      <c r="U209" s="54"/>
      <c r="V209" s="54"/>
      <c r="W209" s="54"/>
      <c r="X209" s="54"/>
      <c r="Y209" s="54"/>
      <c r="Z209" s="54"/>
      <c r="AI209" s="54"/>
    </row>
    <row r="210" spans="1:35">
      <c r="A210" s="85" t="s">
        <v>3</v>
      </c>
      <c r="B210" s="59" t="s">
        <v>3</v>
      </c>
      <c r="C210" s="59"/>
      <c r="T210" s="54"/>
      <c r="U210" s="54"/>
      <c r="V210" s="54"/>
      <c r="W210" s="54"/>
      <c r="X210" s="54"/>
      <c r="Y210" s="54"/>
      <c r="Z210" s="54"/>
      <c r="AI210" s="54"/>
    </row>
    <row r="211" spans="1:35">
      <c r="A211" s="95"/>
      <c r="B211" s="28"/>
      <c r="C211" s="28"/>
      <c r="S211" s="60"/>
      <c r="T211" s="54"/>
      <c r="U211" s="54"/>
      <c r="V211" s="54"/>
      <c r="W211" s="54"/>
      <c r="X211" s="54"/>
      <c r="Y211" s="54"/>
      <c r="Z211" s="54"/>
      <c r="AI211" s="54"/>
    </row>
    <row r="212" spans="1:35">
      <c r="A212" s="96"/>
      <c r="B212" s="28"/>
      <c r="C212" s="28"/>
      <c r="E212" s="61"/>
      <c r="F212" s="62"/>
      <c r="G212" s="63"/>
      <c r="H212" s="60"/>
      <c r="I212" s="60"/>
      <c r="J212" s="60"/>
      <c r="K212" s="63"/>
      <c r="L212" s="60"/>
      <c r="M212" s="60"/>
      <c r="N212" s="60"/>
      <c r="T212" s="54"/>
      <c r="U212" s="54"/>
      <c r="V212" s="54"/>
      <c r="W212" s="54"/>
      <c r="X212" s="54"/>
      <c r="Y212" s="54"/>
      <c r="Z212" s="54"/>
      <c r="AI212" s="54"/>
    </row>
    <row r="213" spans="1:35">
      <c r="A213" s="95"/>
      <c r="B213" s="28"/>
      <c r="C213" s="28"/>
      <c r="G213" s="28"/>
      <c r="K213" s="28"/>
      <c r="S213" s="60"/>
      <c r="T213" s="54"/>
      <c r="U213" s="54"/>
      <c r="V213" s="54"/>
      <c r="W213" s="54"/>
      <c r="X213" s="54"/>
      <c r="Y213" s="54"/>
      <c r="Z213" s="54"/>
      <c r="AI213" s="54"/>
    </row>
    <row r="214" spans="1:35">
      <c r="A214" s="96"/>
      <c r="B214" s="28"/>
      <c r="C214" s="28"/>
      <c r="H214" s="60"/>
      <c r="I214" s="60"/>
      <c r="J214" s="60"/>
      <c r="L214" s="60"/>
      <c r="M214" s="60"/>
      <c r="N214" s="60"/>
      <c r="T214" s="54"/>
      <c r="U214" s="54"/>
      <c r="V214" s="54"/>
      <c r="W214" s="54"/>
      <c r="X214" s="54"/>
      <c r="Y214" s="54"/>
      <c r="Z214" s="54"/>
      <c r="AI214" s="54"/>
    </row>
    <row r="215" spans="1:35">
      <c r="A215" s="96"/>
      <c r="B215" s="3"/>
      <c r="C215" s="3"/>
      <c r="T215" s="54"/>
      <c r="U215" s="54"/>
      <c r="V215" s="54"/>
      <c r="W215" s="54"/>
      <c r="X215" s="54"/>
      <c r="Y215" s="54"/>
      <c r="Z215" s="54"/>
      <c r="AI215" s="54"/>
    </row>
    <row r="216" spans="1:35">
      <c r="B216" s="3"/>
      <c r="C216" s="3"/>
      <c r="T216" s="54"/>
      <c r="U216" s="54"/>
      <c r="V216" s="54"/>
      <c r="W216" s="54"/>
      <c r="X216" s="54"/>
      <c r="Y216" s="54"/>
      <c r="Z216" s="54"/>
      <c r="AI216" s="28"/>
    </row>
    <row r="217" spans="1:35">
      <c r="E217" s="61"/>
      <c r="F217" s="62"/>
      <c r="G217" s="28"/>
      <c r="H217" s="28"/>
      <c r="I217" s="28"/>
      <c r="J217" s="28"/>
      <c r="K217" s="28"/>
      <c r="L217" s="28"/>
      <c r="M217" s="28"/>
      <c r="N217" s="28"/>
      <c r="O217" s="28"/>
      <c r="P217" s="28"/>
      <c r="Q217" s="28"/>
      <c r="R217" s="28"/>
      <c r="AA217" s="28"/>
      <c r="AB217" s="28"/>
      <c r="AC217" s="28"/>
      <c r="AD217" s="28"/>
      <c r="AE217" s="28"/>
      <c r="AF217" s="28"/>
      <c r="AG217" s="28"/>
      <c r="AH217" s="28"/>
    </row>
    <row r="218" spans="1:35">
      <c r="E218" s="61"/>
      <c r="F218" s="62"/>
      <c r="G218" s="28"/>
      <c r="H218" s="28"/>
      <c r="I218" s="28"/>
      <c r="J218" s="28"/>
      <c r="K218" s="28"/>
      <c r="L218" s="28"/>
      <c r="M218" s="28"/>
      <c r="N218" s="28"/>
      <c r="O218" s="28"/>
      <c r="P218" s="28"/>
      <c r="Q218" s="28"/>
      <c r="R218" s="28"/>
      <c r="AA218" s="28"/>
      <c r="AB218" s="28"/>
      <c r="AC218" s="28"/>
      <c r="AD218" s="28"/>
      <c r="AE218" s="28"/>
      <c r="AF218" s="28"/>
      <c r="AG218" s="28"/>
      <c r="AH218" s="28"/>
    </row>
  </sheetData>
  <sheetProtection password="F4B7" sheet="1" objects="1" scenarios="1" formatCells="0"/>
  <mergeCells count="23">
    <mergeCell ref="E7:H7"/>
    <mergeCell ref="AE11:AF11"/>
    <mergeCell ref="AE12:AF12"/>
    <mergeCell ref="AA11:AB11"/>
    <mergeCell ref="AA12:AB12"/>
    <mergeCell ref="Q12:R12"/>
    <mergeCell ref="S12:T12"/>
    <mergeCell ref="Q11:R11"/>
    <mergeCell ref="S11:T11"/>
    <mergeCell ref="AC11:AD11"/>
    <mergeCell ref="AC12:AD12"/>
    <mergeCell ref="K12:L12"/>
    <mergeCell ref="U10:V10"/>
    <mergeCell ref="U11:V11"/>
    <mergeCell ref="U12:V12"/>
    <mergeCell ref="G12:H12"/>
    <mergeCell ref="O12:P12"/>
    <mergeCell ref="K11:L11"/>
    <mergeCell ref="S10:T10"/>
    <mergeCell ref="G11:H11"/>
    <mergeCell ref="O11:P11"/>
    <mergeCell ref="I11:J11"/>
    <mergeCell ref="I12:J12"/>
  </mergeCells>
  <phoneticPr fontId="8" type="noConversion"/>
  <pageMargins left="0.19685039370078741" right="0.19685039370078741" top="0.59055118110236227" bottom="0.59055118110236227" header="0.31496062992125984" footer="0.31496062992125984"/>
  <pageSetup scale="83" fitToHeight="10" orientation="landscape" r:id="rId1"/>
  <headerFooter alignWithMargins="0">
    <oddHeader>&amp;C&amp;"Helv,Gras"&amp;14FACTURATION MENSUELLE</oddHeader>
    <oddFooter>&amp;R&amp;"Helv,Italique"Imprimé le &amp;D
&amp;P/&amp;N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E201"/>
  <sheetViews>
    <sheetView showGridLines="0" showZeros="0" zoomScale="145" zoomScaleNormal="145" workbookViewId="0">
      <selection activeCell="E6" sqref="E6"/>
    </sheetView>
  </sheetViews>
  <sheetFormatPr baseColWidth="10" defaultRowHeight="11.25"/>
  <cols>
    <col min="1" max="1" width="4.3984375" style="165" customWidth="1"/>
    <col min="2" max="2" width="30.3984375" style="166" customWidth="1"/>
    <col min="3" max="3" width="12.59765625" style="171" customWidth="1"/>
    <col min="4" max="4" width="8.59765625" style="173" hidden="1" customWidth="1"/>
    <col min="5" max="5" width="11.3984375" style="173" hidden="1" customWidth="1"/>
    <col min="6" max="6" width="8.3984375" style="168" customWidth="1"/>
    <col min="7" max="7" width="12.19921875" style="168" customWidth="1"/>
    <col min="8" max="9" width="13.796875" style="172" hidden="1" customWidth="1"/>
    <col min="10" max="10" width="13.3984375" style="168" customWidth="1"/>
    <col min="11" max="11" width="12.19921875" style="168" customWidth="1"/>
    <col min="12" max="14" width="11.59765625" style="166" customWidth="1"/>
    <col min="15" max="15" width="14.59765625" style="166" customWidth="1"/>
    <col min="16" max="16" width="17.3984375" style="340" customWidth="1"/>
    <col min="17" max="17" width="14.3984375" style="166" customWidth="1"/>
    <col min="18" max="18" width="2.19921875" style="175" hidden="1" customWidth="1"/>
    <col min="19" max="19" width="13" style="176" hidden="1" customWidth="1"/>
    <col min="20" max="20" width="15.19921875" style="340" hidden="1" customWidth="1"/>
    <col min="21" max="21" width="2" style="175" hidden="1" customWidth="1"/>
    <col min="22" max="25" width="14.19921875" style="176" hidden="1" customWidth="1"/>
    <col min="26" max="26" width="11.19921875" style="177" customWidth="1"/>
    <col min="27" max="16384" width="11.19921875" style="177"/>
  </cols>
  <sheetData>
    <row r="1" spans="1:31">
      <c r="B1" s="167" t="s">
        <v>96</v>
      </c>
      <c r="C1" s="170">
        <f>Programmation!C1</f>
        <v>0</v>
      </c>
      <c r="H1" s="174"/>
      <c r="I1" s="174"/>
      <c r="J1" s="170"/>
      <c r="K1" s="170"/>
      <c r="L1" s="170"/>
      <c r="Z1" s="166"/>
      <c r="AA1" s="166"/>
      <c r="AB1" s="166"/>
      <c r="AC1" s="166"/>
      <c r="AD1" s="166"/>
    </row>
    <row r="2" spans="1:31">
      <c r="B2" s="167" t="s">
        <v>97</v>
      </c>
      <c r="C2" s="170">
        <f>Programmation!C2</f>
        <v>0</v>
      </c>
      <c r="H2" s="174"/>
      <c r="I2" s="174"/>
      <c r="J2" s="170"/>
      <c r="K2" s="170"/>
      <c r="L2" s="170"/>
      <c r="Z2" s="166"/>
      <c r="AA2" s="166"/>
      <c r="AB2" s="166"/>
      <c r="AC2" s="166"/>
      <c r="AD2" s="166"/>
    </row>
    <row r="3" spans="1:31">
      <c r="B3" s="167" t="s">
        <v>100</v>
      </c>
      <c r="C3" s="339">
        <f>Programmation!C3</f>
        <v>0</v>
      </c>
      <c r="H3" s="174"/>
      <c r="I3" s="174"/>
      <c r="J3" s="170"/>
      <c r="K3" s="170"/>
      <c r="L3" s="170"/>
      <c r="Z3" s="166"/>
      <c r="AA3" s="166"/>
      <c r="AB3" s="166"/>
      <c r="AC3" s="166"/>
      <c r="AD3" s="166"/>
    </row>
    <row r="4" spans="1:31">
      <c r="B4" s="167" t="s">
        <v>101</v>
      </c>
      <c r="C4" s="170">
        <f>Programmation!C4</f>
        <v>0</v>
      </c>
      <c r="H4" s="174"/>
      <c r="I4" s="174"/>
      <c r="J4" s="170"/>
      <c r="K4" s="170"/>
      <c r="L4" s="170"/>
      <c r="Z4" s="166"/>
      <c r="AA4" s="166"/>
      <c r="AB4" s="166"/>
      <c r="AC4" s="166"/>
      <c r="AD4" s="166"/>
    </row>
    <row r="5" spans="1:31" hidden="1">
      <c r="B5" s="167" t="s">
        <v>102</v>
      </c>
      <c r="C5" s="170">
        <f>Programmation!C5</f>
        <v>0</v>
      </c>
      <c r="H5" s="174"/>
      <c r="I5" s="174"/>
      <c r="J5" s="170"/>
      <c r="K5" s="170"/>
      <c r="L5" s="170"/>
      <c r="Z5" s="166"/>
      <c r="AA5" s="166"/>
      <c r="AB5" s="166"/>
      <c r="AC5" s="166"/>
      <c r="AD5" s="166"/>
      <c r="AE5" s="166"/>
    </row>
    <row r="6" spans="1:31">
      <c r="B6" s="347" t="s">
        <v>98</v>
      </c>
      <c r="C6" s="488">
        <f>Programmation!C6</f>
        <v>0</v>
      </c>
      <c r="D6" s="488"/>
      <c r="E6" s="488"/>
      <c r="F6" s="488"/>
      <c r="G6" s="488"/>
      <c r="H6" s="348"/>
      <c r="I6" s="348"/>
      <c r="J6" s="348"/>
      <c r="K6" s="348"/>
      <c r="L6" s="348"/>
      <c r="Z6" s="166"/>
      <c r="AA6" s="166"/>
      <c r="AB6" s="166"/>
      <c r="AC6" s="166"/>
      <c r="AD6" s="166"/>
      <c r="AE6" s="166"/>
    </row>
    <row r="7" spans="1:31">
      <c r="B7" s="347" t="s">
        <v>99</v>
      </c>
      <c r="C7" s="465">
        <f>Données!E46</f>
        <v>0</v>
      </c>
      <c r="D7" s="465"/>
      <c r="E7" s="465"/>
      <c r="F7" s="465"/>
      <c r="G7" s="465"/>
      <c r="H7" s="348"/>
      <c r="I7" s="348"/>
      <c r="J7" s="348"/>
      <c r="K7" s="348"/>
      <c r="L7" s="348"/>
      <c r="Z7" s="166"/>
      <c r="AA7" s="166"/>
      <c r="AB7" s="166"/>
      <c r="AC7" s="166"/>
      <c r="AD7" s="166"/>
      <c r="AE7" s="166"/>
    </row>
    <row r="8" spans="1:31" hidden="1">
      <c r="B8" s="171"/>
      <c r="C8" s="166"/>
      <c r="D8" s="176"/>
      <c r="E8" s="176"/>
      <c r="F8" s="178"/>
      <c r="G8" s="179"/>
      <c r="H8" s="180"/>
      <c r="I8" s="180"/>
      <c r="J8" s="181"/>
      <c r="K8" s="179"/>
      <c r="L8" s="179"/>
      <c r="Z8" s="166"/>
      <c r="AA8" s="166"/>
      <c r="AB8" s="166"/>
      <c r="AC8" s="166"/>
      <c r="AD8" s="166"/>
      <c r="AE8" s="166"/>
    </row>
    <row r="9" spans="1:31" ht="12" thickBot="1"/>
    <row r="10" spans="1:31" ht="6.75" customHeight="1" thickTop="1">
      <c r="A10" s="182"/>
      <c r="B10" s="494" t="s">
        <v>123</v>
      </c>
      <c r="C10" s="504" t="s">
        <v>124</v>
      </c>
      <c r="D10" s="183"/>
      <c r="E10" s="183"/>
      <c r="F10" s="503" t="s">
        <v>125</v>
      </c>
      <c r="G10" s="500" t="s">
        <v>61</v>
      </c>
      <c r="H10" s="437"/>
      <c r="I10" s="184"/>
      <c r="J10" s="497" t="s">
        <v>122</v>
      </c>
      <c r="K10" s="485" t="s">
        <v>114</v>
      </c>
      <c r="L10" s="342"/>
      <c r="M10" s="343"/>
      <c r="N10" s="351"/>
      <c r="O10" s="355"/>
      <c r="P10" s="372"/>
      <c r="Q10" s="417"/>
      <c r="R10" s="185"/>
      <c r="S10" s="186"/>
      <c r="T10" s="370"/>
      <c r="U10" s="185"/>
      <c r="V10" s="186"/>
      <c r="W10" s="186"/>
      <c r="X10" s="186"/>
      <c r="Y10" s="186"/>
    </row>
    <row r="11" spans="1:31" ht="11.25" customHeight="1">
      <c r="A11" s="187"/>
      <c r="B11" s="495"/>
      <c r="C11" s="505"/>
      <c r="D11" s="188" t="s">
        <v>20</v>
      </c>
      <c r="E11" s="350" t="s">
        <v>112</v>
      </c>
      <c r="F11" s="486"/>
      <c r="G11" s="501"/>
      <c r="H11" s="438"/>
      <c r="I11" s="189"/>
      <c r="J11" s="498"/>
      <c r="K11" s="486"/>
      <c r="L11" s="489" t="s">
        <v>63</v>
      </c>
      <c r="M11" s="490"/>
      <c r="N11" s="491"/>
      <c r="O11" s="475" t="s">
        <v>107</v>
      </c>
      <c r="P11" s="476"/>
      <c r="Q11" s="418"/>
      <c r="R11" s="190"/>
      <c r="S11" s="191" t="s">
        <v>39</v>
      </c>
      <c r="T11" s="191" t="s">
        <v>16</v>
      </c>
      <c r="U11" s="190"/>
      <c r="V11" s="191" t="s">
        <v>83</v>
      </c>
      <c r="W11" s="191" t="s">
        <v>85</v>
      </c>
      <c r="X11" s="191" t="s">
        <v>8</v>
      </c>
      <c r="Y11" s="191" t="s">
        <v>87</v>
      </c>
    </row>
    <row r="12" spans="1:31" ht="12" customHeight="1">
      <c r="A12" s="187"/>
      <c r="B12" s="495"/>
      <c r="C12" s="505"/>
      <c r="D12" s="188"/>
      <c r="E12" s="350" t="s">
        <v>113</v>
      </c>
      <c r="F12" s="486"/>
      <c r="G12" s="501"/>
      <c r="H12" s="438"/>
      <c r="I12" s="414"/>
      <c r="J12" s="498"/>
      <c r="K12" s="486"/>
      <c r="L12" s="492" t="s">
        <v>110</v>
      </c>
      <c r="M12" s="493"/>
      <c r="N12" s="493"/>
      <c r="O12" s="477" t="s">
        <v>111</v>
      </c>
      <c r="P12" s="478"/>
      <c r="Q12" s="418" t="s">
        <v>168</v>
      </c>
      <c r="R12" s="190"/>
      <c r="S12" s="192" t="s">
        <v>62</v>
      </c>
      <c r="T12" s="192" t="s">
        <v>62</v>
      </c>
      <c r="U12" s="190"/>
      <c r="V12" s="192" t="s">
        <v>84</v>
      </c>
      <c r="W12" s="192" t="s">
        <v>84</v>
      </c>
      <c r="X12" s="192"/>
      <c r="Y12" s="192" t="s">
        <v>88</v>
      </c>
    </row>
    <row r="13" spans="1:31" ht="17.25" customHeight="1">
      <c r="A13" s="187"/>
      <c r="B13" s="495"/>
      <c r="C13" s="505"/>
      <c r="D13" s="188"/>
      <c r="E13" s="350"/>
      <c r="F13" s="486"/>
      <c r="G13" s="501"/>
      <c r="H13" s="438" t="s">
        <v>122</v>
      </c>
      <c r="I13" s="435" t="s">
        <v>173</v>
      </c>
      <c r="J13" s="498"/>
      <c r="K13" s="486"/>
      <c r="L13" s="412" t="s">
        <v>159</v>
      </c>
      <c r="M13" s="413" t="s">
        <v>161</v>
      </c>
      <c r="N13" s="412" t="s">
        <v>163</v>
      </c>
      <c r="O13" s="479" t="s">
        <v>166</v>
      </c>
      <c r="P13" s="482" t="s">
        <v>167</v>
      </c>
      <c r="Q13" s="418" t="s">
        <v>16</v>
      </c>
      <c r="R13" s="190"/>
      <c r="S13" s="192"/>
      <c r="T13" s="371"/>
      <c r="U13" s="190"/>
      <c r="V13" s="192"/>
      <c r="W13" s="192"/>
      <c r="X13" s="192"/>
      <c r="Y13" s="192"/>
    </row>
    <row r="14" spans="1:31" ht="20.25" customHeight="1">
      <c r="A14" s="187"/>
      <c r="B14" s="495"/>
      <c r="C14" s="505"/>
      <c r="D14" s="188"/>
      <c r="E14" s="188"/>
      <c r="F14" s="486"/>
      <c r="G14" s="501"/>
      <c r="H14" s="438"/>
      <c r="I14" s="414"/>
      <c r="J14" s="498"/>
      <c r="K14" s="486"/>
      <c r="L14" s="420" t="s">
        <v>160</v>
      </c>
      <c r="M14" s="421" t="s">
        <v>162</v>
      </c>
      <c r="N14" s="422" t="s">
        <v>160</v>
      </c>
      <c r="O14" s="480"/>
      <c r="P14" s="483"/>
      <c r="Q14" s="418" t="s">
        <v>18</v>
      </c>
      <c r="R14" s="190"/>
      <c r="S14" s="192"/>
      <c r="T14" s="371"/>
      <c r="U14" s="190"/>
      <c r="V14" s="192"/>
      <c r="W14" s="192"/>
      <c r="X14" s="192"/>
      <c r="Y14" s="192"/>
    </row>
    <row r="15" spans="1:31" ht="15.75" customHeight="1">
      <c r="A15" s="217"/>
      <c r="B15" s="496"/>
      <c r="C15" s="506"/>
      <c r="D15" s="415"/>
      <c r="E15" s="415"/>
      <c r="F15" s="487"/>
      <c r="G15" s="502"/>
      <c r="H15" s="439"/>
      <c r="I15" s="436"/>
      <c r="J15" s="499"/>
      <c r="K15" s="487"/>
      <c r="L15" s="416" t="s">
        <v>164</v>
      </c>
      <c r="M15" s="416" t="s">
        <v>164</v>
      </c>
      <c r="N15" s="416" t="s">
        <v>165</v>
      </c>
      <c r="O15" s="481"/>
      <c r="P15" s="484"/>
      <c r="Q15" s="419" t="s">
        <v>169</v>
      </c>
      <c r="R15" s="195"/>
      <c r="S15" s="196"/>
      <c r="T15" s="194"/>
      <c r="U15" s="195"/>
      <c r="V15" s="196"/>
      <c r="W15" s="196"/>
      <c r="X15" s="196"/>
      <c r="Y15" s="196"/>
    </row>
    <row r="16" spans="1:31">
      <c r="A16" s="197">
        <v>1</v>
      </c>
      <c r="B16" s="198" t="str">
        <f>CONCATENATE(Données!B55," ",Données!C55)</f>
        <v xml:space="preserve"> </v>
      </c>
      <c r="C16" s="199">
        <f>Données!D55</f>
        <v>0</v>
      </c>
      <c r="D16" s="200" t="str">
        <f>Données!AD55</f>
        <v/>
      </c>
      <c r="E16" s="349">
        <f t="shared" ref="E16:E47" si="0">IF($B16=" ",0,VLOOKUP($D16,taux,47))</f>
        <v>0</v>
      </c>
      <c r="F16" s="201">
        <f t="shared" ref="F16:F79" si="1">IF($B16=" ",0,VLOOKUP($D16,taux,46))</f>
        <v>0</v>
      </c>
      <c r="G16" s="202">
        <f>IF($F16=0,0,Facture!AI15*12/F16)</f>
        <v>0</v>
      </c>
      <c r="H16" s="203" t="e">
        <f t="shared" ref="H16:H47" ca="1" si="2">IF(AND(VLOOKUP($D16,taux,14)="oui",VLOOKUP($D16,taux,19)="oui"),$G16*VLOOKUP($D16,taux,47),IF(AND(VLOOKUP($D16,taux,14)="non",VLOOKUP($D16,taux,19)="non"),MIN($G16*VLOOKUP($D16,taux,47),$G16-$V16-$W16),IF(AND(VLOOKUP($D16,taux,14)="oui",VLOOKUP($D16,taux,19)="non"),MIN($G16*VLOOKUP($D16,taux,47),$G16-$W16),IF(AND(VLOOKUP($D16,taux,14)="non",VLOOKUP($D16,taux,19)="oui"),MIN($G16*VLOOKUP($D16,taux,47),$G16-$V16),IF(VLOOKUP($D16,taux,14)="non",MIN($G16*VLOOKUP($D16,taux,47),$G16-$V16),IF(VLOOKUP($D16,taux,19)="non",MIN($G16*VLOOKUP($D16,taux,47),$G16-$W16),$G16*VLOOKUP($D16,taux,47)))))))-(I16*0.5)</f>
        <v>#N/A</v>
      </c>
      <c r="I16" s="203" t="e">
        <f ca="1">IF(F16=" ",0,Facture!J15*12/F16*1.09)</f>
        <v>#DIV/0!</v>
      </c>
      <c r="J16" s="204">
        <f>IF(B16=" ",0,H16)</f>
        <v>0</v>
      </c>
      <c r="K16" s="345">
        <f>G16-J16</f>
        <v>0</v>
      </c>
      <c r="L16" s="205">
        <f t="shared" ref="L16:L47" si="3">MAX(MIN($J16-$T16-$S16-$M16,$Y16),0)</f>
        <v>0</v>
      </c>
      <c r="M16" s="205">
        <f t="shared" ref="M16:M79" si="4">MAX(MIN($J16-$T16-$S16,$X16),0)</f>
        <v>0</v>
      </c>
      <c r="N16" s="353">
        <f t="shared" ref="N16:N47" si="5">MAX(MIN($J16-$T16-$S16-$M16,$Y16),0)</f>
        <v>0</v>
      </c>
      <c r="O16" s="356">
        <f>X16-M16</f>
        <v>0</v>
      </c>
      <c r="P16" s="357">
        <f>K16-O16</f>
        <v>0</v>
      </c>
      <c r="Q16" s="354">
        <f>IF($F16=0,0,(Facture!$R15+Facture!$T15)*12*IF(Données!$J55="qc",1.09,IF(Données!$J55="on",1.08,1))/$F16)</f>
        <v>0</v>
      </c>
      <c r="R16" s="206"/>
      <c r="S16" s="207">
        <f>MIN(IF($F16=0,0,(Facture!$W15)*12*(1+VLOOKUP($D16,taux,28))/$F16),$J16)</f>
        <v>0</v>
      </c>
      <c r="T16" s="207">
        <f t="shared" ref="T16:T79" si="6">IF($F16=0,0,IF(AND(VLOOKUP($D16,taux,14)="oui",VLOOKUP($D16,taux,19)="oui"),MIN($V16+$W16,$J16-$S16),IF(VLOOKUP($D16,taux,14)="OUI",MIN($V16,$J16-$S16),IF(VLOOKUP($D16,taux,19)="OUI",MIN($W16,$J16-$S16),0))))</f>
        <v>0</v>
      </c>
      <c r="U16" s="206"/>
      <c r="V16" s="207">
        <f>IF($F16=0,0,Facture!$R15*12*IF(Données!$J55="qc",1.09,IF(Données!$J55="on",1.08,1))/$F16)</f>
        <v>0</v>
      </c>
      <c r="W16" s="207">
        <f>IF($F16=0,0,Facture!$T15*12*IF(Données!$J55="qc",1.09,IF(Données!$J55="on",1.08,1))/$F16)</f>
        <v>0</v>
      </c>
      <c r="X16" s="207">
        <f>IF($F16=0,0,(Facture!$AB15+Facture!$AD15+Facture!$AF15)*12*IF(Données!$J55="qc",1.09,IF(Données!$J55="on",1.08,1))/$F16)</f>
        <v>0</v>
      </c>
      <c r="Y16" s="207">
        <f>IF($F16=0,0,(Facture!$H15+Facture!$J15+Facture!$L15+Facture!$P15+Facture!$V15)*12*IF(Données!$J55="qc",1.09,IF(Données!$J55="on",1.08,1))/$F16)</f>
        <v>0</v>
      </c>
    </row>
    <row r="17" spans="1:25">
      <c r="A17" s="197">
        <f t="shared" ref="A17:A35" si="7">A16+1</f>
        <v>2</v>
      </c>
      <c r="B17" s="198" t="str">
        <f>CONCATENATE(Données!B56," ",Données!C56)</f>
        <v xml:space="preserve"> </v>
      </c>
      <c r="C17" s="199">
        <f>Données!D56</f>
        <v>0</v>
      </c>
      <c r="D17" s="200" t="str">
        <f>Données!AD56</f>
        <v/>
      </c>
      <c r="E17" s="349">
        <f t="shared" si="0"/>
        <v>0</v>
      </c>
      <c r="F17" s="201">
        <f t="shared" si="1"/>
        <v>0</v>
      </c>
      <c r="G17" s="202">
        <f>IF($F17=0,0,Facture!AI16*12/F17)</f>
        <v>0</v>
      </c>
      <c r="H17" s="203" t="e">
        <f t="shared" ca="1" si="2"/>
        <v>#N/A</v>
      </c>
      <c r="I17" s="203" t="e">
        <f ca="1">IF(F17=" ",0,Facture!J16*12/F17*1.09)</f>
        <v>#DIV/0!</v>
      </c>
      <c r="J17" s="204">
        <f>IF(B17=" ",0,H17)</f>
        <v>0</v>
      </c>
      <c r="K17" s="345">
        <f t="shared" ref="K17:K80" si="8">G17-J17</f>
        <v>0</v>
      </c>
      <c r="L17" s="205">
        <f t="shared" si="3"/>
        <v>0</v>
      </c>
      <c r="M17" s="205">
        <f t="shared" si="4"/>
        <v>0</v>
      </c>
      <c r="N17" s="353">
        <f t="shared" si="5"/>
        <v>0</v>
      </c>
      <c r="O17" s="356">
        <f t="shared" ref="O17:O80" si="9">X17-M17</f>
        <v>0</v>
      </c>
      <c r="P17" s="357">
        <f t="shared" ref="P17:P80" si="10">K17-O17</f>
        <v>0</v>
      </c>
      <c r="Q17" s="354">
        <f>IF($F17=0,0,(Facture!$R16+Facture!$T16)*12*IF(Données!$J56="qc",1.09,IF(Données!$J56="on",1.08,1))/$F17)</f>
        <v>0</v>
      </c>
      <c r="R17" s="206"/>
      <c r="S17" s="207">
        <f>MIN(IF($F17=0,0,(Facture!$W16)*12*(1+VLOOKUP($D17,taux,28))/$F17),$J17)</f>
        <v>0</v>
      </c>
      <c r="T17" s="207">
        <f t="shared" si="6"/>
        <v>0</v>
      </c>
      <c r="U17" s="206"/>
      <c r="V17" s="207">
        <f>IF($F17=0,0,Facture!$R16*12*IF(Données!$J56="qc",1.09,IF(Données!$J56="on",1.08,1))/$F17)</f>
        <v>0</v>
      </c>
      <c r="W17" s="207">
        <f>IF($F17=0,0,Facture!$T16*12*IF(Données!$J56="qc",1.09,IF(Données!$J56="on",1.08,1))/$F17)</f>
        <v>0</v>
      </c>
      <c r="X17" s="207">
        <f>IF($F17=0,0,(Facture!$AB16+Facture!$AD16+Facture!$AF16)*12*IF(Données!$J56="qc",1.09,IF(Données!$J56="on",1.08,1))/$F17)</f>
        <v>0</v>
      </c>
      <c r="Y17" s="207">
        <f>IF($F17=0,0,(Facture!$H16+Facture!$J16+Facture!$L16+Facture!$P16+Facture!$V16)*12*IF(Données!$J56="qc",1.09,IF(Données!$J56="on",1.08,1))/$F17)</f>
        <v>0</v>
      </c>
    </row>
    <row r="18" spans="1:25">
      <c r="A18" s="208">
        <f t="shared" si="7"/>
        <v>3</v>
      </c>
      <c r="B18" s="198" t="str">
        <f>CONCATENATE(Données!B57," ",Données!C57)</f>
        <v xml:space="preserve"> </v>
      </c>
      <c r="C18" s="199">
        <f>Données!D57</f>
        <v>0</v>
      </c>
      <c r="D18" s="200" t="str">
        <f>Données!AD57</f>
        <v/>
      </c>
      <c r="E18" s="349">
        <f t="shared" si="0"/>
        <v>0</v>
      </c>
      <c r="F18" s="201">
        <f t="shared" si="1"/>
        <v>0</v>
      </c>
      <c r="G18" s="202">
        <f>IF($F18=0,0,Facture!AI17*12/F18)</f>
        <v>0</v>
      </c>
      <c r="H18" s="203" t="e">
        <f t="shared" ca="1" si="2"/>
        <v>#N/A</v>
      </c>
      <c r="I18" s="203" t="e">
        <f ca="1">IF(F18=" ",0,Facture!J17*12/F18*1.09)</f>
        <v>#DIV/0!</v>
      </c>
      <c r="J18" s="204">
        <f t="shared" ref="J18:J81" si="11">IF(B18=" ",0,H18)</f>
        <v>0</v>
      </c>
      <c r="K18" s="345">
        <f t="shared" si="8"/>
        <v>0</v>
      </c>
      <c r="L18" s="205">
        <f t="shared" si="3"/>
        <v>0</v>
      </c>
      <c r="M18" s="205">
        <f t="shared" si="4"/>
        <v>0</v>
      </c>
      <c r="N18" s="353">
        <f t="shared" si="5"/>
        <v>0</v>
      </c>
      <c r="O18" s="356">
        <f t="shared" si="9"/>
        <v>0</v>
      </c>
      <c r="P18" s="357">
        <f t="shared" si="10"/>
        <v>0</v>
      </c>
      <c r="Q18" s="354">
        <f>IF($F18=0,0,(Facture!$R17+Facture!$T17)*12*IF(Données!$J57="qc",1.09,IF(Données!$J57="on",1.08,1))/$F18)</f>
        <v>0</v>
      </c>
      <c r="R18" s="206"/>
      <c r="S18" s="207">
        <f>MIN(IF($F18=0,0,(Facture!$W17)*12*(1+VLOOKUP($D18,taux,28))/$F18),$J18)</f>
        <v>0</v>
      </c>
      <c r="T18" s="207">
        <f t="shared" si="6"/>
        <v>0</v>
      </c>
      <c r="U18" s="206"/>
      <c r="V18" s="207">
        <f>IF($F18=0,0,Facture!$R17*12*IF(Données!$J57="qc",1.09,IF(Données!$J57="on",1.08,1))/$F18)</f>
        <v>0</v>
      </c>
      <c r="W18" s="207">
        <f>IF($F18=0,0,Facture!$T17*12*IF(Données!$J57="qc",1.09,IF(Données!$J57="on",1.08,1))/$F18)</f>
        <v>0</v>
      </c>
      <c r="X18" s="207">
        <f>IF($F18=0,0,(Facture!$AB17+Facture!$AD17+Facture!$AF17)*12*IF(Données!$J57="qc",1.09,IF(Données!$J57="on",1.08,1))/$F18)</f>
        <v>0</v>
      </c>
      <c r="Y18" s="207">
        <f>IF($F18=0,0,(Facture!$H17+Facture!$J17+Facture!$L17+Facture!$P17+Facture!$V17)*12*IF(Données!$J57="qc",1.09,IF(Données!$J57="on",1.08,1))/$F18)</f>
        <v>0</v>
      </c>
    </row>
    <row r="19" spans="1:25">
      <c r="A19" s="208">
        <f t="shared" si="7"/>
        <v>4</v>
      </c>
      <c r="B19" s="198" t="str">
        <f>CONCATENATE(Données!B58," ",Données!C58)</f>
        <v xml:space="preserve"> </v>
      </c>
      <c r="C19" s="199">
        <f>Données!D58</f>
        <v>0</v>
      </c>
      <c r="D19" s="200" t="str">
        <f>Données!AD58</f>
        <v/>
      </c>
      <c r="E19" s="349">
        <f t="shared" si="0"/>
        <v>0</v>
      </c>
      <c r="F19" s="201">
        <f t="shared" si="1"/>
        <v>0</v>
      </c>
      <c r="G19" s="202">
        <f>IF($F19=0,0,Facture!AI18*12/F19)</f>
        <v>0</v>
      </c>
      <c r="H19" s="203" t="e">
        <f t="shared" ca="1" si="2"/>
        <v>#N/A</v>
      </c>
      <c r="I19" s="203" t="e">
        <f ca="1">IF(F19=" ",0,Facture!J18*12/F19*1.09)</f>
        <v>#DIV/0!</v>
      </c>
      <c r="J19" s="204">
        <f t="shared" si="11"/>
        <v>0</v>
      </c>
      <c r="K19" s="345">
        <f t="shared" si="8"/>
        <v>0</v>
      </c>
      <c r="L19" s="205">
        <f t="shared" si="3"/>
        <v>0</v>
      </c>
      <c r="M19" s="205">
        <f t="shared" si="4"/>
        <v>0</v>
      </c>
      <c r="N19" s="353">
        <f t="shared" si="5"/>
        <v>0</v>
      </c>
      <c r="O19" s="356">
        <f t="shared" si="9"/>
        <v>0</v>
      </c>
      <c r="P19" s="357">
        <f t="shared" si="10"/>
        <v>0</v>
      </c>
      <c r="Q19" s="354">
        <f>IF($F19=0,0,(Facture!$R18+Facture!$T18)*12*IF(Données!$J58="qc",1.09,IF(Données!$J58="on",1.08,1))/$F19)</f>
        <v>0</v>
      </c>
      <c r="R19" s="206"/>
      <c r="S19" s="207">
        <f>MIN(IF($F19=0,0,(Facture!$W18)*12*(1+VLOOKUP($D19,taux,28))/$F19),$J19)</f>
        <v>0</v>
      </c>
      <c r="T19" s="207">
        <f t="shared" si="6"/>
        <v>0</v>
      </c>
      <c r="U19" s="206"/>
      <c r="V19" s="207">
        <f>IF($F19=0,0,Facture!$R18*12*IF(Données!$J58="qc",1.09,IF(Données!$J58="on",1.08,1))/$F19)</f>
        <v>0</v>
      </c>
      <c r="W19" s="207">
        <f>IF($F19=0,0,Facture!$T18*12*IF(Données!$J58="qc",1.09,IF(Données!$J58="on",1.08,1))/$F19)</f>
        <v>0</v>
      </c>
      <c r="X19" s="207">
        <f>IF($F19=0,0,(Facture!$AB18+Facture!$AD18+Facture!$AF18)*12*IF(Données!$J58="qc",1.09,IF(Données!$J58="on",1.08,1))/$F19)</f>
        <v>0</v>
      </c>
      <c r="Y19" s="207">
        <f>IF($F19=0,0,(Facture!$H18+Facture!$J18+Facture!$L18+Facture!$P18+Facture!$V18)*12*IF(Données!$J58="qc",1.09,IF(Données!$J58="on",1.08,1))/$F19)</f>
        <v>0</v>
      </c>
    </row>
    <row r="20" spans="1:25">
      <c r="A20" s="208">
        <f t="shared" si="7"/>
        <v>5</v>
      </c>
      <c r="B20" s="198" t="str">
        <f>CONCATENATE(Données!B59," ",Données!C59)</f>
        <v xml:space="preserve"> </v>
      </c>
      <c r="C20" s="199">
        <f>Données!D59</f>
        <v>0</v>
      </c>
      <c r="D20" s="200" t="str">
        <f>Données!AD59</f>
        <v/>
      </c>
      <c r="E20" s="349">
        <f t="shared" si="0"/>
        <v>0</v>
      </c>
      <c r="F20" s="201">
        <f t="shared" si="1"/>
        <v>0</v>
      </c>
      <c r="G20" s="202">
        <f>IF($F20=0,0,Facture!AI19*12/F20)</f>
        <v>0</v>
      </c>
      <c r="H20" s="203" t="e">
        <f t="shared" ca="1" si="2"/>
        <v>#N/A</v>
      </c>
      <c r="I20" s="203" t="e">
        <f ca="1">IF(F20=" ",0,Facture!J19*12/F20*1.09)</f>
        <v>#DIV/0!</v>
      </c>
      <c r="J20" s="204">
        <f t="shared" si="11"/>
        <v>0</v>
      </c>
      <c r="K20" s="345">
        <f t="shared" si="8"/>
        <v>0</v>
      </c>
      <c r="L20" s="205">
        <f t="shared" si="3"/>
        <v>0</v>
      </c>
      <c r="M20" s="205">
        <f t="shared" si="4"/>
        <v>0</v>
      </c>
      <c r="N20" s="353">
        <f t="shared" si="5"/>
        <v>0</v>
      </c>
      <c r="O20" s="356">
        <f t="shared" si="9"/>
        <v>0</v>
      </c>
      <c r="P20" s="357">
        <f t="shared" si="10"/>
        <v>0</v>
      </c>
      <c r="Q20" s="354">
        <f>IF($F20=0,0,(Facture!$R19+Facture!$T19)*12*IF(Données!$J59="qc",1.09,IF(Données!$J59="on",1.08,1))/$F20)</f>
        <v>0</v>
      </c>
      <c r="R20" s="206"/>
      <c r="S20" s="207">
        <f>MIN(IF($F20=0,0,(Facture!$W19)*12*(1+VLOOKUP($D20,taux,28))/$F20),$J20)</f>
        <v>0</v>
      </c>
      <c r="T20" s="207">
        <f t="shared" si="6"/>
        <v>0</v>
      </c>
      <c r="U20" s="206"/>
      <c r="V20" s="207">
        <f>IF($F20=0,0,Facture!$R19*12*IF(Données!$J59="qc",1.09,IF(Données!$J59="on",1.08,1))/$F20)</f>
        <v>0</v>
      </c>
      <c r="W20" s="207">
        <f>IF($F20=0,0,Facture!$T19*12*IF(Données!$J59="qc",1.09,IF(Données!$J59="on",1.08,1))/$F20)</f>
        <v>0</v>
      </c>
      <c r="X20" s="207">
        <f>IF($F20=0,0,(Facture!$AB19+Facture!$AD19+Facture!$AF19)*12*IF(Données!$J59="qc",1.09,IF(Données!$J59="on",1.08,1))/$F20)</f>
        <v>0</v>
      </c>
      <c r="Y20" s="207">
        <f>IF($F20=0,0,(Facture!$H19+Facture!$J19+Facture!$L19+Facture!$P19+Facture!$V19)*12*IF(Données!$J59="qc",1.09,IF(Données!$J59="on",1.08,1))/$F20)</f>
        <v>0</v>
      </c>
    </row>
    <row r="21" spans="1:25">
      <c r="A21" s="208">
        <f t="shared" si="7"/>
        <v>6</v>
      </c>
      <c r="B21" s="198" t="str">
        <f>CONCATENATE(Données!B60," ",Données!C60)</f>
        <v xml:space="preserve"> </v>
      </c>
      <c r="C21" s="199">
        <f>Données!D60</f>
        <v>0</v>
      </c>
      <c r="D21" s="200" t="str">
        <f>Données!AD60</f>
        <v/>
      </c>
      <c r="E21" s="349">
        <f t="shared" si="0"/>
        <v>0</v>
      </c>
      <c r="F21" s="201">
        <f t="shared" si="1"/>
        <v>0</v>
      </c>
      <c r="G21" s="202">
        <f>IF($F21=0,0,Facture!AI20*12/F21)</f>
        <v>0</v>
      </c>
      <c r="H21" s="203" t="e">
        <f t="shared" ca="1" si="2"/>
        <v>#N/A</v>
      </c>
      <c r="I21" s="203" t="e">
        <f ca="1">IF(F21=" ",0,Facture!J20*12/F21*1.09)</f>
        <v>#DIV/0!</v>
      </c>
      <c r="J21" s="204">
        <f t="shared" si="11"/>
        <v>0</v>
      </c>
      <c r="K21" s="345">
        <f t="shared" si="8"/>
        <v>0</v>
      </c>
      <c r="L21" s="205">
        <f t="shared" si="3"/>
        <v>0</v>
      </c>
      <c r="M21" s="205">
        <f t="shared" si="4"/>
        <v>0</v>
      </c>
      <c r="N21" s="353">
        <f t="shared" si="5"/>
        <v>0</v>
      </c>
      <c r="O21" s="356">
        <f t="shared" si="9"/>
        <v>0</v>
      </c>
      <c r="P21" s="357">
        <f t="shared" si="10"/>
        <v>0</v>
      </c>
      <c r="Q21" s="354">
        <f>IF($F21=0,0,(Facture!$R20+Facture!$T20)*12*IF(Données!$J60="qc",1.09,IF(Données!$J60="on",1.08,1))/$F21)</f>
        <v>0</v>
      </c>
      <c r="R21" s="206"/>
      <c r="S21" s="207">
        <f>MIN(IF($F21=0,0,(Facture!$W20)*12*(1+VLOOKUP($D21,taux,28))/$F21),$J21)</f>
        <v>0</v>
      </c>
      <c r="T21" s="207">
        <f t="shared" si="6"/>
        <v>0</v>
      </c>
      <c r="U21" s="206"/>
      <c r="V21" s="207">
        <f>IF($F21=0,0,Facture!$R20*12*IF(Données!$J60="qc",1.09,IF(Données!$J60="on",1.08,1))/$F21)</f>
        <v>0</v>
      </c>
      <c r="W21" s="207">
        <f>IF($F21=0,0,Facture!$T20*12*IF(Données!$J60="qc",1.09,IF(Données!$J60="on",1.08,1))/$F21)</f>
        <v>0</v>
      </c>
      <c r="X21" s="207">
        <f>IF($F21=0,0,(Facture!$AB20+Facture!$AD20+Facture!$AF20)*12*IF(Données!$J60="qc",1.09,IF(Données!$J60="on",1.08,1))/$F21)</f>
        <v>0</v>
      </c>
      <c r="Y21" s="207">
        <f>IF($F21=0,0,(Facture!$H20+Facture!$J20+Facture!$L20+Facture!$P20+Facture!$V20)*12*IF(Données!$J60="qc",1.09,IF(Données!$J60="on",1.08,1))/$F21)</f>
        <v>0</v>
      </c>
    </row>
    <row r="22" spans="1:25">
      <c r="A22" s="208">
        <f t="shared" si="7"/>
        <v>7</v>
      </c>
      <c r="B22" s="198" t="str">
        <f>CONCATENATE(Données!B61," ",Données!C61)</f>
        <v xml:space="preserve"> </v>
      </c>
      <c r="C22" s="199">
        <f>Données!D61</f>
        <v>0</v>
      </c>
      <c r="D22" s="200" t="str">
        <f>Données!AD61</f>
        <v/>
      </c>
      <c r="E22" s="349">
        <f t="shared" si="0"/>
        <v>0</v>
      </c>
      <c r="F22" s="201">
        <f t="shared" si="1"/>
        <v>0</v>
      </c>
      <c r="G22" s="202">
        <f>IF($F22=0,0,Facture!AI21*12/F22)</f>
        <v>0</v>
      </c>
      <c r="H22" s="203" t="e">
        <f t="shared" ca="1" si="2"/>
        <v>#N/A</v>
      </c>
      <c r="I22" s="203" t="e">
        <f ca="1">IF(F22=" ",0,Facture!J21*12/F22*1.09)</f>
        <v>#DIV/0!</v>
      </c>
      <c r="J22" s="204">
        <f t="shared" si="11"/>
        <v>0</v>
      </c>
      <c r="K22" s="345">
        <f t="shared" si="8"/>
        <v>0</v>
      </c>
      <c r="L22" s="205">
        <f t="shared" si="3"/>
        <v>0</v>
      </c>
      <c r="M22" s="205">
        <f t="shared" si="4"/>
        <v>0</v>
      </c>
      <c r="N22" s="353">
        <f t="shared" si="5"/>
        <v>0</v>
      </c>
      <c r="O22" s="356">
        <f t="shared" si="9"/>
        <v>0</v>
      </c>
      <c r="P22" s="357">
        <f t="shared" si="10"/>
        <v>0</v>
      </c>
      <c r="Q22" s="354">
        <f>IF($F22=0,0,(Facture!$R21+Facture!$T21)*12*IF(Données!$J61="qc",1.09,IF(Données!$J61="on",1.08,1))/$F22)</f>
        <v>0</v>
      </c>
      <c r="R22" s="206"/>
      <c r="S22" s="207">
        <f>MIN(IF($F22=0,0,(Facture!$W21)*12*(1+VLOOKUP($D22,taux,28))/$F22),$J22)</f>
        <v>0</v>
      </c>
      <c r="T22" s="207">
        <f t="shared" si="6"/>
        <v>0</v>
      </c>
      <c r="U22" s="206"/>
      <c r="V22" s="207">
        <f>IF($F22=0,0,Facture!$R21*12*IF(Données!$J61="qc",1.09,IF(Données!$J61="on",1.08,1))/$F22)</f>
        <v>0</v>
      </c>
      <c r="W22" s="207">
        <f>IF($F22=0,0,Facture!$T21*12*IF(Données!$J61="qc",1.09,IF(Données!$J61="on",1.08,1))/$F22)</f>
        <v>0</v>
      </c>
      <c r="X22" s="207">
        <f>IF($F22=0,0,(Facture!$AB21+Facture!$AD21+Facture!$AF21)*12*IF(Données!$J61="qc",1.09,IF(Données!$J61="on",1.08,1))/$F22)</f>
        <v>0</v>
      </c>
      <c r="Y22" s="207">
        <f>IF($F22=0,0,(Facture!$H21+Facture!$J21+Facture!$L21+Facture!$P21+Facture!$V21)*12*IF(Données!$J61="qc",1.09,IF(Données!$J61="on",1.08,1))/$F22)</f>
        <v>0</v>
      </c>
    </row>
    <row r="23" spans="1:25">
      <c r="A23" s="208">
        <f t="shared" si="7"/>
        <v>8</v>
      </c>
      <c r="B23" s="198" t="str">
        <f>CONCATENATE(Données!B62," ",Données!C62)</f>
        <v xml:space="preserve"> </v>
      </c>
      <c r="C23" s="199">
        <f>Données!D62</f>
        <v>0</v>
      </c>
      <c r="D23" s="200" t="str">
        <f>Données!AD62</f>
        <v/>
      </c>
      <c r="E23" s="349">
        <f t="shared" si="0"/>
        <v>0</v>
      </c>
      <c r="F23" s="201">
        <f t="shared" si="1"/>
        <v>0</v>
      </c>
      <c r="G23" s="202">
        <f>IF($F23=0,0,Facture!AI22*12/F23)</f>
        <v>0</v>
      </c>
      <c r="H23" s="203" t="e">
        <f t="shared" ca="1" si="2"/>
        <v>#N/A</v>
      </c>
      <c r="I23" s="203" t="e">
        <f ca="1">IF(F23=" ",0,Facture!J22*12/F23*1.09)</f>
        <v>#DIV/0!</v>
      </c>
      <c r="J23" s="204">
        <f t="shared" si="11"/>
        <v>0</v>
      </c>
      <c r="K23" s="345">
        <f t="shared" si="8"/>
        <v>0</v>
      </c>
      <c r="L23" s="205">
        <f t="shared" si="3"/>
        <v>0</v>
      </c>
      <c r="M23" s="205">
        <f t="shared" si="4"/>
        <v>0</v>
      </c>
      <c r="N23" s="353">
        <f t="shared" si="5"/>
        <v>0</v>
      </c>
      <c r="O23" s="356">
        <f t="shared" si="9"/>
        <v>0</v>
      </c>
      <c r="P23" s="357">
        <f t="shared" si="10"/>
        <v>0</v>
      </c>
      <c r="Q23" s="354">
        <f>IF($F23=0,0,(Facture!$R22+Facture!$T22)*12*IF(Données!$J62="qc",1.09,IF(Données!$J62="on",1.08,1))/$F23)</f>
        <v>0</v>
      </c>
      <c r="R23" s="206"/>
      <c r="S23" s="207">
        <f>MIN(IF($F23=0,0,(Facture!$W22)*12*(1+VLOOKUP($D23,taux,28))/$F23),$J23)</f>
        <v>0</v>
      </c>
      <c r="T23" s="207">
        <f t="shared" si="6"/>
        <v>0</v>
      </c>
      <c r="U23" s="206"/>
      <c r="V23" s="207">
        <f>IF($F23=0,0,Facture!$R22*12*IF(Données!$J62="qc",1.09,IF(Données!$J62="on",1.08,1))/$F23)</f>
        <v>0</v>
      </c>
      <c r="W23" s="207">
        <f>IF($F23=0,0,Facture!$T22*12*IF(Données!$J62="qc",1.09,IF(Données!$J62="on",1.08,1))/$F23)</f>
        <v>0</v>
      </c>
      <c r="X23" s="207">
        <f>IF($F23=0,0,(Facture!$AB22+Facture!$AD22+Facture!$AF22)*12*IF(Données!$J62="qc",1.09,IF(Données!$J62="on",1.08,1))/$F23)</f>
        <v>0</v>
      </c>
      <c r="Y23" s="207">
        <f>IF($F23=0,0,(Facture!$H22+Facture!$J22+Facture!$L22+Facture!$P22+Facture!$V22)*12*IF(Données!$J62="qc",1.09,IF(Données!$J62="on",1.08,1))/$F23)</f>
        <v>0</v>
      </c>
    </row>
    <row r="24" spans="1:25">
      <c r="A24" s="208">
        <f t="shared" si="7"/>
        <v>9</v>
      </c>
      <c r="B24" s="198" t="str">
        <f>CONCATENATE(Données!B63," ",Données!C63)</f>
        <v xml:space="preserve"> </v>
      </c>
      <c r="C24" s="199">
        <f>Données!D63</f>
        <v>0</v>
      </c>
      <c r="D24" s="200" t="str">
        <f>Données!AD63</f>
        <v/>
      </c>
      <c r="E24" s="349">
        <f t="shared" si="0"/>
        <v>0</v>
      </c>
      <c r="F24" s="201">
        <f t="shared" si="1"/>
        <v>0</v>
      </c>
      <c r="G24" s="202">
        <f>IF($F24=0,0,Facture!AI23*12/F24)</f>
        <v>0</v>
      </c>
      <c r="H24" s="203" t="e">
        <f t="shared" ca="1" si="2"/>
        <v>#N/A</v>
      </c>
      <c r="I24" s="203" t="e">
        <f ca="1">IF(F24=" ",0,Facture!J23*12/F24*1.09)</f>
        <v>#DIV/0!</v>
      </c>
      <c r="J24" s="204">
        <f t="shared" si="11"/>
        <v>0</v>
      </c>
      <c r="K24" s="345">
        <f t="shared" si="8"/>
        <v>0</v>
      </c>
      <c r="L24" s="205">
        <f t="shared" si="3"/>
        <v>0</v>
      </c>
      <c r="M24" s="205">
        <f t="shared" si="4"/>
        <v>0</v>
      </c>
      <c r="N24" s="353">
        <f t="shared" si="5"/>
        <v>0</v>
      </c>
      <c r="O24" s="356">
        <f t="shared" si="9"/>
        <v>0</v>
      </c>
      <c r="P24" s="357">
        <f t="shared" si="10"/>
        <v>0</v>
      </c>
      <c r="Q24" s="354">
        <f>IF($F24=0,0,(Facture!$R23+Facture!$T23)*12*IF(Données!$J63="qc",1.09,IF(Données!$J63="on",1.08,1))/$F24)</f>
        <v>0</v>
      </c>
      <c r="R24" s="206"/>
      <c r="S24" s="207">
        <f>MIN(IF($F24=0,0,(Facture!$W23)*12*(1+VLOOKUP($D24,taux,28))/$F24),$J24)</f>
        <v>0</v>
      </c>
      <c r="T24" s="207">
        <f t="shared" si="6"/>
        <v>0</v>
      </c>
      <c r="U24" s="206"/>
      <c r="V24" s="207">
        <f>IF($F24=0,0,Facture!$R23*12*IF(Données!$J63="qc",1.09,IF(Données!$J63="on",1.08,1))/$F24)</f>
        <v>0</v>
      </c>
      <c r="W24" s="207">
        <f>IF($F24=0,0,Facture!$T23*12*IF(Données!$J63="qc",1.09,IF(Données!$J63="on",1.08,1))/$F24)</f>
        <v>0</v>
      </c>
      <c r="X24" s="207">
        <f>IF($F24=0,0,(Facture!$AB23+Facture!$AD23+Facture!$AF23)*12*IF(Données!$J63="qc",1.09,IF(Données!$J63="on",1.08,1))/$F24)</f>
        <v>0</v>
      </c>
      <c r="Y24" s="207">
        <f>IF($F24=0,0,(Facture!$H23+Facture!$J23+Facture!$L23+Facture!$P23+Facture!$V23)*12*IF(Données!$J63="qc",1.09,IF(Données!$J63="on",1.08,1))/$F24)</f>
        <v>0</v>
      </c>
    </row>
    <row r="25" spans="1:25">
      <c r="A25" s="208">
        <f t="shared" si="7"/>
        <v>10</v>
      </c>
      <c r="B25" s="198" t="str">
        <f>CONCATENATE(Données!B64," ",Données!C64)</f>
        <v xml:space="preserve"> </v>
      </c>
      <c r="C25" s="199">
        <f>Données!D64</f>
        <v>0</v>
      </c>
      <c r="D25" s="200" t="str">
        <f>Données!AD64</f>
        <v/>
      </c>
      <c r="E25" s="349">
        <f t="shared" si="0"/>
        <v>0</v>
      </c>
      <c r="F25" s="201">
        <f t="shared" si="1"/>
        <v>0</v>
      </c>
      <c r="G25" s="202">
        <f>IF($F25=0,0,Facture!AI24*12/F25)</f>
        <v>0</v>
      </c>
      <c r="H25" s="203" t="e">
        <f t="shared" ca="1" si="2"/>
        <v>#N/A</v>
      </c>
      <c r="I25" s="203" t="e">
        <f ca="1">IF(F25=" ",0,Facture!J24*12/F25*1.09)</f>
        <v>#DIV/0!</v>
      </c>
      <c r="J25" s="204">
        <f t="shared" si="11"/>
        <v>0</v>
      </c>
      <c r="K25" s="345">
        <f t="shared" si="8"/>
        <v>0</v>
      </c>
      <c r="L25" s="205">
        <f t="shared" si="3"/>
        <v>0</v>
      </c>
      <c r="M25" s="205">
        <f t="shared" si="4"/>
        <v>0</v>
      </c>
      <c r="N25" s="353">
        <f t="shared" si="5"/>
        <v>0</v>
      </c>
      <c r="O25" s="356">
        <f t="shared" si="9"/>
        <v>0</v>
      </c>
      <c r="P25" s="357">
        <f t="shared" si="10"/>
        <v>0</v>
      </c>
      <c r="Q25" s="354">
        <f>IF($F25=0,0,(Facture!$R24+Facture!$T24)*12*IF(Données!$J64="qc",1.09,IF(Données!$J64="on",1.08,1))/$F25)</f>
        <v>0</v>
      </c>
      <c r="R25" s="206"/>
      <c r="S25" s="207">
        <f>MIN(IF($F25=0,0,(Facture!$W24)*12*(1+VLOOKUP($D25,taux,28))/$F25),$J25)</f>
        <v>0</v>
      </c>
      <c r="T25" s="207">
        <f t="shared" si="6"/>
        <v>0</v>
      </c>
      <c r="U25" s="206"/>
      <c r="V25" s="207">
        <f>IF($F25=0,0,Facture!$R24*12*IF(Données!$J64="qc",1.09,IF(Données!$J64="on",1.08,1))/$F25)</f>
        <v>0</v>
      </c>
      <c r="W25" s="207">
        <f>IF($F25=0,0,Facture!$T24*12*IF(Données!$J64="qc",1.09,IF(Données!$J64="on",1.08,1))/$F25)</f>
        <v>0</v>
      </c>
      <c r="X25" s="207">
        <f>IF($F25=0,0,(Facture!$AB24+Facture!$AD24+Facture!$AF24)*12*IF(Données!$J64="qc",1.09,IF(Données!$J64="on",1.08,1))/$F25)</f>
        <v>0</v>
      </c>
      <c r="Y25" s="207">
        <f>IF($F25=0,0,(Facture!$H24+Facture!$J24+Facture!$L24+Facture!$P24+Facture!$V24)*12*IF(Données!$J64="qc",1.09,IF(Données!$J64="on",1.08,1))/$F25)</f>
        <v>0</v>
      </c>
    </row>
    <row r="26" spans="1:25">
      <c r="A26" s="208">
        <f t="shared" si="7"/>
        <v>11</v>
      </c>
      <c r="B26" s="198" t="str">
        <f>CONCATENATE(Données!B65," ",Données!C65)</f>
        <v xml:space="preserve"> </v>
      </c>
      <c r="C26" s="199">
        <f>Données!D65</f>
        <v>0</v>
      </c>
      <c r="D26" s="200" t="str">
        <f>Données!AD65</f>
        <v/>
      </c>
      <c r="E26" s="349">
        <f t="shared" si="0"/>
        <v>0</v>
      </c>
      <c r="F26" s="201">
        <f t="shared" si="1"/>
        <v>0</v>
      </c>
      <c r="G26" s="202">
        <f>IF($F26=0,0,Facture!AI25*12/F26)</f>
        <v>0</v>
      </c>
      <c r="H26" s="203" t="e">
        <f t="shared" ca="1" si="2"/>
        <v>#N/A</v>
      </c>
      <c r="I26" s="203" t="e">
        <f ca="1">IF(F26=" ",0,Facture!J25*12/F26*1.09)</f>
        <v>#DIV/0!</v>
      </c>
      <c r="J26" s="204">
        <f t="shared" si="11"/>
        <v>0</v>
      </c>
      <c r="K26" s="345">
        <f t="shared" si="8"/>
        <v>0</v>
      </c>
      <c r="L26" s="205">
        <f t="shared" si="3"/>
        <v>0</v>
      </c>
      <c r="M26" s="205">
        <f t="shared" si="4"/>
        <v>0</v>
      </c>
      <c r="N26" s="353">
        <f t="shared" si="5"/>
        <v>0</v>
      </c>
      <c r="O26" s="356">
        <f t="shared" si="9"/>
        <v>0</v>
      </c>
      <c r="P26" s="357">
        <f t="shared" si="10"/>
        <v>0</v>
      </c>
      <c r="Q26" s="354">
        <f>IF($F26=0,0,(Facture!$R25+Facture!$T25)*12*IF(Données!$J65="qc",1.09,IF(Données!$J65="on",1.08,1))/$F26)</f>
        <v>0</v>
      </c>
      <c r="R26" s="206"/>
      <c r="S26" s="207">
        <f>MIN(IF($F26=0,0,(Facture!$W25)*12*(1+VLOOKUP($D26,taux,28))/$F26),$J26)</f>
        <v>0</v>
      </c>
      <c r="T26" s="207">
        <f t="shared" si="6"/>
        <v>0</v>
      </c>
      <c r="U26" s="206"/>
      <c r="V26" s="207">
        <f>IF($F26=0,0,Facture!$R25*12*IF(Données!$J65="qc",1.09,IF(Données!$J65="on",1.08,1))/$F26)</f>
        <v>0</v>
      </c>
      <c r="W26" s="207">
        <f>IF($F26=0,0,Facture!$T25*12*IF(Données!$J65="qc",1.09,IF(Données!$J65="on",1.08,1))/$F26)</f>
        <v>0</v>
      </c>
      <c r="X26" s="207">
        <f>IF($F26=0,0,(Facture!$AB25+Facture!$AD25+Facture!$AF25)*12*IF(Données!$J65="qc",1.09,IF(Données!$J65="on",1.08,1))/$F26)</f>
        <v>0</v>
      </c>
      <c r="Y26" s="207">
        <f>IF($F26=0,0,(Facture!$H25+Facture!$J25+Facture!$L25+Facture!$P25+Facture!$V25)*12*IF(Données!$J65="qc",1.09,IF(Données!$J65="on",1.08,1))/$F26)</f>
        <v>0</v>
      </c>
    </row>
    <row r="27" spans="1:25">
      <c r="A27" s="208">
        <f t="shared" si="7"/>
        <v>12</v>
      </c>
      <c r="B27" s="198" t="str">
        <f>CONCATENATE(Données!B66," ",Données!C66)</f>
        <v xml:space="preserve"> </v>
      </c>
      <c r="C27" s="199">
        <f>Données!D66</f>
        <v>0</v>
      </c>
      <c r="D27" s="200" t="str">
        <f>Données!AD66</f>
        <v/>
      </c>
      <c r="E27" s="349">
        <f t="shared" si="0"/>
        <v>0</v>
      </c>
      <c r="F27" s="201">
        <f t="shared" si="1"/>
        <v>0</v>
      </c>
      <c r="G27" s="202">
        <f>IF($F27=0,0,Facture!AI26*12/F27)</f>
        <v>0</v>
      </c>
      <c r="H27" s="203" t="e">
        <f t="shared" ca="1" si="2"/>
        <v>#N/A</v>
      </c>
      <c r="I27" s="203" t="e">
        <f ca="1">IF(F27=" ",0,Facture!J26*12/F27*1.09)</f>
        <v>#DIV/0!</v>
      </c>
      <c r="J27" s="204">
        <f t="shared" si="11"/>
        <v>0</v>
      </c>
      <c r="K27" s="345">
        <f t="shared" si="8"/>
        <v>0</v>
      </c>
      <c r="L27" s="205">
        <f t="shared" si="3"/>
        <v>0</v>
      </c>
      <c r="M27" s="205">
        <f t="shared" si="4"/>
        <v>0</v>
      </c>
      <c r="N27" s="353">
        <f t="shared" si="5"/>
        <v>0</v>
      </c>
      <c r="O27" s="356">
        <f t="shared" si="9"/>
        <v>0</v>
      </c>
      <c r="P27" s="357">
        <f t="shared" si="10"/>
        <v>0</v>
      </c>
      <c r="Q27" s="354">
        <f>IF($F27=0,0,(Facture!$R26+Facture!$T26)*12*IF(Données!$J66="qc",1.09,IF(Données!$J66="on",1.08,1))/$F27)</f>
        <v>0</v>
      </c>
      <c r="R27" s="206"/>
      <c r="S27" s="207">
        <f>MIN(IF($F27=0,0,(Facture!$W26)*12*(1+VLOOKUP($D27,taux,28))/$F27),$J27)</f>
        <v>0</v>
      </c>
      <c r="T27" s="207">
        <f t="shared" si="6"/>
        <v>0</v>
      </c>
      <c r="U27" s="206"/>
      <c r="V27" s="207">
        <f>IF($F27=0,0,Facture!$R26*12*IF(Données!$J66="qc",1.09,IF(Données!$J66="on",1.08,1))/$F27)</f>
        <v>0</v>
      </c>
      <c r="W27" s="207">
        <f>IF($F27=0,0,Facture!$T26*12*IF(Données!$J66="qc",1.09,IF(Données!$J66="on",1.08,1))/$F27)</f>
        <v>0</v>
      </c>
      <c r="X27" s="207">
        <f>IF($F27=0,0,(Facture!$AB26+Facture!$AD26+Facture!$AF26)*12*IF(Données!$J66="qc",1.09,IF(Données!$J66="on",1.08,1))/$F27)</f>
        <v>0</v>
      </c>
      <c r="Y27" s="207">
        <f>IF($F27=0,0,(Facture!$H26+Facture!$J26+Facture!$L26+Facture!$P26+Facture!$V26)*12*IF(Données!$J66="qc",1.09,IF(Données!$J66="on",1.08,1))/$F27)</f>
        <v>0</v>
      </c>
    </row>
    <row r="28" spans="1:25">
      <c r="A28" s="208">
        <f t="shared" si="7"/>
        <v>13</v>
      </c>
      <c r="B28" s="198" t="str">
        <f>CONCATENATE(Données!B67," ",Données!C67)</f>
        <v xml:space="preserve"> </v>
      </c>
      <c r="C28" s="199">
        <f>Données!D67</f>
        <v>0</v>
      </c>
      <c r="D28" s="200" t="str">
        <f>Données!AD67</f>
        <v/>
      </c>
      <c r="E28" s="349">
        <f t="shared" si="0"/>
        <v>0</v>
      </c>
      <c r="F28" s="201">
        <f t="shared" si="1"/>
        <v>0</v>
      </c>
      <c r="G28" s="202">
        <f>IF($F28=0,0,Facture!AI27*12/F28)</f>
        <v>0</v>
      </c>
      <c r="H28" s="203" t="e">
        <f t="shared" ca="1" si="2"/>
        <v>#N/A</v>
      </c>
      <c r="I28" s="203" t="e">
        <f ca="1">IF(F28=" ",0,Facture!J27*12/F28*1.09)</f>
        <v>#DIV/0!</v>
      </c>
      <c r="J28" s="204">
        <f t="shared" si="11"/>
        <v>0</v>
      </c>
      <c r="K28" s="345">
        <f t="shared" si="8"/>
        <v>0</v>
      </c>
      <c r="L28" s="205">
        <f t="shared" si="3"/>
        <v>0</v>
      </c>
      <c r="M28" s="205">
        <f t="shared" si="4"/>
        <v>0</v>
      </c>
      <c r="N28" s="353">
        <f t="shared" si="5"/>
        <v>0</v>
      </c>
      <c r="O28" s="356">
        <f t="shared" si="9"/>
        <v>0</v>
      </c>
      <c r="P28" s="357">
        <f t="shared" si="10"/>
        <v>0</v>
      </c>
      <c r="Q28" s="354">
        <f>IF($F28=0,0,(Facture!$R27+Facture!$T27)*12*IF(Données!$J67="qc",1.09,IF(Données!$J67="on",1.08,1))/$F28)</f>
        <v>0</v>
      </c>
      <c r="R28" s="206"/>
      <c r="S28" s="207">
        <f>MIN(IF($F28=0,0,(Facture!$W27)*12*(1+VLOOKUP($D28,taux,28))/$F28),$J28)</f>
        <v>0</v>
      </c>
      <c r="T28" s="207">
        <f t="shared" si="6"/>
        <v>0</v>
      </c>
      <c r="U28" s="206"/>
      <c r="V28" s="207">
        <f>IF($F28=0,0,Facture!$R27*12*IF(Données!$J67="qc",1.09,IF(Données!$J67="on",1.08,1))/$F28)</f>
        <v>0</v>
      </c>
      <c r="W28" s="207">
        <f>IF($F28=0,0,Facture!$T27*12*IF(Données!$J67="qc",1.09,IF(Données!$J67="on",1.08,1))/$F28)</f>
        <v>0</v>
      </c>
      <c r="X28" s="207">
        <f>IF($F28=0,0,(Facture!$AB27+Facture!$AD27+Facture!$AF27)*12*IF(Données!$J67="qc",1.09,IF(Données!$J67="on",1.08,1))/$F28)</f>
        <v>0</v>
      </c>
      <c r="Y28" s="207">
        <f>IF($F28=0,0,(Facture!$H27+Facture!$J27+Facture!$L27+Facture!$P27+Facture!$V27)*12*IF(Données!$J67="qc",1.09,IF(Données!$J67="on",1.08,1))/$F28)</f>
        <v>0</v>
      </c>
    </row>
    <row r="29" spans="1:25">
      <c r="A29" s="208">
        <f t="shared" si="7"/>
        <v>14</v>
      </c>
      <c r="B29" s="198" t="str">
        <f>CONCATENATE(Données!B68," ",Données!C68)</f>
        <v xml:space="preserve"> </v>
      </c>
      <c r="C29" s="199">
        <f>Données!D68</f>
        <v>0</v>
      </c>
      <c r="D29" s="200" t="str">
        <f>Données!AD68</f>
        <v/>
      </c>
      <c r="E29" s="349">
        <f t="shared" si="0"/>
        <v>0</v>
      </c>
      <c r="F29" s="201">
        <f t="shared" si="1"/>
        <v>0</v>
      </c>
      <c r="G29" s="202">
        <f>IF($F29=0,0,Facture!AI28*12/F29)</f>
        <v>0</v>
      </c>
      <c r="H29" s="203" t="e">
        <f t="shared" ca="1" si="2"/>
        <v>#N/A</v>
      </c>
      <c r="I29" s="203" t="e">
        <f ca="1">IF(F29=" ",0,Facture!J28*12/F29*1.09)</f>
        <v>#DIV/0!</v>
      </c>
      <c r="J29" s="204">
        <f t="shared" si="11"/>
        <v>0</v>
      </c>
      <c r="K29" s="345">
        <f t="shared" si="8"/>
        <v>0</v>
      </c>
      <c r="L29" s="205">
        <f t="shared" si="3"/>
        <v>0</v>
      </c>
      <c r="M29" s="205">
        <f t="shared" si="4"/>
        <v>0</v>
      </c>
      <c r="N29" s="353">
        <f t="shared" si="5"/>
        <v>0</v>
      </c>
      <c r="O29" s="356">
        <f t="shared" si="9"/>
        <v>0</v>
      </c>
      <c r="P29" s="357">
        <f t="shared" si="10"/>
        <v>0</v>
      </c>
      <c r="Q29" s="354">
        <f>IF($F29=0,0,(Facture!$R28+Facture!$T28)*12*IF(Données!$J68="qc",1.09,IF(Données!$J68="on",1.08,1))/$F29)</f>
        <v>0</v>
      </c>
      <c r="R29" s="206"/>
      <c r="S29" s="207">
        <f>MIN(IF($F29=0,0,(Facture!$W28)*12*(1+VLOOKUP($D29,taux,28))/$F29),$J29)</f>
        <v>0</v>
      </c>
      <c r="T29" s="207">
        <f t="shared" si="6"/>
        <v>0</v>
      </c>
      <c r="U29" s="206"/>
      <c r="V29" s="207">
        <f>IF($F29=0,0,Facture!$R28*12*IF(Données!$J68="qc",1.09,IF(Données!$J68="on",1.08,1))/$F29)</f>
        <v>0</v>
      </c>
      <c r="W29" s="207">
        <f>IF($F29=0,0,Facture!$T28*12*IF(Données!$J68="qc",1.09,IF(Données!$J68="on",1.08,1))/$F29)</f>
        <v>0</v>
      </c>
      <c r="X29" s="207">
        <f>IF($F29=0,0,(Facture!$AB28+Facture!$AD28+Facture!$AF28)*12*IF(Données!$J68="qc",1.09,IF(Données!$J68="on",1.08,1))/$F29)</f>
        <v>0</v>
      </c>
      <c r="Y29" s="207">
        <f>IF($F29=0,0,(Facture!$H28+Facture!$J28+Facture!$L28+Facture!$P28+Facture!$V28)*12*IF(Données!$J68="qc",1.09,IF(Données!$J68="on",1.08,1))/$F29)</f>
        <v>0</v>
      </c>
    </row>
    <row r="30" spans="1:25">
      <c r="A30" s="208">
        <f t="shared" si="7"/>
        <v>15</v>
      </c>
      <c r="B30" s="198" t="str">
        <f>CONCATENATE(Données!B69," ",Données!C69)</f>
        <v xml:space="preserve"> </v>
      </c>
      <c r="C30" s="199">
        <f>Données!D69</f>
        <v>0</v>
      </c>
      <c r="D30" s="200" t="str">
        <f>Données!AD69</f>
        <v/>
      </c>
      <c r="E30" s="349">
        <f t="shared" si="0"/>
        <v>0</v>
      </c>
      <c r="F30" s="201">
        <f t="shared" si="1"/>
        <v>0</v>
      </c>
      <c r="G30" s="202">
        <f>IF($F30=0,0,Facture!AI29*12/F30)</f>
        <v>0</v>
      </c>
      <c r="H30" s="203" t="e">
        <f t="shared" ca="1" si="2"/>
        <v>#N/A</v>
      </c>
      <c r="I30" s="203" t="e">
        <f ca="1">IF(F30=" ",0,Facture!J29*12/F30*1.09)</f>
        <v>#DIV/0!</v>
      </c>
      <c r="J30" s="204">
        <f t="shared" si="11"/>
        <v>0</v>
      </c>
      <c r="K30" s="345">
        <f t="shared" si="8"/>
        <v>0</v>
      </c>
      <c r="L30" s="205">
        <f t="shared" si="3"/>
        <v>0</v>
      </c>
      <c r="M30" s="205">
        <f t="shared" si="4"/>
        <v>0</v>
      </c>
      <c r="N30" s="353">
        <f t="shared" si="5"/>
        <v>0</v>
      </c>
      <c r="O30" s="356">
        <f t="shared" si="9"/>
        <v>0</v>
      </c>
      <c r="P30" s="357">
        <f t="shared" si="10"/>
        <v>0</v>
      </c>
      <c r="Q30" s="354">
        <f>IF($F30=0,0,(Facture!$R29+Facture!$T29)*12*IF(Données!$J69="qc",1.09,IF(Données!$J69="on",1.08,1))/$F30)</f>
        <v>0</v>
      </c>
      <c r="R30" s="206"/>
      <c r="S30" s="207">
        <f>MIN(IF($F30=0,0,(Facture!$W29)*12*(1+VLOOKUP($D30,taux,28))/$F30),$J30)</f>
        <v>0</v>
      </c>
      <c r="T30" s="207">
        <f t="shared" si="6"/>
        <v>0</v>
      </c>
      <c r="U30" s="206"/>
      <c r="V30" s="207">
        <f>IF($F30=0,0,Facture!$R29*12*IF(Données!$J69="qc",1.09,IF(Données!$J69="on",1.08,1))/$F30)</f>
        <v>0</v>
      </c>
      <c r="W30" s="207">
        <f>IF($F30=0,0,Facture!$T29*12*IF(Données!$J69="qc",1.09,IF(Données!$J69="on",1.08,1))/$F30)</f>
        <v>0</v>
      </c>
      <c r="X30" s="207">
        <f>IF($F30=0,0,(Facture!$AB29+Facture!$AD29+Facture!$AF29)*12*IF(Données!$J69="qc",1.09,IF(Données!$J69="on",1.08,1))/$F30)</f>
        <v>0</v>
      </c>
      <c r="Y30" s="207">
        <f>IF($F30=0,0,(Facture!$H29+Facture!$J29+Facture!$L29+Facture!$P29+Facture!$V29)*12*IF(Données!$J69="qc",1.09,IF(Données!$J69="on",1.08,1))/$F30)</f>
        <v>0</v>
      </c>
    </row>
    <row r="31" spans="1:25">
      <c r="A31" s="208">
        <f t="shared" si="7"/>
        <v>16</v>
      </c>
      <c r="B31" s="198" t="str">
        <f>CONCATENATE(Données!B70," ",Données!C70)</f>
        <v xml:space="preserve"> </v>
      </c>
      <c r="C31" s="199">
        <f>Données!D70</f>
        <v>0</v>
      </c>
      <c r="D31" s="200" t="str">
        <f>Données!AD70</f>
        <v/>
      </c>
      <c r="E31" s="349">
        <f t="shared" si="0"/>
        <v>0</v>
      </c>
      <c r="F31" s="201">
        <f t="shared" si="1"/>
        <v>0</v>
      </c>
      <c r="G31" s="202">
        <f>IF($F31=0,0,Facture!AI30*12/F31)</f>
        <v>0</v>
      </c>
      <c r="H31" s="203" t="e">
        <f t="shared" ca="1" si="2"/>
        <v>#N/A</v>
      </c>
      <c r="I31" s="203" t="e">
        <f ca="1">IF(F31=" ",0,Facture!J30*12/F31*1.09)</f>
        <v>#DIV/0!</v>
      </c>
      <c r="J31" s="204">
        <f t="shared" si="11"/>
        <v>0</v>
      </c>
      <c r="K31" s="345">
        <f t="shared" si="8"/>
        <v>0</v>
      </c>
      <c r="L31" s="205">
        <f t="shared" si="3"/>
        <v>0</v>
      </c>
      <c r="M31" s="205">
        <f t="shared" si="4"/>
        <v>0</v>
      </c>
      <c r="N31" s="353">
        <f t="shared" si="5"/>
        <v>0</v>
      </c>
      <c r="O31" s="356">
        <f t="shared" si="9"/>
        <v>0</v>
      </c>
      <c r="P31" s="357">
        <f t="shared" si="10"/>
        <v>0</v>
      </c>
      <c r="Q31" s="354">
        <f>IF($F31=0,0,(Facture!$R30+Facture!$T30)*12*IF(Données!$J70="qc",1.09,IF(Données!$J70="on",1.08,1))/$F31)</f>
        <v>0</v>
      </c>
      <c r="R31" s="206"/>
      <c r="S31" s="207">
        <f>MIN(IF($F31=0,0,(Facture!$W30)*12*(1+VLOOKUP($D31,taux,28))/$F31),$J31)</f>
        <v>0</v>
      </c>
      <c r="T31" s="207">
        <f t="shared" si="6"/>
        <v>0</v>
      </c>
      <c r="U31" s="206"/>
      <c r="V31" s="207">
        <f>IF($F31=0,0,Facture!$R30*12*IF(Données!$J70="qc",1.09,IF(Données!$J70="on",1.08,1))/$F31)</f>
        <v>0</v>
      </c>
      <c r="W31" s="207">
        <f>IF($F31=0,0,Facture!$T30*12*IF(Données!$J70="qc",1.09,IF(Données!$J70="on",1.08,1))/$F31)</f>
        <v>0</v>
      </c>
      <c r="X31" s="207">
        <f>IF($F31=0,0,(Facture!$AB30+Facture!$AD30+Facture!$AF30)*12*IF(Données!$J70="qc",1.09,IF(Données!$J70="on",1.08,1))/$F31)</f>
        <v>0</v>
      </c>
      <c r="Y31" s="207">
        <f>IF($F31=0,0,(Facture!$H30+Facture!$J30+Facture!$L30+Facture!$P30+Facture!$V30)*12*IF(Données!$J70="qc",1.09,IF(Données!$J70="on",1.08,1))/$F31)</f>
        <v>0</v>
      </c>
    </row>
    <row r="32" spans="1:25">
      <c r="A32" s="208">
        <f t="shared" si="7"/>
        <v>17</v>
      </c>
      <c r="B32" s="198" t="str">
        <f>CONCATENATE(Données!B71," ",Données!C71)</f>
        <v xml:space="preserve"> </v>
      </c>
      <c r="C32" s="199">
        <f>Données!D71</f>
        <v>0</v>
      </c>
      <c r="D32" s="200" t="str">
        <f>Données!AD71</f>
        <v/>
      </c>
      <c r="E32" s="349">
        <f t="shared" si="0"/>
        <v>0</v>
      </c>
      <c r="F32" s="201">
        <f t="shared" si="1"/>
        <v>0</v>
      </c>
      <c r="G32" s="202">
        <f>IF($F32=0,0,Facture!AI31*12/F32)</f>
        <v>0</v>
      </c>
      <c r="H32" s="203" t="e">
        <f t="shared" ca="1" si="2"/>
        <v>#N/A</v>
      </c>
      <c r="I32" s="203" t="e">
        <f ca="1">IF(F32=" ",0,Facture!J31*12/F32*1.09)</f>
        <v>#DIV/0!</v>
      </c>
      <c r="J32" s="204">
        <f t="shared" si="11"/>
        <v>0</v>
      </c>
      <c r="K32" s="345">
        <f t="shared" si="8"/>
        <v>0</v>
      </c>
      <c r="L32" s="205">
        <f t="shared" si="3"/>
        <v>0</v>
      </c>
      <c r="M32" s="205">
        <f t="shared" si="4"/>
        <v>0</v>
      </c>
      <c r="N32" s="353">
        <f t="shared" si="5"/>
        <v>0</v>
      </c>
      <c r="O32" s="356">
        <f t="shared" si="9"/>
        <v>0</v>
      </c>
      <c r="P32" s="357">
        <f t="shared" si="10"/>
        <v>0</v>
      </c>
      <c r="Q32" s="354">
        <f>IF($F32=0,0,(Facture!$R31+Facture!$T31)*12*IF(Données!$J71="qc",1.09,IF(Données!$J71="on",1.08,1))/$F32)</f>
        <v>0</v>
      </c>
      <c r="R32" s="206"/>
      <c r="S32" s="207">
        <f>MIN(IF($F32=0,0,(Facture!$W31)*12*(1+VLOOKUP($D32,taux,28))/$F32),$J32)</f>
        <v>0</v>
      </c>
      <c r="T32" s="207">
        <f t="shared" si="6"/>
        <v>0</v>
      </c>
      <c r="U32" s="206"/>
      <c r="V32" s="207">
        <f>IF($F32=0,0,Facture!$R31*12*IF(Données!$J71="qc",1.09,IF(Données!$J71="on",1.08,1))/$F32)</f>
        <v>0</v>
      </c>
      <c r="W32" s="207">
        <f>IF($F32=0,0,Facture!$T31*12*IF(Données!$J71="qc",1.09,IF(Données!$J71="on",1.08,1))/$F32)</f>
        <v>0</v>
      </c>
      <c r="X32" s="207">
        <f>IF($F32=0,0,(Facture!$AB31+Facture!$AD31+Facture!$AF31)*12*IF(Données!$J71="qc",1.09,IF(Données!$J71="on",1.08,1))/$F32)</f>
        <v>0</v>
      </c>
      <c r="Y32" s="207">
        <f>IF($F32=0,0,(Facture!$H31+Facture!$J31+Facture!$L31+Facture!$P31+Facture!$V31)*12*IF(Données!$J71="qc",1.09,IF(Données!$J71="on",1.08,1))/$F32)</f>
        <v>0</v>
      </c>
    </row>
    <row r="33" spans="1:25">
      <c r="A33" s="208">
        <f t="shared" si="7"/>
        <v>18</v>
      </c>
      <c r="B33" s="198" t="str">
        <f>CONCATENATE(Données!B72," ",Données!C72)</f>
        <v xml:space="preserve"> </v>
      </c>
      <c r="C33" s="199">
        <f>Données!D72</f>
        <v>0</v>
      </c>
      <c r="D33" s="200" t="str">
        <f>Données!AD72</f>
        <v/>
      </c>
      <c r="E33" s="349">
        <f t="shared" si="0"/>
        <v>0</v>
      </c>
      <c r="F33" s="201">
        <f t="shared" si="1"/>
        <v>0</v>
      </c>
      <c r="G33" s="202">
        <f>IF($F33=0,0,Facture!AI32*12/F33)</f>
        <v>0</v>
      </c>
      <c r="H33" s="203" t="e">
        <f t="shared" ca="1" si="2"/>
        <v>#N/A</v>
      </c>
      <c r="I33" s="203" t="e">
        <f ca="1">IF(F33=" ",0,Facture!J32*12/F33*1.09)</f>
        <v>#DIV/0!</v>
      </c>
      <c r="J33" s="204">
        <f t="shared" si="11"/>
        <v>0</v>
      </c>
      <c r="K33" s="345">
        <f t="shared" si="8"/>
        <v>0</v>
      </c>
      <c r="L33" s="205">
        <f t="shared" si="3"/>
        <v>0</v>
      </c>
      <c r="M33" s="205">
        <f t="shared" si="4"/>
        <v>0</v>
      </c>
      <c r="N33" s="353">
        <f t="shared" si="5"/>
        <v>0</v>
      </c>
      <c r="O33" s="356">
        <f t="shared" si="9"/>
        <v>0</v>
      </c>
      <c r="P33" s="357">
        <f t="shared" si="10"/>
        <v>0</v>
      </c>
      <c r="Q33" s="354">
        <f>IF($F33=0,0,(Facture!$R32+Facture!$T32)*12*IF(Données!$J72="qc",1.09,IF(Données!$J72="on",1.08,1))/$F33)</f>
        <v>0</v>
      </c>
      <c r="R33" s="206"/>
      <c r="S33" s="207">
        <f>MIN(IF($F33=0,0,(Facture!$W32)*12*(1+VLOOKUP($D33,taux,28))/$F33),$J33)</f>
        <v>0</v>
      </c>
      <c r="T33" s="207">
        <f t="shared" si="6"/>
        <v>0</v>
      </c>
      <c r="U33" s="206"/>
      <c r="V33" s="207">
        <f>IF($F33=0,0,Facture!$R32*12*IF(Données!$J72="qc",1.09,IF(Données!$J72="on",1.08,1))/$F33)</f>
        <v>0</v>
      </c>
      <c r="W33" s="207">
        <f>IF($F33=0,0,Facture!$T32*12*IF(Données!$J72="qc",1.09,IF(Données!$J72="on",1.08,1))/$F33)</f>
        <v>0</v>
      </c>
      <c r="X33" s="207">
        <f>IF($F33=0,0,(Facture!$AB32+Facture!$AD32+Facture!$AF32)*12*IF(Données!$J72="qc",1.09,IF(Données!$J72="on",1.08,1))/$F33)</f>
        <v>0</v>
      </c>
      <c r="Y33" s="207">
        <f>IF($F33=0,0,(Facture!$H32+Facture!$J32+Facture!$L32+Facture!$P32+Facture!$V32)*12*IF(Données!$J72="qc",1.09,IF(Données!$J72="on",1.08,1))/$F33)</f>
        <v>0</v>
      </c>
    </row>
    <row r="34" spans="1:25">
      <c r="A34" s="208">
        <f t="shared" si="7"/>
        <v>19</v>
      </c>
      <c r="B34" s="198" t="str">
        <f>CONCATENATE(Données!B73," ",Données!C73)</f>
        <v xml:space="preserve"> </v>
      </c>
      <c r="C34" s="199">
        <f>Données!D73</f>
        <v>0</v>
      </c>
      <c r="D34" s="200" t="str">
        <f>Données!AD73</f>
        <v/>
      </c>
      <c r="E34" s="349">
        <f t="shared" si="0"/>
        <v>0</v>
      </c>
      <c r="F34" s="201">
        <f t="shared" si="1"/>
        <v>0</v>
      </c>
      <c r="G34" s="202">
        <f>IF($F34=0,0,Facture!AI33*12/F34)</f>
        <v>0</v>
      </c>
      <c r="H34" s="203" t="e">
        <f t="shared" ca="1" si="2"/>
        <v>#N/A</v>
      </c>
      <c r="I34" s="203" t="e">
        <f ca="1">IF(F34=" ",0,Facture!J33*12/F34*1.09)</f>
        <v>#DIV/0!</v>
      </c>
      <c r="J34" s="204">
        <f t="shared" si="11"/>
        <v>0</v>
      </c>
      <c r="K34" s="345">
        <f t="shared" si="8"/>
        <v>0</v>
      </c>
      <c r="L34" s="205">
        <f t="shared" si="3"/>
        <v>0</v>
      </c>
      <c r="M34" s="205">
        <f t="shared" si="4"/>
        <v>0</v>
      </c>
      <c r="N34" s="353">
        <f t="shared" si="5"/>
        <v>0</v>
      </c>
      <c r="O34" s="356">
        <f t="shared" si="9"/>
        <v>0</v>
      </c>
      <c r="P34" s="357">
        <f t="shared" si="10"/>
        <v>0</v>
      </c>
      <c r="Q34" s="354">
        <f>IF($F34=0,0,(Facture!$R33+Facture!$T33)*12*IF(Données!$J73="qc",1.09,IF(Données!$J73="on",1.08,1))/$F34)</f>
        <v>0</v>
      </c>
      <c r="R34" s="206"/>
      <c r="S34" s="207">
        <f>MIN(IF($F34=0,0,(Facture!$W33)*12*(1+VLOOKUP($D34,taux,28))/$F34),$J34)</f>
        <v>0</v>
      </c>
      <c r="T34" s="207">
        <f t="shared" si="6"/>
        <v>0</v>
      </c>
      <c r="U34" s="206"/>
      <c r="V34" s="207">
        <f>IF($F34=0,0,Facture!$R33*12*IF(Données!$J73="qc",1.09,IF(Données!$J73="on",1.08,1))/$F34)</f>
        <v>0</v>
      </c>
      <c r="W34" s="207">
        <f>IF($F34=0,0,Facture!$T33*12*IF(Données!$J73="qc",1.09,IF(Données!$J73="on",1.08,1))/$F34)</f>
        <v>0</v>
      </c>
      <c r="X34" s="207">
        <f>IF($F34=0,0,(Facture!$AB33+Facture!$AD33+Facture!$AF33)*12*IF(Données!$J73="qc",1.09,IF(Données!$J73="on",1.08,1))/$F34)</f>
        <v>0</v>
      </c>
      <c r="Y34" s="207">
        <f>IF($F34=0,0,(Facture!$H33+Facture!$J33+Facture!$L33+Facture!$P33+Facture!$V33)*12*IF(Données!$J73="qc",1.09,IF(Données!$J73="on",1.08,1))/$F34)</f>
        <v>0</v>
      </c>
    </row>
    <row r="35" spans="1:25">
      <c r="A35" s="208">
        <f t="shared" si="7"/>
        <v>20</v>
      </c>
      <c r="B35" s="198" t="str">
        <f>CONCATENATE(Données!B74," ",Données!C74)</f>
        <v xml:space="preserve"> </v>
      </c>
      <c r="C35" s="199">
        <f>Données!D74</f>
        <v>0</v>
      </c>
      <c r="D35" s="200" t="str">
        <f>Données!AD74</f>
        <v/>
      </c>
      <c r="E35" s="349">
        <f t="shared" si="0"/>
        <v>0</v>
      </c>
      <c r="F35" s="201">
        <f t="shared" si="1"/>
        <v>0</v>
      </c>
      <c r="G35" s="202">
        <f>IF($F35=0,0,Facture!AI34*12/F35)</f>
        <v>0</v>
      </c>
      <c r="H35" s="203" t="e">
        <f t="shared" ca="1" si="2"/>
        <v>#N/A</v>
      </c>
      <c r="I35" s="203" t="e">
        <f ca="1">IF(F35=" ",0,Facture!J34*12/F35*1.09)</f>
        <v>#DIV/0!</v>
      </c>
      <c r="J35" s="204">
        <f t="shared" si="11"/>
        <v>0</v>
      </c>
      <c r="K35" s="345">
        <f t="shared" si="8"/>
        <v>0</v>
      </c>
      <c r="L35" s="205">
        <f t="shared" si="3"/>
        <v>0</v>
      </c>
      <c r="M35" s="205">
        <f t="shared" si="4"/>
        <v>0</v>
      </c>
      <c r="N35" s="353">
        <f t="shared" si="5"/>
        <v>0</v>
      </c>
      <c r="O35" s="356">
        <f t="shared" si="9"/>
        <v>0</v>
      </c>
      <c r="P35" s="357">
        <f t="shared" si="10"/>
        <v>0</v>
      </c>
      <c r="Q35" s="354">
        <f>IF($F35=0,0,(Facture!$R34+Facture!$T34)*12*IF(Données!$J74="qc",1.09,IF(Données!$J74="on",1.08,1))/$F35)</f>
        <v>0</v>
      </c>
      <c r="R35" s="206"/>
      <c r="S35" s="207">
        <f>MIN(IF($F35=0,0,(Facture!$W34)*12*(1+VLOOKUP($D35,taux,28))/$F35),$J35)</f>
        <v>0</v>
      </c>
      <c r="T35" s="207">
        <f t="shared" si="6"/>
        <v>0</v>
      </c>
      <c r="U35" s="206"/>
      <c r="V35" s="207">
        <f>IF($F35=0,0,Facture!$R34*12*IF(Données!$J74="qc",1.09,IF(Données!$J74="on",1.08,1))/$F35)</f>
        <v>0</v>
      </c>
      <c r="W35" s="207">
        <f>IF($F35=0,0,Facture!$T34*12*IF(Données!$J74="qc",1.09,IF(Données!$J74="on",1.08,1))/$F35)</f>
        <v>0</v>
      </c>
      <c r="X35" s="207">
        <f>IF($F35=0,0,(Facture!$AB34+Facture!$AD34+Facture!$AF34)*12*IF(Données!$J74="qc",1.09,IF(Données!$J74="on",1.08,1))/$F35)</f>
        <v>0</v>
      </c>
      <c r="Y35" s="207">
        <f>IF($F35=0,0,(Facture!$H34+Facture!$J34+Facture!$L34+Facture!$P34+Facture!$V34)*12*IF(Données!$J74="qc",1.09,IF(Données!$J74="on",1.08,1))/$F35)</f>
        <v>0</v>
      </c>
    </row>
    <row r="36" spans="1:25">
      <c r="A36" s="208">
        <f t="shared" ref="A36:A99" si="12">A35+1</f>
        <v>21</v>
      </c>
      <c r="B36" s="198" t="str">
        <f>CONCATENATE(Données!B75," ",Données!C75)</f>
        <v xml:space="preserve"> </v>
      </c>
      <c r="C36" s="199">
        <f>Données!D75</f>
        <v>0</v>
      </c>
      <c r="D36" s="200" t="str">
        <f>Données!AD75</f>
        <v/>
      </c>
      <c r="E36" s="349">
        <f t="shared" si="0"/>
        <v>0</v>
      </c>
      <c r="F36" s="201">
        <f t="shared" si="1"/>
        <v>0</v>
      </c>
      <c r="G36" s="202">
        <f>IF($F36=0,0,Facture!AI35*12/F36)</f>
        <v>0</v>
      </c>
      <c r="H36" s="203" t="e">
        <f t="shared" ca="1" si="2"/>
        <v>#N/A</v>
      </c>
      <c r="I36" s="203" t="e">
        <f ca="1">IF(F36=" ",0,Facture!J35*12/F36*1.09)</f>
        <v>#DIV/0!</v>
      </c>
      <c r="J36" s="204">
        <f t="shared" si="11"/>
        <v>0</v>
      </c>
      <c r="K36" s="345">
        <f t="shared" si="8"/>
        <v>0</v>
      </c>
      <c r="L36" s="205">
        <f t="shared" si="3"/>
        <v>0</v>
      </c>
      <c r="M36" s="205">
        <f t="shared" si="4"/>
        <v>0</v>
      </c>
      <c r="N36" s="353">
        <f t="shared" si="5"/>
        <v>0</v>
      </c>
      <c r="O36" s="356">
        <f t="shared" si="9"/>
        <v>0</v>
      </c>
      <c r="P36" s="357">
        <f t="shared" si="10"/>
        <v>0</v>
      </c>
      <c r="Q36" s="354">
        <f>IF($F36=0,0,(Facture!$R35+Facture!$T35)*12*IF(Données!$J75="qc",1.09,IF(Données!$J75="on",1.08,1))/$F36)</f>
        <v>0</v>
      </c>
      <c r="R36" s="206"/>
      <c r="S36" s="207">
        <f>MIN(IF($F36=0,0,(Facture!$W35)*12*(1+VLOOKUP($D36,taux,28))/$F36),$J36)</f>
        <v>0</v>
      </c>
      <c r="T36" s="207">
        <f t="shared" si="6"/>
        <v>0</v>
      </c>
      <c r="U36" s="206"/>
      <c r="V36" s="207">
        <f>IF($F36=0,0,Facture!$R35*12*IF(Données!$J75="qc",1.09,IF(Données!$J75="on",1.08,1))/$F36)</f>
        <v>0</v>
      </c>
      <c r="W36" s="207">
        <f>IF($F36=0,0,Facture!$T35*12*IF(Données!$J75="qc",1.09,IF(Données!$J75="on",1.08,1))/$F36)</f>
        <v>0</v>
      </c>
      <c r="X36" s="207">
        <f>IF($F36=0,0,(Facture!$AB35+Facture!$AD35+Facture!$AF35)*12*IF(Données!$J75="qc",1.09,IF(Données!$J75="on",1.08,1))/$F36)</f>
        <v>0</v>
      </c>
      <c r="Y36" s="207">
        <f>IF($F36=0,0,(Facture!$H35+Facture!$J35+Facture!$L35+Facture!$P35+Facture!$V35)*12*IF(Données!$J75="qc",1.09,IF(Données!$J75="on",1.08,1))/$F36)</f>
        <v>0</v>
      </c>
    </row>
    <row r="37" spans="1:25">
      <c r="A37" s="208">
        <f t="shared" si="12"/>
        <v>22</v>
      </c>
      <c r="B37" s="198" t="str">
        <f>CONCATENATE(Données!B76," ",Données!C76)</f>
        <v xml:space="preserve"> </v>
      </c>
      <c r="C37" s="199">
        <f>Données!D76</f>
        <v>0</v>
      </c>
      <c r="D37" s="200" t="str">
        <f>Données!AD76</f>
        <v/>
      </c>
      <c r="E37" s="349">
        <f t="shared" si="0"/>
        <v>0</v>
      </c>
      <c r="F37" s="201">
        <f t="shared" si="1"/>
        <v>0</v>
      </c>
      <c r="G37" s="202">
        <f>IF($F37=0,0,Facture!AI36*12/F37)</f>
        <v>0</v>
      </c>
      <c r="H37" s="203" t="e">
        <f t="shared" ca="1" si="2"/>
        <v>#N/A</v>
      </c>
      <c r="I37" s="203" t="e">
        <f ca="1">IF(F37=" ",0,Facture!J36*12/F37*1.09)</f>
        <v>#DIV/0!</v>
      </c>
      <c r="J37" s="204">
        <f t="shared" si="11"/>
        <v>0</v>
      </c>
      <c r="K37" s="345">
        <f t="shared" si="8"/>
        <v>0</v>
      </c>
      <c r="L37" s="205">
        <f t="shared" si="3"/>
        <v>0</v>
      </c>
      <c r="M37" s="205">
        <f t="shared" si="4"/>
        <v>0</v>
      </c>
      <c r="N37" s="353">
        <f t="shared" si="5"/>
        <v>0</v>
      </c>
      <c r="O37" s="356">
        <f t="shared" si="9"/>
        <v>0</v>
      </c>
      <c r="P37" s="357">
        <f t="shared" si="10"/>
        <v>0</v>
      </c>
      <c r="Q37" s="354">
        <f>IF($F37=0,0,(Facture!$R36+Facture!$T36)*12*IF(Données!$J76="qc",1.09,IF(Données!$J76="on",1.08,1))/$F37)</f>
        <v>0</v>
      </c>
      <c r="R37" s="206"/>
      <c r="S37" s="207">
        <f>MIN(IF($F37=0,0,(Facture!$W36)*12*(1+VLOOKUP($D37,taux,28))/$F37),$J37)</f>
        <v>0</v>
      </c>
      <c r="T37" s="207">
        <f t="shared" si="6"/>
        <v>0</v>
      </c>
      <c r="U37" s="206"/>
      <c r="V37" s="207">
        <f>IF($F37=0,0,Facture!$R36*12*IF(Données!$J76="qc",1.09,IF(Données!$J76="on",1.08,1))/$F37)</f>
        <v>0</v>
      </c>
      <c r="W37" s="207">
        <f>IF($F37=0,0,Facture!$T36*12*IF(Données!$J76="qc",1.09,IF(Données!$J76="on",1.08,1))/$F37)</f>
        <v>0</v>
      </c>
      <c r="X37" s="207">
        <f>IF($F37=0,0,(Facture!$AB36+Facture!$AD36+Facture!$AF36)*12*IF(Données!$J76="qc",1.09,IF(Données!$J76="on",1.08,1))/$F37)</f>
        <v>0</v>
      </c>
      <c r="Y37" s="207">
        <f>IF($F37=0,0,(Facture!$H36+Facture!$J36+Facture!$L36+Facture!$P36+Facture!$V36)*12*IF(Données!$J76="qc",1.09,IF(Données!$J76="on",1.08,1))/$F37)</f>
        <v>0</v>
      </c>
    </row>
    <row r="38" spans="1:25">
      <c r="A38" s="208">
        <f t="shared" si="12"/>
        <v>23</v>
      </c>
      <c r="B38" s="198" t="str">
        <f>CONCATENATE(Données!B77," ",Données!C77)</f>
        <v xml:space="preserve"> </v>
      </c>
      <c r="C38" s="199">
        <f>Données!D77</f>
        <v>0</v>
      </c>
      <c r="D38" s="200" t="str">
        <f>Données!AD77</f>
        <v/>
      </c>
      <c r="E38" s="349">
        <f t="shared" si="0"/>
        <v>0</v>
      </c>
      <c r="F38" s="201">
        <f t="shared" si="1"/>
        <v>0</v>
      </c>
      <c r="G38" s="202">
        <f>IF($F38=0,0,Facture!AI37*12/F38)</f>
        <v>0</v>
      </c>
      <c r="H38" s="203" t="e">
        <f t="shared" ca="1" si="2"/>
        <v>#N/A</v>
      </c>
      <c r="I38" s="203" t="e">
        <f ca="1">IF(F38=" ",0,Facture!J37*12/F38*1.09)</f>
        <v>#DIV/0!</v>
      </c>
      <c r="J38" s="204">
        <f t="shared" si="11"/>
        <v>0</v>
      </c>
      <c r="K38" s="345">
        <f t="shared" si="8"/>
        <v>0</v>
      </c>
      <c r="L38" s="205">
        <f t="shared" si="3"/>
        <v>0</v>
      </c>
      <c r="M38" s="205">
        <f t="shared" si="4"/>
        <v>0</v>
      </c>
      <c r="N38" s="353">
        <f t="shared" si="5"/>
        <v>0</v>
      </c>
      <c r="O38" s="356">
        <f t="shared" si="9"/>
        <v>0</v>
      </c>
      <c r="P38" s="357">
        <f t="shared" si="10"/>
        <v>0</v>
      </c>
      <c r="Q38" s="354">
        <f>IF($F38=0,0,(Facture!$R37+Facture!$T37)*12*IF(Données!$J77="qc",1.09,IF(Données!$J77="on",1.08,1))/$F38)</f>
        <v>0</v>
      </c>
      <c r="R38" s="206"/>
      <c r="S38" s="207">
        <f>MIN(IF($F38=0,0,(Facture!$W37)*12*(1+VLOOKUP($D38,taux,28))/$F38),$J38)</f>
        <v>0</v>
      </c>
      <c r="T38" s="207">
        <f t="shared" si="6"/>
        <v>0</v>
      </c>
      <c r="U38" s="206"/>
      <c r="V38" s="207">
        <f>IF($F38=0,0,Facture!$R37*12*IF(Données!$J77="qc",1.09,IF(Données!$J77="on",1.08,1))/$F38)</f>
        <v>0</v>
      </c>
      <c r="W38" s="207">
        <f>IF($F38=0,0,Facture!$T37*12*IF(Données!$J77="qc",1.09,IF(Données!$J77="on",1.08,1))/$F38)</f>
        <v>0</v>
      </c>
      <c r="X38" s="207">
        <f>IF($F38=0,0,(Facture!$AB37+Facture!$AD37+Facture!$AF37)*12*IF(Données!$J77="qc",1.09,IF(Données!$J77="on",1.08,1))/$F38)</f>
        <v>0</v>
      </c>
      <c r="Y38" s="207">
        <f>IF($F38=0,0,(Facture!$H37+Facture!$J37+Facture!$L37+Facture!$P37+Facture!$V37)*12*IF(Données!$J77="qc",1.09,IF(Données!$J77="on",1.08,1))/$F38)</f>
        <v>0</v>
      </c>
    </row>
    <row r="39" spans="1:25">
      <c r="A39" s="208">
        <f t="shared" si="12"/>
        <v>24</v>
      </c>
      <c r="B39" s="198" t="str">
        <f>CONCATENATE(Données!B78," ",Données!C78)</f>
        <v xml:space="preserve"> </v>
      </c>
      <c r="C39" s="199">
        <f>Données!D78</f>
        <v>0</v>
      </c>
      <c r="D39" s="200" t="str">
        <f>Données!AD78</f>
        <v/>
      </c>
      <c r="E39" s="349">
        <f t="shared" si="0"/>
        <v>0</v>
      </c>
      <c r="F39" s="201">
        <f t="shared" si="1"/>
        <v>0</v>
      </c>
      <c r="G39" s="202">
        <f>IF($F39=0,0,Facture!AI38*12/F39)</f>
        <v>0</v>
      </c>
      <c r="H39" s="203" t="e">
        <f t="shared" ca="1" si="2"/>
        <v>#N/A</v>
      </c>
      <c r="I39" s="203" t="e">
        <f ca="1">IF(F39=" ",0,Facture!J38*12/F39*1.09)</f>
        <v>#DIV/0!</v>
      </c>
      <c r="J39" s="204">
        <f t="shared" si="11"/>
        <v>0</v>
      </c>
      <c r="K39" s="345">
        <f t="shared" si="8"/>
        <v>0</v>
      </c>
      <c r="L39" s="205">
        <f t="shared" si="3"/>
        <v>0</v>
      </c>
      <c r="M39" s="205">
        <f t="shared" si="4"/>
        <v>0</v>
      </c>
      <c r="N39" s="353">
        <f t="shared" si="5"/>
        <v>0</v>
      </c>
      <c r="O39" s="356">
        <f t="shared" si="9"/>
        <v>0</v>
      </c>
      <c r="P39" s="357">
        <f t="shared" si="10"/>
        <v>0</v>
      </c>
      <c r="Q39" s="354">
        <f>IF($F39=0,0,(Facture!$R38+Facture!$T38)*12*IF(Données!$J78="qc",1.09,IF(Données!$J78="on",1.08,1))/$F39)</f>
        <v>0</v>
      </c>
      <c r="R39" s="206"/>
      <c r="S39" s="207">
        <f>MIN(IF($F39=0,0,(Facture!$W38)*12*(1+VLOOKUP($D39,taux,28))/$F39),$J39)</f>
        <v>0</v>
      </c>
      <c r="T39" s="207">
        <f t="shared" si="6"/>
        <v>0</v>
      </c>
      <c r="U39" s="206"/>
      <c r="V39" s="207">
        <f>IF($F39=0,0,Facture!$R38*12*IF(Données!$J78="qc",1.09,IF(Données!$J78="on",1.08,1))/$F39)</f>
        <v>0</v>
      </c>
      <c r="W39" s="207">
        <f>IF($F39=0,0,Facture!$T38*12*IF(Données!$J78="qc",1.09,IF(Données!$J78="on",1.08,1))/$F39)</f>
        <v>0</v>
      </c>
      <c r="X39" s="207">
        <f>IF($F39=0,0,(Facture!$AB38+Facture!$AD38+Facture!$AF38)*12*IF(Données!$J78="qc",1.09,IF(Données!$J78="on",1.08,1))/$F39)</f>
        <v>0</v>
      </c>
      <c r="Y39" s="207">
        <f>IF($F39=0,0,(Facture!$H38+Facture!$J38+Facture!$L38+Facture!$P38+Facture!$V38)*12*IF(Données!$J78="qc",1.09,IF(Données!$J78="on",1.08,1))/$F39)</f>
        <v>0</v>
      </c>
    </row>
    <row r="40" spans="1:25">
      <c r="A40" s="208">
        <f t="shared" si="12"/>
        <v>25</v>
      </c>
      <c r="B40" s="198" t="str">
        <f>CONCATENATE(Données!B79," ",Données!C79)</f>
        <v xml:space="preserve"> </v>
      </c>
      <c r="C40" s="199">
        <f>Données!D79</f>
        <v>0</v>
      </c>
      <c r="D40" s="200" t="str">
        <f>Données!AD79</f>
        <v/>
      </c>
      <c r="E40" s="349">
        <f t="shared" si="0"/>
        <v>0</v>
      </c>
      <c r="F40" s="201">
        <f t="shared" si="1"/>
        <v>0</v>
      </c>
      <c r="G40" s="202">
        <f>IF($F40=0,0,Facture!AI39*12/F40)</f>
        <v>0</v>
      </c>
      <c r="H40" s="203" t="e">
        <f t="shared" ca="1" si="2"/>
        <v>#N/A</v>
      </c>
      <c r="I40" s="203" t="e">
        <f ca="1">IF(F40=" ",0,Facture!J39*12/F40*1.09)</f>
        <v>#DIV/0!</v>
      </c>
      <c r="J40" s="204">
        <f t="shared" si="11"/>
        <v>0</v>
      </c>
      <c r="K40" s="345">
        <f t="shared" si="8"/>
        <v>0</v>
      </c>
      <c r="L40" s="205">
        <f t="shared" si="3"/>
        <v>0</v>
      </c>
      <c r="M40" s="205">
        <f t="shared" si="4"/>
        <v>0</v>
      </c>
      <c r="N40" s="353">
        <f t="shared" si="5"/>
        <v>0</v>
      </c>
      <c r="O40" s="356">
        <f t="shared" si="9"/>
        <v>0</v>
      </c>
      <c r="P40" s="357">
        <f t="shared" si="10"/>
        <v>0</v>
      </c>
      <c r="Q40" s="354">
        <f>IF($F40=0,0,(Facture!$R39+Facture!$T39)*12*IF(Données!$J79="qc",1.09,IF(Données!$J79="on",1.08,1))/$F40)</f>
        <v>0</v>
      </c>
      <c r="R40" s="206"/>
      <c r="S40" s="207">
        <f>MIN(IF($F40=0,0,(Facture!$W39)*12*(1+VLOOKUP($D40,taux,28))/$F40),$J40)</f>
        <v>0</v>
      </c>
      <c r="T40" s="207">
        <f t="shared" si="6"/>
        <v>0</v>
      </c>
      <c r="U40" s="206"/>
      <c r="V40" s="207">
        <f>IF($F40=0,0,Facture!$R39*12*IF(Données!$J79="qc",1.09,IF(Données!$J79="on",1.08,1))/$F40)</f>
        <v>0</v>
      </c>
      <c r="W40" s="207">
        <f>IF($F40=0,0,Facture!$T39*12*IF(Données!$J79="qc",1.09,IF(Données!$J79="on",1.08,1))/$F40)</f>
        <v>0</v>
      </c>
      <c r="X40" s="207">
        <f>IF($F40=0,0,(Facture!$AB39+Facture!$AD39+Facture!$AF39)*12*IF(Données!$J79="qc",1.09,IF(Données!$J79="on",1.08,1))/$F40)</f>
        <v>0</v>
      </c>
      <c r="Y40" s="207">
        <f>IF($F40=0,0,(Facture!$H39+Facture!$J39+Facture!$L39+Facture!$P39+Facture!$V39)*12*IF(Données!$J79="qc",1.09,IF(Données!$J79="on",1.08,1))/$F40)</f>
        <v>0</v>
      </c>
    </row>
    <row r="41" spans="1:25">
      <c r="A41" s="208">
        <f t="shared" si="12"/>
        <v>26</v>
      </c>
      <c r="B41" s="198" t="str">
        <f>CONCATENATE(Données!B80," ",Données!C80)</f>
        <v xml:space="preserve"> </v>
      </c>
      <c r="C41" s="199">
        <f>Données!D80</f>
        <v>0</v>
      </c>
      <c r="D41" s="200" t="str">
        <f>Données!AD80</f>
        <v/>
      </c>
      <c r="E41" s="349">
        <f t="shared" si="0"/>
        <v>0</v>
      </c>
      <c r="F41" s="201">
        <f t="shared" si="1"/>
        <v>0</v>
      </c>
      <c r="G41" s="202">
        <f>IF($F41=0,0,Facture!AI40*12/F41)</f>
        <v>0</v>
      </c>
      <c r="H41" s="203" t="e">
        <f t="shared" ca="1" si="2"/>
        <v>#N/A</v>
      </c>
      <c r="I41" s="203" t="e">
        <f ca="1">IF(F41=" ",0,Facture!J40*12/F41*1.09)</f>
        <v>#DIV/0!</v>
      </c>
      <c r="J41" s="204">
        <f t="shared" si="11"/>
        <v>0</v>
      </c>
      <c r="K41" s="345">
        <f t="shared" si="8"/>
        <v>0</v>
      </c>
      <c r="L41" s="205">
        <f t="shared" si="3"/>
        <v>0</v>
      </c>
      <c r="M41" s="205">
        <f t="shared" si="4"/>
        <v>0</v>
      </c>
      <c r="N41" s="353">
        <f t="shared" si="5"/>
        <v>0</v>
      </c>
      <c r="O41" s="356">
        <f t="shared" si="9"/>
        <v>0</v>
      </c>
      <c r="P41" s="357">
        <f t="shared" si="10"/>
        <v>0</v>
      </c>
      <c r="Q41" s="354">
        <f>IF($F41=0,0,(Facture!$R40+Facture!$T40)*12*IF(Données!$J80="qc",1.09,IF(Données!$J80="on",1.08,1))/$F41)</f>
        <v>0</v>
      </c>
      <c r="R41" s="206"/>
      <c r="S41" s="207">
        <f>MIN(IF($F41=0,0,(Facture!$W40)*12*(1+VLOOKUP($D41,taux,28))/$F41),$J41)</f>
        <v>0</v>
      </c>
      <c r="T41" s="207">
        <f t="shared" si="6"/>
        <v>0</v>
      </c>
      <c r="U41" s="206"/>
      <c r="V41" s="207">
        <f>IF($F41=0,0,Facture!$R40*12*IF(Données!$J80="qc",1.09,IF(Données!$J80="on",1.08,1))/$F41)</f>
        <v>0</v>
      </c>
      <c r="W41" s="207">
        <f>IF($F41=0,0,Facture!$T40*12*IF(Données!$J80="qc",1.09,IF(Données!$J80="on",1.08,1))/$F41)</f>
        <v>0</v>
      </c>
      <c r="X41" s="207">
        <f>IF($F41=0,0,(Facture!$AB40+Facture!$AD40+Facture!$AF40)*12*IF(Données!$J80="qc",1.09,IF(Données!$J80="on",1.08,1))/$F41)</f>
        <v>0</v>
      </c>
      <c r="Y41" s="207">
        <f>IF($F41=0,0,(Facture!$H40+Facture!$J40+Facture!$L40+Facture!$P40+Facture!$V40)*12*IF(Données!$J80="qc",1.09,IF(Données!$J80="on",1.08,1))/$F41)</f>
        <v>0</v>
      </c>
    </row>
    <row r="42" spans="1:25">
      <c r="A42" s="208">
        <f t="shared" si="12"/>
        <v>27</v>
      </c>
      <c r="B42" s="198" t="str">
        <f>CONCATENATE(Données!B81," ",Données!C81)</f>
        <v xml:space="preserve"> </v>
      </c>
      <c r="C42" s="199">
        <f>Données!D81</f>
        <v>0</v>
      </c>
      <c r="D42" s="200" t="str">
        <f>Données!AD81</f>
        <v/>
      </c>
      <c r="E42" s="349">
        <f t="shared" si="0"/>
        <v>0</v>
      </c>
      <c r="F42" s="201">
        <f t="shared" si="1"/>
        <v>0</v>
      </c>
      <c r="G42" s="202">
        <f>IF($F42=0,0,Facture!AI41*12/F42)</f>
        <v>0</v>
      </c>
      <c r="H42" s="203" t="e">
        <f t="shared" ca="1" si="2"/>
        <v>#N/A</v>
      </c>
      <c r="I42" s="203" t="e">
        <f ca="1">IF(F42=" ",0,Facture!J41*12/F42*1.09)</f>
        <v>#DIV/0!</v>
      </c>
      <c r="J42" s="204">
        <f t="shared" si="11"/>
        <v>0</v>
      </c>
      <c r="K42" s="345">
        <f t="shared" si="8"/>
        <v>0</v>
      </c>
      <c r="L42" s="205">
        <f t="shared" si="3"/>
        <v>0</v>
      </c>
      <c r="M42" s="205">
        <f t="shared" si="4"/>
        <v>0</v>
      </c>
      <c r="N42" s="353">
        <f t="shared" si="5"/>
        <v>0</v>
      </c>
      <c r="O42" s="356">
        <f t="shared" si="9"/>
        <v>0</v>
      </c>
      <c r="P42" s="357">
        <f t="shared" si="10"/>
        <v>0</v>
      </c>
      <c r="Q42" s="354">
        <f>IF($F42=0,0,(Facture!$R41+Facture!$T41)*12*IF(Données!$J81="qc",1.09,IF(Données!$J81="on",1.08,1))/$F42)</f>
        <v>0</v>
      </c>
      <c r="R42" s="206"/>
      <c r="S42" s="207">
        <f>MIN(IF($F42=0,0,(Facture!$W41)*12*(1+VLOOKUP($D42,taux,28))/$F42),$J42)</f>
        <v>0</v>
      </c>
      <c r="T42" s="207">
        <f t="shared" si="6"/>
        <v>0</v>
      </c>
      <c r="U42" s="206"/>
      <c r="V42" s="207">
        <f>IF($F42=0,0,Facture!$R41*12*IF(Données!$J81="qc",1.09,IF(Données!$J81="on",1.08,1))/$F42)</f>
        <v>0</v>
      </c>
      <c r="W42" s="207">
        <f>IF($F42=0,0,Facture!$T41*12*IF(Données!$J81="qc",1.09,IF(Données!$J81="on",1.08,1))/$F42)</f>
        <v>0</v>
      </c>
      <c r="X42" s="207">
        <f>IF($F42=0,0,(Facture!$AB41+Facture!$AD41+Facture!$AF41)*12*IF(Données!$J81="qc",1.09,IF(Données!$J81="on",1.08,1))/$F42)</f>
        <v>0</v>
      </c>
      <c r="Y42" s="207">
        <f>IF($F42=0,0,(Facture!$H41+Facture!$J41+Facture!$L41+Facture!$P41+Facture!$V41)*12*IF(Données!$J81="qc",1.09,IF(Données!$J81="on",1.08,1))/$F42)</f>
        <v>0</v>
      </c>
    </row>
    <row r="43" spans="1:25">
      <c r="A43" s="208">
        <f t="shared" si="12"/>
        <v>28</v>
      </c>
      <c r="B43" s="198" t="str">
        <f>CONCATENATE(Données!B82," ",Données!C82)</f>
        <v xml:space="preserve"> </v>
      </c>
      <c r="C43" s="199">
        <f>Données!D82</f>
        <v>0</v>
      </c>
      <c r="D43" s="200" t="str">
        <f>Données!AD82</f>
        <v/>
      </c>
      <c r="E43" s="349">
        <f t="shared" si="0"/>
        <v>0</v>
      </c>
      <c r="F43" s="201">
        <f t="shared" si="1"/>
        <v>0</v>
      </c>
      <c r="G43" s="202">
        <f>IF($F43=0,0,Facture!AI42*12/F43)</f>
        <v>0</v>
      </c>
      <c r="H43" s="203" t="e">
        <f t="shared" ca="1" si="2"/>
        <v>#N/A</v>
      </c>
      <c r="I43" s="203" t="e">
        <f ca="1">IF(F43=" ",0,Facture!J42*12/F43*1.09)</f>
        <v>#DIV/0!</v>
      </c>
      <c r="J43" s="204">
        <f t="shared" si="11"/>
        <v>0</v>
      </c>
      <c r="K43" s="345">
        <f t="shared" si="8"/>
        <v>0</v>
      </c>
      <c r="L43" s="205">
        <f t="shared" si="3"/>
        <v>0</v>
      </c>
      <c r="M43" s="205">
        <f t="shared" si="4"/>
        <v>0</v>
      </c>
      <c r="N43" s="353">
        <f t="shared" si="5"/>
        <v>0</v>
      </c>
      <c r="O43" s="356">
        <f t="shared" si="9"/>
        <v>0</v>
      </c>
      <c r="P43" s="357">
        <f t="shared" si="10"/>
        <v>0</v>
      </c>
      <c r="Q43" s="354">
        <f>IF($F43=0,0,(Facture!$R42+Facture!$T42)*12*IF(Données!$J82="qc",1.09,IF(Données!$J82="on",1.08,1))/$F43)</f>
        <v>0</v>
      </c>
      <c r="R43" s="206"/>
      <c r="S43" s="207">
        <f>MIN(IF($F43=0,0,(Facture!$W42)*12*(1+VLOOKUP($D43,taux,28))/$F43),$J43)</f>
        <v>0</v>
      </c>
      <c r="T43" s="207">
        <f t="shared" si="6"/>
        <v>0</v>
      </c>
      <c r="U43" s="206"/>
      <c r="V43" s="207">
        <f>IF($F43=0,0,Facture!$R42*12*IF(Données!$J82="qc",1.09,IF(Données!$J82="on",1.08,1))/$F43)</f>
        <v>0</v>
      </c>
      <c r="W43" s="207">
        <f>IF($F43=0,0,Facture!$T42*12*IF(Données!$J82="qc",1.09,IF(Données!$J82="on",1.08,1))/$F43)</f>
        <v>0</v>
      </c>
      <c r="X43" s="207">
        <f>IF($F43=0,0,(Facture!$AB42+Facture!$AD42+Facture!$AF42)*12*IF(Données!$J82="qc",1.09,IF(Données!$J82="on",1.08,1))/$F43)</f>
        <v>0</v>
      </c>
      <c r="Y43" s="207">
        <f>IF($F43=0,0,(Facture!$H42+Facture!$J42+Facture!$L42+Facture!$P42+Facture!$V42)*12*IF(Données!$J82="qc",1.09,IF(Données!$J82="on",1.08,1))/$F43)</f>
        <v>0</v>
      </c>
    </row>
    <row r="44" spans="1:25">
      <c r="A44" s="208">
        <f t="shared" si="12"/>
        <v>29</v>
      </c>
      <c r="B44" s="198" t="str">
        <f>CONCATENATE(Données!B83," ",Données!C83)</f>
        <v xml:space="preserve"> </v>
      </c>
      <c r="C44" s="199">
        <f>Données!D83</f>
        <v>0</v>
      </c>
      <c r="D44" s="200" t="str">
        <f>Données!AD83</f>
        <v/>
      </c>
      <c r="E44" s="349">
        <f t="shared" si="0"/>
        <v>0</v>
      </c>
      <c r="F44" s="201">
        <f t="shared" si="1"/>
        <v>0</v>
      </c>
      <c r="G44" s="202">
        <f>IF($F44=0,0,Facture!AI43*12/F44)</f>
        <v>0</v>
      </c>
      <c r="H44" s="203" t="e">
        <f t="shared" ca="1" si="2"/>
        <v>#N/A</v>
      </c>
      <c r="I44" s="203" t="e">
        <f ca="1">IF(F44=" ",0,Facture!J43*12/F44*1.09)</f>
        <v>#DIV/0!</v>
      </c>
      <c r="J44" s="204">
        <f t="shared" si="11"/>
        <v>0</v>
      </c>
      <c r="K44" s="345">
        <f t="shared" si="8"/>
        <v>0</v>
      </c>
      <c r="L44" s="205">
        <f t="shared" si="3"/>
        <v>0</v>
      </c>
      <c r="M44" s="205">
        <f t="shared" si="4"/>
        <v>0</v>
      </c>
      <c r="N44" s="353">
        <f t="shared" si="5"/>
        <v>0</v>
      </c>
      <c r="O44" s="356">
        <f t="shared" si="9"/>
        <v>0</v>
      </c>
      <c r="P44" s="357">
        <f t="shared" si="10"/>
        <v>0</v>
      </c>
      <c r="Q44" s="354">
        <f>IF($F44=0,0,(Facture!$R43+Facture!$T43)*12*IF(Données!$J83="qc",1.09,IF(Données!$J83="on",1.08,1))/$F44)</f>
        <v>0</v>
      </c>
      <c r="R44" s="206"/>
      <c r="S44" s="207">
        <f>MIN(IF($F44=0,0,(Facture!$W43)*12*(1+VLOOKUP($D44,taux,28))/$F44),$J44)</f>
        <v>0</v>
      </c>
      <c r="T44" s="207">
        <f t="shared" si="6"/>
        <v>0</v>
      </c>
      <c r="U44" s="206"/>
      <c r="V44" s="207">
        <f>IF($F44=0,0,Facture!$R43*12*IF(Données!$J83="qc",1.09,IF(Données!$J83="on",1.08,1))/$F44)</f>
        <v>0</v>
      </c>
      <c r="W44" s="207">
        <f>IF($F44=0,0,Facture!$T43*12*IF(Données!$J83="qc",1.09,IF(Données!$J83="on",1.08,1))/$F44)</f>
        <v>0</v>
      </c>
      <c r="X44" s="207">
        <f>IF($F44=0,0,(Facture!$AB43+Facture!$AD43+Facture!$AF43)*12*IF(Données!$J83="qc",1.09,IF(Données!$J83="on",1.08,1))/$F44)</f>
        <v>0</v>
      </c>
      <c r="Y44" s="207">
        <f>IF($F44=0,0,(Facture!$H43+Facture!$J43+Facture!$L43+Facture!$P43+Facture!$V43)*12*IF(Données!$J83="qc",1.09,IF(Données!$J83="on",1.08,1))/$F44)</f>
        <v>0</v>
      </c>
    </row>
    <row r="45" spans="1:25">
      <c r="A45" s="208">
        <f t="shared" si="12"/>
        <v>30</v>
      </c>
      <c r="B45" s="198" t="str">
        <f>CONCATENATE(Données!B84," ",Données!C84)</f>
        <v xml:space="preserve"> </v>
      </c>
      <c r="C45" s="199">
        <f>Données!D84</f>
        <v>0</v>
      </c>
      <c r="D45" s="200" t="str">
        <f>Données!AD84</f>
        <v/>
      </c>
      <c r="E45" s="349">
        <f t="shared" si="0"/>
        <v>0</v>
      </c>
      <c r="F45" s="201">
        <f t="shared" si="1"/>
        <v>0</v>
      </c>
      <c r="G45" s="202">
        <f>IF($F45=0,0,Facture!AI44*12/F45)</f>
        <v>0</v>
      </c>
      <c r="H45" s="203" t="e">
        <f t="shared" ca="1" si="2"/>
        <v>#N/A</v>
      </c>
      <c r="I45" s="203" t="e">
        <f ca="1">IF(F45=" ",0,Facture!J44*12/F45*1.09)</f>
        <v>#DIV/0!</v>
      </c>
      <c r="J45" s="204">
        <f t="shared" si="11"/>
        <v>0</v>
      </c>
      <c r="K45" s="345">
        <f t="shared" si="8"/>
        <v>0</v>
      </c>
      <c r="L45" s="205">
        <f t="shared" si="3"/>
        <v>0</v>
      </c>
      <c r="M45" s="205">
        <f t="shared" si="4"/>
        <v>0</v>
      </c>
      <c r="N45" s="353">
        <f t="shared" si="5"/>
        <v>0</v>
      </c>
      <c r="O45" s="356">
        <f t="shared" si="9"/>
        <v>0</v>
      </c>
      <c r="P45" s="357">
        <f t="shared" si="10"/>
        <v>0</v>
      </c>
      <c r="Q45" s="354">
        <f>IF($F45=0,0,(Facture!$R44+Facture!$T44)*12*IF(Données!$J84="qc",1.09,IF(Données!$J84="on",1.08,1))/$F45)</f>
        <v>0</v>
      </c>
      <c r="R45" s="206"/>
      <c r="S45" s="207">
        <f>MIN(IF($F45=0,0,(Facture!$W44)*12*(1+VLOOKUP($D45,taux,28))/$F45),$J45)</f>
        <v>0</v>
      </c>
      <c r="T45" s="207">
        <f t="shared" si="6"/>
        <v>0</v>
      </c>
      <c r="U45" s="206"/>
      <c r="V45" s="207">
        <f>IF($F45=0,0,Facture!$R44*12*IF(Données!$J84="qc",1.09,IF(Données!$J84="on",1.08,1))/$F45)</f>
        <v>0</v>
      </c>
      <c r="W45" s="207">
        <f>IF($F45=0,0,Facture!$T44*12*IF(Données!$J84="qc",1.09,IF(Données!$J84="on",1.08,1))/$F45)</f>
        <v>0</v>
      </c>
      <c r="X45" s="207">
        <f>IF($F45=0,0,(Facture!$AB44+Facture!$AD44+Facture!$AF44)*12*IF(Données!$J84="qc",1.09,IF(Données!$J84="on",1.08,1))/$F45)</f>
        <v>0</v>
      </c>
      <c r="Y45" s="207">
        <f>IF($F45=0,0,(Facture!$H44+Facture!$J44+Facture!$L44+Facture!$P44+Facture!$V44)*12*IF(Données!$J84="qc",1.09,IF(Données!$J84="on",1.08,1))/$F45)</f>
        <v>0</v>
      </c>
    </row>
    <row r="46" spans="1:25">
      <c r="A46" s="208">
        <f t="shared" si="12"/>
        <v>31</v>
      </c>
      <c r="B46" s="198" t="str">
        <f>CONCATENATE(Données!B85," ",Données!C85)</f>
        <v xml:space="preserve"> </v>
      </c>
      <c r="C46" s="199">
        <f>Données!D85</f>
        <v>0</v>
      </c>
      <c r="D46" s="200" t="str">
        <f>Données!AD85</f>
        <v/>
      </c>
      <c r="E46" s="349">
        <f t="shared" si="0"/>
        <v>0</v>
      </c>
      <c r="F46" s="201">
        <f t="shared" si="1"/>
        <v>0</v>
      </c>
      <c r="G46" s="202">
        <f>IF($F46=0,0,Facture!AI45*12/F46)</f>
        <v>0</v>
      </c>
      <c r="H46" s="203" t="e">
        <f t="shared" ca="1" si="2"/>
        <v>#N/A</v>
      </c>
      <c r="I46" s="203" t="e">
        <f ca="1">IF(F46=" ",0,Facture!J45*12/F46*1.09)</f>
        <v>#DIV/0!</v>
      </c>
      <c r="J46" s="204">
        <f t="shared" si="11"/>
        <v>0</v>
      </c>
      <c r="K46" s="345">
        <f t="shared" si="8"/>
        <v>0</v>
      </c>
      <c r="L46" s="205">
        <f t="shared" si="3"/>
        <v>0</v>
      </c>
      <c r="M46" s="205">
        <f t="shared" si="4"/>
        <v>0</v>
      </c>
      <c r="N46" s="353">
        <f t="shared" si="5"/>
        <v>0</v>
      </c>
      <c r="O46" s="356">
        <f t="shared" si="9"/>
        <v>0</v>
      </c>
      <c r="P46" s="357">
        <f t="shared" si="10"/>
        <v>0</v>
      </c>
      <c r="Q46" s="354">
        <f>IF($F46=0,0,(Facture!$R45+Facture!$T45)*12*IF(Données!$J85="qc",1.09,IF(Données!$J85="on",1.08,1))/$F46)</f>
        <v>0</v>
      </c>
      <c r="R46" s="206"/>
      <c r="S46" s="207">
        <f>MIN(IF($F46=0,0,(Facture!$W45)*12*(1+VLOOKUP($D46,taux,28))/$F46),$J46)</f>
        <v>0</v>
      </c>
      <c r="T46" s="207">
        <f t="shared" si="6"/>
        <v>0</v>
      </c>
      <c r="U46" s="206"/>
      <c r="V46" s="207">
        <f>IF($F46=0,0,Facture!$R45*12*IF(Données!$J85="qc",1.09,IF(Données!$J85="on",1.08,1))/$F46)</f>
        <v>0</v>
      </c>
      <c r="W46" s="207">
        <f>IF($F46=0,0,Facture!$T45*12*IF(Données!$J85="qc",1.09,IF(Données!$J85="on",1.08,1))/$F46)</f>
        <v>0</v>
      </c>
      <c r="X46" s="207">
        <f>IF($F46=0,0,(Facture!$AB45+Facture!$AD45+Facture!$AF45)*12*IF(Données!$J85="qc",1.09,IF(Données!$J85="on",1.08,1))/$F46)</f>
        <v>0</v>
      </c>
      <c r="Y46" s="207">
        <f>IF($F46=0,0,(Facture!$H45+Facture!$J45+Facture!$L45+Facture!$P45+Facture!$V45)*12*IF(Données!$J85="qc",1.09,IF(Données!$J85="on",1.08,1))/$F46)</f>
        <v>0</v>
      </c>
    </row>
    <row r="47" spans="1:25">
      <c r="A47" s="208">
        <f t="shared" si="12"/>
        <v>32</v>
      </c>
      <c r="B47" s="198" t="str">
        <f>CONCATENATE(Données!B86," ",Données!C86)</f>
        <v xml:space="preserve"> </v>
      </c>
      <c r="C47" s="199">
        <f>Données!D86</f>
        <v>0</v>
      </c>
      <c r="D47" s="200" t="str">
        <f>Données!AD86</f>
        <v/>
      </c>
      <c r="E47" s="349">
        <f t="shared" si="0"/>
        <v>0</v>
      </c>
      <c r="F47" s="201">
        <f t="shared" si="1"/>
        <v>0</v>
      </c>
      <c r="G47" s="202">
        <f>IF($F47=0,0,Facture!AI46*12/F47)</f>
        <v>0</v>
      </c>
      <c r="H47" s="203" t="e">
        <f t="shared" ca="1" si="2"/>
        <v>#N/A</v>
      </c>
      <c r="I47" s="203" t="e">
        <f ca="1">IF(F47=" ",0,Facture!J46*12/F47*1.09)</f>
        <v>#DIV/0!</v>
      </c>
      <c r="J47" s="204">
        <f t="shared" si="11"/>
        <v>0</v>
      </c>
      <c r="K47" s="345">
        <f t="shared" si="8"/>
        <v>0</v>
      </c>
      <c r="L47" s="205">
        <f t="shared" si="3"/>
        <v>0</v>
      </c>
      <c r="M47" s="205">
        <f t="shared" si="4"/>
        <v>0</v>
      </c>
      <c r="N47" s="353">
        <f t="shared" si="5"/>
        <v>0</v>
      </c>
      <c r="O47" s="356">
        <f t="shared" si="9"/>
        <v>0</v>
      </c>
      <c r="P47" s="357">
        <f t="shared" si="10"/>
        <v>0</v>
      </c>
      <c r="Q47" s="354">
        <f>IF($F47=0,0,(Facture!$R46+Facture!$T46)*12*IF(Données!$J86="qc",1.09,IF(Données!$J86="on",1.08,1))/$F47)</f>
        <v>0</v>
      </c>
      <c r="R47" s="206"/>
      <c r="S47" s="207">
        <f>MIN(IF($F47=0,0,(Facture!$W46)*12*(1+VLOOKUP($D47,taux,28))/$F47),$J47)</f>
        <v>0</v>
      </c>
      <c r="T47" s="207">
        <f t="shared" si="6"/>
        <v>0</v>
      </c>
      <c r="U47" s="206"/>
      <c r="V47" s="207">
        <f>IF($F47=0,0,Facture!$R46*12*IF(Données!$J86="qc",1.09,IF(Données!$J86="on",1.08,1))/$F47)</f>
        <v>0</v>
      </c>
      <c r="W47" s="207">
        <f>IF($F47=0,0,Facture!$T46*12*IF(Données!$J86="qc",1.09,IF(Données!$J86="on",1.08,1))/$F47)</f>
        <v>0</v>
      </c>
      <c r="X47" s="207">
        <f>IF($F47=0,0,(Facture!$AB46+Facture!$AD46+Facture!$AF46)*12*IF(Données!$J86="qc",1.09,IF(Données!$J86="on",1.08,1))/$F47)</f>
        <v>0</v>
      </c>
      <c r="Y47" s="207">
        <f>IF($F47=0,0,(Facture!$H46+Facture!$J46+Facture!$L46+Facture!$P46+Facture!$V46)*12*IF(Données!$J86="qc",1.09,IF(Données!$J86="on",1.08,1))/$F47)</f>
        <v>0</v>
      </c>
    </row>
    <row r="48" spans="1:25">
      <c r="A48" s="208">
        <f t="shared" si="12"/>
        <v>33</v>
      </c>
      <c r="B48" s="198" t="str">
        <f>CONCATENATE(Données!B87," ",Données!C87)</f>
        <v xml:space="preserve"> </v>
      </c>
      <c r="C48" s="199">
        <f>Données!D87</f>
        <v>0</v>
      </c>
      <c r="D48" s="200" t="str">
        <f>Données!AD87</f>
        <v/>
      </c>
      <c r="E48" s="349">
        <f t="shared" ref="E48:E79" si="13">IF($B48=" ",0,VLOOKUP($D48,taux,47))</f>
        <v>0</v>
      </c>
      <c r="F48" s="201">
        <f t="shared" si="1"/>
        <v>0</v>
      </c>
      <c r="G48" s="202">
        <f>IF($F48=0,0,Facture!AI47*12/F48)</f>
        <v>0</v>
      </c>
      <c r="H48" s="203" t="e">
        <f t="shared" ref="H48:H79" ca="1" si="14">IF(AND(VLOOKUP($D48,taux,14)="oui",VLOOKUP($D48,taux,19)="oui"),$G48*VLOOKUP($D48,taux,47),IF(AND(VLOOKUP($D48,taux,14)="non",VLOOKUP($D48,taux,19)="non"),MIN($G48*VLOOKUP($D48,taux,47),$G48-$V48-$W48),IF(AND(VLOOKUP($D48,taux,14)="oui",VLOOKUP($D48,taux,19)="non"),MIN($G48*VLOOKUP($D48,taux,47),$G48-$W48),IF(AND(VLOOKUP($D48,taux,14)="non",VLOOKUP($D48,taux,19)="oui"),MIN($G48*VLOOKUP($D48,taux,47),$G48-$V48),IF(VLOOKUP($D48,taux,14)="non",MIN($G48*VLOOKUP($D48,taux,47),$G48-$V48),IF(VLOOKUP($D48,taux,19)="non",MIN($G48*VLOOKUP($D48,taux,47),$G48-$W48),$G48*VLOOKUP($D48,taux,47)))))))-(I48*0.5)</f>
        <v>#N/A</v>
      </c>
      <c r="I48" s="203" t="e">
        <f ca="1">IF(F48=" ",0,Facture!J47*12/F48*1.09)</f>
        <v>#DIV/0!</v>
      </c>
      <c r="J48" s="204">
        <f t="shared" si="11"/>
        <v>0</v>
      </c>
      <c r="K48" s="345">
        <f t="shared" si="8"/>
        <v>0</v>
      </c>
      <c r="L48" s="205">
        <f t="shared" ref="L48:L79" si="15">MAX(MIN($J48-$T48-$S48-$M48,$Y48),0)</f>
        <v>0</v>
      </c>
      <c r="M48" s="205">
        <f t="shared" si="4"/>
        <v>0</v>
      </c>
      <c r="N48" s="353">
        <f t="shared" ref="N48:N79" si="16">MAX(MIN($J48-$T48-$S48-$M48,$Y48),0)</f>
        <v>0</v>
      </c>
      <c r="O48" s="356">
        <f t="shared" si="9"/>
        <v>0</v>
      </c>
      <c r="P48" s="357">
        <f t="shared" si="10"/>
        <v>0</v>
      </c>
      <c r="Q48" s="354">
        <f>IF($F48=0,0,(Facture!$R47+Facture!$T47)*12*IF(Données!$J87="qc",1.09,IF(Données!$J87="on",1.08,1))/$F48)</f>
        <v>0</v>
      </c>
      <c r="R48" s="206"/>
      <c r="S48" s="207">
        <f>MIN(IF($F48=0,0,(Facture!$W47)*12*(1+VLOOKUP($D48,taux,28))/$F48),$J48)</f>
        <v>0</v>
      </c>
      <c r="T48" s="207">
        <f t="shared" si="6"/>
        <v>0</v>
      </c>
      <c r="U48" s="206"/>
      <c r="V48" s="207">
        <f>IF($F48=0,0,Facture!$R47*12*IF(Données!$J87="qc",1.09,IF(Données!$J87="on",1.08,1))/$F48)</f>
        <v>0</v>
      </c>
      <c r="W48" s="207">
        <f>IF($F48=0,0,Facture!$T47*12*IF(Données!$J87="qc",1.09,IF(Données!$J87="on",1.08,1))/$F48)</f>
        <v>0</v>
      </c>
      <c r="X48" s="207">
        <f>IF($F48=0,0,(Facture!$AB47+Facture!$AD47+Facture!$AF47)*12*IF(Données!$J87="qc",1.09,IF(Données!$J87="on",1.08,1))/$F48)</f>
        <v>0</v>
      </c>
      <c r="Y48" s="207">
        <f>IF($F48=0,0,(Facture!$H47+Facture!$J47+Facture!$L47+Facture!$P47+Facture!$V47)*12*IF(Données!$J87="qc",1.09,IF(Données!$J87="on",1.08,1))/$F48)</f>
        <v>0</v>
      </c>
    </row>
    <row r="49" spans="1:25">
      <c r="A49" s="208">
        <f t="shared" si="12"/>
        <v>34</v>
      </c>
      <c r="B49" s="198" t="str">
        <f>CONCATENATE(Données!B88," ",Données!C88)</f>
        <v xml:space="preserve"> </v>
      </c>
      <c r="C49" s="199">
        <f>Données!D88</f>
        <v>0</v>
      </c>
      <c r="D49" s="200" t="str">
        <f>Données!AD88</f>
        <v/>
      </c>
      <c r="E49" s="349">
        <f t="shared" si="13"/>
        <v>0</v>
      </c>
      <c r="F49" s="201">
        <f t="shared" si="1"/>
        <v>0</v>
      </c>
      <c r="G49" s="202">
        <f>IF($F49=0,0,Facture!AI48*12/F49)</f>
        <v>0</v>
      </c>
      <c r="H49" s="203" t="e">
        <f t="shared" ca="1" si="14"/>
        <v>#N/A</v>
      </c>
      <c r="I49" s="203" t="e">
        <f ca="1">IF(F49=" ",0,Facture!J48*12/F49*1.09)</f>
        <v>#DIV/0!</v>
      </c>
      <c r="J49" s="204">
        <f t="shared" si="11"/>
        <v>0</v>
      </c>
      <c r="K49" s="345">
        <f t="shared" si="8"/>
        <v>0</v>
      </c>
      <c r="L49" s="205">
        <f t="shared" si="15"/>
        <v>0</v>
      </c>
      <c r="M49" s="205">
        <f t="shared" si="4"/>
        <v>0</v>
      </c>
      <c r="N49" s="353">
        <f t="shared" si="16"/>
        <v>0</v>
      </c>
      <c r="O49" s="356">
        <f t="shared" si="9"/>
        <v>0</v>
      </c>
      <c r="P49" s="357">
        <f t="shared" si="10"/>
        <v>0</v>
      </c>
      <c r="Q49" s="354">
        <f>IF($F49=0,0,(Facture!$R48+Facture!$T48)*12*IF(Données!$J88="qc",1.09,IF(Données!$J88="on",1.08,1))/$F49)</f>
        <v>0</v>
      </c>
      <c r="R49" s="206"/>
      <c r="S49" s="207">
        <f>MIN(IF($F49=0,0,(Facture!$W48)*12*(1+VLOOKUP($D49,taux,28))/$F49),$J49)</f>
        <v>0</v>
      </c>
      <c r="T49" s="207">
        <f t="shared" si="6"/>
        <v>0</v>
      </c>
      <c r="U49" s="206"/>
      <c r="V49" s="207">
        <f>IF($F49=0,0,Facture!$R48*12*IF(Données!$J88="qc",1.09,IF(Données!$J88="on",1.08,1))/$F49)</f>
        <v>0</v>
      </c>
      <c r="W49" s="207">
        <f>IF($F49=0,0,Facture!$T48*12*IF(Données!$J88="qc",1.09,IF(Données!$J88="on",1.08,1))/$F49)</f>
        <v>0</v>
      </c>
      <c r="X49" s="207">
        <f>IF($F49=0,0,(Facture!$AB48+Facture!$AD48+Facture!$AF48)*12*IF(Données!$J88="qc",1.09,IF(Données!$J88="on",1.08,1))/$F49)</f>
        <v>0</v>
      </c>
      <c r="Y49" s="207">
        <f>IF($F49=0,0,(Facture!$H48+Facture!$J48+Facture!$L48+Facture!$P48+Facture!$V48)*12*IF(Données!$J88="qc",1.09,IF(Données!$J88="on",1.08,1))/$F49)</f>
        <v>0</v>
      </c>
    </row>
    <row r="50" spans="1:25">
      <c r="A50" s="208">
        <f t="shared" si="12"/>
        <v>35</v>
      </c>
      <c r="B50" s="198" t="str">
        <f>CONCATENATE(Données!B89," ",Données!C89)</f>
        <v xml:space="preserve"> </v>
      </c>
      <c r="C50" s="199">
        <f>Données!D89</f>
        <v>0</v>
      </c>
      <c r="D50" s="200" t="str">
        <f>Données!AD89</f>
        <v/>
      </c>
      <c r="E50" s="349">
        <f t="shared" si="13"/>
        <v>0</v>
      </c>
      <c r="F50" s="201">
        <f t="shared" si="1"/>
        <v>0</v>
      </c>
      <c r="G50" s="202">
        <f>IF($F50=0,0,Facture!AI49*12/F50)</f>
        <v>0</v>
      </c>
      <c r="H50" s="203" t="e">
        <f t="shared" ca="1" si="14"/>
        <v>#N/A</v>
      </c>
      <c r="I50" s="203" t="e">
        <f ca="1">IF(F50=" ",0,Facture!J49*12/F50*1.09)</f>
        <v>#DIV/0!</v>
      </c>
      <c r="J50" s="204">
        <f t="shared" si="11"/>
        <v>0</v>
      </c>
      <c r="K50" s="345">
        <f t="shared" si="8"/>
        <v>0</v>
      </c>
      <c r="L50" s="205">
        <f t="shared" si="15"/>
        <v>0</v>
      </c>
      <c r="M50" s="205">
        <f t="shared" si="4"/>
        <v>0</v>
      </c>
      <c r="N50" s="353">
        <f t="shared" si="16"/>
        <v>0</v>
      </c>
      <c r="O50" s="356">
        <f t="shared" si="9"/>
        <v>0</v>
      </c>
      <c r="P50" s="357">
        <f t="shared" si="10"/>
        <v>0</v>
      </c>
      <c r="Q50" s="354">
        <f>IF($F50=0,0,(Facture!$R49+Facture!$T49)*12*IF(Données!$J89="qc",1.09,IF(Données!$J89="on",1.08,1))/$F50)</f>
        <v>0</v>
      </c>
      <c r="R50" s="206"/>
      <c r="S50" s="207">
        <f>MIN(IF($F50=0,0,(Facture!$W49)*12*(1+VLOOKUP($D50,taux,28))/$F50),$J50)</f>
        <v>0</v>
      </c>
      <c r="T50" s="207">
        <f t="shared" si="6"/>
        <v>0</v>
      </c>
      <c r="U50" s="206"/>
      <c r="V50" s="207">
        <f>IF($F50=0,0,Facture!$R49*12*IF(Données!$J89="qc",1.09,IF(Données!$J89="on",1.08,1))/$F50)</f>
        <v>0</v>
      </c>
      <c r="W50" s="207">
        <f>IF($F50=0,0,Facture!$T49*12*IF(Données!$J89="qc",1.09,IF(Données!$J89="on",1.08,1))/$F50)</f>
        <v>0</v>
      </c>
      <c r="X50" s="207">
        <f>IF($F50=0,0,(Facture!$AB49+Facture!$AD49+Facture!$AF49)*12*IF(Données!$J89="qc",1.09,IF(Données!$J89="on",1.08,1))/$F50)</f>
        <v>0</v>
      </c>
      <c r="Y50" s="207">
        <f>IF($F50=0,0,(Facture!$H49+Facture!$J49+Facture!$L49+Facture!$P49+Facture!$V49)*12*IF(Données!$J89="qc",1.09,IF(Données!$J89="on",1.08,1))/$F50)</f>
        <v>0</v>
      </c>
    </row>
    <row r="51" spans="1:25">
      <c r="A51" s="208">
        <f t="shared" si="12"/>
        <v>36</v>
      </c>
      <c r="B51" s="198" t="str">
        <f>CONCATENATE(Données!B90," ",Données!C90)</f>
        <v xml:space="preserve"> </v>
      </c>
      <c r="C51" s="199">
        <f>Données!D90</f>
        <v>0</v>
      </c>
      <c r="D51" s="200" t="str">
        <f>Données!AD90</f>
        <v/>
      </c>
      <c r="E51" s="349">
        <f t="shared" si="13"/>
        <v>0</v>
      </c>
      <c r="F51" s="201">
        <f t="shared" si="1"/>
        <v>0</v>
      </c>
      <c r="G51" s="202">
        <f>IF($F51=0,0,Facture!AI50*12/F51)</f>
        <v>0</v>
      </c>
      <c r="H51" s="203" t="e">
        <f t="shared" ca="1" si="14"/>
        <v>#N/A</v>
      </c>
      <c r="I51" s="203" t="e">
        <f ca="1">IF(F51=" ",0,Facture!J50*12/F51*1.09)</f>
        <v>#DIV/0!</v>
      </c>
      <c r="J51" s="204">
        <f t="shared" si="11"/>
        <v>0</v>
      </c>
      <c r="K51" s="345">
        <f t="shared" si="8"/>
        <v>0</v>
      </c>
      <c r="L51" s="205">
        <f t="shared" si="15"/>
        <v>0</v>
      </c>
      <c r="M51" s="205">
        <f t="shared" si="4"/>
        <v>0</v>
      </c>
      <c r="N51" s="353">
        <f t="shared" si="16"/>
        <v>0</v>
      </c>
      <c r="O51" s="356">
        <f t="shared" si="9"/>
        <v>0</v>
      </c>
      <c r="P51" s="357">
        <f t="shared" si="10"/>
        <v>0</v>
      </c>
      <c r="Q51" s="354">
        <f>IF($F51=0,0,(Facture!$R50+Facture!$T50)*12*IF(Données!$J90="qc",1.09,IF(Données!$J90="on",1.08,1))/$F51)</f>
        <v>0</v>
      </c>
      <c r="R51" s="206"/>
      <c r="S51" s="207">
        <f>MIN(IF($F51=0,0,(Facture!$W50)*12*(1+VLOOKUP($D51,taux,28))/$F51),$J51)</f>
        <v>0</v>
      </c>
      <c r="T51" s="207">
        <f t="shared" si="6"/>
        <v>0</v>
      </c>
      <c r="U51" s="206"/>
      <c r="V51" s="207">
        <f>IF($F51=0,0,Facture!$R50*12*IF(Données!$J90="qc",1.09,IF(Données!$J90="on",1.08,1))/$F51)</f>
        <v>0</v>
      </c>
      <c r="W51" s="207">
        <f>IF($F51=0,0,Facture!$T50*12*IF(Données!$J90="qc",1.09,IF(Données!$J90="on",1.08,1))/$F51)</f>
        <v>0</v>
      </c>
      <c r="X51" s="207">
        <f>IF($F51=0,0,(Facture!$AB50+Facture!$AD50+Facture!$AF50)*12*IF(Données!$J90="qc",1.09,IF(Données!$J90="on",1.08,1))/$F51)</f>
        <v>0</v>
      </c>
      <c r="Y51" s="207">
        <f>IF($F51=0,0,(Facture!$H50+Facture!$J50+Facture!$L50+Facture!$P50+Facture!$V50)*12*IF(Données!$J90="qc",1.09,IF(Données!$J90="on",1.08,1))/$F51)</f>
        <v>0</v>
      </c>
    </row>
    <row r="52" spans="1:25">
      <c r="A52" s="208">
        <f t="shared" si="12"/>
        <v>37</v>
      </c>
      <c r="B52" s="198" t="str">
        <f>CONCATENATE(Données!B91," ",Données!C91)</f>
        <v xml:space="preserve"> </v>
      </c>
      <c r="C52" s="199">
        <f>Données!D91</f>
        <v>0</v>
      </c>
      <c r="D52" s="200" t="str">
        <f>Données!AD91</f>
        <v/>
      </c>
      <c r="E52" s="349">
        <f t="shared" si="13"/>
        <v>0</v>
      </c>
      <c r="F52" s="201">
        <f t="shared" si="1"/>
        <v>0</v>
      </c>
      <c r="G52" s="202">
        <f>IF($F52=0,0,Facture!AI51*12/F52)</f>
        <v>0</v>
      </c>
      <c r="H52" s="203" t="e">
        <f t="shared" ca="1" si="14"/>
        <v>#N/A</v>
      </c>
      <c r="I52" s="203" t="e">
        <f ca="1">IF(F52=" ",0,Facture!J51*12/F52*1.09)</f>
        <v>#DIV/0!</v>
      </c>
      <c r="J52" s="204">
        <f t="shared" si="11"/>
        <v>0</v>
      </c>
      <c r="K52" s="345">
        <f t="shared" si="8"/>
        <v>0</v>
      </c>
      <c r="L52" s="205">
        <f t="shared" si="15"/>
        <v>0</v>
      </c>
      <c r="M52" s="205">
        <f t="shared" si="4"/>
        <v>0</v>
      </c>
      <c r="N52" s="353">
        <f t="shared" si="16"/>
        <v>0</v>
      </c>
      <c r="O52" s="356">
        <f t="shared" si="9"/>
        <v>0</v>
      </c>
      <c r="P52" s="357">
        <f t="shared" si="10"/>
        <v>0</v>
      </c>
      <c r="Q52" s="354">
        <f>IF($F52=0,0,(Facture!$R51+Facture!$T51)*12*IF(Données!$J91="qc",1.09,IF(Données!$J91="on",1.08,1))/$F52)</f>
        <v>0</v>
      </c>
      <c r="R52" s="206"/>
      <c r="S52" s="207">
        <f>MIN(IF($F52=0,0,(Facture!$W51)*12*(1+VLOOKUP($D52,taux,28))/$F52),$J52)</f>
        <v>0</v>
      </c>
      <c r="T52" s="207">
        <f t="shared" si="6"/>
        <v>0</v>
      </c>
      <c r="U52" s="206"/>
      <c r="V52" s="207">
        <f>IF($F52=0,0,Facture!$R51*12*IF(Données!$J91="qc",1.09,IF(Données!$J91="on",1.08,1))/$F52)</f>
        <v>0</v>
      </c>
      <c r="W52" s="207">
        <f>IF($F52=0,0,Facture!$T51*12*IF(Données!$J91="qc",1.09,IF(Données!$J91="on",1.08,1))/$F52)</f>
        <v>0</v>
      </c>
      <c r="X52" s="207">
        <f>IF($F52=0,0,(Facture!$AB51+Facture!$AD51+Facture!$AF51)*12*IF(Données!$J91="qc",1.09,IF(Données!$J91="on",1.08,1))/$F52)</f>
        <v>0</v>
      </c>
      <c r="Y52" s="207">
        <f>IF($F52=0,0,(Facture!$H51+Facture!$J51+Facture!$L51+Facture!$P51+Facture!$V51)*12*IF(Données!$J91="qc",1.09,IF(Données!$J91="on",1.08,1))/$F52)</f>
        <v>0</v>
      </c>
    </row>
    <row r="53" spans="1:25">
      <c r="A53" s="208">
        <f t="shared" si="12"/>
        <v>38</v>
      </c>
      <c r="B53" s="198" t="str">
        <f>CONCATENATE(Données!B92," ",Données!C92)</f>
        <v xml:space="preserve"> </v>
      </c>
      <c r="C53" s="199">
        <f>Données!D92</f>
        <v>0</v>
      </c>
      <c r="D53" s="200" t="str">
        <f>Données!AD92</f>
        <v/>
      </c>
      <c r="E53" s="349">
        <f t="shared" si="13"/>
        <v>0</v>
      </c>
      <c r="F53" s="201">
        <f t="shared" si="1"/>
        <v>0</v>
      </c>
      <c r="G53" s="202">
        <f>IF($F53=0,0,Facture!AI52*12/F53)</f>
        <v>0</v>
      </c>
      <c r="H53" s="203" t="e">
        <f t="shared" ca="1" si="14"/>
        <v>#N/A</v>
      </c>
      <c r="I53" s="203" t="e">
        <f ca="1">IF(F53=" ",0,Facture!J52*12/F53*1.09)</f>
        <v>#DIV/0!</v>
      </c>
      <c r="J53" s="204">
        <f t="shared" si="11"/>
        <v>0</v>
      </c>
      <c r="K53" s="345">
        <f t="shared" si="8"/>
        <v>0</v>
      </c>
      <c r="L53" s="205">
        <f t="shared" si="15"/>
        <v>0</v>
      </c>
      <c r="M53" s="205">
        <f t="shared" si="4"/>
        <v>0</v>
      </c>
      <c r="N53" s="353">
        <f t="shared" si="16"/>
        <v>0</v>
      </c>
      <c r="O53" s="356">
        <f t="shared" si="9"/>
        <v>0</v>
      </c>
      <c r="P53" s="357">
        <f t="shared" si="10"/>
        <v>0</v>
      </c>
      <c r="Q53" s="354">
        <f>IF($F53=0,0,(Facture!$R52+Facture!$T52)*12*IF(Données!$J92="qc",1.09,IF(Données!$J92="on",1.08,1))/$F53)</f>
        <v>0</v>
      </c>
      <c r="R53" s="206"/>
      <c r="S53" s="207">
        <f>MIN(IF($F53=0,0,(Facture!$W52)*12*(1+VLOOKUP($D53,taux,28))/$F53),$J53)</f>
        <v>0</v>
      </c>
      <c r="T53" s="207">
        <f t="shared" si="6"/>
        <v>0</v>
      </c>
      <c r="U53" s="206"/>
      <c r="V53" s="207">
        <f>IF($F53=0,0,Facture!$R52*12*IF(Données!$J92="qc",1.09,IF(Données!$J92="on",1.08,1))/$F53)</f>
        <v>0</v>
      </c>
      <c r="W53" s="207">
        <f>IF($F53=0,0,Facture!$T52*12*IF(Données!$J92="qc",1.09,IF(Données!$J92="on",1.08,1))/$F53)</f>
        <v>0</v>
      </c>
      <c r="X53" s="207">
        <f>IF($F53=0,0,(Facture!$AB52+Facture!$AD52+Facture!$AF52)*12*IF(Données!$J92="qc",1.09,IF(Données!$J92="on",1.08,1))/$F53)</f>
        <v>0</v>
      </c>
      <c r="Y53" s="207">
        <f>IF($F53=0,0,(Facture!$H52+Facture!$J52+Facture!$L52+Facture!$P52+Facture!$V52)*12*IF(Données!$J92="qc",1.09,IF(Données!$J92="on",1.08,1))/$F53)</f>
        <v>0</v>
      </c>
    </row>
    <row r="54" spans="1:25">
      <c r="A54" s="208">
        <f t="shared" si="12"/>
        <v>39</v>
      </c>
      <c r="B54" s="198" t="str">
        <f>CONCATENATE(Données!B93," ",Données!C93)</f>
        <v xml:space="preserve"> </v>
      </c>
      <c r="C54" s="199">
        <f>Données!D93</f>
        <v>0</v>
      </c>
      <c r="D54" s="200" t="str">
        <f>Données!AD93</f>
        <v/>
      </c>
      <c r="E54" s="349">
        <f t="shared" si="13"/>
        <v>0</v>
      </c>
      <c r="F54" s="201">
        <f t="shared" si="1"/>
        <v>0</v>
      </c>
      <c r="G54" s="202">
        <f>IF($F54=0,0,Facture!AI53*12/F54)</f>
        <v>0</v>
      </c>
      <c r="H54" s="203" t="e">
        <f t="shared" ca="1" si="14"/>
        <v>#N/A</v>
      </c>
      <c r="I54" s="203" t="e">
        <f ca="1">IF(F54=" ",0,Facture!J53*12/F54*1.09)</f>
        <v>#DIV/0!</v>
      </c>
      <c r="J54" s="204">
        <f t="shared" si="11"/>
        <v>0</v>
      </c>
      <c r="K54" s="345">
        <f t="shared" si="8"/>
        <v>0</v>
      </c>
      <c r="L54" s="205">
        <f t="shared" si="15"/>
        <v>0</v>
      </c>
      <c r="M54" s="205">
        <f t="shared" si="4"/>
        <v>0</v>
      </c>
      <c r="N54" s="353">
        <f t="shared" si="16"/>
        <v>0</v>
      </c>
      <c r="O54" s="356">
        <f t="shared" si="9"/>
        <v>0</v>
      </c>
      <c r="P54" s="357">
        <f t="shared" si="10"/>
        <v>0</v>
      </c>
      <c r="Q54" s="354">
        <f>IF($F54=0,0,(Facture!$R53+Facture!$T53)*12*IF(Données!$J93="qc",1.09,IF(Données!$J93="on",1.08,1))/$F54)</f>
        <v>0</v>
      </c>
      <c r="R54" s="206"/>
      <c r="S54" s="207">
        <f>MIN(IF($F54=0,0,(Facture!$W53)*12*(1+VLOOKUP($D54,taux,28))/$F54),$J54)</f>
        <v>0</v>
      </c>
      <c r="T54" s="207">
        <f t="shared" si="6"/>
        <v>0</v>
      </c>
      <c r="U54" s="206"/>
      <c r="V54" s="207">
        <f>IF($F54=0,0,Facture!$R53*12*IF(Données!$J93="qc",1.09,IF(Données!$J93="on",1.08,1))/$F54)</f>
        <v>0</v>
      </c>
      <c r="W54" s="207">
        <f>IF($F54=0,0,Facture!$T53*12*IF(Données!$J93="qc",1.09,IF(Données!$J93="on",1.08,1))/$F54)</f>
        <v>0</v>
      </c>
      <c r="X54" s="207">
        <f>IF($F54=0,0,(Facture!$AB53+Facture!$AD53+Facture!$AF53)*12*IF(Données!$J93="qc",1.09,IF(Données!$J93="on",1.08,1))/$F54)</f>
        <v>0</v>
      </c>
      <c r="Y54" s="207">
        <f>IF($F54=0,0,(Facture!$H53+Facture!$J53+Facture!$L53+Facture!$P53+Facture!$V53)*12*IF(Données!$J93="qc",1.09,IF(Données!$J93="on",1.08,1))/$F54)</f>
        <v>0</v>
      </c>
    </row>
    <row r="55" spans="1:25">
      <c r="A55" s="208">
        <f t="shared" si="12"/>
        <v>40</v>
      </c>
      <c r="B55" s="198" t="str">
        <f>CONCATENATE(Données!B94," ",Données!C94)</f>
        <v xml:space="preserve"> </v>
      </c>
      <c r="C55" s="199">
        <f>Données!D94</f>
        <v>0</v>
      </c>
      <c r="D55" s="200" t="str">
        <f>Données!AD94</f>
        <v/>
      </c>
      <c r="E55" s="349">
        <f t="shared" si="13"/>
        <v>0</v>
      </c>
      <c r="F55" s="201">
        <f t="shared" si="1"/>
        <v>0</v>
      </c>
      <c r="G55" s="202">
        <f>IF($F55=0,0,Facture!AI54*12/F55)</f>
        <v>0</v>
      </c>
      <c r="H55" s="203" t="e">
        <f t="shared" ca="1" si="14"/>
        <v>#N/A</v>
      </c>
      <c r="I55" s="203" t="e">
        <f ca="1">IF(F55=" ",0,Facture!J54*12/F55*1.09)</f>
        <v>#DIV/0!</v>
      </c>
      <c r="J55" s="204">
        <f t="shared" si="11"/>
        <v>0</v>
      </c>
      <c r="K55" s="345">
        <f t="shared" si="8"/>
        <v>0</v>
      </c>
      <c r="L55" s="205">
        <f t="shared" si="15"/>
        <v>0</v>
      </c>
      <c r="M55" s="205">
        <f t="shared" si="4"/>
        <v>0</v>
      </c>
      <c r="N55" s="353">
        <f t="shared" si="16"/>
        <v>0</v>
      </c>
      <c r="O55" s="356">
        <f t="shared" si="9"/>
        <v>0</v>
      </c>
      <c r="P55" s="357">
        <f t="shared" si="10"/>
        <v>0</v>
      </c>
      <c r="Q55" s="354">
        <f>IF($F55=0,0,(Facture!$R54+Facture!$T54)*12*IF(Données!$J94="qc",1.09,IF(Données!$J94="on",1.08,1))/$F55)</f>
        <v>0</v>
      </c>
      <c r="R55" s="206"/>
      <c r="S55" s="207">
        <f>MIN(IF($F55=0,0,(Facture!$W54)*12*(1+VLOOKUP($D55,taux,28))/$F55),$J55)</f>
        <v>0</v>
      </c>
      <c r="T55" s="207">
        <f t="shared" si="6"/>
        <v>0</v>
      </c>
      <c r="U55" s="206"/>
      <c r="V55" s="207">
        <f>IF($F55=0,0,Facture!$R54*12*IF(Données!$J94="qc",1.09,IF(Données!$J94="on",1.08,1))/$F55)</f>
        <v>0</v>
      </c>
      <c r="W55" s="207">
        <f>IF($F55=0,0,Facture!$T54*12*IF(Données!$J94="qc",1.09,IF(Données!$J94="on",1.08,1))/$F55)</f>
        <v>0</v>
      </c>
      <c r="X55" s="207">
        <f>IF($F55=0,0,(Facture!$AB54+Facture!$AD54+Facture!$AF54)*12*IF(Données!$J94="qc",1.09,IF(Données!$J94="on",1.08,1))/$F55)</f>
        <v>0</v>
      </c>
      <c r="Y55" s="207">
        <f>IF($F55=0,0,(Facture!$H54+Facture!$J54+Facture!$L54+Facture!$P54+Facture!$V54)*12*IF(Données!$J94="qc",1.09,IF(Données!$J94="on",1.08,1))/$F55)</f>
        <v>0</v>
      </c>
    </row>
    <row r="56" spans="1:25">
      <c r="A56" s="208">
        <f t="shared" si="12"/>
        <v>41</v>
      </c>
      <c r="B56" s="198" t="str">
        <f>CONCATENATE(Données!B95," ",Données!C95)</f>
        <v xml:space="preserve"> </v>
      </c>
      <c r="C56" s="199">
        <f>Données!D95</f>
        <v>0</v>
      </c>
      <c r="D56" s="200" t="str">
        <f>Données!AD95</f>
        <v/>
      </c>
      <c r="E56" s="349">
        <f t="shared" si="13"/>
        <v>0</v>
      </c>
      <c r="F56" s="201">
        <f t="shared" si="1"/>
        <v>0</v>
      </c>
      <c r="G56" s="202">
        <f>IF($F56=0,0,Facture!AI55*12/F56)</f>
        <v>0</v>
      </c>
      <c r="H56" s="203" t="e">
        <f t="shared" ca="1" si="14"/>
        <v>#N/A</v>
      </c>
      <c r="I56" s="203" t="e">
        <f ca="1">IF(F56=" ",0,Facture!J55*12/F56*1.09)</f>
        <v>#DIV/0!</v>
      </c>
      <c r="J56" s="204">
        <f t="shared" si="11"/>
        <v>0</v>
      </c>
      <c r="K56" s="345">
        <f t="shared" si="8"/>
        <v>0</v>
      </c>
      <c r="L56" s="205">
        <f t="shared" si="15"/>
        <v>0</v>
      </c>
      <c r="M56" s="205">
        <f t="shared" si="4"/>
        <v>0</v>
      </c>
      <c r="N56" s="353">
        <f t="shared" si="16"/>
        <v>0</v>
      </c>
      <c r="O56" s="356">
        <f t="shared" si="9"/>
        <v>0</v>
      </c>
      <c r="P56" s="357">
        <f t="shared" si="10"/>
        <v>0</v>
      </c>
      <c r="Q56" s="354">
        <f>IF($F56=0,0,(Facture!$R55+Facture!$T55)*12*IF(Données!$J95="qc",1.09,IF(Données!$J95="on",1.08,1))/$F56)</f>
        <v>0</v>
      </c>
      <c r="R56" s="206"/>
      <c r="S56" s="207">
        <f>MIN(IF($F56=0,0,(Facture!$W55)*12*(1+VLOOKUP($D56,taux,28))/$F56),$J56)</f>
        <v>0</v>
      </c>
      <c r="T56" s="207">
        <f t="shared" si="6"/>
        <v>0</v>
      </c>
      <c r="U56" s="206"/>
      <c r="V56" s="207">
        <f>IF($F56=0,0,Facture!$R55*12*IF(Données!$J95="qc",1.09,IF(Données!$J95="on",1.08,1))/$F56)</f>
        <v>0</v>
      </c>
      <c r="W56" s="207">
        <f>IF($F56=0,0,Facture!$T55*12*IF(Données!$J95="qc",1.09,IF(Données!$J95="on",1.08,1))/$F56)</f>
        <v>0</v>
      </c>
      <c r="X56" s="207">
        <f>IF($F56=0,0,(Facture!$AB55+Facture!$AD55+Facture!$AF55)*12*IF(Données!$J95="qc",1.09,IF(Données!$J95="on",1.08,1))/$F56)</f>
        <v>0</v>
      </c>
      <c r="Y56" s="207">
        <f>IF($F56=0,0,(Facture!$H55+Facture!$J55+Facture!$L55+Facture!$P55+Facture!$V55)*12*IF(Données!$J95="qc",1.09,IF(Données!$J95="on",1.08,1))/$F56)</f>
        <v>0</v>
      </c>
    </row>
    <row r="57" spans="1:25">
      <c r="A57" s="208">
        <f t="shared" si="12"/>
        <v>42</v>
      </c>
      <c r="B57" s="198" t="str">
        <f>CONCATENATE(Données!B96," ",Données!C96)</f>
        <v xml:space="preserve"> </v>
      </c>
      <c r="C57" s="199">
        <f>Données!D96</f>
        <v>0</v>
      </c>
      <c r="D57" s="200" t="str">
        <f>Données!AD96</f>
        <v/>
      </c>
      <c r="E57" s="349">
        <f t="shared" si="13"/>
        <v>0</v>
      </c>
      <c r="F57" s="201">
        <f t="shared" si="1"/>
        <v>0</v>
      </c>
      <c r="G57" s="202">
        <f>IF($F57=0,0,Facture!AI56*12/F57)</f>
        <v>0</v>
      </c>
      <c r="H57" s="203" t="e">
        <f t="shared" ca="1" si="14"/>
        <v>#N/A</v>
      </c>
      <c r="I57" s="203" t="e">
        <f ca="1">IF(F57=" ",0,Facture!J56*12/F57*1.09)</f>
        <v>#DIV/0!</v>
      </c>
      <c r="J57" s="204">
        <f t="shared" si="11"/>
        <v>0</v>
      </c>
      <c r="K57" s="345">
        <f t="shared" si="8"/>
        <v>0</v>
      </c>
      <c r="L57" s="205">
        <f t="shared" si="15"/>
        <v>0</v>
      </c>
      <c r="M57" s="205">
        <f t="shared" si="4"/>
        <v>0</v>
      </c>
      <c r="N57" s="353">
        <f t="shared" si="16"/>
        <v>0</v>
      </c>
      <c r="O57" s="356">
        <f t="shared" si="9"/>
        <v>0</v>
      </c>
      <c r="P57" s="357">
        <f t="shared" si="10"/>
        <v>0</v>
      </c>
      <c r="Q57" s="354">
        <f>IF($F57=0,0,(Facture!$R56+Facture!$T56)*12*IF(Données!$J96="qc",1.09,IF(Données!$J96="on",1.08,1))/$F57)</f>
        <v>0</v>
      </c>
      <c r="R57" s="206"/>
      <c r="S57" s="207">
        <f>MIN(IF($F57=0,0,(Facture!$W56)*12*(1+VLOOKUP($D57,taux,28))/$F57),$J57)</f>
        <v>0</v>
      </c>
      <c r="T57" s="207">
        <f t="shared" si="6"/>
        <v>0</v>
      </c>
      <c r="U57" s="206"/>
      <c r="V57" s="207">
        <f>IF($F57=0,0,Facture!$R56*12*IF(Données!$J96="qc",1.09,IF(Données!$J96="on",1.08,1))/$F57)</f>
        <v>0</v>
      </c>
      <c r="W57" s="207">
        <f>IF($F57=0,0,Facture!$T56*12*IF(Données!$J96="qc",1.09,IF(Données!$J96="on",1.08,1))/$F57)</f>
        <v>0</v>
      </c>
      <c r="X57" s="207">
        <f>IF($F57=0,0,(Facture!$AB56+Facture!$AD56+Facture!$AF56)*12*IF(Données!$J96="qc",1.09,IF(Données!$J96="on",1.08,1))/$F57)</f>
        <v>0</v>
      </c>
      <c r="Y57" s="207">
        <f>IF($F57=0,0,(Facture!$H56+Facture!$J56+Facture!$L56+Facture!$P56+Facture!$V56)*12*IF(Données!$J96="qc",1.09,IF(Données!$J96="on",1.08,1))/$F57)</f>
        <v>0</v>
      </c>
    </row>
    <row r="58" spans="1:25">
      <c r="A58" s="208">
        <f t="shared" si="12"/>
        <v>43</v>
      </c>
      <c r="B58" s="198" t="str">
        <f>CONCATENATE(Données!B97," ",Données!C97)</f>
        <v xml:space="preserve"> </v>
      </c>
      <c r="C58" s="199">
        <f>Données!D97</f>
        <v>0</v>
      </c>
      <c r="D58" s="200" t="str">
        <f>Données!AD97</f>
        <v/>
      </c>
      <c r="E58" s="349">
        <f t="shared" si="13"/>
        <v>0</v>
      </c>
      <c r="F58" s="201">
        <f t="shared" si="1"/>
        <v>0</v>
      </c>
      <c r="G58" s="202">
        <f>IF($F58=0,0,Facture!AI57*12/F58)</f>
        <v>0</v>
      </c>
      <c r="H58" s="203" t="e">
        <f t="shared" ca="1" si="14"/>
        <v>#N/A</v>
      </c>
      <c r="I58" s="203" t="e">
        <f ca="1">IF(F58=" ",0,Facture!J57*12/F58*1.09)</f>
        <v>#DIV/0!</v>
      </c>
      <c r="J58" s="204">
        <f t="shared" si="11"/>
        <v>0</v>
      </c>
      <c r="K58" s="345">
        <f t="shared" si="8"/>
        <v>0</v>
      </c>
      <c r="L58" s="205">
        <f t="shared" si="15"/>
        <v>0</v>
      </c>
      <c r="M58" s="205">
        <f t="shared" si="4"/>
        <v>0</v>
      </c>
      <c r="N58" s="353">
        <f t="shared" si="16"/>
        <v>0</v>
      </c>
      <c r="O58" s="356">
        <f t="shared" si="9"/>
        <v>0</v>
      </c>
      <c r="P58" s="357">
        <f t="shared" si="10"/>
        <v>0</v>
      </c>
      <c r="Q58" s="354">
        <f>IF($F58=0,0,(Facture!$R57+Facture!$T57)*12*IF(Données!$J97="qc",1.09,IF(Données!$J97="on",1.08,1))/$F58)</f>
        <v>0</v>
      </c>
      <c r="R58" s="206"/>
      <c r="S58" s="207">
        <f>MIN(IF($F58=0,0,(Facture!$W57)*12*(1+VLOOKUP($D58,taux,28))/$F58),$J58)</f>
        <v>0</v>
      </c>
      <c r="T58" s="207">
        <f t="shared" si="6"/>
        <v>0</v>
      </c>
      <c r="U58" s="206"/>
      <c r="V58" s="207">
        <f>IF($F58=0,0,Facture!$R57*12*IF(Données!$J97="qc",1.09,IF(Données!$J97="on",1.08,1))/$F58)</f>
        <v>0</v>
      </c>
      <c r="W58" s="207">
        <f>IF($F58=0,0,Facture!$T57*12*IF(Données!$J97="qc",1.09,IF(Données!$J97="on",1.08,1))/$F58)</f>
        <v>0</v>
      </c>
      <c r="X58" s="207">
        <f>IF($F58=0,0,(Facture!$AB57+Facture!$AD57+Facture!$AF57)*12*IF(Données!$J97="qc",1.09,IF(Données!$J97="on",1.08,1))/$F58)</f>
        <v>0</v>
      </c>
      <c r="Y58" s="207">
        <f>IF($F58=0,0,(Facture!$H57+Facture!$J57+Facture!$L57+Facture!$P57+Facture!$V57)*12*IF(Données!$J97="qc",1.09,IF(Données!$J97="on",1.08,1))/$F58)</f>
        <v>0</v>
      </c>
    </row>
    <row r="59" spans="1:25">
      <c r="A59" s="208">
        <f t="shared" si="12"/>
        <v>44</v>
      </c>
      <c r="B59" s="198" t="str">
        <f>CONCATENATE(Données!B98," ",Données!C98)</f>
        <v xml:space="preserve"> </v>
      </c>
      <c r="C59" s="199">
        <f>Données!D98</f>
        <v>0</v>
      </c>
      <c r="D59" s="200" t="str">
        <f>Données!AD98</f>
        <v/>
      </c>
      <c r="E59" s="349">
        <f t="shared" si="13"/>
        <v>0</v>
      </c>
      <c r="F59" s="201">
        <f t="shared" si="1"/>
        <v>0</v>
      </c>
      <c r="G59" s="202">
        <f>IF($F59=0,0,Facture!AI58*12/F59)</f>
        <v>0</v>
      </c>
      <c r="H59" s="203" t="e">
        <f t="shared" ca="1" si="14"/>
        <v>#N/A</v>
      </c>
      <c r="I59" s="203" t="e">
        <f ca="1">IF(F59=" ",0,Facture!J58*12/F59*1.09)</f>
        <v>#DIV/0!</v>
      </c>
      <c r="J59" s="204">
        <f t="shared" si="11"/>
        <v>0</v>
      </c>
      <c r="K59" s="345">
        <f t="shared" si="8"/>
        <v>0</v>
      </c>
      <c r="L59" s="205">
        <f t="shared" si="15"/>
        <v>0</v>
      </c>
      <c r="M59" s="205">
        <f t="shared" si="4"/>
        <v>0</v>
      </c>
      <c r="N59" s="353">
        <f t="shared" si="16"/>
        <v>0</v>
      </c>
      <c r="O59" s="356">
        <f t="shared" si="9"/>
        <v>0</v>
      </c>
      <c r="P59" s="357">
        <f t="shared" si="10"/>
        <v>0</v>
      </c>
      <c r="Q59" s="354">
        <f>IF($F59=0,0,(Facture!$R58+Facture!$T58)*12*IF(Données!$J98="qc",1.09,IF(Données!$J98="on",1.08,1))/$F59)</f>
        <v>0</v>
      </c>
      <c r="R59" s="206"/>
      <c r="S59" s="207">
        <f>MIN(IF($F59=0,0,(Facture!$W58)*12*(1+VLOOKUP($D59,taux,28))/$F59),$J59)</f>
        <v>0</v>
      </c>
      <c r="T59" s="207">
        <f t="shared" si="6"/>
        <v>0</v>
      </c>
      <c r="U59" s="206"/>
      <c r="V59" s="207">
        <f>IF($F59=0,0,Facture!$R58*12*IF(Données!$J98="qc",1.09,IF(Données!$J98="on",1.08,1))/$F59)</f>
        <v>0</v>
      </c>
      <c r="W59" s="207">
        <f>IF($F59=0,0,Facture!$T58*12*IF(Données!$J98="qc",1.09,IF(Données!$J98="on",1.08,1))/$F59)</f>
        <v>0</v>
      </c>
      <c r="X59" s="207">
        <f>IF($F59=0,0,(Facture!$AB58+Facture!$AD58+Facture!$AF58)*12*IF(Données!$J98="qc",1.09,IF(Données!$J98="on",1.08,1))/$F59)</f>
        <v>0</v>
      </c>
      <c r="Y59" s="207">
        <f>IF($F59=0,0,(Facture!$H58+Facture!$J58+Facture!$L58+Facture!$P58+Facture!$V58)*12*IF(Données!$J98="qc",1.09,IF(Données!$J98="on",1.08,1))/$F59)</f>
        <v>0</v>
      </c>
    </row>
    <row r="60" spans="1:25">
      <c r="A60" s="208">
        <f t="shared" si="12"/>
        <v>45</v>
      </c>
      <c r="B60" s="198" t="str">
        <f>CONCATENATE(Données!B99," ",Données!C99)</f>
        <v xml:space="preserve"> </v>
      </c>
      <c r="C60" s="199">
        <f>Données!D99</f>
        <v>0</v>
      </c>
      <c r="D60" s="200" t="str">
        <f>Données!AD99</f>
        <v/>
      </c>
      <c r="E60" s="349">
        <f t="shared" si="13"/>
        <v>0</v>
      </c>
      <c r="F60" s="201">
        <f t="shared" si="1"/>
        <v>0</v>
      </c>
      <c r="G60" s="202">
        <f>IF($F60=0,0,Facture!AI59*12/F60)</f>
        <v>0</v>
      </c>
      <c r="H60" s="203" t="e">
        <f t="shared" ca="1" si="14"/>
        <v>#N/A</v>
      </c>
      <c r="I60" s="203" t="e">
        <f ca="1">IF(F60=" ",0,Facture!J59*12/F60*1.09)</f>
        <v>#DIV/0!</v>
      </c>
      <c r="J60" s="204">
        <f t="shared" si="11"/>
        <v>0</v>
      </c>
      <c r="K60" s="345">
        <f t="shared" si="8"/>
        <v>0</v>
      </c>
      <c r="L60" s="205">
        <f t="shared" si="15"/>
        <v>0</v>
      </c>
      <c r="M60" s="205">
        <f t="shared" si="4"/>
        <v>0</v>
      </c>
      <c r="N60" s="353">
        <f t="shared" si="16"/>
        <v>0</v>
      </c>
      <c r="O60" s="356">
        <f t="shared" si="9"/>
        <v>0</v>
      </c>
      <c r="P60" s="357">
        <f t="shared" si="10"/>
        <v>0</v>
      </c>
      <c r="Q60" s="354">
        <f>IF($F60=0,0,(Facture!$R59+Facture!$T59)*12*IF(Données!$J99="qc",1.09,IF(Données!$J99="on",1.08,1))/$F60)</f>
        <v>0</v>
      </c>
      <c r="R60" s="206"/>
      <c r="S60" s="207">
        <f>MIN(IF($F60=0,0,(Facture!$W59)*12*(1+VLOOKUP($D60,taux,28))/$F60),$J60)</f>
        <v>0</v>
      </c>
      <c r="T60" s="207">
        <f t="shared" si="6"/>
        <v>0</v>
      </c>
      <c r="U60" s="206"/>
      <c r="V60" s="207">
        <f>IF($F60=0,0,Facture!$R59*12*IF(Données!$J99="qc",1.09,IF(Données!$J99="on",1.08,1))/$F60)</f>
        <v>0</v>
      </c>
      <c r="W60" s="207">
        <f>IF($F60=0,0,Facture!$T59*12*IF(Données!$J99="qc",1.09,IF(Données!$J99="on",1.08,1))/$F60)</f>
        <v>0</v>
      </c>
      <c r="X60" s="207">
        <f>IF($F60=0,0,(Facture!$AB59+Facture!$AD59+Facture!$AF59)*12*IF(Données!$J99="qc",1.09,IF(Données!$J99="on",1.08,1))/$F60)</f>
        <v>0</v>
      </c>
      <c r="Y60" s="207">
        <f>IF($F60=0,0,(Facture!$H59+Facture!$J59+Facture!$L59+Facture!$P59+Facture!$V59)*12*IF(Données!$J99="qc",1.09,IF(Données!$J99="on",1.08,1))/$F60)</f>
        <v>0</v>
      </c>
    </row>
    <row r="61" spans="1:25">
      <c r="A61" s="208">
        <f t="shared" si="12"/>
        <v>46</v>
      </c>
      <c r="B61" s="198" t="str">
        <f>CONCATENATE(Données!B100," ",Données!C100)</f>
        <v xml:space="preserve"> </v>
      </c>
      <c r="C61" s="199">
        <f>Données!D100</f>
        <v>0</v>
      </c>
      <c r="D61" s="200" t="str">
        <f>Données!AD100</f>
        <v/>
      </c>
      <c r="E61" s="349">
        <f t="shared" si="13"/>
        <v>0</v>
      </c>
      <c r="F61" s="201">
        <f t="shared" si="1"/>
        <v>0</v>
      </c>
      <c r="G61" s="202">
        <f>IF($F61=0,0,Facture!AI60*12/F61)</f>
        <v>0</v>
      </c>
      <c r="H61" s="203" t="e">
        <f t="shared" ca="1" si="14"/>
        <v>#N/A</v>
      </c>
      <c r="I61" s="203" t="e">
        <f ca="1">IF(F61=" ",0,Facture!J60*12/F61*1.09)</f>
        <v>#DIV/0!</v>
      </c>
      <c r="J61" s="204">
        <f t="shared" si="11"/>
        <v>0</v>
      </c>
      <c r="K61" s="345">
        <f t="shared" si="8"/>
        <v>0</v>
      </c>
      <c r="L61" s="205">
        <f t="shared" si="15"/>
        <v>0</v>
      </c>
      <c r="M61" s="205">
        <f t="shared" si="4"/>
        <v>0</v>
      </c>
      <c r="N61" s="353">
        <f t="shared" si="16"/>
        <v>0</v>
      </c>
      <c r="O61" s="356">
        <f t="shared" si="9"/>
        <v>0</v>
      </c>
      <c r="P61" s="357">
        <f t="shared" si="10"/>
        <v>0</v>
      </c>
      <c r="Q61" s="354">
        <f>IF($F61=0,0,(Facture!$R60+Facture!$T60)*12*IF(Données!$J100="qc",1.09,IF(Données!$J100="on",1.08,1))/$F61)</f>
        <v>0</v>
      </c>
      <c r="R61" s="206"/>
      <c r="S61" s="207">
        <f>MIN(IF($F61=0,0,(Facture!$W60)*12*(1+VLOOKUP($D61,taux,28))/$F61),$J61)</f>
        <v>0</v>
      </c>
      <c r="T61" s="207">
        <f t="shared" si="6"/>
        <v>0</v>
      </c>
      <c r="U61" s="206"/>
      <c r="V61" s="207">
        <f>IF($F61=0,0,Facture!$R60*12*IF(Données!$J100="qc",1.09,IF(Données!$J100="on",1.08,1))/$F61)</f>
        <v>0</v>
      </c>
      <c r="W61" s="207">
        <f>IF($F61=0,0,Facture!$T60*12*IF(Données!$J100="qc",1.09,IF(Données!$J100="on",1.08,1))/$F61)</f>
        <v>0</v>
      </c>
      <c r="X61" s="207">
        <f>IF($F61=0,0,(Facture!$AB60+Facture!$AD60+Facture!$AF60)*12*IF(Données!$J100="qc",1.09,IF(Données!$J100="on",1.08,1))/$F61)</f>
        <v>0</v>
      </c>
      <c r="Y61" s="207">
        <f>IF($F61=0,0,(Facture!$H60+Facture!$J60+Facture!$L60+Facture!$P60+Facture!$V60)*12*IF(Données!$J100="qc",1.09,IF(Données!$J100="on",1.08,1))/$F61)</f>
        <v>0</v>
      </c>
    </row>
    <row r="62" spans="1:25">
      <c r="A62" s="208">
        <f t="shared" si="12"/>
        <v>47</v>
      </c>
      <c r="B62" s="198" t="str">
        <f>CONCATENATE(Données!B101," ",Données!C101)</f>
        <v xml:space="preserve"> </v>
      </c>
      <c r="C62" s="199">
        <f>Données!D101</f>
        <v>0</v>
      </c>
      <c r="D62" s="200" t="str">
        <f>Données!AD101</f>
        <v/>
      </c>
      <c r="E62" s="349">
        <f t="shared" si="13"/>
        <v>0</v>
      </c>
      <c r="F62" s="201">
        <f t="shared" si="1"/>
        <v>0</v>
      </c>
      <c r="G62" s="202">
        <f>IF($F62=0,0,Facture!AI61*12/F62)</f>
        <v>0</v>
      </c>
      <c r="H62" s="203" t="e">
        <f t="shared" ca="1" si="14"/>
        <v>#N/A</v>
      </c>
      <c r="I62" s="203" t="e">
        <f ca="1">IF(F62=" ",0,Facture!J61*12/F62*1.09)</f>
        <v>#DIV/0!</v>
      </c>
      <c r="J62" s="204">
        <f t="shared" si="11"/>
        <v>0</v>
      </c>
      <c r="K62" s="345">
        <f t="shared" si="8"/>
        <v>0</v>
      </c>
      <c r="L62" s="205">
        <f t="shared" si="15"/>
        <v>0</v>
      </c>
      <c r="M62" s="205">
        <f t="shared" si="4"/>
        <v>0</v>
      </c>
      <c r="N62" s="353">
        <f t="shared" si="16"/>
        <v>0</v>
      </c>
      <c r="O62" s="356">
        <f t="shared" si="9"/>
        <v>0</v>
      </c>
      <c r="P62" s="357">
        <f t="shared" si="10"/>
        <v>0</v>
      </c>
      <c r="Q62" s="354">
        <f>IF($F62=0,0,(Facture!$R61+Facture!$T61)*12*IF(Données!$J101="qc",1.09,IF(Données!$J101="on",1.08,1))/$F62)</f>
        <v>0</v>
      </c>
      <c r="R62" s="206"/>
      <c r="S62" s="207">
        <f>MIN(IF($F62=0,0,(Facture!$W61)*12*(1+VLOOKUP($D62,taux,28))/$F62),$J62)</f>
        <v>0</v>
      </c>
      <c r="T62" s="207">
        <f t="shared" si="6"/>
        <v>0</v>
      </c>
      <c r="U62" s="206"/>
      <c r="V62" s="207">
        <f>IF($F62=0,0,Facture!$R61*12*IF(Données!$J101="qc",1.09,IF(Données!$J101="on",1.08,1))/$F62)</f>
        <v>0</v>
      </c>
      <c r="W62" s="207">
        <f>IF($F62=0,0,Facture!$T61*12*IF(Données!$J101="qc",1.09,IF(Données!$J101="on",1.08,1))/$F62)</f>
        <v>0</v>
      </c>
      <c r="X62" s="207">
        <f>IF($F62=0,0,(Facture!$AB61+Facture!$AD61+Facture!$AF61)*12*IF(Données!$J101="qc",1.09,IF(Données!$J101="on",1.08,1))/$F62)</f>
        <v>0</v>
      </c>
      <c r="Y62" s="207">
        <f>IF($F62=0,0,(Facture!$H61+Facture!$J61+Facture!$L61+Facture!$P61+Facture!$V61)*12*IF(Données!$J101="qc",1.09,IF(Données!$J101="on",1.08,1))/$F62)</f>
        <v>0</v>
      </c>
    </row>
    <row r="63" spans="1:25">
      <c r="A63" s="208">
        <f t="shared" si="12"/>
        <v>48</v>
      </c>
      <c r="B63" s="198" t="str">
        <f>CONCATENATE(Données!B102," ",Données!C102)</f>
        <v xml:space="preserve"> </v>
      </c>
      <c r="C63" s="199">
        <f>Données!D102</f>
        <v>0</v>
      </c>
      <c r="D63" s="200" t="str">
        <f>Données!AD102</f>
        <v/>
      </c>
      <c r="E63" s="349">
        <f t="shared" si="13"/>
        <v>0</v>
      </c>
      <c r="F63" s="201">
        <f t="shared" si="1"/>
        <v>0</v>
      </c>
      <c r="G63" s="202">
        <f>IF($F63=0,0,Facture!AI62*12/F63)</f>
        <v>0</v>
      </c>
      <c r="H63" s="203" t="e">
        <f t="shared" ca="1" si="14"/>
        <v>#N/A</v>
      </c>
      <c r="I63" s="203" t="e">
        <f ca="1">IF(F63=" ",0,Facture!J62*12/F63*1.09)</f>
        <v>#DIV/0!</v>
      </c>
      <c r="J63" s="204">
        <f t="shared" si="11"/>
        <v>0</v>
      </c>
      <c r="K63" s="345">
        <f t="shared" si="8"/>
        <v>0</v>
      </c>
      <c r="L63" s="205">
        <f t="shared" si="15"/>
        <v>0</v>
      </c>
      <c r="M63" s="205">
        <f t="shared" si="4"/>
        <v>0</v>
      </c>
      <c r="N63" s="353">
        <f t="shared" si="16"/>
        <v>0</v>
      </c>
      <c r="O63" s="356">
        <f t="shared" si="9"/>
        <v>0</v>
      </c>
      <c r="P63" s="357">
        <f t="shared" si="10"/>
        <v>0</v>
      </c>
      <c r="Q63" s="354">
        <f>IF($F63=0,0,(Facture!$R62+Facture!$T62)*12*IF(Données!$J102="qc",1.09,IF(Données!$J102="on",1.08,1))/$F63)</f>
        <v>0</v>
      </c>
      <c r="R63" s="206"/>
      <c r="S63" s="207">
        <f>MIN(IF($F63=0,0,(Facture!$W62)*12*(1+VLOOKUP($D63,taux,28))/$F63),$J63)</f>
        <v>0</v>
      </c>
      <c r="T63" s="207">
        <f t="shared" si="6"/>
        <v>0</v>
      </c>
      <c r="U63" s="206"/>
      <c r="V63" s="207">
        <f>IF($F63=0,0,Facture!$R62*12*IF(Données!$J102="qc",1.09,IF(Données!$J102="on",1.08,1))/$F63)</f>
        <v>0</v>
      </c>
      <c r="W63" s="207">
        <f>IF($F63=0,0,Facture!$T62*12*IF(Données!$J102="qc",1.09,IF(Données!$J102="on",1.08,1))/$F63)</f>
        <v>0</v>
      </c>
      <c r="X63" s="207">
        <f>IF($F63=0,0,(Facture!$AB62+Facture!$AD62+Facture!$AF62)*12*IF(Données!$J102="qc",1.09,IF(Données!$J102="on",1.08,1))/$F63)</f>
        <v>0</v>
      </c>
      <c r="Y63" s="207">
        <f>IF($F63=0,0,(Facture!$H62+Facture!$J62+Facture!$L62+Facture!$P62+Facture!$V62)*12*IF(Données!$J102="qc",1.09,IF(Données!$J102="on",1.08,1))/$F63)</f>
        <v>0</v>
      </c>
    </row>
    <row r="64" spans="1:25">
      <c r="A64" s="208">
        <f t="shared" si="12"/>
        <v>49</v>
      </c>
      <c r="B64" s="198" t="str">
        <f>CONCATENATE(Données!B103," ",Données!C103)</f>
        <v xml:space="preserve"> </v>
      </c>
      <c r="C64" s="199">
        <f>Données!D103</f>
        <v>0</v>
      </c>
      <c r="D64" s="200" t="str">
        <f>Données!AD103</f>
        <v/>
      </c>
      <c r="E64" s="349">
        <f t="shared" si="13"/>
        <v>0</v>
      </c>
      <c r="F64" s="201">
        <f t="shared" si="1"/>
        <v>0</v>
      </c>
      <c r="G64" s="202">
        <f>IF($F64=0,0,Facture!AI63*12/F64)</f>
        <v>0</v>
      </c>
      <c r="H64" s="203" t="e">
        <f t="shared" ca="1" si="14"/>
        <v>#N/A</v>
      </c>
      <c r="I64" s="203" t="e">
        <f ca="1">IF(F64=" ",0,Facture!J63*12/F64*1.09)</f>
        <v>#DIV/0!</v>
      </c>
      <c r="J64" s="204">
        <f t="shared" si="11"/>
        <v>0</v>
      </c>
      <c r="K64" s="345">
        <f t="shared" si="8"/>
        <v>0</v>
      </c>
      <c r="L64" s="205">
        <f t="shared" si="15"/>
        <v>0</v>
      </c>
      <c r="M64" s="205">
        <f t="shared" si="4"/>
        <v>0</v>
      </c>
      <c r="N64" s="353">
        <f t="shared" si="16"/>
        <v>0</v>
      </c>
      <c r="O64" s="356">
        <f t="shared" si="9"/>
        <v>0</v>
      </c>
      <c r="P64" s="357">
        <f t="shared" si="10"/>
        <v>0</v>
      </c>
      <c r="Q64" s="354">
        <f>IF($F64=0,0,(Facture!$R63+Facture!$T63)*12*IF(Données!$J103="qc",1.09,IF(Données!$J103="on",1.08,1))/$F64)</f>
        <v>0</v>
      </c>
      <c r="R64" s="206"/>
      <c r="S64" s="207">
        <f>MIN(IF($F64=0,0,(Facture!$W63)*12*(1+VLOOKUP($D64,taux,28))/$F64),$J64)</f>
        <v>0</v>
      </c>
      <c r="T64" s="207">
        <f t="shared" si="6"/>
        <v>0</v>
      </c>
      <c r="U64" s="206"/>
      <c r="V64" s="207">
        <f>IF($F64=0,0,Facture!$R63*12*IF(Données!$J103="qc",1.09,IF(Données!$J103="on",1.08,1))/$F64)</f>
        <v>0</v>
      </c>
      <c r="W64" s="207">
        <f>IF($F64=0,0,Facture!$T63*12*IF(Données!$J103="qc",1.09,IF(Données!$J103="on",1.08,1))/$F64)</f>
        <v>0</v>
      </c>
      <c r="X64" s="207">
        <f>IF($F64=0,0,(Facture!$AB63+Facture!$AD63+Facture!$AF63)*12*IF(Données!$J103="qc",1.09,IF(Données!$J103="on",1.08,1))/$F64)</f>
        <v>0</v>
      </c>
      <c r="Y64" s="207">
        <f>IF($F64=0,0,(Facture!$H63+Facture!$J63+Facture!$L63+Facture!$P63+Facture!$V63)*12*IF(Données!$J103="qc",1.09,IF(Données!$J103="on",1.08,1))/$F64)</f>
        <v>0</v>
      </c>
    </row>
    <row r="65" spans="1:25">
      <c r="A65" s="208">
        <f t="shared" si="12"/>
        <v>50</v>
      </c>
      <c r="B65" s="198" t="str">
        <f>CONCATENATE(Données!B104," ",Données!C104)</f>
        <v xml:space="preserve"> </v>
      </c>
      <c r="C65" s="199">
        <f>Données!D104</f>
        <v>0</v>
      </c>
      <c r="D65" s="200" t="str">
        <f>Données!AD104</f>
        <v/>
      </c>
      <c r="E65" s="349">
        <f t="shared" si="13"/>
        <v>0</v>
      </c>
      <c r="F65" s="201">
        <f t="shared" si="1"/>
        <v>0</v>
      </c>
      <c r="G65" s="202">
        <f>IF($F65=0,0,Facture!AI64*12/F65)</f>
        <v>0</v>
      </c>
      <c r="H65" s="203" t="e">
        <f t="shared" ca="1" si="14"/>
        <v>#N/A</v>
      </c>
      <c r="I65" s="203" t="e">
        <f ca="1">IF(F65=" ",0,Facture!J64*12/F65*1.09)</f>
        <v>#DIV/0!</v>
      </c>
      <c r="J65" s="204">
        <f t="shared" si="11"/>
        <v>0</v>
      </c>
      <c r="K65" s="345">
        <f t="shared" si="8"/>
        <v>0</v>
      </c>
      <c r="L65" s="205">
        <f t="shared" si="15"/>
        <v>0</v>
      </c>
      <c r="M65" s="205">
        <f t="shared" si="4"/>
        <v>0</v>
      </c>
      <c r="N65" s="353">
        <f t="shared" si="16"/>
        <v>0</v>
      </c>
      <c r="O65" s="356">
        <f t="shared" si="9"/>
        <v>0</v>
      </c>
      <c r="P65" s="357">
        <f t="shared" si="10"/>
        <v>0</v>
      </c>
      <c r="Q65" s="354">
        <f>IF($F65=0,0,(Facture!$R64+Facture!$T64)*12*IF(Données!$J104="qc",1.09,IF(Données!$J104="on",1.08,1))/$F65)</f>
        <v>0</v>
      </c>
      <c r="R65" s="206"/>
      <c r="S65" s="207">
        <f>MIN(IF($F65=0,0,(Facture!$W64)*12*(1+VLOOKUP($D65,taux,28))/$F65),$J65)</f>
        <v>0</v>
      </c>
      <c r="T65" s="207">
        <f t="shared" si="6"/>
        <v>0</v>
      </c>
      <c r="U65" s="206"/>
      <c r="V65" s="207">
        <f>IF($F65=0,0,Facture!$R64*12*IF(Données!$J104="qc",1.09,IF(Données!$J104="on",1.08,1))/$F65)</f>
        <v>0</v>
      </c>
      <c r="W65" s="207">
        <f>IF($F65=0,0,Facture!$T64*12*IF(Données!$J104="qc",1.09,IF(Données!$J104="on",1.08,1))/$F65)</f>
        <v>0</v>
      </c>
      <c r="X65" s="207">
        <f>IF($F65=0,0,(Facture!$AB64+Facture!$AD64+Facture!$AF64)*12*IF(Données!$J104="qc",1.09,IF(Données!$J104="on",1.08,1))/$F65)</f>
        <v>0</v>
      </c>
      <c r="Y65" s="207">
        <f>IF($F65=0,0,(Facture!$H64+Facture!$J64+Facture!$L64+Facture!$P64+Facture!$V64)*12*IF(Données!$J104="qc",1.09,IF(Données!$J104="on",1.08,1))/$F65)</f>
        <v>0</v>
      </c>
    </row>
    <row r="66" spans="1:25">
      <c r="A66" s="208">
        <f t="shared" si="12"/>
        <v>51</v>
      </c>
      <c r="B66" s="198" t="str">
        <f>CONCATENATE(Données!B105," ",Données!C105)</f>
        <v xml:space="preserve"> </v>
      </c>
      <c r="C66" s="199">
        <f>Données!D105</f>
        <v>0</v>
      </c>
      <c r="D66" s="200" t="str">
        <f>Données!AD105</f>
        <v/>
      </c>
      <c r="E66" s="349">
        <f t="shared" si="13"/>
        <v>0</v>
      </c>
      <c r="F66" s="201">
        <f t="shared" si="1"/>
        <v>0</v>
      </c>
      <c r="G66" s="202">
        <f>IF($F66=0,0,Facture!AI65*12/F66)</f>
        <v>0</v>
      </c>
      <c r="H66" s="203" t="e">
        <f t="shared" ca="1" si="14"/>
        <v>#N/A</v>
      </c>
      <c r="I66" s="203" t="e">
        <f ca="1">IF(F66=" ",0,Facture!J65*12/F66*1.09)</f>
        <v>#DIV/0!</v>
      </c>
      <c r="J66" s="204">
        <f t="shared" si="11"/>
        <v>0</v>
      </c>
      <c r="K66" s="345">
        <f t="shared" si="8"/>
        <v>0</v>
      </c>
      <c r="L66" s="205">
        <f t="shared" si="15"/>
        <v>0</v>
      </c>
      <c r="M66" s="205">
        <f t="shared" si="4"/>
        <v>0</v>
      </c>
      <c r="N66" s="353">
        <f t="shared" si="16"/>
        <v>0</v>
      </c>
      <c r="O66" s="356">
        <f t="shared" si="9"/>
        <v>0</v>
      </c>
      <c r="P66" s="357">
        <f t="shared" si="10"/>
        <v>0</v>
      </c>
      <c r="Q66" s="354">
        <f>IF($F66=0,0,(Facture!$R65+Facture!$T65)*12*IF(Données!$J105="qc",1.09,IF(Données!$J105="on",1.08,1))/$F66)</f>
        <v>0</v>
      </c>
      <c r="R66" s="206"/>
      <c r="S66" s="207">
        <f>MIN(IF($F66=0,0,(Facture!$W65)*12*(1+VLOOKUP($D66,taux,28))/$F66),$J66)</f>
        <v>0</v>
      </c>
      <c r="T66" s="207">
        <f t="shared" si="6"/>
        <v>0</v>
      </c>
      <c r="U66" s="206"/>
      <c r="V66" s="207">
        <f>IF($F66=0,0,Facture!$R65*12*IF(Données!$J105="qc",1.09,IF(Données!$J105="on",1.08,1))/$F66)</f>
        <v>0</v>
      </c>
      <c r="W66" s="207">
        <f>IF($F66=0,0,Facture!$T65*12*IF(Données!$J105="qc",1.09,IF(Données!$J105="on",1.08,1))/$F66)</f>
        <v>0</v>
      </c>
      <c r="X66" s="207">
        <f>IF($F66=0,0,(Facture!$AB65+Facture!$AD65+Facture!$AF65)*12*IF(Données!$J105="qc",1.09,IF(Données!$J105="on",1.08,1))/$F66)</f>
        <v>0</v>
      </c>
      <c r="Y66" s="207">
        <f>IF($F66=0,0,(Facture!$H65+Facture!$J65+Facture!$L65+Facture!$P65+Facture!$V65)*12*IF(Données!$J105="qc",1.09,IF(Données!$J105="on",1.08,1))/$F66)</f>
        <v>0</v>
      </c>
    </row>
    <row r="67" spans="1:25">
      <c r="A67" s="208">
        <f t="shared" si="12"/>
        <v>52</v>
      </c>
      <c r="B67" s="198" t="str">
        <f>CONCATENATE(Données!B106," ",Données!C106)</f>
        <v xml:space="preserve"> </v>
      </c>
      <c r="C67" s="199">
        <f>Données!D106</f>
        <v>0</v>
      </c>
      <c r="D67" s="200" t="str">
        <f>Données!AD106</f>
        <v/>
      </c>
      <c r="E67" s="349">
        <f t="shared" si="13"/>
        <v>0</v>
      </c>
      <c r="F67" s="201">
        <f t="shared" si="1"/>
        <v>0</v>
      </c>
      <c r="G67" s="202">
        <f>IF($F67=0,0,Facture!AI66*12/F67)</f>
        <v>0</v>
      </c>
      <c r="H67" s="203" t="e">
        <f t="shared" ca="1" si="14"/>
        <v>#N/A</v>
      </c>
      <c r="I67" s="203" t="e">
        <f ca="1">IF(F67=" ",0,Facture!J66*12/F67*1.09)</f>
        <v>#DIV/0!</v>
      </c>
      <c r="J67" s="204">
        <f t="shared" si="11"/>
        <v>0</v>
      </c>
      <c r="K67" s="345">
        <f t="shared" si="8"/>
        <v>0</v>
      </c>
      <c r="L67" s="205">
        <f t="shared" si="15"/>
        <v>0</v>
      </c>
      <c r="M67" s="205">
        <f t="shared" si="4"/>
        <v>0</v>
      </c>
      <c r="N67" s="353">
        <f t="shared" si="16"/>
        <v>0</v>
      </c>
      <c r="O67" s="356">
        <f t="shared" si="9"/>
        <v>0</v>
      </c>
      <c r="P67" s="357">
        <f t="shared" si="10"/>
        <v>0</v>
      </c>
      <c r="Q67" s="354">
        <f>IF($F67=0,0,(Facture!$R66+Facture!$T66)*12*IF(Données!$J106="qc",1.09,IF(Données!$J106="on",1.08,1))/$F67)</f>
        <v>0</v>
      </c>
      <c r="R67" s="206"/>
      <c r="S67" s="207">
        <f>MIN(IF($F67=0,0,(Facture!$W66)*12*(1+VLOOKUP($D67,taux,28))/$F67),$J67)</f>
        <v>0</v>
      </c>
      <c r="T67" s="207">
        <f t="shared" si="6"/>
        <v>0</v>
      </c>
      <c r="U67" s="206"/>
      <c r="V67" s="207">
        <f>IF($F67=0,0,Facture!$R66*12*IF(Données!$J106="qc",1.09,IF(Données!$J106="on",1.08,1))/$F67)</f>
        <v>0</v>
      </c>
      <c r="W67" s="207">
        <f>IF($F67=0,0,Facture!$T66*12*IF(Données!$J106="qc",1.09,IF(Données!$J106="on",1.08,1))/$F67)</f>
        <v>0</v>
      </c>
      <c r="X67" s="207">
        <f>IF($F67=0,0,(Facture!$AB66+Facture!$AD66+Facture!$AF66)*12*IF(Données!$J106="qc",1.09,IF(Données!$J106="on",1.08,1))/$F67)</f>
        <v>0</v>
      </c>
      <c r="Y67" s="207">
        <f>IF($F67=0,0,(Facture!$H66+Facture!$J66+Facture!$L66+Facture!$P66+Facture!$V66)*12*IF(Données!$J106="qc",1.09,IF(Données!$J106="on",1.08,1))/$F67)</f>
        <v>0</v>
      </c>
    </row>
    <row r="68" spans="1:25">
      <c r="A68" s="208">
        <f t="shared" si="12"/>
        <v>53</v>
      </c>
      <c r="B68" s="198" t="str">
        <f>CONCATENATE(Données!B107," ",Données!C107)</f>
        <v xml:space="preserve"> </v>
      </c>
      <c r="C68" s="199">
        <f>Données!D107</f>
        <v>0</v>
      </c>
      <c r="D68" s="200" t="str">
        <f>Données!AD107</f>
        <v/>
      </c>
      <c r="E68" s="349">
        <f t="shared" si="13"/>
        <v>0</v>
      </c>
      <c r="F68" s="201">
        <f t="shared" si="1"/>
        <v>0</v>
      </c>
      <c r="G68" s="202">
        <f>IF($F68=0,0,Facture!AI67*12/F68)</f>
        <v>0</v>
      </c>
      <c r="H68" s="203" t="e">
        <f t="shared" ca="1" si="14"/>
        <v>#N/A</v>
      </c>
      <c r="I68" s="203" t="e">
        <f ca="1">IF(F68=" ",0,Facture!J67*12/F68*1.09)</f>
        <v>#DIV/0!</v>
      </c>
      <c r="J68" s="204">
        <f t="shared" si="11"/>
        <v>0</v>
      </c>
      <c r="K68" s="345">
        <f t="shared" si="8"/>
        <v>0</v>
      </c>
      <c r="L68" s="205">
        <f t="shared" si="15"/>
        <v>0</v>
      </c>
      <c r="M68" s="205">
        <f t="shared" si="4"/>
        <v>0</v>
      </c>
      <c r="N68" s="353">
        <f t="shared" si="16"/>
        <v>0</v>
      </c>
      <c r="O68" s="356">
        <f t="shared" si="9"/>
        <v>0</v>
      </c>
      <c r="P68" s="357">
        <f t="shared" si="10"/>
        <v>0</v>
      </c>
      <c r="Q68" s="354">
        <f>IF($F68=0,0,(Facture!$R67+Facture!$T67)*12*IF(Données!$J107="qc",1.09,IF(Données!$J107="on",1.08,1))/$F68)</f>
        <v>0</v>
      </c>
      <c r="R68" s="206"/>
      <c r="S68" s="207">
        <f>MIN(IF($F68=0,0,(Facture!$W67)*12*(1+VLOOKUP($D68,taux,28))/$F68),$J68)</f>
        <v>0</v>
      </c>
      <c r="T68" s="207">
        <f t="shared" si="6"/>
        <v>0</v>
      </c>
      <c r="U68" s="206"/>
      <c r="V68" s="207">
        <f>IF($F68=0,0,Facture!$R67*12*IF(Données!$J107="qc",1.09,IF(Données!$J107="on",1.08,1))/$F68)</f>
        <v>0</v>
      </c>
      <c r="W68" s="207">
        <f>IF($F68=0,0,Facture!$T67*12*IF(Données!$J107="qc",1.09,IF(Données!$J107="on",1.08,1))/$F68)</f>
        <v>0</v>
      </c>
      <c r="X68" s="207">
        <f>IF($F68=0,0,(Facture!$AB67+Facture!$AD67+Facture!$AF67)*12*IF(Données!$J107="qc",1.09,IF(Données!$J107="on",1.08,1))/$F68)</f>
        <v>0</v>
      </c>
      <c r="Y68" s="207">
        <f>IF($F68=0,0,(Facture!$H67+Facture!$J67+Facture!$L67+Facture!$P67+Facture!$V67)*12*IF(Données!$J107="qc",1.09,IF(Données!$J107="on",1.08,1))/$F68)</f>
        <v>0</v>
      </c>
    </row>
    <row r="69" spans="1:25">
      <c r="A69" s="208">
        <f t="shared" si="12"/>
        <v>54</v>
      </c>
      <c r="B69" s="198" t="str">
        <f>CONCATENATE(Données!B108," ",Données!C108)</f>
        <v xml:space="preserve"> </v>
      </c>
      <c r="C69" s="199">
        <f>Données!D108</f>
        <v>0</v>
      </c>
      <c r="D69" s="200" t="str">
        <f>Données!AD108</f>
        <v/>
      </c>
      <c r="E69" s="349">
        <f t="shared" si="13"/>
        <v>0</v>
      </c>
      <c r="F69" s="201">
        <f t="shared" si="1"/>
        <v>0</v>
      </c>
      <c r="G69" s="202">
        <f>IF($F69=0,0,Facture!AI68*12/F69)</f>
        <v>0</v>
      </c>
      <c r="H69" s="203" t="e">
        <f t="shared" ca="1" si="14"/>
        <v>#N/A</v>
      </c>
      <c r="I69" s="203" t="e">
        <f ca="1">IF(F69=" ",0,Facture!J68*12/F69*1.09)</f>
        <v>#DIV/0!</v>
      </c>
      <c r="J69" s="204">
        <f t="shared" si="11"/>
        <v>0</v>
      </c>
      <c r="K69" s="345">
        <f t="shared" si="8"/>
        <v>0</v>
      </c>
      <c r="L69" s="205">
        <f t="shared" si="15"/>
        <v>0</v>
      </c>
      <c r="M69" s="205">
        <f t="shared" si="4"/>
        <v>0</v>
      </c>
      <c r="N69" s="353">
        <f t="shared" si="16"/>
        <v>0</v>
      </c>
      <c r="O69" s="356">
        <f t="shared" si="9"/>
        <v>0</v>
      </c>
      <c r="P69" s="357">
        <f t="shared" si="10"/>
        <v>0</v>
      </c>
      <c r="Q69" s="354">
        <f>IF($F69=0,0,(Facture!$R68+Facture!$T68)*12*IF(Données!$J108="qc",1.09,IF(Données!$J108="on",1.08,1))/$F69)</f>
        <v>0</v>
      </c>
      <c r="R69" s="206"/>
      <c r="S69" s="207">
        <f>MIN(IF($F69=0,0,(Facture!$W68)*12*(1+VLOOKUP($D69,taux,28))/$F69),$J69)</f>
        <v>0</v>
      </c>
      <c r="T69" s="207">
        <f t="shared" si="6"/>
        <v>0</v>
      </c>
      <c r="U69" s="206"/>
      <c r="V69" s="207">
        <f>IF($F69=0,0,Facture!$R68*12*IF(Données!$J108="qc",1.09,IF(Données!$J108="on",1.08,1))/$F69)</f>
        <v>0</v>
      </c>
      <c r="W69" s="207">
        <f>IF($F69=0,0,Facture!$T68*12*IF(Données!$J108="qc",1.09,IF(Données!$J108="on",1.08,1))/$F69)</f>
        <v>0</v>
      </c>
      <c r="X69" s="207">
        <f>IF($F69=0,0,(Facture!$AB68+Facture!$AD68+Facture!$AF68)*12*IF(Données!$J108="qc",1.09,IF(Données!$J108="on",1.08,1))/$F69)</f>
        <v>0</v>
      </c>
      <c r="Y69" s="207">
        <f>IF($F69=0,0,(Facture!$H68+Facture!$J68+Facture!$L68+Facture!$P68+Facture!$V68)*12*IF(Données!$J108="qc",1.09,IF(Données!$J108="on",1.08,1))/$F69)</f>
        <v>0</v>
      </c>
    </row>
    <row r="70" spans="1:25">
      <c r="A70" s="208">
        <f t="shared" si="12"/>
        <v>55</v>
      </c>
      <c r="B70" s="198" t="str">
        <f>CONCATENATE(Données!B109," ",Données!C109)</f>
        <v xml:space="preserve"> </v>
      </c>
      <c r="C70" s="199">
        <f>Données!D109</f>
        <v>0</v>
      </c>
      <c r="D70" s="200" t="str">
        <f>Données!AD109</f>
        <v/>
      </c>
      <c r="E70" s="349">
        <f t="shared" si="13"/>
        <v>0</v>
      </c>
      <c r="F70" s="201">
        <f t="shared" si="1"/>
        <v>0</v>
      </c>
      <c r="G70" s="202">
        <f>IF($F70=0,0,Facture!AI69*12/F70)</f>
        <v>0</v>
      </c>
      <c r="H70" s="203" t="e">
        <f t="shared" ca="1" si="14"/>
        <v>#N/A</v>
      </c>
      <c r="I70" s="203" t="e">
        <f ca="1">IF(F70=" ",0,Facture!J69*12/F70*1.09)</f>
        <v>#DIV/0!</v>
      </c>
      <c r="J70" s="204">
        <f t="shared" si="11"/>
        <v>0</v>
      </c>
      <c r="K70" s="345">
        <f t="shared" si="8"/>
        <v>0</v>
      </c>
      <c r="L70" s="205">
        <f t="shared" si="15"/>
        <v>0</v>
      </c>
      <c r="M70" s="205">
        <f t="shared" si="4"/>
        <v>0</v>
      </c>
      <c r="N70" s="353">
        <f t="shared" si="16"/>
        <v>0</v>
      </c>
      <c r="O70" s="356">
        <f t="shared" si="9"/>
        <v>0</v>
      </c>
      <c r="P70" s="357">
        <f t="shared" si="10"/>
        <v>0</v>
      </c>
      <c r="Q70" s="354">
        <f>IF($F70=0,0,(Facture!$R69+Facture!$T69)*12*IF(Données!$J109="qc",1.09,IF(Données!$J109="on",1.08,1))/$F70)</f>
        <v>0</v>
      </c>
      <c r="R70" s="206"/>
      <c r="S70" s="207">
        <f>MIN(IF($F70=0,0,(Facture!$W69)*12*(1+VLOOKUP($D70,taux,28))/$F70),$J70)</f>
        <v>0</v>
      </c>
      <c r="T70" s="207">
        <f t="shared" si="6"/>
        <v>0</v>
      </c>
      <c r="U70" s="206"/>
      <c r="V70" s="207">
        <f>IF($F70=0,0,Facture!$R69*12*IF(Données!$J109="qc",1.09,IF(Données!$J109="on",1.08,1))/$F70)</f>
        <v>0</v>
      </c>
      <c r="W70" s="207">
        <f>IF($F70=0,0,Facture!$T69*12*IF(Données!$J109="qc",1.09,IF(Données!$J109="on",1.08,1))/$F70)</f>
        <v>0</v>
      </c>
      <c r="X70" s="207">
        <f>IF($F70=0,0,(Facture!$AB69+Facture!$AD69+Facture!$AF69)*12*IF(Données!$J109="qc",1.09,IF(Données!$J109="on",1.08,1))/$F70)</f>
        <v>0</v>
      </c>
      <c r="Y70" s="207">
        <f>IF($F70=0,0,(Facture!$H69+Facture!$J69+Facture!$L69+Facture!$P69+Facture!$V69)*12*IF(Données!$J109="qc",1.09,IF(Données!$J109="on",1.08,1))/$F70)</f>
        <v>0</v>
      </c>
    </row>
    <row r="71" spans="1:25">
      <c r="A71" s="208">
        <f t="shared" si="12"/>
        <v>56</v>
      </c>
      <c r="B71" s="198" t="str">
        <f>CONCATENATE(Données!B110," ",Données!C110)</f>
        <v xml:space="preserve"> </v>
      </c>
      <c r="C71" s="199">
        <f>Données!D110</f>
        <v>0</v>
      </c>
      <c r="D71" s="200" t="str">
        <f>Données!AD110</f>
        <v/>
      </c>
      <c r="E71" s="349">
        <f t="shared" si="13"/>
        <v>0</v>
      </c>
      <c r="F71" s="201">
        <f t="shared" si="1"/>
        <v>0</v>
      </c>
      <c r="G71" s="202">
        <f>IF($F71=0,0,Facture!AI70*12/F71)</f>
        <v>0</v>
      </c>
      <c r="H71" s="203" t="e">
        <f t="shared" ca="1" si="14"/>
        <v>#N/A</v>
      </c>
      <c r="I71" s="203" t="e">
        <f ca="1">IF(F71=" ",0,Facture!J70*12/F71*1.09)</f>
        <v>#DIV/0!</v>
      </c>
      <c r="J71" s="204">
        <f t="shared" si="11"/>
        <v>0</v>
      </c>
      <c r="K71" s="345">
        <f t="shared" si="8"/>
        <v>0</v>
      </c>
      <c r="L71" s="205">
        <f t="shared" si="15"/>
        <v>0</v>
      </c>
      <c r="M71" s="205">
        <f t="shared" si="4"/>
        <v>0</v>
      </c>
      <c r="N71" s="353">
        <f t="shared" si="16"/>
        <v>0</v>
      </c>
      <c r="O71" s="356">
        <f t="shared" si="9"/>
        <v>0</v>
      </c>
      <c r="P71" s="357">
        <f t="shared" si="10"/>
        <v>0</v>
      </c>
      <c r="Q71" s="354">
        <f>IF($F71=0,0,(Facture!$R70+Facture!$T70)*12*IF(Données!$J110="qc",1.09,IF(Données!$J110="on",1.08,1))/$F71)</f>
        <v>0</v>
      </c>
      <c r="R71" s="206"/>
      <c r="S71" s="207">
        <f>MIN(IF($F71=0,0,(Facture!$W70)*12*(1+VLOOKUP($D71,taux,28))/$F71),$J71)</f>
        <v>0</v>
      </c>
      <c r="T71" s="207">
        <f t="shared" si="6"/>
        <v>0</v>
      </c>
      <c r="U71" s="206"/>
      <c r="V71" s="207">
        <f>IF($F71=0,0,Facture!$R70*12*IF(Données!$J110="qc",1.09,IF(Données!$J110="on",1.08,1))/$F71)</f>
        <v>0</v>
      </c>
      <c r="W71" s="207">
        <f>IF($F71=0,0,Facture!$T70*12*IF(Données!$J110="qc",1.09,IF(Données!$J110="on",1.08,1))/$F71)</f>
        <v>0</v>
      </c>
      <c r="X71" s="207">
        <f>IF($F71=0,0,(Facture!$AB70+Facture!$AD70+Facture!$AF70)*12*IF(Données!$J110="qc",1.09,IF(Données!$J110="on",1.08,1))/$F71)</f>
        <v>0</v>
      </c>
      <c r="Y71" s="207">
        <f>IF($F71=0,0,(Facture!$H70+Facture!$J70+Facture!$L70+Facture!$P70+Facture!$V70)*12*IF(Données!$J110="qc",1.09,IF(Données!$J110="on",1.08,1))/$F71)</f>
        <v>0</v>
      </c>
    </row>
    <row r="72" spans="1:25">
      <c r="A72" s="208">
        <f t="shared" si="12"/>
        <v>57</v>
      </c>
      <c r="B72" s="198" t="str">
        <f>CONCATENATE(Données!B111," ",Données!C111)</f>
        <v xml:space="preserve"> </v>
      </c>
      <c r="C72" s="199">
        <f>Données!D111</f>
        <v>0</v>
      </c>
      <c r="D72" s="200" t="str">
        <f>Données!AD111</f>
        <v/>
      </c>
      <c r="E72" s="349">
        <f t="shared" si="13"/>
        <v>0</v>
      </c>
      <c r="F72" s="201">
        <f t="shared" si="1"/>
        <v>0</v>
      </c>
      <c r="G72" s="202">
        <f>IF($F72=0,0,Facture!AI71*12/F72)</f>
        <v>0</v>
      </c>
      <c r="H72" s="203" t="e">
        <f t="shared" ca="1" si="14"/>
        <v>#N/A</v>
      </c>
      <c r="I72" s="203" t="e">
        <f ca="1">IF(F72=" ",0,Facture!J71*12/F72*1.09)</f>
        <v>#DIV/0!</v>
      </c>
      <c r="J72" s="204">
        <f t="shared" si="11"/>
        <v>0</v>
      </c>
      <c r="K72" s="345">
        <f t="shared" si="8"/>
        <v>0</v>
      </c>
      <c r="L72" s="205">
        <f t="shared" si="15"/>
        <v>0</v>
      </c>
      <c r="M72" s="205">
        <f t="shared" si="4"/>
        <v>0</v>
      </c>
      <c r="N72" s="353">
        <f t="shared" si="16"/>
        <v>0</v>
      </c>
      <c r="O72" s="356">
        <f t="shared" si="9"/>
        <v>0</v>
      </c>
      <c r="P72" s="357">
        <f t="shared" si="10"/>
        <v>0</v>
      </c>
      <c r="Q72" s="354">
        <f>IF($F72=0,0,(Facture!$R71+Facture!$T71)*12*IF(Données!$J111="qc",1.09,IF(Données!$J111="on",1.08,1))/$F72)</f>
        <v>0</v>
      </c>
      <c r="R72" s="206"/>
      <c r="S72" s="207">
        <f>MIN(IF($F72=0,0,(Facture!$W71)*12*(1+VLOOKUP($D72,taux,28))/$F72),$J72)</f>
        <v>0</v>
      </c>
      <c r="T72" s="207">
        <f t="shared" si="6"/>
        <v>0</v>
      </c>
      <c r="U72" s="206"/>
      <c r="V72" s="207">
        <f>IF($F72=0,0,Facture!$R71*12*IF(Données!$J111="qc",1.09,IF(Données!$J111="on",1.08,1))/$F72)</f>
        <v>0</v>
      </c>
      <c r="W72" s="207">
        <f>IF($F72=0,0,Facture!$T71*12*IF(Données!$J111="qc",1.09,IF(Données!$J111="on",1.08,1))/$F72)</f>
        <v>0</v>
      </c>
      <c r="X72" s="207">
        <f>IF($F72=0,0,(Facture!$AB71+Facture!$AD71+Facture!$AF71)*12*IF(Données!$J111="qc",1.09,IF(Données!$J111="on",1.08,1))/$F72)</f>
        <v>0</v>
      </c>
      <c r="Y72" s="207">
        <f>IF($F72=0,0,(Facture!$H71+Facture!$J71+Facture!$L71+Facture!$P71+Facture!$V71)*12*IF(Données!$J111="qc",1.09,IF(Données!$J111="on",1.08,1))/$F72)</f>
        <v>0</v>
      </c>
    </row>
    <row r="73" spans="1:25">
      <c r="A73" s="208">
        <f t="shared" si="12"/>
        <v>58</v>
      </c>
      <c r="B73" s="198" t="str">
        <f>CONCATENATE(Données!B112," ",Données!C112)</f>
        <v xml:space="preserve"> </v>
      </c>
      <c r="C73" s="199">
        <f>Données!D112</f>
        <v>0</v>
      </c>
      <c r="D73" s="200" t="str">
        <f>Données!AD112</f>
        <v/>
      </c>
      <c r="E73" s="349">
        <f t="shared" si="13"/>
        <v>0</v>
      </c>
      <c r="F73" s="201">
        <f t="shared" si="1"/>
        <v>0</v>
      </c>
      <c r="G73" s="202">
        <f>IF($F73=0,0,Facture!AI72*12/F73)</f>
        <v>0</v>
      </c>
      <c r="H73" s="203" t="e">
        <f t="shared" ca="1" si="14"/>
        <v>#N/A</v>
      </c>
      <c r="I73" s="203" t="e">
        <f ca="1">IF(F73=" ",0,Facture!J72*12/F73*1.09)</f>
        <v>#DIV/0!</v>
      </c>
      <c r="J73" s="204">
        <f t="shared" si="11"/>
        <v>0</v>
      </c>
      <c r="K73" s="345">
        <f t="shared" si="8"/>
        <v>0</v>
      </c>
      <c r="L73" s="205">
        <f t="shared" si="15"/>
        <v>0</v>
      </c>
      <c r="M73" s="205">
        <f t="shared" si="4"/>
        <v>0</v>
      </c>
      <c r="N73" s="353">
        <f t="shared" si="16"/>
        <v>0</v>
      </c>
      <c r="O73" s="356">
        <f t="shared" si="9"/>
        <v>0</v>
      </c>
      <c r="P73" s="357">
        <f t="shared" si="10"/>
        <v>0</v>
      </c>
      <c r="Q73" s="354">
        <f>IF($F73=0,0,(Facture!$R72+Facture!$T72)*12*IF(Données!$J112="qc",1.09,IF(Données!$J112="on",1.08,1))/$F73)</f>
        <v>0</v>
      </c>
      <c r="R73" s="206"/>
      <c r="S73" s="207">
        <f>MIN(IF($F73=0,0,(Facture!$W72)*12*(1+VLOOKUP($D73,taux,28))/$F73),$J73)</f>
        <v>0</v>
      </c>
      <c r="T73" s="207">
        <f t="shared" si="6"/>
        <v>0</v>
      </c>
      <c r="U73" s="206"/>
      <c r="V73" s="207">
        <f>IF($F73=0,0,Facture!$R72*12*IF(Données!$J112="qc",1.09,IF(Données!$J112="on",1.08,1))/$F73)</f>
        <v>0</v>
      </c>
      <c r="W73" s="207">
        <f>IF($F73=0,0,Facture!$T72*12*IF(Données!$J112="qc",1.09,IF(Données!$J112="on",1.08,1))/$F73)</f>
        <v>0</v>
      </c>
      <c r="X73" s="207">
        <f>IF($F73=0,0,(Facture!$AB72+Facture!$AD72+Facture!$AF72)*12*IF(Données!$J112="qc",1.09,IF(Données!$J112="on",1.08,1))/$F73)</f>
        <v>0</v>
      </c>
      <c r="Y73" s="207">
        <f>IF($F73=0,0,(Facture!$H72+Facture!$J72+Facture!$L72+Facture!$P72+Facture!$V72)*12*IF(Données!$J112="qc",1.09,IF(Données!$J112="on",1.08,1))/$F73)</f>
        <v>0</v>
      </c>
    </row>
    <row r="74" spans="1:25">
      <c r="A74" s="208">
        <f t="shared" si="12"/>
        <v>59</v>
      </c>
      <c r="B74" s="198" t="str">
        <f>CONCATENATE(Données!B113," ",Données!C113)</f>
        <v xml:space="preserve"> </v>
      </c>
      <c r="C74" s="199">
        <f>Données!D113</f>
        <v>0</v>
      </c>
      <c r="D74" s="200" t="str">
        <f>Données!AD113</f>
        <v/>
      </c>
      <c r="E74" s="349">
        <f t="shared" si="13"/>
        <v>0</v>
      </c>
      <c r="F74" s="201">
        <f t="shared" si="1"/>
        <v>0</v>
      </c>
      <c r="G74" s="202">
        <f>IF($F74=0,0,Facture!AI73*12/F74)</f>
        <v>0</v>
      </c>
      <c r="H74" s="203" t="e">
        <f t="shared" ca="1" si="14"/>
        <v>#N/A</v>
      </c>
      <c r="I74" s="203" t="e">
        <f ca="1">IF(F74=" ",0,Facture!J73*12/F74*1.09)</f>
        <v>#DIV/0!</v>
      </c>
      <c r="J74" s="204">
        <f t="shared" si="11"/>
        <v>0</v>
      </c>
      <c r="K74" s="345">
        <f t="shared" si="8"/>
        <v>0</v>
      </c>
      <c r="L74" s="205">
        <f t="shared" si="15"/>
        <v>0</v>
      </c>
      <c r="M74" s="205">
        <f t="shared" si="4"/>
        <v>0</v>
      </c>
      <c r="N74" s="353">
        <f t="shared" si="16"/>
        <v>0</v>
      </c>
      <c r="O74" s="356">
        <f t="shared" si="9"/>
        <v>0</v>
      </c>
      <c r="P74" s="357">
        <f t="shared" si="10"/>
        <v>0</v>
      </c>
      <c r="Q74" s="354">
        <f>IF($F74=0,0,(Facture!$R73+Facture!$T73)*12*IF(Données!$J113="qc",1.09,IF(Données!$J113="on",1.08,1))/$F74)</f>
        <v>0</v>
      </c>
      <c r="R74" s="206"/>
      <c r="S74" s="207">
        <f>MIN(IF($F74=0,0,(Facture!$W73)*12*(1+VLOOKUP($D74,taux,28))/$F74),$J74)</f>
        <v>0</v>
      </c>
      <c r="T74" s="207">
        <f t="shared" si="6"/>
        <v>0</v>
      </c>
      <c r="U74" s="206"/>
      <c r="V74" s="207">
        <f>IF($F74=0,0,Facture!$R73*12*IF(Données!$J113="qc",1.09,IF(Données!$J113="on",1.08,1))/$F74)</f>
        <v>0</v>
      </c>
      <c r="W74" s="207">
        <f>IF($F74=0,0,Facture!$T73*12*IF(Données!$J113="qc",1.09,IF(Données!$J113="on",1.08,1))/$F74)</f>
        <v>0</v>
      </c>
      <c r="X74" s="207">
        <f>IF($F74=0,0,(Facture!$AB73+Facture!$AD73+Facture!$AF73)*12*IF(Données!$J113="qc",1.09,IF(Données!$J113="on",1.08,1))/$F74)</f>
        <v>0</v>
      </c>
      <c r="Y74" s="207">
        <f>IF($F74=0,0,(Facture!$H73+Facture!$J73+Facture!$L73+Facture!$P73+Facture!$V73)*12*IF(Données!$J113="qc",1.09,IF(Données!$J113="on",1.08,1))/$F74)</f>
        <v>0</v>
      </c>
    </row>
    <row r="75" spans="1:25">
      <c r="A75" s="208">
        <f t="shared" si="12"/>
        <v>60</v>
      </c>
      <c r="B75" s="198" t="str">
        <f>CONCATENATE(Données!B114," ",Données!C114)</f>
        <v xml:space="preserve"> </v>
      </c>
      <c r="C75" s="199">
        <f>Données!D114</f>
        <v>0</v>
      </c>
      <c r="D75" s="200" t="str">
        <f>Données!AD114</f>
        <v/>
      </c>
      <c r="E75" s="349">
        <f t="shared" si="13"/>
        <v>0</v>
      </c>
      <c r="F75" s="201">
        <f t="shared" si="1"/>
        <v>0</v>
      </c>
      <c r="G75" s="202">
        <f>IF($F75=0,0,Facture!AI74*12/F75)</f>
        <v>0</v>
      </c>
      <c r="H75" s="203" t="e">
        <f t="shared" ca="1" si="14"/>
        <v>#N/A</v>
      </c>
      <c r="I75" s="203" t="e">
        <f ca="1">IF(F75=" ",0,Facture!J74*12/F75*1.09)</f>
        <v>#DIV/0!</v>
      </c>
      <c r="J75" s="204">
        <f t="shared" si="11"/>
        <v>0</v>
      </c>
      <c r="K75" s="345">
        <f t="shared" si="8"/>
        <v>0</v>
      </c>
      <c r="L75" s="205">
        <f t="shared" si="15"/>
        <v>0</v>
      </c>
      <c r="M75" s="205">
        <f t="shared" si="4"/>
        <v>0</v>
      </c>
      <c r="N75" s="353">
        <f t="shared" si="16"/>
        <v>0</v>
      </c>
      <c r="O75" s="356">
        <f t="shared" si="9"/>
        <v>0</v>
      </c>
      <c r="P75" s="357">
        <f t="shared" si="10"/>
        <v>0</v>
      </c>
      <c r="Q75" s="354">
        <f>IF($F75=0,0,(Facture!$R74+Facture!$T74)*12*IF(Données!$J114="qc",1.09,IF(Données!$J114="on",1.08,1))/$F75)</f>
        <v>0</v>
      </c>
      <c r="R75" s="206"/>
      <c r="S75" s="207">
        <f>MIN(IF($F75=0,0,(Facture!$W74)*12*(1+VLOOKUP($D75,taux,28))/$F75),$J75)</f>
        <v>0</v>
      </c>
      <c r="T75" s="207">
        <f t="shared" si="6"/>
        <v>0</v>
      </c>
      <c r="U75" s="206"/>
      <c r="V75" s="207">
        <f>IF($F75=0,0,Facture!$R74*12*IF(Données!$J114="qc",1.09,IF(Données!$J114="on",1.08,1))/$F75)</f>
        <v>0</v>
      </c>
      <c r="W75" s="207">
        <f>IF($F75=0,0,Facture!$T74*12*IF(Données!$J114="qc",1.09,IF(Données!$J114="on",1.08,1))/$F75)</f>
        <v>0</v>
      </c>
      <c r="X75" s="207">
        <f>IF($F75=0,0,(Facture!$AB74+Facture!$AD74+Facture!$AF74)*12*IF(Données!$J114="qc",1.09,IF(Données!$J114="on",1.08,1))/$F75)</f>
        <v>0</v>
      </c>
      <c r="Y75" s="207">
        <f>IF($F75=0,0,(Facture!$H74+Facture!$J74+Facture!$L74+Facture!$P74+Facture!$V74)*12*IF(Données!$J114="qc",1.09,IF(Données!$J114="on",1.08,1))/$F75)</f>
        <v>0</v>
      </c>
    </row>
    <row r="76" spans="1:25">
      <c r="A76" s="208">
        <f t="shared" si="12"/>
        <v>61</v>
      </c>
      <c r="B76" s="198" t="str">
        <f>CONCATENATE(Données!B115," ",Données!C115)</f>
        <v xml:space="preserve"> </v>
      </c>
      <c r="C76" s="199">
        <f>Données!D115</f>
        <v>0</v>
      </c>
      <c r="D76" s="200" t="str">
        <f>Données!AD115</f>
        <v/>
      </c>
      <c r="E76" s="349">
        <f t="shared" si="13"/>
        <v>0</v>
      </c>
      <c r="F76" s="201">
        <f t="shared" si="1"/>
        <v>0</v>
      </c>
      <c r="G76" s="202">
        <f>IF($F76=0,0,Facture!AI75*12/F76)</f>
        <v>0</v>
      </c>
      <c r="H76" s="203" t="e">
        <f t="shared" ca="1" si="14"/>
        <v>#N/A</v>
      </c>
      <c r="I76" s="203" t="e">
        <f ca="1">IF(F76=" ",0,Facture!J75*12/F76*1.09)</f>
        <v>#DIV/0!</v>
      </c>
      <c r="J76" s="204">
        <f t="shared" si="11"/>
        <v>0</v>
      </c>
      <c r="K76" s="345">
        <f t="shared" si="8"/>
        <v>0</v>
      </c>
      <c r="L76" s="205">
        <f t="shared" si="15"/>
        <v>0</v>
      </c>
      <c r="M76" s="205">
        <f t="shared" si="4"/>
        <v>0</v>
      </c>
      <c r="N76" s="353">
        <f t="shared" si="16"/>
        <v>0</v>
      </c>
      <c r="O76" s="356">
        <f t="shared" si="9"/>
        <v>0</v>
      </c>
      <c r="P76" s="357">
        <f t="shared" si="10"/>
        <v>0</v>
      </c>
      <c r="Q76" s="354">
        <f>IF($F76=0,0,(Facture!$R75+Facture!$T75)*12*IF(Données!$J115="qc",1.09,IF(Données!$J115="on",1.08,1))/$F76)</f>
        <v>0</v>
      </c>
      <c r="R76" s="206"/>
      <c r="S76" s="207">
        <f>MIN(IF($F76=0,0,(Facture!$W75)*12*(1+VLOOKUP($D76,taux,28))/$F76),$J76)</f>
        <v>0</v>
      </c>
      <c r="T76" s="207">
        <f t="shared" si="6"/>
        <v>0</v>
      </c>
      <c r="U76" s="206"/>
      <c r="V76" s="207">
        <f>IF($F76=0,0,Facture!$R75*12*IF(Données!$J115="qc",1.09,IF(Données!$J115="on",1.08,1))/$F76)</f>
        <v>0</v>
      </c>
      <c r="W76" s="207">
        <f>IF($F76=0,0,Facture!$T75*12*IF(Données!$J115="qc",1.09,IF(Données!$J115="on",1.08,1))/$F76)</f>
        <v>0</v>
      </c>
      <c r="X76" s="207">
        <f>IF($F76=0,0,(Facture!$AB75+Facture!$AD75+Facture!$AF75)*12*IF(Données!$J115="qc",1.09,IF(Données!$J115="on",1.08,1))/$F76)</f>
        <v>0</v>
      </c>
      <c r="Y76" s="207">
        <f>IF($F76=0,0,(Facture!$H75+Facture!$J75+Facture!$L75+Facture!$P75+Facture!$V75)*12*IF(Données!$J115="qc",1.09,IF(Données!$J115="on",1.08,1))/$F76)</f>
        <v>0</v>
      </c>
    </row>
    <row r="77" spans="1:25">
      <c r="A77" s="208">
        <f t="shared" si="12"/>
        <v>62</v>
      </c>
      <c r="B77" s="198" t="str">
        <f>CONCATENATE(Données!B116," ",Données!C116)</f>
        <v xml:space="preserve"> </v>
      </c>
      <c r="C77" s="199">
        <f>Données!D116</f>
        <v>0</v>
      </c>
      <c r="D77" s="200" t="str">
        <f>Données!AD116</f>
        <v/>
      </c>
      <c r="E77" s="349">
        <f t="shared" si="13"/>
        <v>0</v>
      </c>
      <c r="F77" s="201">
        <f t="shared" si="1"/>
        <v>0</v>
      </c>
      <c r="G77" s="202">
        <f>IF($F77=0,0,Facture!AI76*12/F77)</f>
        <v>0</v>
      </c>
      <c r="H77" s="203" t="e">
        <f t="shared" ca="1" si="14"/>
        <v>#N/A</v>
      </c>
      <c r="I77" s="203" t="e">
        <f ca="1">IF(F77=" ",0,Facture!J76*12/F77*1.09)</f>
        <v>#DIV/0!</v>
      </c>
      <c r="J77" s="204">
        <f t="shared" si="11"/>
        <v>0</v>
      </c>
      <c r="K77" s="345">
        <f t="shared" si="8"/>
        <v>0</v>
      </c>
      <c r="L77" s="205">
        <f t="shared" si="15"/>
        <v>0</v>
      </c>
      <c r="M77" s="205">
        <f t="shared" si="4"/>
        <v>0</v>
      </c>
      <c r="N77" s="353">
        <f t="shared" si="16"/>
        <v>0</v>
      </c>
      <c r="O77" s="356">
        <f t="shared" si="9"/>
        <v>0</v>
      </c>
      <c r="P77" s="357">
        <f t="shared" si="10"/>
        <v>0</v>
      </c>
      <c r="Q77" s="354">
        <f>IF($F77=0,0,(Facture!$R76+Facture!$T76)*12*IF(Données!$J116="qc",1.09,IF(Données!$J116="on",1.08,1))/$F77)</f>
        <v>0</v>
      </c>
      <c r="R77" s="206"/>
      <c r="S77" s="207">
        <f>MIN(IF($F77=0,0,(Facture!$W76)*12*(1+VLOOKUP($D77,taux,28))/$F77),$J77)</f>
        <v>0</v>
      </c>
      <c r="T77" s="207">
        <f t="shared" si="6"/>
        <v>0</v>
      </c>
      <c r="U77" s="206"/>
      <c r="V77" s="207">
        <f>IF($F77=0,0,Facture!$R76*12*IF(Données!$J116="qc",1.09,IF(Données!$J116="on",1.08,1))/$F77)</f>
        <v>0</v>
      </c>
      <c r="W77" s="207">
        <f>IF($F77=0,0,Facture!$T76*12*IF(Données!$J116="qc",1.09,IF(Données!$J116="on",1.08,1))/$F77)</f>
        <v>0</v>
      </c>
      <c r="X77" s="207">
        <f>IF($F77=0,0,(Facture!$AB76+Facture!$AD76+Facture!$AF76)*12*IF(Données!$J116="qc",1.09,IF(Données!$J116="on",1.08,1))/$F77)</f>
        <v>0</v>
      </c>
      <c r="Y77" s="207">
        <f>IF($F77=0,0,(Facture!$H76+Facture!$J76+Facture!$L76+Facture!$P76+Facture!$V76)*12*IF(Données!$J116="qc",1.09,IF(Données!$J116="on",1.08,1))/$F77)</f>
        <v>0</v>
      </c>
    </row>
    <row r="78" spans="1:25">
      <c r="A78" s="208">
        <f t="shared" si="12"/>
        <v>63</v>
      </c>
      <c r="B78" s="198" t="str">
        <f>CONCATENATE(Données!B117," ",Données!C117)</f>
        <v xml:space="preserve"> </v>
      </c>
      <c r="C78" s="199">
        <f>Données!D117</f>
        <v>0</v>
      </c>
      <c r="D78" s="200" t="str">
        <f>Données!AD117</f>
        <v/>
      </c>
      <c r="E78" s="349">
        <f t="shared" si="13"/>
        <v>0</v>
      </c>
      <c r="F78" s="201">
        <f t="shared" si="1"/>
        <v>0</v>
      </c>
      <c r="G78" s="202">
        <f>IF($F78=0,0,Facture!AI77*12/F78)</f>
        <v>0</v>
      </c>
      <c r="H78" s="203" t="e">
        <f t="shared" ca="1" si="14"/>
        <v>#N/A</v>
      </c>
      <c r="I78" s="203" t="e">
        <f ca="1">IF(F78=" ",0,Facture!J77*12/F78*1.09)</f>
        <v>#DIV/0!</v>
      </c>
      <c r="J78" s="204">
        <f t="shared" si="11"/>
        <v>0</v>
      </c>
      <c r="K78" s="345">
        <f t="shared" si="8"/>
        <v>0</v>
      </c>
      <c r="L78" s="205">
        <f t="shared" si="15"/>
        <v>0</v>
      </c>
      <c r="M78" s="205">
        <f t="shared" si="4"/>
        <v>0</v>
      </c>
      <c r="N78" s="353">
        <f t="shared" si="16"/>
        <v>0</v>
      </c>
      <c r="O78" s="356">
        <f t="shared" si="9"/>
        <v>0</v>
      </c>
      <c r="P78" s="357">
        <f t="shared" si="10"/>
        <v>0</v>
      </c>
      <c r="Q78" s="354">
        <f>IF($F78=0,0,(Facture!$R77+Facture!$T77)*12*IF(Données!$J117="qc",1.09,IF(Données!$J117="on",1.08,1))/$F78)</f>
        <v>0</v>
      </c>
      <c r="R78" s="206"/>
      <c r="S78" s="207">
        <f>MIN(IF($F78=0,0,(Facture!$W77)*12*(1+VLOOKUP($D78,taux,28))/$F78),$J78)</f>
        <v>0</v>
      </c>
      <c r="T78" s="207">
        <f t="shared" si="6"/>
        <v>0</v>
      </c>
      <c r="U78" s="206"/>
      <c r="V78" s="207">
        <f>IF($F78=0,0,Facture!$R77*12*IF(Données!$J117="qc",1.09,IF(Données!$J117="on",1.08,1))/$F78)</f>
        <v>0</v>
      </c>
      <c r="W78" s="207">
        <f>IF($F78=0,0,Facture!$T77*12*IF(Données!$J117="qc",1.09,IF(Données!$J117="on",1.08,1))/$F78)</f>
        <v>0</v>
      </c>
      <c r="X78" s="207">
        <f>IF($F78=0,0,(Facture!$AB77+Facture!$AD77+Facture!$AF77)*12*IF(Données!$J117="qc",1.09,IF(Données!$J117="on",1.08,1))/$F78)</f>
        <v>0</v>
      </c>
      <c r="Y78" s="207">
        <f>IF($F78=0,0,(Facture!$H77+Facture!$J77+Facture!$L77+Facture!$P77+Facture!$V77)*12*IF(Données!$J117="qc",1.09,IF(Données!$J117="on",1.08,1))/$F78)</f>
        <v>0</v>
      </c>
    </row>
    <row r="79" spans="1:25">
      <c r="A79" s="208">
        <f t="shared" si="12"/>
        <v>64</v>
      </c>
      <c r="B79" s="198" t="str">
        <f>CONCATENATE(Données!B118," ",Données!C118)</f>
        <v xml:space="preserve"> </v>
      </c>
      <c r="C79" s="199">
        <f>Données!D118</f>
        <v>0</v>
      </c>
      <c r="D79" s="200" t="str">
        <f>Données!AD118</f>
        <v/>
      </c>
      <c r="E79" s="349">
        <f t="shared" si="13"/>
        <v>0</v>
      </c>
      <c r="F79" s="201">
        <f t="shared" si="1"/>
        <v>0</v>
      </c>
      <c r="G79" s="202">
        <f>IF($F79=0,0,Facture!AI78*12/F79)</f>
        <v>0</v>
      </c>
      <c r="H79" s="203" t="e">
        <f t="shared" ca="1" si="14"/>
        <v>#N/A</v>
      </c>
      <c r="I79" s="203" t="e">
        <f ca="1">IF(F79=" ",0,Facture!J78*12/F79*1.09)</f>
        <v>#DIV/0!</v>
      </c>
      <c r="J79" s="204">
        <f t="shared" si="11"/>
        <v>0</v>
      </c>
      <c r="K79" s="345">
        <f t="shared" si="8"/>
        <v>0</v>
      </c>
      <c r="L79" s="205">
        <f t="shared" si="15"/>
        <v>0</v>
      </c>
      <c r="M79" s="205">
        <f t="shared" si="4"/>
        <v>0</v>
      </c>
      <c r="N79" s="353">
        <f t="shared" si="16"/>
        <v>0</v>
      </c>
      <c r="O79" s="356">
        <f t="shared" si="9"/>
        <v>0</v>
      </c>
      <c r="P79" s="357">
        <f t="shared" si="10"/>
        <v>0</v>
      </c>
      <c r="Q79" s="354">
        <f>IF($F79=0,0,(Facture!$R78+Facture!$T78)*12*IF(Données!$J118="qc",1.09,IF(Données!$J118="on",1.08,1))/$F79)</f>
        <v>0</v>
      </c>
      <c r="R79" s="206"/>
      <c r="S79" s="207">
        <f>MIN(IF($F79=0,0,(Facture!$W78)*12*(1+VLOOKUP($D79,taux,28))/$F79),$J79)</f>
        <v>0</v>
      </c>
      <c r="T79" s="207">
        <f t="shared" si="6"/>
        <v>0</v>
      </c>
      <c r="U79" s="206"/>
      <c r="V79" s="207">
        <f>IF($F79=0,0,Facture!$R78*12*IF(Données!$J118="qc",1.09,IF(Données!$J118="on",1.08,1))/$F79)</f>
        <v>0</v>
      </c>
      <c r="W79" s="207">
        <f>IF($F79=0,0,Facture!$T78*12*IF(Données!$J118="qc",1.09,IF(Données!$J118="on",1.08,1))/$F79)</f>
        <v>0</v>
      </c>
      <c r="X79" s="207">
        <f>IF($F79=0,0,(Facture!$AB78+Facture!$AD78+Facture!$AF78)*12*IF(Données!$J118="qc",1.09,IF(Données!$J118="on",1.08,1))/$F79)</f>
        <v>0</v>
      </c>
      <c r="Y79" s="207">
        <f>IF($F79=0,0,(Facture!$H78+Facture!$J78+Facture!$L78+Facture!$P78+Facture!$V78)*12*IF(Données!$J118="qc",1.09,IF(Données!$J118="on",1.08,1))/$F79)</f>
        <v>0</v>
      </c>
    </row>
    <row r="80" spans="1:25">
      <c r="A80" s="208">
        <f t="shared" si="12"/>
        <v>65</v>
      </c>
      <c r="B80" s="198" t="str">
        <f>CONCATENATE(Données!B119," ",Données!C119)</f>
        <v xml:space="preserve"> </v>
      </c>
      <c r="C80" s="199">
        <f>Données!D119</f>
        <v>0</v>
      </c>
      <c r="D80" s="200" t="str">
        <f>Données!AD119</f>
        <v/>
      </c>
      <c r="E80" s="349">
        <f t="shared" ref="E80:E111" si="17">IF($B80=" ",0,VLOOKUP($D80,taux,47))</f>
        <v>0</v>
      </c>
      <c r="F80" s="201">
        <f t="shared" ref="F80:F197" si="18">IF($B80=" ",0,VLOOKUP($D80,taux,46))</f>
        <v>0</v>
      </c>
      <c r="G80" s="202">
        <f>IF($F80=0,0,Facture!AI79*12/F80)</f>
        <v>0</v>
      </c>
      <c r="H80" s="203" t="e">
        <f t="shared" ref="H80:H111" ca="1" si="19">IF(AND(VLOOKUP($D80,taux,14)="oui",VLOOKUP($D80,taux,19)="oui"),$G80*VLOOKUP($D80,taux,47),IF(AND(VLOOKUP($D80,taux,14)="non",VLOOKUP($D80,taux,19)="non"),MIN($G80*VLOOKUP($D80,taux,47),$G80-$V80-$W80),IF(AND(VLOOKUP($D80,taux,14)="oui",VLOOKUP($D80,taux,19)="non"),MIN($G80*VLOOKUP($D80,taux,47),$G80-$W80),IF(AND(VLOOKUP($D80,taux,14)="non",VLOOKUP($D80,taux,19)="oui"),MIN($G80*VLOOKUP($D80,taux,47),$G80-$V80),IF(VLOOKUP($D80,taux,14)="non",MIN($G80*VLOOKUP($D80,taux,47),$G80-$V80),IF(VLOOKUP($D80,taux,19)="non",MIN($G80*VLOOKUP($D80,taux,47),$G80-$W80),$G80*VLOOKUP($D80,taux,47)))))))-(I80*0.5)</f>
        <v>#N/A</v>
      </c>
      <c r="I80" s="203" t="e">
        <f ca="1">IF(F80=" ",0,Facture!J79*12/F80*1.09)</f>
        <v>#DIV/0!</v>
      </c>
      <c r="J80" s="204">
        <f t="shared" si="11"/>
        <v>0</v>
      </c>
      <c r="K80" s="345">
        <f t="shared" si="8"/>
        <v>0</v>
      </c>
      <c r="L80" s="205">
        <f t="shared" ref="L80:L111" si="20">MAX(MIN($J80-$T80-$S80-$M80,$Y80),0)</f>
        <v>0</v>
      </c>
      <c r="M80" s="205">
        <f t="shared" ref="M80:M197" si="21">MAX(MIN($J80-$T80-$S80,$X80),0)</f>
        <v>0</v>
      </c>
      <c r="N80" s="353">
        <f t="shared" ref="N80:N111" si="22">MAX(MIN($J80-$T80-$S80-$M80,$Y80),0)</f>
        <v>0</v>
      </c>
      <c r="O80" s="356">
        <f t="shared" si="9"/>
        <v>0</v>
      </c>
      <c r="P80" s="357">
        <f t="shared" si="10"/>
        <v>0</v>
      </c>
      <c r="Q80" s="354">
        <f>IF($F80=0,0,(Facture!$R79+Facture!$T79)*12*IF(Données!$J119="qc",1.09,IF(Données!$J119="on",1.08,1))/$F80)</f>
        <v>0</v>
      </c>
      <c r="R80" s="206"/>
      <c r="S80" s="207">
        <f>MIN(IF($F80=0,0,(Facture!$W79)*12*(1+VLOOKUP($D80,taux,28))/$F80),$J80)</f>
        <v>0</v>
      </c>
      <c r="T80" s="207">
        <f t="shared" ref="T80:T197" si="23">IF($F80=0,0,IF(AND(VLOOKUP($D80,taux,14)="oui",VLOOKUP($D80,taux,19)="oui"),MIN($V80+$W80,$J80-$S80),IF(VLOOKUP($D80,taux,14)="OUI",MIN($V80,$J80-$S80),IF(VLOOKUP($D80,taux,19)="OUI",MIN($W80,$J80-$S80),0))))</f>
        <v>0</v>
      </c>
      <c r="U80" s="206"/>
      <c r="V80" s="207">
        <f>IF($F80=0,0,Facture!$R79*12*IF(Données!$J119="qc",1.09,IF(Données!$J119="on",1.08,1))/$F80)</f>
        <v>0</v>
      </c>
      <c r="W80" s="207">
        <f>IF($F80=0,0,Facture!$T79*12*IF(Données!$J119="qc",1.09,IF(Données!$J119="on",1.08,1))/$F80)</f>
        <v>0</v>
      </c>
      <c r="X80" s="207">
        <f>IF($F80=0,0,(Facture!$AB79+Facture!$AD79+Facture!$AF79)*12*IF(Données!$J119="qc",1.09,IF(Données!$J119="on",1.08,1))/$F80)</f>
        <v>0</v>
      </c>
      <c r="Y80" s="207">
        <f>IF($F80=0,0,(Facture!$H79+Facture!$J79+Facture!$L79+Facture!$P79+Facture!$V79)*12*IF(Données!$J119="qc",1.09,IF(Données!$J119="on",1.08,1))/$F80)</f>
        <v>0</v>
      </c>
    </row>
    <row r="81" spans="1:25">
      <c r="A81" s="208">
        <f t="shared" si="12"/>
        <v>66</v>
      </c>
      <c r="B81" s="198" t="str">
        <f>CONCATENATE(Données!B120," ",Données!C120)</f>
        <v xml:space="preserve"> </v>
      </c>
      <c r="C81" s="199">
        <f>Données!D120</f>
        <v>0</v>
      </c>
      <c r="D81" s="200" t="str">
        <f>Données!AD120</f>
        <v/>
      </c>
      <c r="E81" s="349">
        <f t="shared" si="17"/>
        <v>0</v>
      </c>
      <c r="F81" s="201">
        <f t="shared" si="18"/>
        <v>0</v>
      </c>
      <c r="G81" s="202">
        <f>IF($F81=0,0,Facture!AI80*12/F81)</f>
        <v>0</v>
      </c>
      <c r="H81" s="203" t="e">
        <f t="shared" ca="1" si="19"/>
        <v>#N/A</v>
      </c>
      <c r="I81" s="203" t="e">
        <f ca="1">IF(F81=" ",0,Facture!J80*12/F81*1.09)</f>
        <v>#DIV/0!</v>
      </c>
      <c r="J81" s="204">
        <f t="shared" si="11"/>
        <v>0</v>
      </c>
      <c r="K81" s="345">
        <f t="shared" ref="K81:K115" si="24">G81-J81</f>
        <v>0</v>
      </c>
      <c r="L81" s="205">
        <f t="shared" si="20"/>
        <v>0</v>
      </c>
      <c r="M81" s="205">
        <f t="shared" si="21"/>
        <v>0</v>
      </c>
      <c r="N81" s="353">
        <f t="shared" si="22"/>
        <v>0</v>
      </c>
      <c r="O81" s="356">
        <f t="shared" ref="O81:O115" si="25">X81-M81</f>
        <v>0</v>
      </c>
      <c r="P81" s="357">
        <f t="shared" ref="P81:P115" si="26">K81-O81</f>
        <v>0</v>
      </c>
      <c r="Q81" s="354">
        <f>IF($F81=0,0,(Facture!$R80+Facture!$T80)*12*IF(Données!$J120="qc",1.09,IF(Données!$J120="on",1.08,1))/$F81)</f>
        <v>0</v>
      </c>
      <c r="R81" s="206"/>
      <c r="S81" s="207">
        <f>MIN(IF($F81=0,0,(Facture!$W80)*12*(1+VLOOKUP($D81,taux,28))/$F81),$J81)</f>
        <v>0</v>
      </c>
      <c r="T81" s="207">
        <f t="shared" si="23"/>
        <v>0</v>
      </c>
      <c r="U81" s="206"/>
      <c r="V81" s="207">
        <f>IF($F81=0,0,Facture!$R80*12*IF(Données!$J120="qc",1.09,IF(Données!$J120="on",1.08,1))/$F81)</f>
        <v>0</v>
      </c>
      <c r="W81" s="207">
        <f>IF($F81=0,0,Facture!$T80*12*IF(Données!$J120="qc",1.09,IF(Données!$J120="on",1.08,1))/$F81)</f>
        <v>0</v>
      </c>
      <c r="X81" s="207">
        <f>IF($F81=0,0,(Facture!$AB80+Facture!$AD80+Facture!$AF80)*12*IF(Données!$J120="qc",1.09,IF(Données!$J120="on",1.08,1))/$F81)</f>
        <v>0</v>
      </c>
      <c r="Y81" s="207">
        <f>IF($F81=0,0,(Facture!$H80+Facture!$J80+Facture!$L80+Facture!$P80+Facture!$V80)*12*IF(Données!$J120="qc",1.09,IF(Données!$J120="on",1.08,1))/$F81)</f>
        <v>0</v>
      </c>
    </row>
    <row r="82" spans="1:25">
      <c r="A82" s="208">
        <f t="shared" si="12"/>
        <v>67</v>
      </c>
      <c r="B82" s="198" t="str">
        <f>CONCATENATE(Données!B121," ",Données!C121)</f>
        <v xml:space="preserve"> </v>
      </c>
      <c r="C82" s="199">
        <f>Données!D121</f>
        <v>0</v>
      </c>
      <c r="D82" s="200" t="str">
        <f>Données!AD121</f>
        <v/>
      </c>
      <c r="E82" s="349">
        <f t="shared" si="17"/>
        <v>0</v>
      </c>
      <c r="F82" s="201">
        <f t="shared" si="18"/>
        <v>0</v>
      </c>
      <c r="G82" s="202">
        <f>IF($F82=0,0,Facture!AI81*12/F82)</f>
        <v>0</v>
      </c>
      <c r="H82" s="203" t="e">
        <f t="shared" ca="1" si="19"/>
        <v>#N/A</v>
      </c>
      <c r="I82" s="203" t="e">
        <f ca="1">IF(F82=" ",0,Facture!J81*12/F82*1.09)</f>
        <v>#DIV/0!</v>
      </c>
      <c r="J82" s="204">
        <f t="shared" ref="J82:J145" si="27">IF(B82=" ",0,H82)</f>
        <v>0</v>
      </c>
      <c r="K82" s="345">
        <f t="shared" si="24"/>
        <v>0</v>
      </c>
      <c r="L82" s="205">
        <f t="shared" si="20"/>
        <v>0</v>
      </c>
      <c r="M82" s="205">
        <f t="shared" si="21"/>
        <v>0</v>
      </c>
      <c r="N82" s="353">
        <f t="shared" si="22"/>
        <v>0</v>
      </c>
      <c r="O82" s="356">
        <f t="shared" si="25"/>
        <v>0</v>
      </c>
      <c r="P82" s="357">
        <f t="shared" si="26"/>
        <v>0</v>
      </c>
      <c r="Q82" s="354">
        <f>IF($F82=0,0,(Facture!$R81+Facture!$T81)*12*IF(Données!$J121="qc",1.09,IF(Données!$J121="on",1.08,1))/$F82)</f>
        <v>0</v>
      </c>
      <c r="R82" s="206"/>
      <c r="S82" s="207">
        <f>MIN(IF($F82=0,0,(Facture!$W81)*12*(1+VLOOKUP($D82,taux,28))/$F82),$J82)</f>
        <v>0</v>
      </c>
      <c r="T82" s="207">
        <f t="shared" si="23"/>
        <v>0</v>
      </c>
      <c r="U82" s="206"/>
      <c r="V82" s="207">
        <f>IF($F82=0,0,Facture!$R81*12*IF(Données!$J121="qc",1.09,IF(Données!$J121="on",1.08,1))/$F82)</f>
        <v>0</v>
      </c>
      <c r="W82" s="207">
        <f>IF($F82=0,0,Facture!$T81*12*IF(Données!$J121="qc",1.09,IF(Données!$J121="on",1.08,1))/$F82)</f>
        <v>0</v>
      </c>
      <c r="X82" s="207">
        <f>IF($F82=0,0,(Facture!$AB81+Facture!$AD81+Facture!$AF81)*12*IF(Données!$J121="qc",1.09,IF(Données!$J121="on",1.08,1))/$F82)</f>
        <v>0</v>
      </c>
      <c r="Y82" s="207">
        <f>IF($F82=0,0,(Facture!$H81+Facture!$J81+Facture!$L81+Facture!$P81+Facture!$V81)*12*IF(Données!$J121="qc",1.09,IF(Données!$J121="on",1.08,1))/$F82)</f>
        <v>0</v>
      </c>
    </row>
    <row r="83" spans="1:25">
      <c r="A83" s="208">
        <f t="shared" si="12"/>
        <v>68</v>
      </c>
      <c r="B83" s="198" t="str">
        <f>CONCATENATE(Données!B122," ",Données!C122)</f>
        <v xml:space="preserve"> </v>
      </c>
      <c r="C83" s="199">
        <f>Données!D122</f>
        <v>0</v>
      </c>
      <c r="D83" s="200" t="str">
        <f>Données!AD122</f>
        <v/>
      </c>
      <c r="E83" s="349">
        <f t="shared" si="17"/>
        <v>0</v>
      </c>
      <c r="F83" s="201">
        <f t="shared" si="18"/>
        <v>0</v>
      </c>
      <c r="G83" s="202">
        <f>IF($F83=0,0,Facture!AI82*12/F83)</f>
        <v>0</v>
      </c>
      <c r="H83" s="203" t="e">
        <f t="shared" ca="1" si="19"/>
        <v>#N/A</v>
      </c>
      <c r="I83" s="203" t="e">
        <f ca="1">IF(F83=" ",0,Facture!J82*12/F83*1.09)</f>
        <v>#DIV/0!</v>
      </c>
      <c r="J83" s="204">
        <f t="shared" si="27"/>
        <v>0</v>
      </c>
      <c r="K83" s="345">
        <f t="shared" si="24"/>
        <v>0</v>
      </c>
      <c r="L83" s="205">
        <f t="shared" si="20"/>
        <v>0</v>
      </c>
      <c r="M83" s="205">
        <f t="shared" si="21"/>
        <v>0</v>
      </c>
      <c r="N83" s="353">
        <f t="shared" si="22"/>
        <v>0</v>
      </c>
      <c r="O83" s="356">
        <f t="shared" si="25"/>
        <v>0</v>
      </c>
      <c r="P83" s="357">
        <f t="shared" si="26"/>
        <v>0</v>
      </c>
      <c r="Q83" s="354">
        <f>IF($F83=0,0,(Facture!$R82+Facture!$T82)*12*IF(Données!$J122="qc",1.09,IF(Données!$J122="on",1.08,1))/$F83)</f>
        <v>0</v>
      </c>
      <c r="R83" s="206"/>
      <c r="S83" s="207">
        <f>MIN(IF($F83=0,0,(Facture!$W82)*12*(1+VLOOKUP($D83,taux,28))/$F83),$J83)</f>
        <v>0</v>
      </c>
      <c r="T83" s="207">
        <f t="shared" si="23"/>
        <v>0</v>
      </c>
      <c r="U83" s="206"/>
      <c r="V83" s="207">
        <f>IF($F83=0,0,Facture!$R82*12*IF(Données!$J122="qc",1.09,IF(Données!$J122="on",1.08,1))/$F83)</f>
        <v>0</v>
      </c>
      <c r="W83" s="207">
        <f>IF($F83=0,0,Facture!$T82*12*IF(Données!$J122="qc",1.09,IF(Données!$J122="on",1.08,1))/$F83)</f>
        <v>0</v>
      </c>
      <c r="X83" s="207">
        <f>IF($F83=0,0,(Facture!$AB82+Facture!$AD82+Facture!$AF82)*12*IF(Données!$J122="qc",1.09,IF(Données!$J122="on",1.08,1))/$F83)</f>
        <v>0</v>
      </c>
      <c r="Y83" s="207">
        <f>IF($F83=0,0,(Facture!$H82+Facture!$J82+Facture!$L82+Facture!$P82+Facture!$V82)*12*IF(Données!$J122="qc",1.09,IF(Données!$J122="on",1.08,1))/$F83)</f>
        <v>0</v>
      </c>
    </row>
    <row r="84" spans="1:25">
      <c r="A84" s="208">
        <f t="shared" si="12"/>
        <v>69</v>
      </c>
      <c r="B84" s="198" t="str">
        <f>CONCATENATE(Données!B123," ",Données!C123)</f>
        <v xml:space="preserve"> </v>
      </c>
      <c r="C84" s="199">
        <f>Données!D123</f>
        <v>0</v>
      </c>
      <c r="D84" s="200" t="str">
        <f>Données!AD123</f>
        <v/>
      </c>
      <c r="E84" s="349">
        <f t="shared" si="17"/>
        <v>0</v>
      </c>
      <c r="F84" s="201">
        <f t="shared" si="18"/>
        <v>0</v>
      </c>
      <c r="G84" s="202">
        <f>IF($F84=0,0,Facture!AI83*12/F84)</f>
        <v>0</v>
      </c>
      <c r="H84" s="203" t="e">
        <f t="shared" ca="1" si="19"/>
        <v>#N/A</v>
      </c>
      <c r="I84" s="203" t="e">
        <f ca="1">IF(F84=" ",0,Facture!J83*12/F84*1.09)</f>
        <v>#DIV/0!</v>
      </c>
      <c r="J84" s="204">
        <f t="shared" si="27"/>
        <v>0</v>
      </c>
      <c r="K84" s="345">
        <f t="shared" si="24"/>
        <v>0</v>
      </c>
      <c r="L84" s="205">
        <f t="shared" si="20"/>
        <v>0</v>
      </c>
      <c r="M84" s="205">
        <f t="shared" si="21"/>
        <v>0</v>
      </c>
      <c r="N84" s="353">
        <f t="shared" si="22"/>
        <v>0</v>
      </c>
      <c r="O84" s="356">
        <f t="shared" si="25"/>
        <v>0</v>
      </c>
      <c r="P84" s="357">
        <f t="shared" si="26"/>
        <v>0</v>
      </c>
      <c r="Q84" s="354">
        <f>IF($F84=0,0,(Facture!$R83+Facture!$T83)*12*IF(Données!$J123="qc",1.09,IF(Données!$J123="on",1.08,1))/$F84)</f>
        <v>0</v>
      </c>
      <c r="R84" s="206"/>
      <c r="S84" s="207">
        <f>MIN(IF($F84=0,0,(Facture!$W83)*12*(1+VLOOKUP($D84,taux,28))/$F84),$J84)</f>
        <v>0</v>
      </c>
      <c r="T84" s="207">
        <f t="shared" si="23"/>
        <v>0</v>
      </c>
      <c r="U84" s="206"/>
      <c r="V84" s="207">
        <f>IF($F84=0,0,Facture!$R83*12*IF(Données!$J123="qc",1.09,IF(Données!$J123="on",1.08,1))/$F84)</f>
        <v>0</v>
      </c>
      <c r="W84" s="207">
        <f>IF($F84=0,0,Facture!$T83*12*IF(Données!$J123="qc",1.09,IF(Données!$J123="on",1.08,1))/$F84)</f>
        <v>0</v>
      </c>
      <c r="X84" s="207">
        <f>IF($F84=0,0,(Facture!$AB83+Facture!$AD83+Facture!$AF83)*12*IF(Données!$J123="qc",1.09,IF(Données!$J123="on",1.08,1))/$F84)</f>
        <v>0</v>
      </c>
      <c r="Y84" s="207">
        <f>IF($F84=0,0,(Facture!$H83+Facture!$J83+Facture!$L83+Facture!$P83+Facture!$V83)*12*IF(Données!$J123="qc",1.09,IF(Données!$J123="on",1.08,1))/$F84)</f>
        <v>0</v>
      </c>
    </row>
    <row r="85" spans="1:25">
      <c r="A85" s="208">
        <f t="shared" si="12"/>
        <v>70</v>
      </c>
      <c r="B85" s="198" t="str">
        <f>CONCATENATE(Données!B124," ",Données!C124)</f>
        <v xml:space="preserve"> </v>
      </c>
      <c r="C85" s="199">
        <f>Données!D124</f>
        <v>0</v>
      </c>
      <c r="D85" s="200" t="str">
        <f>Données!AD124</f>
        <v/>
      </c>
      <c r="E85" s="349">
        <f t="shared" si="17"/>
        <v>0</v>
      </c>
      <c r="F85" s="201">
        <f t="shared" si="18"/>
        <v>0</v>
      </c>
      <c r="G85" s="202">
        <f>IF($F85=0,0,Facture!AI84*12/F85)</f>
        <v>0</v>
      </c>
      <c r="H85" s="203" t="e">
        <f t="shared" ca="1" si="19"/>
        <v>#N/A</v>
      </c>
      <c r="I85" s="203" t="e">
        <f ca="1">IF(F85=" ",0,Facture!J84*12/F85*1.09)</f>
        <v>#DIV/0!</v>
      </c>
      <c r="J85" s="204">
        <f t="shared" si="27"/>
        <v>0</v>
      </c>
      <c r="K85" s="345">
        <f t="shared" si="24"/>
        <v>0</v>
      </c>
      <c r="L85" s="205">
        <f t="shared" si="20"/>
        <v>0</v>
      </c>
      <c r="M85" s="205">
        <f t="shared" si="21"/>
        <v>0</v>
      </c>
      <c r="N85" s="353">
        <f t="shared" si="22"/>
        <v>0</v>
      </c>
      <c r="O85" s="356">
        <f t="shared" si="25"/>
        <v>0</v>
      </c>
      <c r="P85" s="357">
        <f t="shared" si="26"/>
        <v>0</v>
      </c>
      <c r="Q85" s="354">
        <f>IF($F85=0,0,(Facture!$R84+Facture!$T84)*12*IF(Données!$J124="qc",1.09,IF(Données!$J124="on",1.08,1))/$F85)</f>
        <v>0</v>
      </c>
      <c r="R85" s="206"/>
      <c r="S85" s="207">
        <f>MIN(IF($F85=0,0,(Facture!$W84)*12*(1+VLOOKUP($D85,taux,28))/$F85),$J85)</f>
        <v>0</v>
      </c>
      <c r="T85" s="207">
        <f t="shared" si="23"/>
        <v>0</v>
      </c>
      <c r="U85" s="206"/>
      <c r="V85" s="207">
        <f>IF($F85=0,0,Facture!$R84*12*IF(Données!$J124="qc",1.09,IF(Données!$J124="on",1.08,1))/$F85)</f>
        <v>0</v>
      </c>
      <c r="W85" s="207">
        <f>IF($F85=0,0,Facture!$T84*12*IF(Données!$J124="qc",1.09,IF(Données!$J124="on",1.08,1))/$F85)</f>
        <v>0</v>
      </c>
      <c r="X85" s="207">
        <f>IF($F85=0,0,(Facture!$AB84+Facture!$AD84+Facture!$AF84)*12*IF(Données!$J124="qc",1.09,IF(Données!$J124="on",1.08,1))/$F85)</f>
        <v>0</v>
      </c>
      <c r="Y85" s="207">
        <f>IF($F85=0,0,(Facture!$H84+Facture!$J84+Facture!$L84+Facture!$P84+Facture!$V84)*12*IF(Données!$J124="qc",1.09,IF(Données!$J124="on",1.08,1))/$F85)</f>
        <v>0</v>
      </c>
    </row>
    <row r="86" spans="1:25">
      <c r="A86" s="208">
        <f t="shared" si="12"/>
        <v>71</v>
      </c>
      <c r="B86" s="198" t="str">
        <f>CONCATENATE(Données!B125," ",Données!C125)</f>
        <v xml:space="preserve"> </v>
      </c>
      <c r="C86" s="199">
        <f>Données!D125</f>
        <v>0</v>
      </c>
      <c r="D86" s="200" t="str">
        <f>Données!AD125</f>
        <v/>
      </c>
      <c r="E86" s="349">
        <f t="shared" si="17"/>
        <v>0</v>
      </c>
      <c r="F86" s="201">
        <f t="shared" si="18"/>
        <v>0</v>
      </c>
      <c r="G86" s="202">
        <f>IF($F86=0,0,Facture!AI85*12/F86)</f>
        <v>0</v>
      </c>
      <c r="H86" s="203" t="e">
        <f t="shared" ca="1" si="19"/>
        <v>#N/A</v>
      </c>
      <c r="I86" s="203" t="e">
        <f ca="1">IF(F86=" ",0,Facture!J85*12/F86*1.09)</f>
        <v>#DIV/0!</v>
      </c>
      <c r="J86" s="204">
        <f t="shared" si="27"/>
        <v>0</v>
      </c>
      <c r="K86" s="345">
        <f t="shared" si="24"/>
        <v>0</v>
      </c>
      <c r="L86" s="205">
        <f t="shared" si="20"/>
        <v>0</v>
      </c>
      <c r="M86" s="205">
        <f t="shared" si="21"/>
        <v>0</v>
      </c>
      <c r="N86" s="353">
        <f t="shared" si="22"/>
        <v>0</v>
      </c>
      <c r="O86" s="356">
        <f t="shared" si="25"/>
        <v>0</v>
      </c>
      <c r="P86" s="357">
        <f t="shared" si="26"/>
        <v>0</v>
      </c>
      <c r="Q86" s="354">
        <f>IF($F86=0,0,(Facture!$R85+Facture!$T85)*12*IF(Données!$J125="qc",1.09,IF(Données!$J125="on",1.08,1))/$F86)</f>
        <v>0</v>
      </c>
      <c r="R86" s="206"/>
      <c r="S86" s="207">
        <f>MIN(IF($F86=0,0,(Facture!$W85)*12*(1+VLOOKUP($D86,taux,28))/$F86),$J86)</f>
        <v>0</v>
      </c>
      <c r="T86" s="207">
        <f t="shared" si="23"/>
        <v>0</v>
      </c>
      <c r="U86" s="206"/>
      <c r="V86" s="207">
        <f>IF($F86=0,0,Facture!$R85*12*IF(Données!$J125="qc",1.09,IF(Données!$J125="on",1.08,1))/$F86)</f>
        <v>0</v>
      </c>
      <c r="W86" s="207">
        <f>IF($F86=0,0,Facture!$T85*12*IF(Données!$J125="qc",1.09,IF(Données!$J125="on",1.08,1))/$F86)</f>
        <v>0</v>
      </c>
      <c r="X86" s="207">
        <f>IF($F86=0,0,(Facture!$AB85+Facture!$AD85+Facture!$AF85)*12*IF(Données!$J125="qc",1.09,IF(Données!$J125="on",1.08,1))/$F86)</f>
        <v>0</v>
      </c>
      <c r="Y86" s="207">
        <f>IF($F86=0,0,(Facture!$H85+Facture!$J85+Facture!$L85+Facture!$P85+Facture!$V85)*12*IF(Données!$J125="qc",1.09,IF(Données!$J125="on",1.08,1))/$F86)</f>
        <v>0</v>
      </c>
    </row>
    <row r="87" spans="1:25">
      <c r="A87" s="208">
        <f t="shared" si="12"/>
        <v>72</v>
      </c>
      <c r="B87" s="198" t="str">
        <f>CONCATENATE(Données!B126," ",Données!C126)</f>
        <v xml:space="preserve"> </v>
      </c>
      <c r="C87" s="199">
        <f>Données!D126</f>
        <v>0</v>
      </c>
      <c r="D87" s="200" t="str">
        <f>Données!AD126</f>
        <v/>
      </c>
      <c r="E87" s="349">
        <f t="shared" si="17"/>
        <v>0</v>
      </c>
      <c r="F87" s="201">
        <f t="shared" si="18"/>
        <v>0</v>
      </c>
      <c r="G87" s="202">
        <f>IF($F87=0,0,Facture!AI86*12/F87)</f>
        <v>0</v>
      </c>
      <c r="H87" s="203" t="e">
        <f t="shared" ca="1" si="19"/>
        <v>#N/A</v>
      </c>
      <c r="I87" s="203" t="e">
        <f ca="1">IF(F87=" ",0,Facture!J86*12/F87*1.09)</f>
        <v>#DIV/0!</v>
      </c>
      <c r="J87" s="204">
        <f t="shared" si="27"/>
        <v>0</v>
      </c>
      <c r="K87" s="345">
        <f t="shared" si="24"/>
        <v>0</v>
      </c>
      <c r="L87" s="205">
        <f t="shared" si="20"/>
        <v>0</v>
      </c>
      <c r="M87" s="205">
        <f t="shared" si="21"/>
        <v>0</v>
      </c>
      <c r="N87" s="353">
        <f t="shared" si="22"/>
        <v>0</v>
      </c>
      <c r="O87" s="356">
        <f t="shared" si="25"/>
        <v>0</v>
      </c>
      <c r="P87" s="357">
        <f t="shared" si="26"/>
        <v>0</v>
      </c>
      <c r="Q87" s="354">
        <f>IF($F87=0,0,(Facture!$R86+Facture!$T86)*12*IF(Données!$J126="qc",1.09,IF(Données!$J126="on",1.08,1))/$F87)</f>
        <v>0</v>
      </c>
      <c r="R87" s="206"/>
      <c r="S87" s="207">
        <f>MIN(IF($F87=0,0,(Facture!$W86)*12*(1+VLOOKUP($D87,taux,28))/$F87),$J87)</f>
        <v>0</v>
      </c>
      <c r="T87" s="207">
        <f t="shared" si="23"/>
        <v>0</v>
      </c>
      <c r="U87" s="206"/>
      <c r="V87" s="207">
        <f>IF($F87=0,0,Facture!$R86*12*IF(Données!$J126="qc",1.09,IF(Données!$J126="on",1.08,1))/$F87)</f>
        <v>0</v>
      </c>
      <c r="W87" s="207">
        <f>IF($F87=0,0,Facture!$T86*12*IF(Données!$J126="qc",1.09,IF(Données!$J126="on",1.08,1))/$F87)</f>
        <v>0</v>
      </c>
      <c r="X87" s="207">
        <f>IF($F87=0,0,(Facture!$AB86+Facture!$AD86+Facture!$AF86)*12*IF(Données!$J126="qc",1.09,IF(Données!$J126="on",1.08,1))/$F87)</f>
        <v>0</v>
      </c>
      <c r="Y87" s="207">
        <f>IF($F87=0,0,(Facture!$H86+Facture!$J86+Facture!$L86+Facture!$P86+Facture!$V86)*12*IF(Données!$J126="qc",1.09,IF(Données!$J126="on",1.08,1))/$F87)</f>
        <v>0</v>
      </c>
    </row>
    <row r="88" spans="1:25">
      <c r="A88" s="208">
        <f t="shared" si="12"/>
        <v>73</v>
      </c>
      <c r="B88" s="198" t="str">
        <f>CONCATENATE(Données!B127," ",Données!C127)</f>
        <v xml:space="preserve"> </v>
      </c>
      <c r="C88" s="199">
        <f>Données!D127</f>
        <v>0</v>
      </c>
      <c r="D88" s="200" t="str">
        <f>Données!AD127</f>
        <v/>
      </c>
      <c r="E88" s="349">
        <f t="shared" si="17"/>
        <v>0</v>
      </c>
      <c r="F88" s="201">
        <f t="shared" si="18"/>
        <v>0</v>
      </c>
      <c r="G88" s="202">
        <f>IF($F88=0,0,Facture!AI87*12/F88)</f>
        <v>0</v>
      </c>
      <c r="H88" s="203" t="e">
        <f t="shared" ca="1" si="19"/>
        <v>#N/A</v>
      </c>
      <c r="I88" s="203" t="e">
        <f ca="1">IF(F88=" ",0,Facture!J87*12/F88*1.09)</f>
        <v>#DIV/0!</v>
      </c>
      <c r="J88" s="204">
        <f t="shared" si="27"/>
        <v>0</v>
      </c>
      <c r="K88" s="345">
        <f t="shared" si="24"/>
        <v>0</v>
      </c>
      <c r="L88" s="205">
        <f t="shared" si="20"/>
        <v>0</v>
      </c>
      <c r="M88" s="205">
        <f t="shared" si="21"/>
        <v>0</v>
      </c>
      <c r="N88" s="353">
        <f t="shared" si="22"/>
        <v>0</v>
      </c>
      <c r="O88" s="356">
        <f t="shared" si="25"/>
        <v>0</v>
      </c>
      <c r="P88" s="357">
        <f t="shared" si="26"/>
        <v>0</v>
      </c>
      <c r="Q88" s="354">
        <f>IF($F88=0,0,(Facture!$R87+Facture!$T87)*12*IF(Données!$J127="qc",1.09,IF(Données!$J127="on",1.08,1))/$F88)</f>
        <v>0</v>
      </c>
      <c r="R88" s="206"/>
      <c r="S88" s="207">
        <f>MIN(IF($F88=0,0,(Facture!$W87)*12*(1+VLOOKUP($D88,taux,28))/$F88),$J88)</f>
        <v>0</v>
      </c>
      <c r="T88" s="207">
        <f t="shared" si="23"/>
        <v>0</v>
      </c>
      <c r="U88" s="206"/>
      <c r="V88" s="207">
        <f>IF($F88=0,0,Facture!$R87*12*IF(Données!$J127="qc",1.09,IF(Données!$J127="on",1.08,1))/$F88)</f>
        <v>0</v>
      </c>
      <c r="W88" s="207">
        <f>IF($F88=0,0,Facture!$T87*12*IF(Données!$J127="qc",1.09,IF(Données!$J127="on",1.08,1))/$F88)</f>
        <v>0</v>
      </c>
      <c r="X88" s="207">
        <f>IF($F88=0,0,(Facture!$AB87+Facture!$AD87+Facture!$AF87)*12*IF(Données!$J127="qc",1.09,IF(Données!$J127="on",1.08,1))/$F88)</f>
        <v>0</v>
      </c>
      <c r="Y88" s="207">
        <f>IF($F88=0,0,(Facture!$H87+Facture!$J87+Facture!$L87+Facture!$P87+Facture!$V87)*12*IF(Données!$J127="qc",1.09,IF(Données!$J127="on",1.08,1))/$F88)</f>
        <v>0</v>
      </c>
    </row>
    <row r="89" spans="1:25">
      <c r="A89" s="208">
        <f t="shared" si="12"/>
        <v>74</v>
      </c>
      <c r="B89" s="198" t="str">
        <f>CONCATENATE(Données!B128," ",Données!C128)</f>
        <v xml:space="preserve"> </v>
      </c>
      <c r="C89" s="199">
        <f>Données!D128</f>
        <v>0</v>
      </c>
      <c r="D89" s="200" t="str">
        <f>Données!AD128</f>
        <v/>
      </c>
      <c r="E89" s="349">
        <f t="shared" si="17"/>
        <v>0</v>
      </c>
      <c r="F89" s="201">
        <f t="shared" si="18"/>
        <v>0</v>
      </c>
      <c r="G89" s="202">
        <f>IF($F89=0,0,Facture!AI88*12/F89)</f>
        <v>0</v>
      </c>
      <c r="H89" s="203" t="e">
        <f t="shared" ca="1" si="19"/>
        <v>#N/A</v>
      </c>
      <c r="I89" s="203" t="e">
        <f ca="1">IF(F89=" ",0,Facture!J88*12/F89*1.09)</f>
        <v>#DIV/0!</v>
      </c>
      <c r="J89" s="204">
        <f t="shared" si="27"/>
        <v>0</v>
      </c>
      <c r="K89" s="345">
        <f t="shared" si="24"/>
        <v>0</v>
      </c>
      <c r="L89" s="205">
        <f t="shared" si="20"/>
        <v>0</v>
      </c>
      <c r="M89" s="205">
        <f t="shared" si="21"/>
        <v>0</v>
      </c>
      <c r="N89" s="353">
        <f t="shared" si="22"/>
        <v>0</v>
      </c>
      <c r="O89" s="356">
        <f t="shared" si="25"/>
        <v>0</v>
      </c>
      <c r="P89" s="357">
        <f t="shared" si="26"/>
        <v>0</v>
      </c>
      <c r="Q89" s="354">
        <f>IF($F89=0,0,(Facture!$R88+Facture!$T88)*12*IF(Données!$J128="qc",1.09,IF(Données!$J128="on",1.08,1))/$F89)</f>
        <v>0</v>
      </c>
      <c r="R89" s="206"/>
      <c r="S89" s="207">
        <f>MIN(IF($F89=0,0,(Facture!$W88)*12*(1+VLOOKUP($D89,taux,28))/$F89),$J89)</f>
        <v>0</v>
      </c>
      <c r="T89" s="207">
        <f t="shared" si="23"/>
        <v>0</v>
      </c>
      <c r="U89" s="206"/>
      <c r="V89" s="207">
        <f>IF($F89=0,0,Facture!$R88*12*IF(Données!$J128="qc",1.09,IF(Données!$J128="on",1.08,1))/$F89)</f>
        <v>0</v>
      </c>
      <c r="W89" s="207">
        <f>IF($F89=0,0,Facture!$T88*12*IF(Données!$J128="qc",1.09,IF(Données!$J128="on",1.08,1))/$F89)</f>
        <v>0</v>
      </c>
      <c r="X89" s="207">
        <f>IF($F89=0,0,(Facture!$AB88+Facture!$AD88+Facture!$AF88)*12*IF(Données!$J128="qc",1.09,IF(Données!$J128="on",1.08,1))/$F89)</f>
        <v>0</v>
      </c>
      <c r="Y89" s="207">
        <f>IF($F89=0,0,(Facture!$H88+Facture!$J88+Facture!$L88+Facture!$P88+Facture!$V88)*12*IF(Données!$J128="qc",1.09,IF(Données!$J128="on",1.08,1))/$F89)</f>
        <v>0</v>
      </c>
    </row>
    <row r="90" spans="1:25">
      <c r="A90" s="208">
        <f t="shared" si="12"/>
        <v>75</v>
      </c>
      <c r="B90" s="198" t="str">
        <f>CONCATENATE(Données!B129," ",Données!C129)</f>
        <v xml:space="preserve"> </v>
      </c>
      <c r="C90" s="199">
        <f>Données!D129</f>
        <v>0</v>
      </c>
      <c r="D90" s="200" t="str">
        <f>Données!AD129</f>
        <v/>
      </c>
      <c r="E90" s="349">
        <f t="shared" si="17"/>
        <v>0</v>
      </c>
      <c r="F90" s="201">
        <f t="shared" si="18"/>
        <v>0</v>
      </c>
      <c r="G90" s="202">
        <f>IF($F90=0,0,Facture!AI89*12/F90)</f>
        <v>0</v>
      </c>
      <c r="H90" s="203" t="e">
        <f t="shared" ca="1" si="19"/>
        <v>#N/A</v>
      </c>
      <c r="I90" s="203" t="e">
        <f ca="1">IF(F90=" ",0,Facture!J89*12/F90*1.09)</f>
        <v>#DIV/0!</v>
      </c>
      <c r="J90" s="204">
        <f t="shared" si="27"/>
        <v>0</v>
      </c>
      <c r="K90" s="345">
        <f t="shared" si="24"/>
        <v>0</v>
      </c>
      <c r="L90" s="205">
        <f t="shared" si="20"/>
        <v>0</v>
      </c>
      <c r="M90" s="205">
        <f t="shared" si="21"/>
        <v>0</v>
      </c>
      <c r="N90" s="353">
        <f t="shared" si="22"/>
        <v>0</v>
      </c>
      <c r="O90" s="358">
        <f t="shared" si="25"/>
        <v>0</v>
      </c>
      <c r="P90" s="359">
        <f t="shared" si="26"/>
        <v>0</v>
      </c>
      <c r="Q90" s="354">
        <f>IF($F90=0,0,(Facture!$R89+Facture!$T89)*12*IF(Données!$J129="qc",1.09,IF(Données!$J129="on",1.08,1))/$F90)</f>
        <v>0</v>
      </c>
      <c r="R90" s="206"/>
      <c r="S90" s="207">
        <f>MIN(IF($F90=0,0,(Facture!$W89)*12*(1+VLOOKUP($D90,taux,28))/$F90),$J90)</f>
        <v>0</v>
      </c>
      <c r="T90" s="207">
        <f t="shared" si="23"/>
        <v>0</v>
      </c>
      <c r="U90" s="206"/>
      <c r="V90" s="207">
        <f>IF($F90=0,0,Facture!$R89*12*IF(Données!$J129="qc",1.09,IF(Données!$J129="on",1.08,1))/$F90)</f>
        <v>0</v>
      </c>
      <c r="W90" s="207">
        <f>IF($F90=0,0,Facture!$T89*12*IF(Données!$J129="qc",1.09,IF(Données!$J129="on",1.08,1))/$F90)</f>
        <v>0</v>
      </c>
      <c r="X90" s="207">
        <f>IF($F90=0,0,(Facture!$AB89+Facture!$AD89+Facture!$AF89)*12*IF(Données!$J129="qc",1.09,IF(Données!$J129="on",1.08,1))/$F90)</f>
        <v>0</v>
      </c>
      <c r="Y90" s="207">
        <f>IF($F90=0,0,(Facture!$H89+Facture!$J89+Facture!$L89+Facture!$P89+Facture!$V89)*12*IF(Données!$J129="qc",1.09,IF(Données!$J129="on",1.08,1))/$F90)</f>
        <v>0</v>
      </c>
    </row>
    <row r="91" spans="1:25">
      <c r="A91" s="208">
        <f t="shared" si="12"/>
        <v>76</v>
      </c>
      <c r="B91" s="198" t="str">
        <f>CONCATENATE(Données!B130," ",Données!C130)</f>
        <v xml:space="preserve"> </v>
      </c>
      <c r="C91" s="199">
        <f>Données!D130</f>
        <v>0</v>
      </c>
      <c r="D91" s="200" t="str">
        <f>Données!AD130</f>
        <v/>
      </c>
      <c r="E91" s="349">
        <f t="shared" si="17"/>
        <v>0</v>
      </c>
      <c r="F91" s="201">
        <f t="shared" si="18"/>
        <v>0</v>
      </c>
      <c r="G91" s="202">
        <f>IF($F91=0,0,Facture!AI90*12/F91)</f>
        <v>0</v>
      </c>
      <c r="H91" s="203" t="e">
        <f t="shared" ca="1" si="19"/>
        <v>#N/A</v>
      </c>
      <c r="I91" s="203" t="e">
        <f ca="1">IF(F91=" ",0,Facture!J90*12/F91*1.09)</f>
        <v>#DIV/0!</v>
      </c>
      <c r="J91" s="204">
        <f t="shared" si="27"/>
        <v>0</v>
      </c>
      <c r="K91" s="345">
        <f t="shared" si="24"/>
        <v>0</v>
      </c>
      <c r="L91" s="205">
        <f t="shared" si="20"/>
        <v>0</v>
      </c>
      <c r="M91" s="205">
        <f t="shared" si="21"/>
        <v>0</v>
      </c>
      <c r="N91" s="353">
        <f t="shared" si="22"/>
        <v>0</v>
      </c>
      <c r="O91" s="356">
        <f t="shared" si="25"/>
        <v>0</v>
      </c>
      <c r="P91" s="357">
        <f t="shared" si="26"/>
        <v>0</v>
      </c>
      <c r="Q91" s="354">
        <f>IF($F91=0,0,(Facture!$R90+Facture!$T90)*12*IF(Données!$J130="qc",1.09,IF(Données!$J130="on",1.08,1))/$F91)</f>
        <v>0</v>
      </c>
      <c r="R91" s="206"/>
      <c r="S91" s="207">
        <f>MIN(IF($F91=0,0,(Facture!$W90)*12*(1+VLOOKUP($D91,taux,28))/$F91),$J91)</f>
        <v>0</v>
      </c>
      <c r="T91" s="207">
        <f t="shared" si="23"/>
        <v>0</v>
      </c>
      <c r="U91" s="206"/>
      <c r="V91" s="207">
        <f>IF($F91=0,0,Facture!$R90*12*IF(Données!$J130="qc",1.09,IF(Données!$J130="on",1.08,1))/$F91)</f>
        <v>0</v>
      </c>
      <c r="W91" s="207">
        <f>IF($F91=0,0,Facture!$T90*12*IF(Données!$J130="qc",1.09,IF(Données!$J130="on",1.08,1))/$F91)</f>
        <v>0</v>
      </c>
      <c r="X91" s="207">
        <f>IF($F91=0,0,(Facture!$AB90+Facture!$AD90+Facture!$AF90)*12*IF(Données!$J130="qc",1.09,IF(Données!$J130="on",1.08,1))/$F91)</f>
        <v>0</v>
      </c>
      <c r="Y91" s="207">
        <f>IF($F91=0,0,(Facture!$H90+Facture!$J90+Facture!$L90+Facture!$P90+Facture!$V90)*12*IF(Données!$J130="qc",1.09,IF(Données!$J130="on",1.08,1))/$F91)</f>
        <v>0</v>
      </c>
    </row>
    <row r="92" spans="1:25">
      <c r="A92" s="208">
        <f t="shared" si="12"/>
        <v>77</v>
      </c>
      <c r="B92" s="198" t="str">
        <f>CONCATENATE(Données!B131," ",Données!C131)</f>
        <v xml:space="preserve"> </v>
      </c>
      <c r="C92" s="199">
        <f>Données!D131</f>
        <v>0</v>
      </c>
      <c r="D92" s="200" t="str">
        <f>Données!AD131</f>
        <v/>
      </c>
      <c r="E92" s="349">
        <f t="shared" si="17"/>
        <v>0</v>
      </c>
      <c r="F92" s="201">
        <f t="shared" si="18"/>
        <v>0</v>
      </c>
      <c r="G92" s="202">
        <f>IF($F92=0,0,Facture!AI91*12/F92)</f>
        <v>0</v>
      </c>
      <c r="H92" s="203" t="e">
        <f t="shared" ca="1" si="19"/>
        <v>#N/A</v>
      </c>
      <c r="I92" s="203" t="e">
        <f ca="1">IF(F92=" ",0,Facture!J91*12/F92*1.09)</f>
        <v>#DIV/0!</v>
      </c>
      <c r="J92" s="204">
        <f t="shared" si="27"/>
        <v>0</v>
      </c>
      <c r="K92" s="345">
        <f t="shared" si="24"/>
        <v>0</v>
      </c>
      <c r="L92" s="205">
        <f t="shared" si="20"/>
        <v>0</v>
      </c>
      <c r="M92" s="205">
        <f t="shared" si="21"/>
        <v>0</v>
      </c>
      <c r="N92" s="353">
        <f t="shared" si="22"/>
        <v>0</v>
      </c>
      <c r="O92" s="356">
        <f t="shared" si="25"/>
        <v>0</v>
      </c>
      <c r="P92" s="357">
        <f t="shared" si="26"/>
        <v>0</v>
      </c>
      <c r="Q92" s="354">
        <f>IF($F92=0,0,(Facture!$R91+Facture!$T91)*12*IF(Données!$J131="qc",1.09,IF(Données!$J131="on",1.08,1))/$F92)</f>
        <v>0</v>
      </c>
      <c r="R92" s="206"/>
      <c r="S92" s="207">
        <f>MIN(IF($F92=0,0,(Facture!$W91)*12*(1+VLOOKUP($D92,taux,28))/$F92),$J92)</f>
        <v>0</v>
      </c>
      <c r="T92" s="207">
        <f t="shared" si="23"/>
        <v>0</v>
      </c>
      <c r="U92" s="206"/>
      <c r="V92" s="207">
        <f>IF($F92=0,0,Facture!$R91*12*IF(Données!$J131="qc",1.09,IF(Données!$J131="on",1.08,1))/$F92)</f>
        <v>0</v>
      </c>
      <c r="W92" s="207">
        <f>IF($F92=0,0,Facture!$T91*12*IF(Données!$J131="qc",1.09,IF(Données!$J131="on",1.08,1))/$F92)</f>
        <v>0</v>
      </c>
      <c r="X92" s="207">
        <f>IF($F92=0,0,(Facture!$AB91+Facture!$AD91+Facture!$AF91)*12*IF(Données!$J131="qc",1.09,IF(Données!$J131="on",1.08,1))/$F92)</f>
        <v>0</v>
      </c>
      <c r="Y92" s="207">
        <f>IF($F92=0,0,(Facture!$H91+Facture!$J91+Facture!$L91+Facture!$P91+Facture!$V91)*12*IF(Données!$J131="qc",1.09,IF(Données!$J131="on",1.08,1))/$F92)</f>
        <v>0</v>
      </c>
    </row>
    <row r="93" spans="1:25">
      <c r="A93" s="208">
        <f t="shared" si="12"/>
        <v>78</v>
      </c>
      <c r="B93" s="198" t="str">
        <f>CONCATENATE(Données!B132," ",Données!C132)</f>
        <v xml:space="preserve"> </v>
      </c>
      <c r="C93" s="199">
        <f>Données!D132</f>
        <v>0</v>
      </c>
      <c r="D93" s="200" t="str">
        <f>Données!AD132</f>
        <v/>
      </c>
      <c r="E93" s="349">
        <f t="shared" si="17"/>
        <v>0</v>
      </c>
      <c r="F93" s="201">
        <f t="shared" si="18"/>
        <v>0</v>
      </c>
      <c r="G93" s="202">
        <f>IF($F93=0,0,Facture!AI92*12/F93)</f>
        <v>0</v>
      </c>
      <c r="H93" s="203" t="e">
        <f t="shared" ca="1" si="19"/>
        <v>#N/A</v>
      </c>
      <c r="I93" s="203" t="e">
        <f ca="1">IF(F93=" ",0,Facture!J92*12/F93*1.09)</f>
        <v>#DIV/0!</v>
      </c>
      <c r="J93" s="204">
        <f t="shared" si="27"/>
        <v>0</v>
      </c>
      <c r="K93" s="345">
        <f t="shared" si="24"/>
        <v>0</v>
      </c>
      <c r="L93" s="205">
        <f t="shared" si="20"/>
        <v>0</v>
      </c>
      <c r="M93" s="205">
        <f t="shared" si="21"/>
        <v>0</v>
      </c>
      <c r="N93" s="353">
        <f t="shared" si="22"/>
        <v>0</v>
      </c>
      <c r="O93" s="356">
        <f t="shared" si="25"/>
        <v>0</v>
      </c>
      <c r="P93" s="357">
        <f t="shared" si="26"/>
        <v>0</v>
      </c>
      <c r="Q93" s="354">
        <f>IF($F93=0,0,(Facture!$R92+Facture!$T92)*12*IF(Données!$J132="qc",1.09,IF(Données!$J132="on",1.08,1))/$F93)</f>
        <v>0</v>
      </c>
      <c r="R93" s="206"/>
      <c r="S93" s="207">
        <f>MIN(IF($F93=0,0,(Facture!$W92)*12*(1+VLOOKUP($D93,taux,28))/$F93),$J93)</f>
        <v>0</v>
      </c>
      <c r="T93" s="207">
        <f t="shared" si="23"/>
        <v>0</v>
      </c>
      <c r="U93" s="206"/>
      <c r="V93" s="207">
        <f>IF($F93=0,0,Facture!$R92*12*IF(Données!$J132="qc",1.09,IF(Données!$J132="on",1.08,1))/$F93)</f>
        <v>0</v>
      </c>
      <c r="W93" s="207">
        <f>IF($F93=0,0,Facture!$T92*12*IF(Données!$J132="qc",1.09,IF(Données!$J132="on",1.08,1))/$F93)</f>
        <v>0</v>
      </c>
      <c r="X93" s="207">
        <f>IF($F93=0,0,(Facture!$AB92+Facture!$AD92+Facture!$AF92)*12*IF(Données!$J132="qc",1.09,IF(Données!$J132="on",1.08,1))/$F93)</f>
        <v>0</v>
      </c>
      <c r="Y93" s="207">
        <f>IF($F93=0,0,(Facture!$H92+Facture!$J92+Facture!$L92+Facture!$P92+Facture!$V92)*12*IF(Données!$J132="qc",1.09,IF(Données!$J132="on",1.08,1))/$F93)</f>
        <v>0</v>
      </c>
    </row>
    <row r="94" spans="1:25">
      <c r="A94" s="208">
        <f t="shared" si="12"/>
        <v>79</v>
      </c>
      <c r="B94" s="198" t="str">
        <f>CONCATENATE(Données!B133," ",Données!C133)</f>
        <v xml:space="preserve"> </v>
      </c>
      <c r="C94" s="199">
        <f>Données!D133</f>
        <v>0</v>
      </c>
      <c r="D94" s="200" t="str">
        <f>Données!AD133</f>
        <v/>
      </c>
      <c r="E94" s="349">
        <f t="shared" si="17"/>
        <v>0</v>
      </c>
      <c r="F94" s="201">
        <f t="shared" si="18"/>
        <v>0</v>
      </c>
      <c r="G94" s="202">
        <f>IF($F94=0,0,Facture!AI93*12/F94)</f>
        <v>0</v>
      </c>
      <c r="H94" s="203" t="e">
        <f t="shared" ca="1" si="19"/>
        <v>#N/A</v>
      </c>
      <c r="I94" s="203" t="e">
        <f ca="1">IF(F94=" ",0,Facture!J93*12/F94*1.09)</f>
        <v>#DIV/0!</v>
      </c>
      <c r="J94" s="204">
        <f t="shared" si="27"/>
        <v>0</v>
      </c>
      <c r="K94" s="345">
        <f t="shared" si="24"/>
        <v>0</v>
      </c>
      <c r="L94" s="205">
        <f t="shared" si="20"/>
        <v>0</v>
      </c>
      <c r="M94" s="205">
        <f t="shared" si="21"/>
        <v>0</v>
      </c>
      <c r="N94" s="353">
        <f t="shared" si="22"/>
        <v>0</v>
      </c>
      <c r="O94" s="356">
        <f t="shared" si="25"/>
        <v>0</v>
      </c>
      <c r="P94" s="357">
        <f t="shared" si="26"/>
        <v>0</v>
      </c>
      <c r="Q94" s="354">
        <f>IF($F94=0,0,(Facture!$R93+Facture!$T93)*12*IF(Données!$J133="qc",1.09,IF(Données!$J133="on",1.08,1))/$F94)</f>
        <v>0</v>
      </c>
      <c r="R94" s="206"/>
      <c r="S94" s="207">
        <f>MIN(IF($F94=0,0,(Facture!$W93)*12*(1+VLOOKUP($D94,taux,28))/$F94),$J94)</f>
        <v>0</v>
      </c>
      <c r="T94" s="207">
        <f t="shared" si="23"/>
        <v>0</v>
      </c>
      <c r="U94" s="206"/>
      <c r="V94" s="207">
        <f>IF($F94=0,0,Facture!$R93*12*IF(Données!$J133="qc",1.09,IF(Données!$J133="on",1.08,1))/$F94)</f>
        <v>0</v>
      </c>
      <c r="W94" s="207">
        <f>IF($F94=0,0,Facture!$T93*12*IF(Données!$J133="qc",1.09,IF(Données!$J133="on",1.08,1))/$F94)</f>
        <v>0</v>
      </c>
      <c r="X94" s="207">
        <f>IF($F94=0,0,(Facture!$AB93+Facture!$AD93+Facture!$AF93)*12*IF(Données!$J133="qc",1.09,IF(Données!$J133="on",1.08,1))/$F94)</f>
        <v>0</v>
      </c>
      <c r="Y94" s="207">
        <f>IF($F94=0,0,(Facture!$H93+Facture!$J93+Facture!$L93+Facture!$P93+Facture!$V93)*12*IF(Données!$J133="qc",1.09,IF(Données!$J133="on",1.08,1))/$F94)</f>
        <v>0</v>
      </c>
    </row>
    <row r="95" spans="1:25">
      <c r="A95" s="208">
        <f t="shared" si="12"/>
        <v>80</v>
      </c>
      <c r="B95" s="198" t="str">
        <f>CONCATENATE(Données!B134," ",Données!C134)</f>
        <v xml:space="preserve"> </v>
      </c>
      <c r="C95" s="199">
        <f>Données!D134</f>
        <v>0</v>
      </c>
      <c r="D95" s="200" t="str">
        <f>Données!AD134</f>
        <v/>
      </c>
      <c r="E95" s="349">
        <f t="shared" si="17"/>
        <v>0</v>
      </c>
      <c r="F95" s="201">
        <f t="shared" si="18"/>
        <v>0</v>
      </c>
      <c r="G95" s="202">
        <f>IF($F95=0,0,Facture!AI94*12/F95)</f>
        <v>0</v>
      </c>
      <c r="H95" s="203" t="e">
        <f t="shared" ca="1" si="19"/>
        <v>#N/A</v>
      </c>
      <c r="I95" s="203" t="e">
        <f ca="1">IF(F95=" ",0,Facture!J94*12/F95*1.09)</f>
        <v>#DIV/0!</v>
      </c>
      <c r="J95" s="204">
        <f t="shared" si="27"/>
        <v>0</v>
      </c>
      <c r="K95" s="345">
        <f t="shared" si="24"/>
        <v>0</v>
      </c>
      <c r="L95" s="205">
        <f t="shared" si="20"/>
        <v>0</v>
      </c>
      <c r="M95" s="205">
        <f t="shared" si="21"/>
        <v>0</v>
      </c>
      <c r="N95" s="353">
        <f t="shared" si="22"/>
        <v>0</v>
      </c>
      <c r="O95" s="356">
        <f t="shared" si="25"/>
        <v>0</v>
      </c>
      <c r="P95" s="357">
        <f t="shared" si="26"/>
        <v>0</v>
      </c>
      <c r="Q95" s="354">
        <f>IF($F95=0,0,(Facture!$R94+Facture!$T94)*12*IF(Données!$J134="qc",1.09,IF(Données!$J134="on",1.08,1))/$F95)</f>
        <v>0</v>
      </c>
      <c r="R95" s="206"/>
      <c r="S95" s="207">
        <f>MIN(IF($F95=0,0,(Facture!$W94)*12*(1+VLOOKUP($D95,taux,28))/$F95),$J95)</f>
        <v>0</v>
      </c>
      <c r="T95" s="207">
        <f t="shared" si="23"/>
        <v>0</v>
      </c>
      <c r="U95" s="206"/>
      <c r="V95" s="207">
        <f>IF($F95=0,0,Facture!$R94*12*IF(Données!$J134="qc",1.09,IF(Données!$J134="on",1.08,1))/$F95)</f>
        <v>0</v>
      </c>
      <c r="W95" s="207">
        <f>IF($F95=0,0,Facture!$T94*12*IF(Données!$J134="qc",1.09,IF(Données!$J134="on",1.08,1))/$F95)</f>
        <v>0</v>
      </c>
      <c r="X95" s="207">
        <f>IF($F95=0,0,(Facture!$AB94+Facture!$AD94+Facture!$AF94)*12*IF(Données!$J134="qc",1.09,IF(Données!$J134="on",1.08,1))/$F95)</f>
        <v>0</v>
      </c>
      <c r="Y95" s="207">
        <f>IF($F95=0,0,(Facture!$H94+Facture!$J94+Facture!$L94+Facture!$P94+Facture!$V94)*12*IF(Données!$J134="qc",1.09,IF(Données!$J134="on",1.08,1))/$F95)</f>
        <v>0</v>
      </c>
    </row>
    <row r="96" spans="1:25">
      <c r="A96" s="208">
        <f t="shared" si="12"/>
        <v>81</v>
      </c>
      <c r="B96" s="198" t="str">
        <f>CONCATENATE(Données!B135," ",Données!C135)</f>
        <v xml:space="preserve"> </v>
      </c>
      <c r="C96" s="199">
        <f>Données!D135</f>
        <v>0</v>
      </c>
      <c r="D96" s="200" t="str">
        <f>Données!AD135</f>
        <v/>
      </c>
      <c r="E96" s="349">
        <f t="shared" si="17"/>
        <v>0</v>
      </c>
      <c r="F96" s="201">
        <f t="shared" si="18"/>
        <v>0</v>
      </c>
      <c r="G96" s="202">
        <f>IF($F96=0,0,Facture!AI95*12/F96)</f>
        <v>0</v>
      </c>
      <c r="H96" s="203" t="e">
        <f t="shared" ca="1" si="19"/>
        <v>#N/A</v>
      </c>
      <c r="I96" s="203" t="e">
        <f ca="1">IF(F96=" ",0,Facture!J95*12/F96*1.09)</f>
        <v>#DIV/0!</v>
      </c>
      <c r="J96" s="204">
        <f t="shared" si="27"/>
        <v>0</v>
      </c>
      <c r="K96" s="345">
        <f t="shared" si="24"/>
        <v>0</v>
      </c>
      <c r="L96" s="205">
        <f t="shared" si="20"/>
        <v>0</v>
      </c>
      <c r="M96" s="205">
        <f t="shared" si="21"/>
        <v>0</v>
      </c>
      <c r="N96" s="353">
        <f t="shared" si="22"/>
        <v>0</v>
      </c>
      <c r="O96" s="356">
        <f t="shared" si="25"/>
        <v>0</v>
      </c>
      <c r="P96" s="357">
        <f t="shared" si="26"/>
        <v>0</v>
      </c>
      <c r="Q96" s="354">
        <f>IF($F96=0,0,(Facture!$R95+Facture!$T95)*12*IF(Données!$J135="qc",1.09,IF(Données!$J135="on",1.08,1))/$F96)</f>
        <v>0</v>
      </c>
      <c r="R96" s="206"/>
      <c r="S96" s="207">
        <f>MIN(IF($F96=0,0,(Facture!$W95)*12*(1+VLOOKUP($D96,taux,28))/$F96),$J96)</f>
        <v>0</v>
      </c>
      <c r="T96" s="207">
        <f t="shared" si="23"/>
        <v>0</v>
      </c>
      <c r="U96" s="206"/>
      <c r="V96" s="207">
        <f>IF($F96=0,0,Facture!$R95*12*IF(Données!$J135="qc",1.09,IF(Données!$J135="on",1.08,1))/$F96)</f>
        <v>0</v>
      </c>
      <c r="W96" s="207">
        <f>IF($F96=0,0,Facture!$T95*12*IF(Données!$J135="qc",1.09,IF(Données!$J135="on",1.08,1))/$F96)</f>
        <v>0</v>
      </c>
      <c r="X96" s="207">
        <f>IF($F96=0,0,(Facture!$AB95+Facture!$AD95+Facture!$AF95)*12*IF(Données!$J135="qc",1.09,IF(Données!$J135="on",1.08,1))/$F96)</f>
        <v>0</v>
      </c>
      <c r="Y96" s="207">
        <f>IF($F96=0,0,(Facture!$H95+Facture!$J95+Facture!$L95+Facture!$P95+Facture!$V95)*12*IF(Données!$J135="qc",1.09,IF(Données!$J135="on",1.08,1))/$F96)</f>
        <v>0</v>
      </c>
    </row>
    <row r="97" spans="1:25">
      <c r="A97" s="208">
        <f t="shared" si="12"/>
        <v>82</v>
      </c>
      <c r="B97" s="198" t="str">
        <f>CONCATENATE(Données!B136," ",Données!C136)</f>
        <v xml:space="preserve"> </v>
      </c>
      <c r="C97" s="199">
        <f>Données!D136</f>
        <v>0</v>
      </c>
      <c r="D97" s="200" t="str">
        <f>Données!AD136</f>
        <v/>
      </c>
      <c r="E97" s="349">
        <f t="shared" si="17"/>
        <v>0</v>
      </c>
      <c r="F97" s="201">
        <f t="shared" si="18"/>
        <v>0</v>
      </c>
      <c r="G97" s="202">
        <f>IF($F97=0,0,Facture!AI96*12/F97)</f>
        <v>0</v>
      </c>
      <c r="H97" s="203" t="e">
        <f t="shared" ca="1" si="19"/>
        <v>#N/A</v>
      </c>
      <c r="I97" s="203" t="e">
        <f ca="1">IF(F97=" ",0,Facture!J96*12/F97*1.09)</f>
        <v>#DIV/0!</v>
      </c>
      <c r="J97" s="204">
        <f t="shared" si="27"/>
        <v>0</v>
      </c>
      <c r="K97" s="345">
        <f t="shared" si="24"/>
        <v>0</v>
      </c>
      <c r="L97" s="205">
        <f t="shared" si="20"/>
        <v>0</v>
      </c>
      <c r="M97" s="205">
        <f t="shared" si="21"/>
        <v>0</v>
      </c>
      <c r="N97" s="353">
        <f t="shared" si="22"/>
        <v>0</v>
      </c>
      <c r="O97" s="356">
        <f t="shared" si="25"/>
        <v>0</v>
      </c>
      <c r="P97" s="357">
        <f t="shared" si="26"/>
        <v>0</v>
      </c>
      <c r="Q97" s="354">
        <f>IF($F97=0,0,(Facture!$R96+Facture!$T96)*12*IF(Données!$J136="qc",1.09,IF(Données!$J136="on",1.08,1))/$F97)</f>
        <v>0</v>
      </c>
      <c r="R97" s="206"/>
      <c r="S97" s="207">
        <f>MIN(IF($F97=0,0,(Facture!$W96)*12*(1+VLOOKUP($D97,taux,28))/$F97),$J97)</f>
        <v>0</v>
      </c>
      <c r="T97" s="207">
        <f t="shared" si="23"/>
        <v>0</v>
      </c>
      <c r="U97" s="206"/>
      <c r="V97" s="207">
        <f>IF($F97=0,0,Facture!$R96*12*IF(Données!$J136="qc",1.09,IF(Données!$J136="on",1.08,1))/$F97)</f>
        <v>0</v>
      </c>
      <c r="W97" s="207">
        <f>IF($F97=0,0,Facture!$T96*12*IF(Données!$J136="qc",1.09,IF(Données!$J136="on",1.08,1))/$F97)</f>
        <v>0</v>
      </c>
      <c r="X97" s="207">
        <f>IF($F97=0,0,(Facture!$AB96+Facture!$AD96+Facture!$AF96)*12*IF(Données!$J136="qc",1.09,IF(Données!$J136="on",1.08,1))/$F97)</f>
        <v>0</v>
      </c>
      <c r="Y97" s="207">
        <f>IF($F97=0,0,(Facture!$H96+Facture!$J96+Facture!$L96+Facture!$P96+Facture!$V96)*12*IF(Données!$J136="qc",1.09,IF(Données!$J136="on",1.08,1))/$F97)</f>
        <v>0</v>
      </c>
    </row>
    <row r="98" spans="1:25">
      <c r="A98" s="208">
        <f t="shared" si="12"/>
        <v>83</v>
      </c>
      <c r="B98" s="198" t="str">
        <f>CONCATENATE(Données!B137," ",Données!C137)</f>
        <v xml:space="preserve"> </v>
      </c>
      <c r="C98" s="199">
        <f>Données!D137</f>
        <v>0</v>
      </c>
      <c r="D98" s="200" t="str">
        <f>Données!AD137</f>
        <v/>
      </c>
      <c r="E98" s="349">
        <f t="shared" si="17"/>
        <v>0</v>
      </c>
      <c r="F98" s="201">
        <f t="shared" si="18"/>
        <v>0</v>
      </c>
      <c r="G98" s="202">
        <f>IF($F98=0,0,Facture!AI97*12/F98)</f>
        <v>0</v>
      </c>
      <c r="H98" s="203" t="e">
        <f t="shared" ca="1" si="19"/>
        <v>#N/A</v>
      </c>
      <c r="I98" s="203" t="e">
        <f ca="1">IF(F98=" ",0,Facture!J97*12/F98*1.09)</f>
        <v>#DIV/0!</v>
      </c>
      <c r="J98" s="204">
        <f t="shared" si="27"/>
        <v>0</v>
      </c>
      <c r="K98" s="345">
        <f t="shared" si="24"/>
        <v>0</v>
      </c>
      <c r="L98" s="205">
        <f t="shared" si="20"/>
        <v>0</v>
      </c>
      <c r="M98" s="205">
        <f t="shared" si="21"/>
        <v>0</v>
      </c>
      <c r="N98" s="353">
        <f t="shared" si="22"/>
        <v>0</v>
      </c>
      <c r="O98" s="356">
        <f t="shared" si="25"/>
        <v>0</v>
      </c>
      <c r="P98" s="357">
        <f t="shared" si="26"/>
        <v>0</v>
      </c>
      <c r="Q98" s="354">
        <f>IF($F98=0,0,(Facture!$R97+Facture!$T97)*12*IF(Données!$J137="qc",1.09,IF(Données!$J137="on",1.08,1))/$F98)</f>
        <v>0</v>
      </c>
      <c r="R98" s="206"/>
      <c r="S98" s="207">
        <f>MIN(IF($F98=0,0,(Facture!$W97)*12*(1+VLOOKUP($D98,taux,28))/$F98),$J98)</f>
        <v>0</v>
      </c>
      <c r="T98" s="207">
        <f t="shared" si="23"/>
        <v>0</v>
      </c>
      <c r="U98" s="206"/>
      <c r="V98" s="207">
        <f>IF($F98=0,0,Facture!$R97*12*IF(Données!$J137="qc",1.09,IF(Données!$J137="on",1.08,1))/$F98)</f>
        <v>0</v>
      </c>
      <c r="W98" s="207">
        <f>IF($F98=0,0,Facture!$T97*12*IF(Données!$J137="qc",1.09,IF(Données!$J137="on",1.08,1))/$F98)</f>
        <v>0</v>
      </c>
      <c r="X98" s="207">
        <f>IF($F98=0,0,(Facture!$AB97+Facture!$AD97+Facture!$AF97)*12*IF(Données!$J137="qc",1.09,IF(Données!$J137="on",1.08,1))/$F98)</f>
        <v>0</v>
      </c>
      <c r="Y98" s="207">
        <f>IF($F98=0,0,(Facture!$H97+Facture!$J97+Facture!$L97+Facture!$P97+Facture!$V97)*12*IF(Données!$J137="qc",1.09,IF(Données!$J137="on",1.08,1))/$F98)</f>
        <v>0</v>
      </c>
    </row>
    <row r="99" spans="1:25">
      <c r="A99" s="208">
        <f t="shared" si="12"/>
        <v>84</v>
      </c>
      <c r="B99" s="198" t="str">
        <f>CONCATENATE(Données!B138," ",Données!C138)</f>
        <v xml:space="preserve"> </v>
      </c>
      <c r="C99" s="199">
        <f>Données!D138</f>
        <v>0</v>
      </c>
      <c r="D99" s="200" t="str">
        <f>Données!AD138</f>
        <v/>
      </c>
      <c r="E99" s="349">
        <f t="shared" si="17"/>
        <v>0</v>
      </c>
      <c r="F99" s="201">
        <f t="shared" si="18"/>
        <v>0</v>
      </c>
      <c r="G99" s="202">
        <f>IF($F99=0,0,Facture!AI98*12/F99)</f>
        <v>0</v>
      </c>
      <c r="H99" s="203" t="e">
        <f t="shared" ca="1" si="19"/>
        <v>#N/A</v>
      </c>
      <c r="I99" s="203" t="e">
        <f ca="1">IF(F99=" ",0,Facture!J98*12/F99*1.09)</f>
        <v>#DIV/0!</v>
      </c>
      <c r="J99" s="204">
        <f t="shared" si="27"/>
        <v>0</v>
      </c>
      <c r="K99" s="345">
        <f t="shared" si="24"/>
        <v>0</v>
      </c>
      <c r="L99" s="205">
        <f t="shared" si="20"/>
        <v>0</v>
      </c>
      <c r="M99" s="205">
        <f t="shared" si="21"/>
        <v>0</v>
      </c>
      <c r="N99" s="353">
        <f t="shared" si="22"/>
        <v>0</v>
      </c>
      <c r="O99" s="356">
        <f t="shared" si="25"/>
        <v>0</v>
      </c>
      <c r="P99" s="357">
        <f t="shared" si="26"/>
        <v>0</v>
      </c>
      <c r="Q99" s="354">
        <f>IF($F99=0,0,(Facture!$R98+Facture!$T98)*12*IF(Données!$J138="qc",1.09,IF(Données!$J138="on",1.08,1))/$F99)</f>
        <v>0</v>
      </c>
      <c r="R99" s="206"/>
      <c r="S99" s="207">
        <f>MIN(IF($F99=0,0,(Facture!$W98)*12*(1+VLOOKUP($D99,taux,28))/$F99),$J99)</f>
        <v>0</v>
      </c>
      <c r="T99" s="207">
        <f t="shared" si="23"/>
        <v>0</v>
      </c>
      <c r="U99" s="206"/>
      <c r="V99" s="207">
        <f>IF($F99=0,0,Facture!$R98*12*IF(Données!$J138="qc",1.09,IF(Données!$J138="on",1.08,1))/$F99)</f>
        <v>0</v>
      </c>
      <c r="W99" s="207">
        <f>IF($F99=0,0,Facture!$T98*12*IF(Données!$J138="qc",1.09,IF(Données!$J138="on",1.08,1))/$F99)</f>
        <v>0</v>
      </c>
      <c r="X99" s="207">
        <f>IF($F99=0,0,(Facture!$AB98+Facture!$AD98+Facture!$AF98)*12*IF(Données!$J138="qc",1.09,IF(Données!$J138="on",1.08,1))/$F99)</f>
        <v>0</v>
      </c>
      <c r="Y99" s="207">
        <f>IF($F99=0,0,(Facture!$H98+Facture!$J98+Facture!$L98+Facture!$P98+Facture!$V98)*12*IF(Données!$J138="qc",1.09,IF(Données!$J138="on",1.08,1))/$F99)</f>
        <v>0</v>
      </c>
    </row>
    <row r="100" spans="1:25">
      <c r="A100" s="208">
        <f t="shared" ref="A100:A163" si="28">A99+1</f>
        <v>85</v>
      </c>
      <c r="B100" s="198" t="str">
        <f>CONCATENATE(Données!B139," ",Données!C139)</f>
        <v xml:space="preserve"> </v>
      </c>
      <c r="C100" s="199">
        <f>Données!D139</f>
        <v>0</v>
      </c>
      <c r="D100" s="200" t="str">
        <f>Données!AD139</f>
        <v/>
      </c>
      <c r="E100" s="349">
        <f t="shared" si="17"/>
        <v>0</v>
      </c>
      <c r="F100" s="201">
        <f t="shared" si="18"/>
        <v>0</v>
      </c>
      <c r="G100" s="202">
        <f>IF($F100=0,0,Facture!AI99*12/F100)</f>
        <v>0</v>
      </c>
      <c r="H100" s="203" t="e">
        <f t="shared" ca="1" si="19"/>
        <v>#N/A</v>
      </c>
      <c r="I100" s="203" t="e">
        <f ca="1">IF(F100=" ",0,Facture!J99*12/F100*1.09)</f>
        <v>#DIV/0!</v>
      </c>
      <c r="J100" s="204">
        <f t="shared" si="27"/>
        <v>0</v>
      </c>
      <c r="K100" s="345">
        <f t="shared" si="24"/>
        <v>0</v>
      </c>
      <c r="L100" s="205">
        <f t="shared" si="20"/>
        <v>0</v>
      </c>
      <c r="M100" s="205">
        <f t="shared" si="21"/>
        <v>0</v>
      </c>
      <c r="N100" s="353">
        <f t="shared" si="22"/>
        <v>0</v>
      </c>
      <c r="O100" s="356">
        <f t="shared" si="25"/>
        <v>0</v>
      </c>
      <c r="P100" s="357">
        <f t="shared" si="26"/>
        <v>0</v>
      </c>
      <c r="Q100" s="354">
        <f>IF($F100=0,0,(Facture!$R99+Facture!$T99)*12*IF(Données!$J139="qc",1.09,IF(Données!$J139="on",1.08,1))/$F100)</f>
        <v>0</v>
      </c>
      <c r="R100" s="206"/>
      <c r="S100" s="207">
        <f>MIN(IF($F100=0,0,(Facture!$W99)*12*(1+VLOOKUP($D100,taux,28))/$F100),$J100)</f>
        <v>0</v>
      </c>
      <c r="T100" s="207">
        <f t="shared" si="23"/>
        <v>0</v>
      </c>
      <c r="U100" s="206"/>
      <c r="V100" s="207">
        <f>IF($F100=0,0,Facture!$R99*12*IF(Données!$J139="qc",1.09,IF(Données!$J139="on",1.08,1))/$F100)</f>
        <v>0</v>
      </c>
      <c r="W100" s="207">
        <f>IF($F100=0,0,Facture!$T99*12*IF(Données!$J139="qc",1.09,IF(Données!$J139="on",1.08,1))/$F100)</f>
        <v>0</v>
      </c>
      <c r="X100" s="207">
        <f>IF($F100=0,0,(Facture!$AB99+Facture!$AD99+Facture!$AF99)*12*IF(Données!$J139="qc",1.09,IF(Données!$J139="on",1.08,1))/$F100)</f>
        <v>0</v>
      </c>
      <c r="Y100" s="207">
        <f>IF($F100=0,0,(Facture!$H99+Facture!$J99+Facture!$L99+Facture!$P99+Facture!$V99)*12*IF(Données!$J139="qc",1.09,IF(Données!$J139="on",1.08,1))/$F100)</f>
        <v>0</v>
      </c>
    </row>
    <row r="101" spans="1:25">
      <c r="A101" s="208">
        <f t="shared" si="28"/>
        <v>86</v>
      </c>
      <c r="B101" s="198" t="str">
        <f>CONCATENATE(Données!B140," ",Données!C140)</f>
        <v xml:space="preserve"> </v>
      </c>
      <c r="C101" s="199">
        <f>Données!D140</f>
        <v>0</v>
      </c>
      <c r="D101" s="200" t="str">
        <f>Données!AD140</f>
        <v/>
      </c>
      <c r="E101" s="349">
        <f t="shared" si="17"/>
        <v>0</v>
      </c>
      <c r="F101" s="201">
        <f t="shared" si="18"/>
        <v>0</v>
      </c>
      <c r="G101" s="202">
        <f>IF($F101=0,0,Facture!AI100*12/F101)</f>
        <v>0</v>
      </c>
      <c r="H101" s="203" t="e">
        <f t="shared" ca="1" si="19"/>
        <v>#N/A</v>
      </c>
      <c r="I101" s="203" t="e">
        <f ca="1">IF(F101=" ",0,Facture!J100*12/F101*1.09)</f>
        <v>#DIV/0!</v>
      </c>
      <c r="J101" s="204">
        <f t="shared" si="27"/>
        <v>0</v>
      </c>
      <c r="K101" s="345">
        <f t="shared" si="24"/>
        <v>0</v>
      </c>
      <c r="L101" s="205">
        <f t="shared" si="20"/>
        <v>0</v>
      </c>
      <c r="M101" s="205">
        <f t="shared" si="21"/>
        <v>0</v>
      </c>
      <c r="N101" s="353">
        <f t="shared" si="22"/>
        <v>0</v>
      </c>
      <c r="O101" s="356">
        <f t="shared" si="25"/>
        <v>0</v>
      </c>
      <c r="P101" s="357">
        <f t="shared" si="26"/>
        <v>0</v>
      </c>
      <c r="Q101" s="354">
        <f>IF($F101=0,0,(Facture!$R100+Facture!$T100)*12*IF(Données!$J140="qc",1.09,IF(Données!$J140="on",1.08,1))/$F101)</f>
        <v>0</v>
      </c>
      <c r="R101" s="206"/>
      <c r="S101" s="207">
        <f>MIN(IF($F101=0,0,(Facture!$W100)*12*(1+VLOOKUP($D101,taux,28))/$F101),$J101)</f>
        <v>0</v>
      </c>
      <c r="T101" s="207">
        <f t="shared" si="23"/>
        <v>0</v>
      </c>
      <c r="U101" s="206"/>
      <c r="V101" s="207">
        <f>IF($F101=0,0,Facture!$R100*12*IF(Données!$J140="qc",1.09,IF(Données!$J140="on",1.08,1))/$F101)</f>
        <v>0</v>
      </c>
      <c r="W101" s="207">
        <f>IF($F101=0,0,Facture!$T100*12*IF(Données!$J140="qc",1.09,IF(Données!$J140="on",1.08,1))/$F101)</f>
        <v>0</v>
      </c>
      <c r="X101" s="207">
        <f>IF($F101=0,0,(Facture!$AB100+Facture!$AD100+Facture!$AF100)*12*IF(Données!$J140="qc",1.09,IF(Données!$J140="on",1.08,1))/$F101)</f>
        <v>0</v>
      </c>
      <c r="Y101" s="207">
        <f>IF($F101=0,0,(Facture!$H100+Facture!$J100+Facture!$L100+Facture!$P100+Facture!$V100)*12*IF(Données!$J140="qc",1.09,IF(Données!$J140="on",1.08,1))/$F101)</f>
        <v>0</v>
      </c>
    </row>
    <row r="102" spans="1:25">
      <c r="A102" s="208">
        <f t="shared" si="28"/>
        <v>87</v>
      </c>
      <c r="B102" s="198" t="str">
        <f>CONCATENATE(Données!B141," ",Données!C141)</f>
        <v xml:space="preserve"> </v>
      </c>
      <c r="C102" s="199">
        <f>Données!D141</f>
        <v>0</v>
      </c>
      <c r="D102" s="200" t="str">
        <f>Données!AD141</f>
        <v/>
      </c>
      <c r="E102" s="349">
        <f t="shared" si="17"/>
        <v>0</v>
      </c>
      <c r="F102" s="201">
        <f t="shared" si="18"/>
        <v>0</v>
      </c>
      <c r="G102" s="202">
        <f>IF($F102=0,0,Facture!AI101*12/F102)</f>
        <v>0</v>
      </c>
      <c r="H102" s="203" t="e">
        <f t="shared" ca="1" si="19"/>
        <v>#N/A</v>
      </c>
      <c r="I102" s="203" t="e">
        <f ca="1">IF(F102=" ",0,Facture!J101*12/F102*1.09)</f>
        <v>#DIV/0!</v>
      </c>
      <c r="J102" s="204">
        <f t="shared" si="27"/>
        <v>0</v>
      </c>
      <c r="K102" s="345">
        <f t="shared" si="24"/>
        <v>0</v>
      </c>
      <c r="L102" s="205">
        <f t="shared" si="20"/>
        <v>0</v>
      </c>
      <c r="M102" s="205">
        <f t="shared" si="21"/>
        <v>0</v>
      </c>
      <c r="N102" s="353">
        <f t="shared" si="22"/>
        <v>0</v>
      </c>
      <c r="O102" s="356">
        <f t="shared" si="25"/>
        <v>0</v>
      </c>
      <c r="P102" s="357">
        <f t="shared" si="26"/>
        <v>0</v>
      </c>
      <c r="Q102" s="354">
        <f>IF($F102=0,0,(Facture!$R101+Facture!$T101)*12*IF(Données!$J141="qc",1.09,IF(Données!$J141="on",1.08,1))/$F102)</f>
        <v>0</v>
      </c>
      <c r="R102" s="206"/>
      <c r="S102" s="207">
        <f>MIN(IF($F102=0,0,(Facture!$W101)*12*(1+VLOOKUP($D102,taux,28))/$F102),$J102)</f>
        <v>0</v>
      </c>
      <c r="T102" s="207">
        <f t="shared" si="23"/>
        <v>0</v>
      </c>
      <c r="U102" s="206"/>
      <c r="V102" s="207">
        <f>IF($F102=0,0,Facture!$R101*12*IF(Données!$J141="qc",1.09,IF(Données!$J141="on",1.08,1))/$F102)</f>
        <v>0</v>
      </c>
      <c r="W102" s="207">
        <f>IF($F102=0,0,Facture!$T101*12*IF(Données!$J141="qc",1.09,IF(Données!$J141="on",1.08,1))/$F102)</f>
        <v>0</v>
      </c>
      <c r="X102" s="207">
        <f>IF($F102=0,0,(Facture!$AB101+Facture!$AD101+Facture!$AF101)*12*IF(Données!$J141="qc",1.09,IF(Données!$J141="on",1.08,1))/$F102)</f>
        <v>0</v>
      </c>
      <c r="Y102" s="207">
        <f>IF($F102=0,0,(Facture!$H101+Facture!$J101+Facture!$L101+Facture!$P101+Facture!$V101)*12*IF(Données!$J141="qc",1.09,IF(Données!$J141="on",1.08,1))/$F102)</f>
        <v>0</v>
      </c>
    </row>
    <row r="103" spans="1:25">
      <c r="A103" s="208">
        <f t="shared" si="28"/>
        <v>88</v>
      </c>
      <c r="B103" s="198" t="str">
        <f>CONCATENATE(Données!B142," ",Données!C142)</f>
        <v xml:space="preserve"> </v>
      </c>
      <c r="C103" s="199">
        <f>Données!D142</f>
        <v>0</v>
      </c>
      <c r="D103" s="200" t="str">
        <f>Données!AD142</f>
        <v/>
      </c>
      <c r="E103" s="349">
        <f t="shared" si="17"/>
        <v>0</v>
      </c>
      <c r="F103" s="201">
        <f t="shared" si="18"/>
        <v>0</v>
      </c>
      <c r="G103" s="202">
        <f>IF($F103=0,0,Facture!AI102*12/F103)</f>
        <v>0</v>
      </c>
      <c r="H103" s="203" t="e">
        <f t="shared" ca="1" si="19"/>
        <v>#N/A</v>
      </c>
      <c r="I103" s="203" t="e">
        <f ca="1">IF(F103=" ",0,Facture!J102*12/F103*1.09)</f>
        <v>#DIV/0!</v>
      </c>
      <c r="J103" s="204">
        <f t="shared" si="27"/>
        <v>0</v>
      </c>
      <c r="K103" s="345">
        <f t="shared" si="24"/>
        <v>0</v>
      </c>
      <c r="L103" s="205">
        <f t="shared" si="20"/>
        <v>0</v>
      </c>
      <c r="M103" s="205">
        <f t="shared" si="21"/>
        <v>0</v>
      </c>
      <c r="N103" s="353">
        <f t="shared" si="22"/>
        <v>0</v>
      </c>
      <c r="O103" s="356">
        <f t="shared" si="25"/>
        <v>0</v>
      </c>
      <c r="P103" s="357">
        <f t="shared" si="26"/>
        <v>0</v>
      </c>
      <c r="Q103" s="354">
        <f>IF($F103=0,0,(Facture!$R102+Facture!$T102)*12*IF(Données!$J142="qc",1.09,IF(Données!$J142="on",1.08,1))/$F103)</f>
        <v>0</v>
      </c>
      <c r="R103" s="206"/>
      <c r="S103" s="207">
        <f>MIN(IF($F103=0,0,(Facture!$W102)*12*(1+VLOOKUP($D103,taux,28))/$F103),$J103)</f>
        <v>0</v>
      </c>
      <c r="T103" s="207">
        <f t="shared" si="23"/>
        <v>0</v>
      </c>
      <c r="U103" s="206"/>
      <c r="V103" s="207">
        <f>IF($F103=0,0,Facture!$R102*12*IF(Données!$J142="qc",1.09,IF(Données!$J142="on",1.08,1))/$F103)</f>
        <v>0</v>
      </c>
      <c r="W103" s="207">
        <f>IF($F103=0,0,Facture!$T102*12*IF(Données!$J142="qc",1.09,IF(Données!$J142="on",1.08,1))/$F103)</f>
        <v>0</v>
      </c>
      <c r="X103" s="207">
        <f>IF($F103=0,0,(Facture!$AB102+Facture!$AD102+Facture!$AF102)*12*IF(Données!$J142="qc",1.09,IF(Données!$J142="on",1.08,1))/$F103)</f>
        <v>0</v>
      </c>
      <c r="Y103" s="207">
        <f>IF($F103=0,0,(Facture!$H102+Facture!$J102+Facture!$L102+Facture!$P102+Facture!$V102)*12*IF(Données!$J142="qc",1.09,IF(Données!$J142="on",1.08,1))/$F103)</f>
        <v>0</v>
      </c>
    </row>
    <row r="104" spans="1:25">
      <c r="A104" s="208">
        <f t="shared" si="28"/>
        <v>89</v>
      </c>
      <c r="B104" s="198" t="str">
        <f>CONCATENATE(Données!B143," ",Données!C143)</f>
        <v xml:space="preserve"> </v>
      </c>
      <c r="C104" s="199">
        <f>Données!D143</f>
        <v>0</v>
      </c>
      <c r="D104" s="200" t="str">
        <f>Données!AD143</f>
        <v/>
      </c>
      <c r="E104" s="349">
        <f t="shared" si="17"/>
        <v>0</v>
      </c>
      <c r="F104" s="201">
        <f t="shared" si="18"/>
        <v>0</v>
      </c>
      <c r="G104" s="202">
        <f>IF($F104=0,0,Facture!AI103*12/F104)</f>
        <v>0</v>
      </c>
      <c r="H104" s="203" t="e">
        <f t="shared" ca="1" si="19"/>
        <v>#N/A</v>
      </c>
      <c r="I104" s="203" t="e">
        <f ca="1">IF(F104=" ",0,Facture!J103*12/F104*1.09)</f>
        <v>#DIV/0!</v>
      </c>
      <c r="J104" s="204">
        <f t="shared" si="27"/>
        <v>0</v>
      </c>
      <c r="K104" s="345">
        <f t="shared" si="24"/>
        <v>0</v>
      </c>
      <c r="L104" s="205">
        <f t="shared" si="20"/>
        <v>0</v>
      </c>
      <c r="M104" s="205">
        <f t="shared" si="21"/>
        <v>0</v>
      </c>
      <c r="N104" s="353">
        <f t="shared" si="22"/>
        <v>0</v>
      </c>
      <c r="O104" s="356">
        <f t="shared" si="25"/>
        <v>0</v>
      </c>
      <c r="P104" s="357">
        <f t="shared" si="26"/>
        <v>0</v>
      </c>
      <c r="Q104" s="354">
        <f>IF($F104=0,0,(Facture!$R103+Facture!$T103)*12*IF(Données!$J143="qc",1.09,IF(Données!$J143="on",1.08,1))/$F104)</f>
        <v>0</v>
      </c>
      <c r="R104" s="206"/>
      <c r="S104" s="207">
        <f>MIN(IF($F104=0,0,(Facture!$W103)*12*(1+VLOOKUP($D104,taux,28))/$F104),$J104)</f>
        <v>0</v>
      </c>
      <c r="T104" s="207">
        <f t="shared" si="23"/>
        <v>0</v>
      </c>
      <c r="U104" s="206"/>
      <c r="V104" s="207">
        <f>IF($F104=0,0,Facture!$R103*12*IF(Données!$J143="qc",1.09,IF(Données!$J143="on",1.08,1))/$F104)</f>
        <v>0</v>
      </c>
      <c r="W104" s="207">
        <f>IF($F104=0,0,Facture!$T103*12*IF(Données!$J143="qc",1.09,IF(Données!$J143="on",1.08,1))/$F104)</f>
        <v>0</v>
      </c>
      <c r="X104" s="207">
        <f>IF($F104=0,0,(Facture!$AB103+Facture!$AD103+Facture!$AF103)*12*IF(Données!$J143="qc",1.09,IF(Données!$J143="on",1.08,1))/$F104)</f>
        <v>0</v>
      </c>
      <c r="Y104" s="207">
        <f>IF($F104=0,0,(Facture!$H103+Facture!$J103+Facture!$L103+Facture!$P103+Facture!$V103)*12*IF(Données!$J143="qc",1.09,IF(Données!$J143="on",1.08,1))/$F104)</f>
        <v>0</v>
      </c>
    </row>
    <row r="105" spans="1:25">
      <c r="A105" s="208">
        <f t="shared" si="28"/>
        <v>90</v>
      </c>
      <c r="B105" s="198" t="str">
        <f>CONCATENATE(Données!B144," ",Données!C144)</f>
        <v xml:space="preserve"> </v>
      </c>
      <c r="C105" s="199">
        <f>Données!D144</f>
        <v>0</v>
      </c>
      <c r="D105" s="200" t="str">
        <f>Données!AD144</f>
        <v/>
      </c>
      <c r="E105" s="349">
        <f t="shared" si="17"/>
        <v>0</v>
      </c>
      <c r="F105" s="201">
        <f t="shared" si="18"/>
        <v>0</v>
      </c>
      <c r="G105" s="202">
        <f>IF($F105=0,0,Facture!AI104*12/F105)</f>
        <v>0</v>
      </c>
      <c r="H105" s="203" t="e">
        <f t="shared" ca="1" si="19"/>
        <v>#N/A</v>
      </c>
      <c r="I105" s="203" t="e">
        <f ca="1">IF(F105=" ",0,Facture!J104*12/F105*1.09)</f>
        <v>#DIV/0!</v>
      </c>
      <c r="J105" s="204">
        <f t="shared" si="27"/>
        <v>0</v>
      </c>
      <c r="K105" s="345">
        <f t="shared" si="24"/>
        <v>0</v>
      </c>
      <c r="L105" s="205">
        <f t="shared" si="20"/>
        <v>0</v>
      </c>
      <c r="M105" s="205">
        <f t="shared" si="21"/>
        <v>0</v>
      </c>
      <c r="N105" s="353">
        <f t="shared" si="22"/>
        <v>0</v>
      </c>
      <c r="O105" s="356">
        <f t="shared" si="25"/>
        <v>0</v>
      </c>
      <c r="P105" s="357">
        <f t="shared" si="26"/>
        <v>0</v>
      </c>
      <c r="Q105" s="354">
        <f>IF($F105=0,0,(Facture!$R104+Facture!$T104)*12*IF(Données!$J144="qc",1.09,IF(Données!$J144="on",1.08,1))/$F105)</f>
        <v>0</v>
      </c>
      <c r="R105" s="206"/>
      <c r="S105" s="207">
        <f>MIN(IF($F105=0,0,(Facture!$W104)*12*(1+VLOOKUP($D105,taux,28))/$F105),$J105)</f>
        <v>0</v>
      </c>
      <c r="T105" s="207">
        <f t="shared" si="23"/>
        <v>0</v>
      </c>
      <c r="U105" s="206"/>
      <c r="V105" s="207">
        <f>IF($F105=0,0,Facture!$R104*12*IF(Données!$J144="qc",1.09,IF(Données!$J144="on",1.08,1))/$F105)</f>
        <v>0</v>
      </c>
      <c r="W105" s="207">
        <f>IF($F105=0,0,Facture!$T104*12*IF(Données!$J144="qc",1.09,IF(Données!$J144="on",1.08,1))/$F105)</f>
        <v>0</v>
      </c>
      <c r="X105" s="207">
        <f>IF($F105=0,0,(Facture!$AB104+Facture!$AD104+Facture!$AF104)*12*IF(Données!$J144="qc",1.09,IF(Données!$J144="on",1.08,1))/$F105)</f>
        <v>0</v>
      </c>
      <c r="Y105" s="207">
        <f>IF($F105=0,0,(Facture!$H104+Facture!$J104+Facture!$L104+Facture!$P104+Facture!$V104)*12*IF(Données!$J144="qc",1.09,IF(Données!$J144="on",1.08,1))/$F105)</f>
        <v>0</v>
      </c>
    </row>
    <row r="106" spans="1:25">
      <c r="A106" s="208">
        <f t="shared" si="28"/>
        <v>91</v>
      </c>
      <c r="B106" s="198" t="str">
        <f>CONCATENATE(Données!B145," ",Données!C145)</f>
        <v xml:space="preserve"> </v>
      </c>
      <c r="C106" s="199">
        <f>Données!D145</f>
        <v>0</v>
      </c>
      <c r="D106" s="200" t="str">
        <f>Données!AD145</f>
        <v/>
      </c>
      <c r="E106" s="349">
        <f t="shared" si="17"/>
        <v>0</v>
      </c>
      <c r="F106" s="201">
        <f t="shared" si="18"/>
        <v>0</v>
      </c>
      <c r="G106" s="202">
        <f>IF($F106=0,0,Facture!AI105*12/F106)</f>
        <v>0</v>
      </c>
      <c r="H106" s="203" t="e">
        <f t="shared" ca="1" si="19"/>
        <v>#N/A</v>
      </c>
      <c r="I106" s="203" t="e">
        <f ca="1">IF(F106=" ",0,Facture!J105*12/F106*1.09)</f>
        <v>#DIV/0!</v>
      </c>
      <c r="J106" s="204">
        <f t="shared" si="27"/>
        <v>0</v>
      </c>
      <c r="K106" s="345">
        <f t="shared" si="24"/>
        <v>0</v>
      </c>
      <c r="L106" s="205">
        <f t="shared" si="20"/>
        <v>0</v>
      </c>
      <c r="M106" s="205">
        <f t="shared" si="21"/>
        <v>0</v>
      </c>
      <c r="N106" s="353">
        <f t="shared" si="22"/>
        <v>0</v>
      </c>
      <c r="O106" s="356">
        <f t="shared" si="25"/>
        <v>0</v>
      </c>
      <c r="P106" s="357">
        <f t="shared" si="26"/>
        <v>0</v>
      </c>
      <c r="Q106" s="354">
        <f>IF($F106=0,0,(Facture!$R105+Facture!$T105)*12*IF(Données!$J145="qc",1.09,IF(Données!$J145="on",1.08,1))/$F106)</f>
        <v>0</v>
      </c>
      <c r="R106" s="206"/>
      <c r="S106" s="207">
        <f>MIN(IF($F106=0,0,(Facture!$W105)*12*(1+VLOOKUP($D106,taux,28))/$F106),$J106)</f>
        <v>0</v>
      </c>
      <c r="T106" s="207">
        <f t="shared" si="23"/>
        <v>0</v>
      </c>
      <c r="U106" s="206"/>
      <c r="V106" s="207">
        <f>IF($F106=0,0,Facture!$R105*12*IF(Données!$J145="qc",1.09,IF(Données!$J145="on",1.08,1))/$F106)</f>
        <v>0</v>
      </c>
      <c r="W106" s="207">
        <f>IF($F106=0,0,Facture!$T105*12*IF(Données!$J145="qc",1.09,IF(Données!$J145="on",1.08,1))/$F106)</f>
        <v>0</v>
      </c>
      <c r="X106" s="207">
        <f>IF($F106=0,0,(Facture!$AB105+Facture!$AD105+Facture!$AF105)*12*IF(Données!$J145="qc",1.09,IF(Données!$J145="on",1.08,1))/$F106)</f>
        <v>0</v>
      </c>
      <c r="Y106" s="207">
        <f>IF($F106=0,0,(Facture!$H105+Facture!$J105+Facture!$L105+Facture!$P105+Facture!$V105)*12*IF(Données!$J145="qc",1.09,IF(Données!$J145="on",1.08,1))/$F106)</f>
        <v>0</v>
      </c>
    </row>
    <row r="107" spans="1:25">
      <c r="A107" s="208">
        <f t="shared" si="28"/>
        <v>92</v>
      </c>
      <c r="B107" s="198" t="str">
        <f>CONCATENATE(Données!B146," ",Données!C146)</f>
        <v xml:space="preserve"> </v>
      </c>
      <c r="C107" s="199">
        <f>Données!D146</f>
        <v>0</v>
      </c>
      <c r="D107" s="200" t="str">
        <f>Données!AD146</f>
        <v/>
      </c>
      <c r="E107" s="349">
        <f t="shared" si="17"/>
        <v>0</v>
      </c>
      <c r="F107" s="201">
        <f t="shared" si="18"/>
        <v>0</v>
      </c>
      <c r="G107" s="202">
        <f>IF($F107=0,0,Facture!AI106*12/F107)</f>
        <v>0</v>
      </c>
      <c r="H107" s="203" t="e">
        <f t="shared" ca="1" si="19"/>
        <v>#N/A</v>
      </c>
      <c r="I107" s="203" t="e">
        <f ca="1">IF(F107=" ",0,Facture!J106*12/F107*1.09)</f>
        <v>#DIV/0!</v>
      </c>
      <c r="J107" s="204">
        <f t="shared" si="27"/>
        <v>0</v>
      </c>
      <c r="K107" s="345">
        <f t="shared" si="24"/>
        <v>0</v>
      </c>
      <c r="L107" s="205">
        <f t="shared" si="20"/>
        <v>0</v>
      </c>
      <c r="M107" s="205">
        <f t="shared" si="21"/>
        <v>0</v>
      </c>
      <c r="N107" s="353">
        <f t="shared" si="22"/>
        <v>0</v>
      </c>
      <c r="O107" s="356">
        <f t="shared" si="25"/>
        <v>0</v>
      </c>
      <c r="P107" s="357">
        <f t="shared" si="26"/>
        <v>0</v>
      </c>
      <c r="Q107" s="354">
        <f>IF($F107=0,0,(Facture!$R106+Facture!$T106)*12*IF(Données!$J146="qc",1.09,IF(Données!$J146="on",1.08,1))/$F107)</f>
        <v>0</v>
      </c>
      <c r="R107" s="206"/>
      <c r="S107" s="207">
        <f>MIN(IF($F107=0,0,(Facture!$W106)*12*(1+VLOOKUP($D107,taux,28))/$F107),$J107)</f>
        <v>0</v>
      </c>
      <c r="T107" s="207">
        <f t="shared" si="23"/>
        <v>0</v>
      </c>
      <c r="U107" s="206"/>
      <c r="V107" s="207">
        <f>IF($F107=0,0,Facture!$R106*12*IF(Données!$J146="qc",1.09,IF(Données!$J146="on",1.08,1))/$F107)</f>
        <v>0</v>
      </c>
      <c r="W107" s="207">
        <f>IF($F107=0,0,Facture!$T106*12*IF(Données!$J146="qc",1.09,IF(Données!$J146="on",1.08,1))/$F107)</f>
        <v>0</v>
      </c>
      <c r="X107" s="207">
        <f>IF($F107=0,0,(Facture!$AB106+Facture!$AD106+Facture!$AF106)*12*IF(Données!$J146="qc",1.09,IF(Données!$J146="on",1.08,1))/$F107)</f>
        <v>0</v>
      </c>
      <c r="Y107" s="207">
        <f>IF($F107=0,0,(Facture!$H106+Facture!$J106+Facture!$L106+Facture!$P106+Facture!$V106)*12*IF(Données!$J146="qc",1.09,IF(Données!$J146="on",1.08,1))/$F107)</f>
        <v>0</v>
      </c>
    </row>
    <row r="108" spans="1:25">
      <c r="A108" s="208">
        <f t="shared" si="28"/>
        <v>93</v>
      </c>
      <c r="B108" s="198" t="str">
        <f>CONCATENATE(Données!B147," ",Données!C147)</f>
        <v xml:space="preserve"> </v>
      </c>
      <c r="C108" s="199">
        <f>Données!D147</f>
        <v>0</v>
      </c>
      <c r="D108" s="200" t="str">
        <f>Données!AD147</f>
        <v/>
      </c>
      <c r="E108" s="349">
        <f t="shared" si="17"/>
        <v>0</v>
      </c>
      <c r="F108" s="201">
        <f t="shared" si="18"/>
        <v>0</v>
      </c>
      <c r="G108" s="202">
        <f>IF($F108=0,0,Facture!AI107*12/F108)</f>
        <v>0</v>
      </c>
      <c r="H108" s="203" t="e">
        <f t="shared" ca="1" si="19"/>
        <v>#N/A</v>
      </c>
      <c r="I108" s="203" t="e">
        <f ca="1">IF(F108=" ",0,Facture!J107*12/F108*1.09)</f>
        <v>#DIV/0!</v>
      </c>
      <c r="J108" s="204">
        <f t="shared" si="27"/>
        <v>0</v>
      </c>
      <c r="K108" s="345">
        <f t="shared" si="24"/>
        <v>0</v>
      </c>
      <c r="L108" s="205">
        <f t="shared" si="20"/>
        <v>0</v>
      </c>
      <c r="M108" s="205">
        <f t="shared" si="21"/>
        <v>0</v>
      </c>
      <c r="N108" s="353">
        <f t="shared" si="22"/>
        <v>0</v>
      </c>
      <c r="O108" s="356">
        <f t="shared" si="25"/>
        <v>0</v>
      </c>
      <c r="P108" s="357">
        <f t="shared" si="26"/>
        <v>0</v>
      </c>
      <c r="Q108" s="354">
        <f>IF($F108=0,0,(Facture!$R107+Facture!$T107)*12*IF(Données!$J147="qc",1.09,IF(Données!$J147="on",1.08,1))/$F108)</f>
        <v>0</v>
      </c>
      <c r="R108" s="206"/>
      <c r="S108" s="207">
        <f>MIN(IF($F108=0,0,(Facture!$W107)*12*(1+VLOOKUP($D108,taux,28))/$F108),$J108)</f>
        <v>0</v>
      </c>
      <c r="T108" s="207">
        <f t="shared" si="23"/>
        <v>0</v>
      </c>
      <c r="U108" s="206"/>
      <c r="V108" s="207">
        <f>IF($F108=0,0,Facture!$R107*12*IF(Données!$J147="qc",1.09,IF(Données!$J147="on",1.08,1))/$F108)</f>
        <v>0</v>
      </c>
      <c r="W108" s="207">
        <f>IF($F108=0,0,Facture!$T107*12*IF(Données!$J147="qc",1.09,IF(Données!$J147="on",1.08,1))/$F108)</f>
        <v>0</v>
      </c>
      <c r="X108" s="207">
        <f>IF($F108=0,0,(Facture!$AB107+Facture!$AD107+Facture!$AF107)*12*IF(Données!$J147="qc",1.09,IF(Données!$J147="on",1.08,1))/$F108)</f>
        <v>0</v>
      </c>
      <c r="Y108" s="207">
        <f>IF($F108=0,0,(Facture!$H107+Facture!$J107+Facture!$L107+Facture!$P107+Facture!$V107)*12*IF(Données!$J147="qc",1.09,IF(Données!$J147="on",1.08,1))/$F108)</f>
        <v>0</v>
      </c>
    </row>
    <row r="109" spans="1:25">
      <c r="A109" s="208">
        <f t="shared" si="28"/>
        <v>94</v>
      </c>
      <c r="B109" s="198" t="str">
        <f>CONCATENATE(Données!B148," ",Données!C148)</f>
        <v xml:space="preserve"> </v>
      </c>
      <c r="C109" s="199">
        <f>Données!D148</f>
        <v>0</v>
      </c>
      <c r="D109" s="200" t="str">
        <f>Données!AD148</f>
        <v/>
      </c>
      <c r="E109" s="349">
        <f t="shared" si="17"/>
        <v>0</v>
      </c>
      <c r="F109" s="201">
        <f t="shared" si="18"/>
        <v>0</v>
      </c>
      <c r="G109" s="202">
        <f>IF($F109=0,0,Facture!AI108*12/F109)</f>
        <v>0</v>
      </c>
      <c r="H109" s="203" t="e">
        <f t="shared" ca="1" si="19"/>
        <v>#N/A</v>
      </c>
      <c r="I109" s="203" t="e">
        <f ca="1">IF(F109=" ",0,Facture!J108*12/F109*1.09)</f>
        <v>#DIV/0!</v>
      </c>
      <c r="J109" s="204">
        <f t="shared" si="27"/>
        <v>0</v>
      </c>
      <c r="K109" s="345">
        <f t="shared" si="24"/>
        <v>0</v>
      </c>
      <c r="L109" s="205">
        <f t="shared" si="20"/>
        <v>0</v>
      </c>
      <c r="M109" s="205">
        <f t="shared" si="21"/>
        <v>0</v>
      </c>
      <c r="N109" s="353">
        <f t="shared" si="22"/>
        <v>0</v>
      </c>
      <c r="O109" s="356">
        <f t="shared" si="25"/>
        <v>0</v>
      </c>
      <c r="P109" s="357">
        <f t="shared" si="26"/>
        <v>0</v>
      </c>
      <c r="Q109" s="354">
        <f>IF($F109=0,0,(Facture!$R108+Facture!$T108)*12*IF(Données!$J148="qc",1.09,IF(Données!$J148="on",1.08,1))/$F109)</f>
        <v>0</v>
      </c>
      <c r="R109" s="206"/>
      <c r="S109" s="207">
        <f>MIN(IF($F109=0,0,(Facture!$W108)*12*(1+VLOOKUP($D109,taux,28))/$F109),$J109)</f>
        <v>0</v>
      </c>
      <c r="T109" s="207">
        <f t="shared" si="23"/>
        <v>0</v>
      </c>
      <c r="U109" s="206"/>
      <c r="V109" s="207">
        <f>IF($F109=0,0,Facture!$R108*12*IF(Données!$J148="qc",1.09,IF(Données!$J148="on",1.08,1))/$F109)</f>
        <v>0</v>
      </c>
      <c r="W109" s="207">
        <f>IF($F109=0,0,Facture!$T108*12*IF(Données!$J148="qc",1.09,IF(Données!$J148="on",1.08,1))/$F109)</f>
        <v>0</v>
      </c>
      <c r="X109" s="207">
        <f>IF($F109=0,0,(Facture!$AB108+Facture!$AD108+Facture!$AF108)*12*IF(Données!$J148="qc",1.09,IF(Données!$J148="on",1.08,1))/$F109)</f>
        <v>0</v>
      </c>
      <c r="Y109" s="207">
        <f>IF($F109=0,0,(Facture!$H108+Facture!$J108+Facture!$L108+Facture!$P108+Facture!$V108)*12*IF(Données!$J148="qc",1.09,IF(Données!$J148="on",1.08,1))/$F109)</f>
        <v>0</v>
      </c>
    </row>
    <row r="110" spans="1:25">
      <c r="A110" s="208">
        <f t="shared" si="28"/>
        <v>95</v>
      </c>
      <c r="B110" s="198" t="str">
        <f>CONCATENATE(Données!B149," ",Données!C149)</f>
        <v xml:space="preserve"> </v>
      </c>
      <c r="C110" s="199">
        <f>Données!D149</f>
        <v>0</v>
      </c>
      <c r="D110" s="200" t="str">
        <f>Données!AD149</f>
        <v/>
      </c>
      <c r="E110" s="349">
        <f t="shared" si="17"/>
        <v>0</v>
      </c>
      <c r="F110" s="201">
        <f t="shared" si="18"/>
        <v>0</v>
      </c>
      <c r="G110" s="202">
        <f>IF($F110=0,0,Facture!AI109*12/F110)</f>
        <v>0</v>
      </c>
      <c r="H110" s="203" t="e">
        <f t="shared" ca="1" si="19"/>
        <v>#N/A</v>
      </c>
      <c r="I110" s="203" t="e">
        <f ca="1">IF(F110=" ",0,Facture!J109*12/F110*1.09)</f>
        <v>#DIV/0!</v>
      </c>
      <c r="J110" s="204">
        <f t="shared" si="27"/>
        <v>0</v>
      </c>
      <c r="K110" s="345">
        <f t="shared" si="24"/>
        <v>0</v>
      </c>
      <c r="L110" s="205">
        <f t="shared" si="20"/>
        <v>0</v>
      </c>
      <c r="M110" s="205">
        <f t="shared" si="21"/>
        <v>0</v>
      </c>
      <c r="N110" s="353">
        <f t="shared" si="22"/>
        <v>0</v>
      </c>
      <c r="O110" s="356">
        <f t="shared" si="25"/>
        <v>0</v>
      </c>
      <c r="P110" s="357">
        <f t="shared" si="26"/>
        <v>0</v>
      </c>
      <c r="Q110" s="354">
        <f>IF($F110=0,0,(Facture!$R109+Facture!$T109)*12*IF(Données!$J149="qc",1.09,IF(Données!$J149="on",1.08,1))/$F110)</f>
        <v>0</v>
      </c>
      <c r="R110" s="206"/>
      <c r="S110" s="207">
        <f>MIN(IF($F110=0,0,(Facture!$W109)*12*(1+VLOOKUP($D110,taux,28))/$F110),$J110)</f>
        <v>0</v>
      </c>
      <c r="T110" s="207">
        <f t="shared" si="23"/>
        <v>0</v>
      </c>
      <c r="U110" s="206"/>
      <c r="V110" s="207">
        <f>IF($F110=0,0,Facture!$R109*12*IF(Données!$J149="qc",1.09,IF(Données!$J149="on",1.08,1))/$F110)</f>
        <v>0</v>
      </c>
      <c r="W110" s="207">
        <f>IF($F110=0,0,Facture!$T109*12*IF(Données!$J149="qc",1.09,IF(Données!$J149="on",1.08,1))/$F110)</f>
        <v>0</v>
      </c>
      <c r="X110" s="207">
        <f>IF($F110=0,0,(Facture!$AB109+Facture!$AD109+Facture!$AF109)*12*IF(Données!$J149="qc",1.09,IF(Données!$J149="on",1.08,1))/$F110)</f>
        <v>0</v>
      </c>
      <c r="Y110" s="207">
        <f>IF($F110=0,0,(Facture!$H109+Facture!$J109+Facture!$L109+Facture!$P109+Facture!$V109)*12*IF(Données!$J149="qc",1.09,IF(Données!$J149="on",1.08,1))/$F110)</f>
        <v>0</v>
      </c>
    </row>
    <row r="111" spans="1:25">
      <c r="A111" s="208">
        <f t="shared" si="28"/>
        <v>96</v>
      </c>
      <c r="B111" s="198" t="str">
        <f>CONCATENATE(Données!B150," ",Données!C150)</f>
        <v xml:space="preserve"> </v>
      </c>
      <c r="C111" s="199">
        <f>Données!D150</f>
        <v>0</v>
      </c>
      <c r="D111" s="200" t="str">
        <f>Données!AD150</f>
        <v/>
      </c>
      <c r="E111" s="349">
        <f t="shared" si="17"/>
        <v>0</v>
      </c>
      <c r="F111" s="201">
        <f t="shared" si="18"/>
        <v>0</v>
      </c>
      <c r="G111" s="202">
        <f>IF($F111=0,0,Facture!AI110*12/F111)</f>
        <v>0</v>
      </c>
      <c r="H111" s="203" t="e">
        <f t="shared" ca="1" si="19"/>
        <v>#N/A</v>
      </c>
      <c r="I111" s="203" t="e">
        <f ca="1">IF(F111=" ",0,Facture!J110*12/F111*1.09)</f>
        <v>#DIV/0!</v>
      </c>
      <c r="J111" s="204">
        <f t="shared" si="27"/>
        <v>0</v>
      </c>
      <c r="K111" s="345">
        <f t="shared" si="24"/>
        <v>0</v>
      </c>
      <c r="L111" s="205">
        <f t="shared" si="20"/>
        <v>0</v>
      </c>
      <c r="M111" s="205">
        <f t="shared" si="21"/>
        <v>0</v>
      </c>
      <c r="N111" s="353">
        <f t="shared" si="22"/>
        <v>0</v>
      </c>
      <c r="O111" s="356">
        <f t="shared" si="25"/>
        <v>0</v>
      </c>
      <c r="P111" s="357">
        <f t="shared" si="26"/>
        <v>0</v>
      </c>
      <c r="Q111" s="354">
        <f>IF($F111=0,0,(Facture!$R110+Facture!$T110)*12*IF(Données!$J150="qc",1.09,IF(Données!$J150="on",1.08,1))/$F111)</f>
        <v>0</v>
      </c>
      <c r="R111" s="206"/>
      <c r="S111" s="207">
        <f>MIN(IF($F111=0,0,(Facture!$W110)*12*(1+VLOOKUP($D111,taux,28))/$F111),$J111)</f>
        <v>0</v>
      </c>
      <c r="T111" s="207">
        <f t="shared" si="23"/>
        <v>0</v>
      </c>
      <c r="U111" s="206"/>
      <c r="V111" s="207">
        <f>IF($F111=0,0,Facture!$R110*12*IF(Données!$J150="qc",1.09,IF(Données!$J150="on",1.08,1))/$F111)</f>
        <v>0</v>
      </c>
      <c r="W111" s="207">
        <f>IF($F111=0,0,Facture!$T110*12*IF(Données!$J150="qc",1.09,IF(Données!$J150="on",1.08,1))/$F111)</f>
        <v>0</v>
      </c>
      <c r="X111" s="207">
        <f>IF($F111=0,0,(Facture!$AB110+Facture!$AD110+Facture!$AF110)*12*IF(Données!$J150="qc",1.09,IF(Données!$J150="on",1.08,1))/$F111)</f>
        <v>0</v>
      </c>
      <c r="Y111" s="207">
        <f>IF($F111=0,0,(Facture!$H110+Facture!$J110+Facture!$L110+Facture!$P110+Facture!$V110)*12*IF(Données!$J150="qc",1.09,IF(Données!$J150="on",1.08,1))/$F111)</f>
        <v>0</v>
      </c>
    </row>
    <row r="112" spans="1:25">
      <c r="A112" s="208">
        <f t="shared" si="28"/>
        <v>97</v>
      </c>
      <c r="B112" s="198" t="str">
        <f>CONCATENATE(Données!B151," ",Données!C151)</f>
        <v xml:space="preserve"> </v>
      </c>
      <c r="C112" s="199">
        <f>Données!D151</f>
        <v>0</v>
      </c>
      <c r="D112" s="200" t="str">
        <f>Données!AD151</f>
        <v/>
      </c>
      <c r="E112" s="349">
        <f t="shared" ref="E112:E143" si="29">IF($B112=" ",0,VLOOKUP($D112,taux,47))</f>
        <v>0</v>
      </c>
      <c r="F112" s="201">
        <f t="shared" si="18"/>
        <v>0</v>
      </c>
      <c r="G112" s="202">
        <f>IF($F112=0,0,Facture!AI111*12/F112)</f>
        <v>0</v>
      </c>
      <c r="H112" s="203" t="e">
        <f t="shared" ref="H112:H143" ca="1" si="30">IF(AND(VLOOKUP($D112,taux,14)="oui",VLOOKUP($D112,taux,19)="oui"),$G112*VLOOKUP($D112,taux,47),IF(AND(VLOOKUP($D112,taux,14)="non",VLOOKUP($D112,taux,19)="non"),MIN($G112*VLOOKUP($D112,taux,47),$G112-$V112-$W112),IF(AND(VLOOKUP($D112,taux,14)="oui",VLOOKUP($D112,taux,19)="non"),MIN($G112*VLOOKUP($D112,taux,47),$G112-$W112),IF(AND(VLOOKUP($D112,taux,14)="non",VLOOKUP($D112,taux,19)="oui"),MIN($G112*VLOOKUP($D112,taux,47),$G112-$V112),IF(VLOOKUP($D112,taux,14)="non",MIN($G112*VLOOKUP($D112,taux,47),$G112-$V112),IF(VLOOKUP($D112,taux,19)="non",MIN($G112*VLOOKUP($D112,taux,47),$G112-$W112),$G112*VLOOKUP($D112,taux,47)))))))-(I112*0.5)</f>
        <v>#N/A</v>
      </c>
      <c r="I112" s="203" t="e">
        <f ca="1">IF(F112=" ",0,Facture!J111*12/F112*1.09)</f>
        <v>#DIV/0!</v>
      </c>
      <c r="J112" s="204">
        <f t="shared" si="27"/>
        <v>0</v>
      </c>
      <c r="K112" s="345">
        <f t="shared" si="24"/>
        <v>0</v>
      </c>
      <c r="L112" s="205">
        <f t="shared" ref="L112:L143" si="31">MAX(MIN($J112-$T112-$S112-$M112,$Y112),0)</f>
        <v>0</v>
      </c>
      <c r="M112" s="205">
        <f t="shared" si="21"/>
        <v>0</v>
      </c>
      <c r="N112" s="353">
        <f t="shared" ref="N112:N143" si="32">MAX(MIN($J112-$T112-$S112-$M112,$Y112),0)</f>
        <v>0</v>
      </c>
      <c r="O112" s="356">
        <f t="shared" si="25"/>
        <v>0</v>
      </c>
      <c r="P112" s="357">
        <f t="shared" si="26"/>
        <v>0</v>
      </c>
      <c r="Q112" s="354">
        <f>IF($F112=0,0,(Facture!$R111+Facture!$T111)*12*IF(Données!$J151="qc",1.09,IF(Données!$J151="on",1.08,1))/$F112)</f>
        <v>0</v>
      </c>
      <c r="R112" s="206"/>
      <c r="S112" s="207">
        <f>MIN(IF($F112=0,0,(Facture!$W111)*12*(1+VLOOKUP($D112,taux,28))/$F112),$J112)</f>
        <v>0</v>
      </c>
      <c r="T112" s="207">
        <f t="shared" si="23"/>
        <v>0</v>
      </c>
      <c r="U112" s="206"/>
      <c r="V112" s="207">
        <f>IF($F112=0,0,Facture!$R111*12*IF(Données!$J151="qc",1.09,IF(Données!$J151="on",1.08,1))/$F112)</f>
        <v>0</v>
      </c>
      <c r="W112" s="207">
        <f>IF($F112=0,0,Facture!$T111*12*IF(Données!$J151="qc",1.09,IF(Données!$J151="on",1.08,1))/$F112)</f>
        <v>0</v>
      </c>
      <c r="X112" s="207">
        <f>IF($F112=0,0,(Facture!$AB111+Facture!$AD111+Facture!$AF111)*12*IF(Données!$J151="qc",1.09,IF(Données!$J151="on",1.08,1))/$F112)</f>
        <v>0</v>
      </c>
      <c r="Y112" s="207">
        <f>IF($F112=0,0,(Facture!$H111+Facture!$J111+Facture!$L111+Facture!$P111+Facture!$V111)*12*IF(Données!$J151="qc",1.09,IF(Données!$J151="on",1.08,1))/$F112)</f>
        <v>0</v>
      </c>
    </row>
    <row r="113" spans="1:25">
      <c r="A113" s="208">
        <f t="shared" si="28"/>
        <v>98</v>
      </c>
      <c r="B113" s="198" t="str">
        <f>CONCATENATE(Données!B152," ",Données!C152)</f>
        <v xml:space="preserve"> </v>
      </c>
      <c r="C113" s="199">
        <f>Données!D152</f>
        <v>0</v>
      </c>
      <c r="D113" s="200" t="str">
        <f>Données!AD152</f>
        <v/>
      </c>
      <c r="E113" s="349">
        <f t="shared" si="29"/>
        <v>0</v>
      </c>
      <c r="F113" s="201">
        <f t="shared" si="18"/>
        <v>0</v>
      </c>
      <c r="G113" s="202">
        <f>IF($F113=0,0,Facture!AI112*12/F113)</f>
        <v>0</v>
      </c>
      <c r="H113" s="203" t="e">
        <f t="shared" ca="1" si="30"/>
        <v>#N/A</v>
      </c>
      <c r="I113" s="203" t="e">
        <f ca="1">IF(F113=" ",0,Facture!J112*12/F113*1.09)</f>
        <v>#DIV/0!</v>
      </c>
      <c r="J113" s="204">
        <f t="shared" si="27"/>
        <v>0</v>
      </c>
      <c r="K113" s="345">
        <f t="shared" si="24"/>
        <v>0</v>
      </c>
      <c r="L113" s="205">
        <f t="shared" si="31"/>
        <v>0</v>
      </c>
      <c r="M113" s="205">
        <f t="shared" si="21"/>
        <v>0</v>
      </c>
      <c r="N113" s="353">
        <f t="shared" si="32"/>
        <v>0</v>
      </c>
      <c r="O113" s="356">
        <f t="shared" si="25"/>
        <v>0</v>
      </c>
      <c r="P113" s="357">
        <f t="shared" si="26"/>
        <v>0</v>
      </c>
      <c r="Q113" s="354">
        <f>IF($F113=0,0,(Facture!$R112+Facture!$T112)*12*IF(Données!$J152="qc",1.09,IF(Données!$J152="on",1.08,1))/$F113)</f>
        <v>0</v>
      </c>
      <c r="R113" s="206"/>
      <c r="S113" s="207">
        <f>MIN(IF($F113=0,0,(Facture!$W112)*12*(1+VLOOKUP($D113,taux,28))/$F113),$J113)</f>
        <v>0</v>
      </c>
      <c r="T113" s="207">
        <f t="shared" si="23"/>
        <v>0</v>
      </c>
      <c r="U113" s="206"/>
      <c r="V113" s="207">
        <f>IF($F113=0,0,Facture!$R112*12*IF(Données!$J152="qc",1.09,IF(Données!$J152="on",1.08,1))/$F113)</f>
        <v>0</v>
      </c>
      <c r="W113" s="207">
        <f>IF($F113=0,0,Facture!$T112*12*IF(Données!$J152="qc",1.09,IF(Données!$J152="on",1.08,1))/$F113)</f>
        <v>0</v>
      </c>
      <c r="X113" s="207">
        <f>IF($F113=0,0,(Facture!$AB112+Facture!$AD112+Facture!$AF112)*12*IF(Données!$J152="qc",1.09,IF(Données!$J152="on",1.08,1))/$F113)</f>
        <v>0</v>
      </c>
      <c r="Y113" s="207">
        <f>IF($F113=0,0,(Facture!$H112+Facture!$J112+Facture!$L112+Facture!$P112+Facture!$V112)*12*IF(Données!$J152="qc",1.09,IF(Données!$J152="on",1.08,1))/$F113)</f>
        <v>0</v>
      </c>
    </row>
    <row r="114" spans="1:25">
      <c r="A114" s="208">
        <f t="shared" si="28"/>
        <v>99</v>
      </c>
      <c r="B114" s="198" t="str">
        <f>CONCATENATE(Données!B153," ",Données!C153)</f>
        <v xml:space="preserve"> </v>
      </c>
      <c r="C114" s="199">
        <f>Données!D153</f>
        <v>0</v>
      </c>
      <c r="D114" s="200" t="str">
        <f>Données!AD153</f>
        <v/>
      </c>
      <c r="E114" s="349">
        <f t="shared" si="29"/>
        <v>0</v>
      </c>
      <c r="F114" s="201">
        <f t="shared" si="18"/>
        <v>0</v>
      </c>
      <c r="G114" s="202">
        <f>IF($F114=0,0,Facture!AI113*12/F114)</f>
        <v>0</v>
      </c>
      <c r="H114" s="203" t="e">
        <f t="shared" ca="1" si="30"/>
        <v>#N/A</v>
      </c>
      <c r="I114" s="203" t="e">
        <f ca="1">IF(F114=" ",0,Facture!J113*12/F114*1.09)</f>
        <v>#DIV/0!</v>
      </c>
      <c r="J114" s="204">
        <f t="shared" si="27"/>
        <v>0</v>
      </c>
      <c r="K114" s="345">
        <f t="shared" si="24"/>
        <v>0</v>
      </c>
      <c r="L114" s="205">
        <f t="shared" si="31"/>
        <v>0</v>
      </c>
      <c r="M114" s="205">
        <f t="shared" si="21"/>
        <v>0</v>
      </c>
      <c r="N114" s="353">
        <f t="shared" si="32"/>
        <v>0</v>
      </c>
      <c r="O114" s="356">
        <f t="shared" si="25"/>
        <v>0</v>
      </c>
      <c r="P114" s="357">
        <f t="shared" si="26"/>
        <v>0</v>
      </c>
      <c r="Q114" s="354">
        <f>IF($F114=0,0,(Facture!$R113+Facture!$T113)*12*IF(Données!$J153="qc",1.09,IF(Données!$J153="on",1.08,1))/$F114)</f>
        <v>0</v>
      </c>
      <c r="R114" s="206"/>
      <c r="S114" s="207">
        <f>MIN(IF($F114=0,0,(Facture!$W113)*12*(1+VLOOKUP($D114,taux,28))/$F114),$J114)</f>
        <v>0</v>
      </c>
      <c r="T114" s="207">
        <f t="shared" si="23"/>
        <v>0</v>
      </c>
      <c r="U114" s="206"/>
      <c r="V114" s="207">
        <f>IF($F114=0,0,Facture!$R113*12*IF(Données!$J153="qc",1.09,IF(Données!$J153="on",1.08,1))/$F114)</f>
        <v>0</v>
      </c>
      <c r="W114" s="207">
        <f>IF($F114=0,0,Facture!$T113*12*IF(Données!$J153="qc",1.09,IF(Données!$J153="on",1.08,1))/$F114)</f>
        <v>0</v>
      </c>
      <c r="X114" s="207">
        <f>IF($F114=0,0,(Facture!$AB113+Facture!$AD113+Facture!$AF113)*12*IF(Données!$J153="qc",1.09,IF(Données!$J153="on",1.08,1))/$F114)</f>
        <v>0</v>
      </c>
      <c r="Y114" s="207">
        <f>IF($F114=0,0,(Facture!$H113+Facture!$J113+Facture!$L113+Facture!$P113+Facture!$V113)*12*IF(Données!$J153="qc",1.09,IF(Données!$J153="on",1.08,1))/$F114)</f>
        <v>0</v>
      </c>
    </row>
    <row r="115" spans="1:25">
      <c r="A115" s="208">
        <f t="shared" si="28"/>
        <v>100</v>
      </c>
      <c r="B115" s="198" t="str">
        <f>CONCATENATE(Données!B154," ",Données!C154)</f>
        <v xml:space="preserve"> </v>
      </c>
      <c r="C115" s="199">
        <f>Données!D154</f>
        <v>0</v>
      </c>
      <c r="D115" s="200" t="str">
        <f>Données!AD154</f>
        <v/>
      </c>
      <c r="E115" s="349">
        <f t="shared" si="29"/>
        <v>0</v>
      </c>
      <c r="F115" s="201">
        <f t="shared" si="18"/>
        <v>0</v>
      </c>
      <c r="G115" s="202">
        <f>IF($F115=0,0,Facture!AI114*12/F115)</f>
        <v>0</v>
      </c>
      <c r="H115" s="203" t="e">
        <f t="shared" ca="1" si="30"/>
        <v>#N/A</v>
      </c>
      <c r="I115" s="203" t="e">
        <f ca="1">IF(F115=" ",0,Facture!J114*12/F115*1.09)</f>
        <v>#DIV/0!</v>
      </c>
      <c r="J115" s="204">
        <f t="shared" si="27"/>
        <v>0</v>
      </c>
      <c r="K115" s="345">
        <f t="shared" si="24"/>
        <v>0</v>
      </c>
      <c r="L115" s="205">
        <f t="shared" si="31"/>
        <v>0</v>
      </c>
      <c r="M115" s="205">
        <f t="shared" si="21"/>
        <v>0</v>
      </c>
      <c r="N115" s="353">
        <f t="shared" si="32"/>
        <v>0</v>
      </c>
      <c r="O115" s="356">
        <f t="shared" si="25"/>
        <v>0</v>
      </c>
      <c r="P115" s="357">
        <f t="shared" si="26"/>
        <v>0</v>
      </c>
      <c r="Q115" s="354">
        <f>IF($F115=0,0,(Facture!$R114+Facture!$T114)*12*IF(Données!$J154="qc",1.09,IF(Données!$J154="on",1.08,1))/$F115)</f>
        <v>0</v>
      </c>
      <c r="R115" s="206"/>
      <c r="S115" s="207">
        <f>MIN(IF($F115=0,0,(Facture!$W114)*12*(1+VLOOKUP($D115,taux,28))/$F115),$J115)</f>
        <v>0</v>
      </c>
      <c r="T115" s="207">
        <f t="shared" si="23"/>
        <v>0</v>
      </c>
      <c r="U115" s="206"/>
      <c r="V115" s="207">
        <f>IF($F115=0,0,Facture!$R114*12*IF(Données!$J154="qc",1.09,IF(Données!$J154="on",1.08,1))/$F115)</f>
        <v>0</v>
      </c>
      <c r="W115" s="207">
        <f>IF($F115=0,0,Facture!$T114*12*IF(Données!$J154="qc",1.09,IF(Données!$J154="on",1.08,1))/$F115)</f>
        <v>0</v>
      </c>
      <c r="X115" s="207">
        <f>IF($F115=0,0,(Facture!$AB114+Facture!$AD114+Facture!$AF114)*12*IF(Données!$J154="qc",1.09,IF(Données!$J154="on",1.08,1))/$F115)</f>
        <v>0</v>
      </c>
      <c r="Y115" s="207">
        <f>IF($F115=0,0,(Facture!$H114+Facture!$J114+Facture!$L114+Facture!$P114+Facture!$V114)*12*IF(Données!$J154="qc",1.09,IF(Données!$J154="on",1.08,1))/$F115)</f>
        <v>0</v>
      </c>
    </row>
    <row r="116" spans="1:25">
      <c r="A116" s="208">
        <f t="shared" si="28"/>
        <v>101</v>
      </c>
      <c r="B116" s="198" t="str">
        <f>CONCATENATE(Données!B155," ",Données!C155)</f>
        <v xml:space="preserve"> </v>
      </c>
      <c r="C116" s="199">
        <f>Données!D155</f>
        <v>0</v>
      </c>
      <c r="D116" s="200" t="str">
        <f>Données!AD155</f>
        <v/>
      </c>
      <c r="E116" s="349">
        <f t="shared" si="29"/>
        <v>0</v>
      </c>
      <c r="F116" s="201">
        <f t="shared" si="18"/>
        <v>0</v>
      </c>
      <c r="G116" s="202">
        <f>IF($F116=0,0,Facture!AI115*12/F116)</f>
        <v>0</v>
      </c>
      <c r="H116" s="203" t="e">
        <f t="shared" ca="1" si="30"/>
        <v>#N/A</v>
      </c>
      <c r="I116" s="203" t="e">
        <f ca="1">IF(F116=" ",0,Facture!J115*12/F116*1.09)</f>
        <v>#DIV/0!</v>
      </c>
      <c r="J116" s="204">
        <f t="shared" si="27"/>
        <v>0</v>
      </c>
      <c r="K116" s="345">
        <f t="shared" ref="K116:K154" si="33">G116-J116</f>
        <v>0</v>
      </c>
      <c r="L116" s="205">
        <f t="shared" si="31"/>
        <v>0</v>
      </c>
      <c r="M116" s="205">
        <f t="shared" si="21"/>
        <v>0</v>
      </c>
      <c r="N116" s="353">
        <f t="shared" si="32"/>
        <v>0</v>
      </c>
      <c r="O116" s="356">
        <f t="shared" ref="O116:O154" si="34">X116-M116</f>
        <v>0</v>
      </c>
      <c r="P116" s="357">
        <f t="shared" ref="P116:P154" si="35">K116-O116</f>
        <v>0</v>
      </c>
      <c r="Q116" s="354">
        <f>IF($F116=0,0,(Facture!$R115+Facture!$T115)*12*IF(Données!$J155="qc",1.09,IF(Données!$J155="on",1.08,1))/$F116)</f>
        <v>0</v>
      </c>
      <c r="R116" s="206"/>
      <c r="S116" s="207">
        <f>MIN(IF($F116=0,0,(Facture!$W115)*12*(1+VLOOKUP($D116,taux,28))/$F116),$J116)</f>
        <v>0</v>
      </c>
      <c r="T116" s="207">
        <f t="shared" si="23"/>
        <v>0</v>
      </c>
      <c r="U116" s="206"/>
      <c r="V116" s="207">
        <f>IF($F116=0,0,Facture!$R115*12*IF(Données!$J155="qc",1.09,IF(Données!$J155="on",1.08,1))/$F116)</f>
        <v>0</v>
      </c>
      <c r="W116" s="207">
        <f>IF($F116=0,0,Facture!$T115*12*IF(Données!$J155="qc",1.09,IF(Données!$J155="on",1.08,1))/$F116)</f>
        <v>0</v>
      </c>
      <c r="X116" s="207">
        <f>IF($F116=0,0,(Facture!$AB115+Facture!$AD115+Facture!$AF115)*12*IF(Données!$J155="qc",1.09,IF(Données!$J155="on",1.08,1))/$F116)</f>
        <v>0</v>
      </c>
      <c r="Y116" s="207">
        <f>IF($F116=0,0,(Facture!$H115+Facture!$J115+Facture!$L115+Facture!$P115+Facture!$V115)*12*IF(Données!$J155="qc",1.09,IF(Données!$J155="on",1.08,1))/$F116)</f>
        <v>0</v>
      </c>
    </row>
    <row r="117" spans="1:25">
      <c r="A117" s="208">
        <f t="shared" si="28"/>
        <v>102</v>
      </c>
      <c r="B117" s="198" t="str">
        <f>CONCATENATE(Données!B156," ",Données!C156)</f>
        <v xml:space="preserve"> </v>
      </c>
      <c r="C117" s="199">
        <f>Données!D156</f>
        <v>0</v>
      </c>
      <c r="D117" s="200" t="str">
        <f>Données!AD156</f>
        <v/>
      </c>
      <c r="E117" s="349">
        <f t="shared" si="29"/>
        <v>0</v>
      </c>
      <c r="F117" s="201">
        <f t="shared" si="18"/>
        <v>0</v>
      </c>
      <c r="G117" s="202">
        <f>IF($F117=0,0,Facture!AI116*12/F117)</f>
        <v>0</v>
      </c>
      <c r="H117" s="203" t="e">
        <f t="shared" ca="1" si="30"/>
        <v>#N/A</v>
      </c>
      <c r="I117" s="203" t="e">
        <f ca="1">IF(F117=" ",0,Facture!J116*12/F117*1.09)</f>
        <v>#DIV/0!</v>
      </c>
      <c r="J117" s="204">
        <f t="shared" si="27"/>
        <v>0</v>
      </c>
      <c r="K117" s="345">
        <f t="shared" si="33"/>
        <v>0</v>
      </c>
      <c r="L117" s="205">
        <f t="shared" si="31"/>
        <v>0</v>
      </c>
      <c r="M117" s="205">
        <f t="shared" si="21"/>
        <v>0</v>
      </c>
      <c r="N117" s="353">
        <f t="shared" si="32"/>
        <v>0</v>
      </c>
      <c r="O117" s="356">
        <f t="shared" si="34"/>
        <v>0</v>
      </c>
      <c r="P117" s="357">
        <f t="shared" si="35"/>
        <v>0</v>
      </c>
      <c r="Q117" s="354">
        <f>IF($F117=0,0,(Facture!$R116+Facture!$T116)*12*IF(Données!$J156="qc",1.09,IF(Données!$J156="on",1.08,1))/$F117)</f>
        <v>0</v>
      </c>
      <c r="R117" s="206"/>
      <c r="S117" s="207">
        <f>MIN(IF($F117=0,0,(Facture!$W116)*12*(1+VLOOKUP($D117,taux,28))/$F117),$J117)</f>
        <v>0</v>
      </c>
      <c r="T117" s="207">
        <f t="shared" si="23"/>
        <v>0</v>
      </c>
      <c r="U117" s="206"/>
      <c r="V117" s="207">
        <f>IF($F117=0,0,Facture!$R116*12*IF(Données!$J156="qc",1.09,IF(Données!$J156="on",1.08,1))/$F117)</f>
        <v>0</v>
      </c>
      <c r="W117" s="207">
        <f>IF($F117=0,0,Facture!$T116*12*IF(Données!$J156="qc",1.09,IF(Données!$J156="on",1.08,1))/$F117)</f>
        <v>0</v>
      </c>
      <c r="X117" s="207">
        <f>IF($F117=0,0,(Facture!$AB116+Facture!$AD116+Facture!$AF116)*12*IF(Données!$J156="qc",1.09,IF(Données!$J156="on",1.08,1))/$F117)</f>
        <v>0</v>
      </c>
      <c r="Y117" s="207">
        <f>IF($F117=0,0,(Facture!$H116+Facture!$J116+Facture!$L116+Facture!$P116+Facture!$V116)*12*IF(Données!$J156="qc",1.09,IF(Données!$J156="on",1.08,1))/$F117)</f>
        <v>0</v>
      </c>
    </row>
    <row r="118" spans="1:25">
      <c r="A118" s="208">
        <f t="shared" si="28"/>
        <v>103</v>
      </c>
      <c r="B118" s="198" t="str">
        <f>CONCATENATE(Données!B157," ",Données!C157)</f>
        <v xml:space="preserve"> </v>
      </c>
      <c r="C118" s="199">
        <f>Données!D157</f>
        <v>0</v>
      </c>
      <c r="D118" s="200" t="str">
        <f>Données!AD157</f>
        <v/>
      </c>
      <c r="E118" s="349">
        <f t="shared" si="29"/>
        <v>0</v>
      </c>
      <c r="F118" s="201">
        <f t="shared" si="18"/>
        <v>0</v>
      </c>
      <c r="G118" s="202">
        <f>IF($F118=0,0,Facture!AI117*12/F118)</f>
        <v>0</v>
      </c>
      <c r="H118" s="203" t="e">
        <f t="shared" ca="1" si="30"/>
        <v>#N/A</v>
      </c>
      <c r="I118" s="203" t="e">
        <f ca="1">IF(F118=" ",0,Facture!J117*12/F118*1.09)</f>
        <v>#DIV/0!</v>
      </c>
      <c r="J118" s="204">
        <f t="shared" si="27"/>
        <v>0</v>
      </c>
      <c r="K118" s="345">
        <f t="shared" si="33"/>
        <v>0</v>
      </c>
      <c r="L118" s="205">
        <f t="shared" si="31"/>
        <v>0</v>
      </c>
      <c r="M118" s="205">
        <f t="shared" si="21"/>
        <v>0</v>
      </c>
      <c r="N118" s="353">
        <f t="shared" si="32"/>
        <v>0</v>
      </c>
      <c r="O118" s="356">
        <f t="shared" si="34"/>
        <v>0</v>
      </c>
      <c r="P118" s="357">
        <f t="shared" si="35"/>
        <v>0</v>
      </c>
      <c r="Q118" s="354">
        <f>IF($F118=0,0,(Facture!$R117+Facture!$T117)*12*IF(Données!$J157="qc",1.09,IF(Données!$J157="on",1.08,1))/$F118)</f>
        <v>0</v>
      </c>
      <c r="R118" s="206"/>
      <c r="S118" s="207">
        <f>MIN(IF($F118=0,0,(Facture!$W117)*12*(1+VLOOKUP($D118,taux,28))/$F118),$J118)</f>
        <v>0</v>
      </c>
      <c r="T118" s="207">
        <f t="shared" si="23"/>
        <v>0</v>
      </c>
      <c r="U118" s="206"/>
      <c r="V118" s="207">
        <f>IF($F118=0,0,Facture!$R117*12*IF(Données!$J157="qc",1.09,IF(Données!$J157="on",1.08,1))/$F118)</f>
        <v>0</v>
      </c>
      <c r="W118" s="207">
        <f>IF($F118=0,0,Facture!$T117*12*IF(Données!$J157="qc",1.09,IF(Données!$J157="on",1.08,1))/$F118)</f>
        <v>0</v>
      </c>
      <c r="X118" s="207">
        <f>IF($F118=0,0,(Facture!$AB117+Facture!$AD117+Facture!$AF117)*12*IF(Données!$J157="qc",1.09,IF(Données!$J157="on",1.08,1))/$F118)</f>
        <v>0</v>
      </c>
      <c r="Y118" s="207">
        <f>IF($F118=0,0,(Facture!$H117+Facture!$J117+Facture!$L117+Facture!$P117+Facture!$V117)*12*IF(Données!$J157="qc",1.09,IF(Données!$J157="on",1.08,1))/$F118)</f>
        <v>0</v>
      </c>
    </row>
    <row r="119" spans="1:25">
      <c r="A119" s="208">
        <f t="shared" si="28"/>
        <v>104</v>
      </c>
      <c r="B119" s="198" t="str">
        <f>CONCATENATE(Données!B158," ",Données!C158)</f>
        <v xml:space="preserve"> </v>
      </c>
      <c r="C119" s="199">
        <f>Données!D158</f>
        <v>0</v>
      </c>
      <c r="D119" s="200" t="str">
        <f>Données!AD158</f>
        <v/>
      </c>
      <c r="E119" s="349">
        <f t="shared" si="29"/>
        <v>0</v>
      </c>
      <c r="F119" s="201">
        <f t="shared" si="18"/>
        <v>0</v>
      </c>
      <c r="G119" s="202">
        <f>IF($F119=0,0,Facture!AI118*12/F119)</f>
        <v>0</v>
      </c>
      <c r="H119" s="203" t="e">
        <f t="shared" ca="1" si="30"/>
        <v>#N/A</v>
      </c>
      <c r="I119" s="203" t="e">
        <f ca="1">IF(F119=" ",0,Facture!J118*12/F119*1.09)</f>
        <v>#DIV/0!</v>
      </c>
      <c r="J119" s="204">
        <f t="shared" si="27"/>
        <v>0</v>
      </c>
      <c r="K119" s="345">
        <f t="shared" si="33"/>
        <v>0</v>
      </c>
      <c r="L119" s="205">
        <f t="shared" si="31"/>
        <v>0</v>
      </c>
      <c r="M119" s="205">
        <f t="shared" si="21"/>
        <v>0</v>
      </c>
      <c r="N119" s="353">
        <f t="shared" si="32"/>
        <v>0</v>
      </c>
      <c r="O119" s="356">
        <f t="shared" si="34"/>
        <v>0</v>
      </c>
      <c r="P119" s="357">
        <f t="shared" si="35"/>
        <v>0</v>
      </c>
      <c r="Q119" s="354">
        <f>IF($F119=0,0,(Facture!$R118+Facture!$T118)*12*IF(Données!$J158="qc",1.09,IF(Données!$J158="on",1.08,1))/$F119)</f>
        <v>0</v>
      </c>
      <c r="R119" s="206"/>
      <c r="S119" s="207">
        <f>MIN(IF($F119=0,0,(Facture!$W118)*12*(1+VLOOKUP($D119,taux,28))/$F119),$J119)</f>
        <v>0</v>
      </c>
      <c r="T119" s="207">
        <f t="shared" si="23"/>
        <v>0</v>
      </c>
      <c r="U119" s="206"/>
      <c r="V119" s="207">
        <f>IF($F119=0,0,Facture!$R118*12*IF(Données!$J158="qc",1.09,IF(Données!$J158="on",1.08,1))/$F119)</f>
        <v>0</v>
      </c>
      <c r="W119" s="207">
        <f>IF($F119=0,0,Facture!$T118*12*IF(Données!$J158="qc",1.09,IF(Données!$J158="on",1.08,1))/$F119)</f>
        <v>0</v>
      </c>
      <c r="X119" s="207">
        <f>IF($F119=0,0,(Facture!$AB118+Facture!$AD118+Facture!$AF118)*12*IF(Données!$J158="qc",1.09,IF(Données!$J158="on",1.08,1))/$F119)</f>
        <v>0</v>
      </c>
      <c r="Y119" s="207">
        <f>IF($F119=0,0,(Facture!$H118+Facture!$J118+Facture!$L118+Facture!$P118+Facture!$V118)*12*IF(Données!$J158="qc",1.09,IF(Données!$J158="on",1.08,1))/$F119)</f>
        <v>0</v>
      </c>
    </row>
    <row r="120" spans="1:25">
      <c r="A120" s="208">
        <f t="shared" si="28"/>
        <v>105</v>
      </c>
      <c r="B120" s="198" t="str">
        <f>CONCATENATE(Données!B159," ",Données!C159)</f>
        <v xml:space="preserve"> </v>
      </c>
      <c r="C120" s="199">
        <f>Données!D159</f>
        <v>0</v>
      </c>
      <c r="D120" s="200" t="str">
        <f>Données!AD159</f>
        <v/>
      </c>
      <c r="E120" s="349">
        <f t="shared" si="29"/>
        <v>0</v>
      </c>
      <c r="F120" s="201">
        <f t="shared" si="18"/>
        <v>0</v>
      </c>
      <c r="G120" s="202">
        <f>IF($F120=0,0,Facture!AI119*12/F120)</f>
        <v>0</v>
      </c>
      <c r="H120" s="203" t="e">
        <f t="shared" ca="1" si="30"/>
        <v>#N/A</v>
      </c>
      <c r="I120" s="203" t="e">
        <f ca="1">IF(F120=" ",0,Facture!J119*12/F120*1.09)</f>
        <v>#DIV/0!</v>
      </c>
      <c r="J120" s="204">
        <f t="shared" si="27"/>
        <v>0</v>
      </c>
      <c r="K120" s="345">
        <f t="shared" si="33"/>
        <v>0</v>
      </c>
      <c r="L120" s="205">
        <f t="shared" si="31"/>
        <v>0</v>
      </c>
      <c r="M120" s="205">
        <f t="shared" si="21"/>
        <v>0</v>
      </c>
      <c r="N120" s="353">
        <f t="shared" si="32"/>
        <v>0</v>
      </c>
      <c r="O120" s="356">
        <f t="shared" si="34"/>
        <v>0</v>
      </c>
      <c r="P120" s="357">
        <f t="shared" si="35"/>
        <v>0</v>
      </c>
      <c r="Q120" s="354">
        <f>IF($F120=0,0,(Facture!$R119+Facture!$T119)*12*IF(Données!$J159="qc",1.09,IF(Données!$J159="on",1.08,1))/$F120)</f>
        <v>0</v>
      </c>
      <c r="R120" s="206"/>
      <c r="S120" s="207">
        <f>MIN(IF($F120=0,0,(Facture!$W119)*12*(1+VLOOKUP($D120,taux,28))/$F120),$J120)</f>
        <v>0</v>
      </c>
      <c r="T120" s="207">
        <f t="shared" si="23"/>
        <v>0</v>
      </c>
      <c r="U120" s="206"/>
      <c r="V120" s="207">
        <f>IF($F120=0,0,Facture!$R119*12*IF(Données!$J159="qc",1.09,IF(Données!$J159="on",1.08,1))/$F120)</f>
        <v>0</v>
      </c>
      <c r="W120" s="207">
        <f>IF($F120=0,0,Facture!$T119*12*IF(Données!$J159="qc",1.09,IF(Données!$J159="on",1.08,1))/$F120)</f>
        <v>0</v>
      </c>
      <c r="X120" s="207">
        <f>IF($F120=0,0,(Facture!$AB119+Facture!$AD119+Facture!$AF119)*12*IF(Données!$J159="qc",1.09,IF(Données!$J159="on",1.08,1))/$F120)</f>
        <v>0</v>
      </c>
      <c r="Y120" s="207">
        <f>IF($F120=0,0,(Facture!$H119+Facture!$J119+Facture!$L119+Facture!$P119+Facture!$V119)*12*IF(Données!$J159="qc",1.09,IF(Données!$J159="on",1.08,1))/$F120)</f>
        <v>0</v>
      </c>
    </row>
    <row r="121" spans="1:25">
      <c r="A121" s="208">
        <f t="shared" si="28"/>
        <v>106</v>
      </c>
      <c r="B121" s="198" t="str">
        <f>CONCATENATE(Données!B160," ",Données!C160)</f>
        <v xml:space="preserve"> </v>
      </c>
      <c r="C121" s="199">
        <f>Données!D160</f>
        <v>0</v>
      </c>
      <c r="D121" s="200" t="str">
        <f>Données!AD160</f>
        <v/>
      </c>
      <c r="E121" s="349">
        <f t="shared" si="29"/>
        <v>0</v>
      </c>
      <c r="F121" s="201">
        <f t="shared" si="18"/>
        <v>0</v>
      </c>
      <c r="G121" s="202">
        <f>IF($F121=0,0,Facture!AI120*12/F121)</f>
        <v>0</v>
      </c>
      <c r="H121" s="203" t="e">
        <f t="shared" ca="1" si="30"/>
        <v>#N/A</v>
      </c>
      <c r="I121" s="203" t="e">
        <f ca="1">IF(F121=" ",0,Facture!J120*12/F121*1.09)</f>
        <v>#DIV/0!</v>
      </c>
      <c r="J121" s="204">
        <f t="shared" si="27"/>
        <v>0</v>
      </c>
      <c r="K121" s="345">
        <f t="shared" si="33"/>
        <v>0</v>
      </c>
      <c r="L121" s="205">
        <f t="shared" si="31"/>
        <v>0</v>
      </c>
      <c r="M121" s="205">
        <f t="shared" si="21"/>
        <v>0</v>
      </c>
      <c r="N121" s="353">
        <f t="shared" si="32"/>
        <v>0</v>
      </c>
      <c r="O121" s="356">
        <f t="shared" si="34"/>
        <v>0</v>
      </c>
      <c r="P121" s="357">
        <f t="shared" si="35"/>
        <v>0</v>
      </c>
      <c r="Q121" s="354">
        <f>IF($F121=0,0,(Facture!$R120+Facture!$T120)*12*IF(Données!$J160="qc",1.09,IF(Données!$J160="on",1.08,1))/$F121)</f>
        <v>0</v>
      </c>
      <c r="R121" s="206"/>
      <c r="S121" s="207">
        <f>MIN(IF($F121=0,0,(Facture!$W120)*12*(1+VLOOKUP($D121,taux,28))/$F121),$J121)</f>
        <v>0</v>
      </c>
      <c r="T121" s="207">
        <f t="shared" si="23"/>
        <v>0</v>
      </c>
      <c r="U121" s="206"/>
      <c r="V121" s="207">
        <f>IF($F121=0,0,Facture!$R120*12*IF(Données!$J160="qc",1.09,IF(Données!$J160="on",1.08,1))/$F121)</f>
        <v>0</v>
      </c>
      <c r="W121" s="207">
        <f>IF($F121=0,0,Facture!$T120*12*IF(Données!$J160="qc",1.09,IF(Données!$J160="on",1.08,1))/$F121)</f>
        <v>0</v>
      </c>
      <c r="X121" s="207">
        <f>IF($F121=0,0,(Facture!$AB120+Facture!$AD120+Facture!$AF120)*12*IF(Données!$J160="qc",1.09,IF(Données!$J160="on",1.08,1))/$F121)</f>
        <v>0</v>
      </c>
      <c r="Y121" s="207">
        <f>IF($F121=0,0,(Facture!$H120+Facture!$J120+Facture!$L120+Facture!$P120+Facture!$V120)*12*IF(Données!$J160="qc",1.09,IF(Données!$J160="on",1.08,1))/$F121)</f>
        <v>0</v>
      </c>
    </row>
    <row r="122" spans="1:25">
      <c r="A122" s="208">
        <f t="shared" si="28"/>
        <v>107</v>
      </c>
      <c r="B122" s="198" t="str">
        <f>CONCATENATE(Données!B161," ",Données!C161)</f>
        <v xml:space="preserve"> </v>
      </c>
      <c r="C122" s="199">
        <f>Données!D161</f>
        <v>0</v>
      </c>
      <c r="D122" s="200" t="str">
        <f>Données!AD161</f>
        <v/>
      </c>
      <c r="E122" s="349">
        <f t="shared" si="29"/>
        <v>0</v>
      </c>
      <c r="F122" s="201">
        <f t="shared" si="18"/>
        <v>0</v>
      </c>
      <c r="G122" s="202">
        <f>IF($F122=0,0,Facture!AI121*12/F122)</f>
        <v>0</v>
      </c>
      <c r="H122" s="203" t="e">
        <f t="shared" ca="1" si="30"/>
        <v>#N/A</v>
      </c>
      <c r="I122" s="203" t="e">
        <f ca="1">IF(F122=" ",0,Facture!J121*12/F122*1.09)</f>
        <v>#DIV/0!</v>
      </c>
      <c r="J122" s="204">
        <f t="shared" si="27"/>
        <v>0</v>
      </c>
      <c r="K122" s="345">
        <f t="shared" si="33"/>
        <v>0</v>
      </c>
      <c r="L122" s="205">
        <f t="shared" si="31"/>
        <v>0</v>
      </c>
      <c r="M122" s="205">
        <f t="shared" si="21"/>
        <v>0</v>
      </c>
      <c r="N122" s="353">
        <f t="shared" si="32"/>
        <v>0</v>
      </c>
      <c r="O122" s="356">
        <f t="shared" si="34"/>
        <v>0</v>
      </c>
      <c r="P122" s="357">
        <f t="shared" si="35"/>
        <v>0</v>
      </c>
      <c r="Q122" s="354">
        <f>IF($F122=0,0,(Facture!$R121+Facture!$T121)*12*IF(Données!$J161="qc",1.09,IF(Données!$J161="on",1.08,1))/$F122)</f>
        <v>0</v>
      </c>
      <c r="R122" s="206"/>
      <c r="S122" s="207">
        <f>MIN(IF($F122=0,0,(Facture!$W121)*12*(1+VLOOKUP($D122,taux,28))/$F122),$J122)</f>
        <v>0</v>
      </c>
      <c r="T122" s="207">
        <f t="shared" si="23"/>
        <v>0</v>
      </c>
      <c r="U122" s="206"/>
      <c r="V122" s="207">
        <f>IF($F122=0,0,Facture!$R121*12*IF(Données!$J161="qc",1.09,IF(Données!$J161="on",1.08,1))/$F122)</f>
        <v>0</v>
      </c>
      <c r="W122" s="207">
        <f>IF($F122=0,0,Facture!$T121*12*IF(Données!$J161="qc",1.09,IF(Données!$J161="on",1.08,1))/$F122)</f>
        <v>0</v>
      </c>
      <c r="X122" s="207">
        <f>IF($F122=0,0,(Facture!$AB121+Facture!$AD121+Facture!$AF121)*12*IF(Données!$J161="qc",1.09,IF(Données!$J161="on",1.08,1))/$F122)</f>
        <v>0</v>
      </c>
      <c r="Y122" s="207">
        <f>IF($F122=0,0,(Facture!$H121+Facture!$J121+Facture!$L121+Facture!$P121+Facture!$V121)*12*IF(Données!$J161="qc",1.09,IF(Données!$J161="on",1.08,1))/$F122)</f>
        <v>0</v>
      </c>
    </row>
    <row r="123" spans="1:25">
      <c r="A123" s="208">
        <f t="shared" si="28"/>
        <v>108</v>
      </c>
      <c r="B123" s="198" t="str">
        <f>CONCATENATE(Données!B162," ",Données!C162)</f>
        <v xml:space="preserve"> </v>
      </c>
      <c r="C123" s="199">
        <f>Données!D162</f>
        <v>0</v>
      </c>
      <c r="D123" s="200" t="str">
        <f>Données!AD162</f>
        <v/>
      </c>
      <c r="E123" s="349">
        <f t="shared" si="29"/>
        <v>0</v>
      </c>
      <c r="F123" s="201">
        <f t="shared" si="18"/>
        <v>0</v>
      </c>
      <c r="G123" s="202">
        <f>IF($F123=0,0,Facture!AI122*12/F123)</f>
        <v>0</v>
      </c>
      <c r="H123" s="203" t="e">
        <f t="shared" ca="1" si="30"/>
        <v>#N/A</v>
      </c>
      <c r="I123" s="203" t="e">
        <f ca="1">IF(F123=" ",0,Facture!J122*12/F123*1.09)</f>
        <v>#DIV/0!</v>
      </c>
      <c r="J123" s="204">
        <f t="shared" si="27"/>
        <v>0</v>
      </c>
      <c r="K123" s="345">
        <f t="shared" si="33"/>
        <v>0</v>
      </c>
      <c r="L123" s="205">
        <f t="shared" si="31"/>
        <v>0</v>
      </c>
      <c r="M123" s="205">
        <f t="shared" si="21"/>
        <v>0</v>
      </c>
      <c r="N123" s="353">
        <f t="shared" si="32"/>
        <v>0</v>
      </c>
      <c r="O123" s="356">
        <f t="shared" si="34"/>
        <v>0</v>
      </c>
      <c r="P123" s="357">
        <f t="shared" si="35"/>
        <v>0</v>
      </c>
      <c r="Q123" s="354">
        <f>IF($F123=0,0,(Facture!$R122+Facture!$T122)*12*IF(Données!$J162="qc",1.09,IF(Données!$J162="on",1.08,1))/$F123)</f>
        <v>0</v>
      </c>
      <c r="R123" s="206"/>
      <c r="S123" s="207">
        <f>MIN(IF($F123=0,0,(Facture!$W122)*12*(1+VLOOKUP($D123,taux,28))/$F123),$J123)</f>
        <v>0</v>
      </c>
      <c r="T123" s="207">
        <f t="shared" si="23"/>
        <v>0</v>
      </c>
      <c r="U123" s="206"/>
      <c r="V123" s="207">
        <f>IF($F123=0,0,Facture!$R122*12*IF(Données!$J162="qc",1.09,IF(Données!$J162="on",1.08,1))/$F123)</f>
        <v>0</v>
      </c>
      <c r="W123" s="207">
        <f>IF($F123=0,0,Facture!$T122*12*IF(Données!$J162="qc",1.09,IF(Données!$J162="on",1.08,1))/$F123)</f>
        <v>0</v>
      </c>
      <c r="X123" s="207">
        <f>IF($F123=0,0,(Facture!$AB122+Facture!$AD122+Facture!$AF122)*12*IF(Données!$J162="qc",1.09,IF(Données!$J162="on",1.08,1))/$F123)</f>
        <v>0</v>
      </c>
      <c r="Y123" s="207">
        <f>IF($F123=0,0,(Facture!$H122+Facture!$J122+Facture!$L122+Facture!$P122+Facture!$V122)*12*IF(Données!$J162="qc",1.09,IF(Données!$J162="on",1.08,1))/$F123)</f>
        <v>0</v>
      </c>
    </row>
    <row r="124" spans="1:25">
      <c r="A124" s="208">
        <f t="shared" si="28"/>
        <v>109</v>
      </c>
      <c r="B124" s="198" t="str">
        <f>CONCATENATE(Données!B163," ",Données!C163)</f>
        <v xml:space="preserve"> </v>
      </c>
      <c r="C124" s="199">
        <f>Données!D163</f>
        <v>0</v>
      </c>
      <c r="D124" s="200" t="str">
        <f>Données!AD163</f>
        <v/>
      </c>
      <c r="E124" s="349">
        <f t="shared" si="29"/>
        <v>0</v>
      </c>
      <c r="F124" s="201">
        <f t="shared" si="18"/>
        <v>0</v>
      </c>
      <c r="G124" s="202">
        <f>IF($F124=0,0,Facture!AI123*12/F124)</f>
        <v>0</v>
      </c>
      <c r="H124" s="203" t="e">
        <f t="shared" ca="1" si="30"/>
        <v>#N/A</v>
      </c>
      <c r="I124" s="203" t="e">
        <f ca="1">IF(F124=" ",0,Facture!J123*12/F124*1.09)</f>
        <v>#DIV/0!</v>
      </c>
      <c r="J124" s="204">
        <f t="shared" si="27"/>
        <v>0</v>
      </c>
      <c r="K124" s="345">
        <f t="shared" si="33"/>
        <v>0</v>
      </c>
      <c r="L124" s="205">
        <f t="shared" si="31"/>
        <v>0</v>
      </c>
      <c r="M124" s="205">
        <f t="shared" si="21"/>
        <v>0</v>
      </c>
      <c r="N124" s="353">
        <f t="shared" si="32"/>
        <v>0</v>
      </c>
      <c r="O124" s="356">
        <f t="shared" si="34"/>
        <v>0</v>
      </c>
      <c r="P124" s="357">
        <f t="shared" si="35"/>
        <v>0</v>
      </c>
      <c r="Q124" s="354">
        <f>IF($F124=0,0,(Facture!$R123+Facture!$T123)*12*IF(Données!$J163="qc",1.09,IF(Données!$J163="on",1.08,1))/$F124)</f>
        <v>0</v>
      </c>
      <c r="R124" s="206"/>
      <c r="S124" s="207">
        <f>MIN(IF($F124=0,0,(Facture!$W123)*12*(1+VLOOKUP($D124,taux,28))/$F124),$J124)</f>
        <v>0</v>
      </c>
      <c r="T124" s="207">
        <f t="shared" si="23"/>
        <v>0</v>
      </c>
      <c r="U124" s="206"/>
      <c r="V124" s="207">
        <f>IF($F124=0,0,Facture!$R123*12*IF(Données!$J163="qc",1.09,IF(Données!$J163="on",1.08,1))/$F124)</f>
        <v>0</v>
      </c>
      <c r="W124" s="207">
        <f>IF($F124=0,0,Facture!$T123*12*IF(Données!$J163="qc",1.09,IF(Données!$J163="on",1.08,1))/$F124)</f>
        <v>0</v>
      </c>
      <c r="X124" s="207">
        <f>IF($F124=0,0,(Facture!$AB123+Facture!$AD123+Facture!$AF123)*12*IF(Données!$J163="qc",1.09,IF(Données!$J163="on",1.08,1))/$F124)</f>
        <v>0</v>
      </c>
      <c r="Y124" s="207">
        <f>IF($F124=0,0,(Facture!$H123+Facture!$J123+Facture!$L123+Facture!$P123+Facture!$V123)*12*IF(Données!$J163="qc",1.09,IF(Données!$J163="on",1.08,1))/$F124)</f>
        <v>0</v>
      </c>
    </row>
    <row r="125" spans="1:25">
      <c r="A125" s="208">
        <f t="shared" si="28"/>
        <v>110</v>
      </c>
      <c r="B125" s="198" t="str">
        <f>CONCATENATE(Données!B164," ",Données!C164)</f>
        <v xml:space="preserve"> </v>
      </c>
      <c r="C125" s="199">
        <f>Données!D164</f>
        <v>0</v>
      </c>
      <c r="D125" s="200" t="str">
        <f>Données!AD164</f>
        <v/>
      </c>
      <c r="E125" s="349">
        <f t="shared" si="29"/>
        <v>0</v>
      </c>
      <c r="F125" s="201">
        <f t="shared" si="18"/>
        <v>0</v>
      </c>
      <c r="G125" s="202">
        <f>IF($F125=0,0,Facture!AI124*12/F125)</f>
        <v>0</v>
      </c>
      <c r="H125" s="203" t="e">
        <f t="shared" ca="1" si="30"/>
        <v>#N/A</v>
      </c>
      <c r="I125" s="203" t="e">
        <f ca="1">IF(F125=" ",0,Facture!J124*12/F125*1.09)</f>
        <v>#DIV/0!</v>
      </c>
      <c r="J125" s="204">
        <f t="shared" si="27"/>
        <v>0</v>
      </c>
      <c r="K125" s="345">
        <f t="shared" si="33"/>
        <v>0</v>
      </c>
      <c r="L125" s="205">
        <f t="shared" si="31"/>
        <v>0</v>
      </c>
      <c r="M125" s="205">
        <f t="shared" si="21"/>
        <v>0</v>
      </c>
      <c r="N125" s="353">
        <f t="shared" si="32"/>
        <v>0</v>
      </c>
      <c r="O125" s="356">
        <f t="shared" si="34"/>
        <v>0</v>
      </c>
      <c r="P125" s="357">
        <f t="shared" si="35"/>
        <v>0</v>
      </c>
      <c r="Q125" s="354">
        <f>IF($F125=0,0,(Facture!$R124+Facture!$T124)*12*IF(Données!$J164="qc",1.09,IF(Données!$J164="on",1.08,1))/$F125)</f>
        <v>0</v>
      </c>
      <c r="R125" s="206"/>
      <c r="S125" s="207">
        <f>MIN(IF($F125=0,0,(Facture!$W124)*12*(1+VLOOKUP($D125,taux,28))/$F125),$J125)</f>
        <v>0</v>
      </c>
      <c r="T125" s="207">
        <f t="shared" si="23"/>
        <v>0</v>
      </c>
      <c r="U125" s="206"/>
      <c r="V125" s="207">
        <f>IF($F125=0,0,Facture!$R124*12*IF(Données!$J164="qc",1.09,IF(Données!$J164="on",1.08,1))/$F125)</f>
        <v>0</v>
      </c>
      <c r="W125" s="207">
        <f>IF($F125=0,0,Facture!$T124*12*IF(Données!$J164="qc",1.09,IF(Données!$J164="on",1.08,1))/$F125)</f>
        <v>0</v>
      </c>
      <c r="X125" s="207">
        <f>IF($F125=0,0,(Facture!$AB124+Facture!$AD124+Facture!$AF124)*12*IF(Données!$J164="qc",1.09,IF(Données!$J164="on",1.08,1))/$F125)</f>
        <v>0</v>
      </c>
      <c r="Y125" s="207">
        <f>IF($F125=0,0,(Facture!$H124+Facture!$J124+Facture!$L124+Facture!$P124+Facture!$V124)*12*IF(Données!$J164="qc",1.09,IF(Données!$J164="on",1.08,1))/$F125)</f>
        <v>0</v>
      </c>
    </row>
    <row r="126" spans="1:25">
      <c r="A126" s="208">
        <f t="shared" si="28"/>
        <v>111</v>
      </c>
      <c r="B126" s="198" t="str">
        <f>CONCATENATE(Données!B165," ",Données!C165)</f>
        <v xml:space="preserve"> </v>
      </c>
      <c r="C126" s="199">
        <f>Données!D165</f>
        <v>0</v>
      </c>
      <c r="D126" s="200" t="str">
        <f>Données!AD165</f>
        <v/>
      </c>
      <c r="E126" s="349">
        <f t="shared" si="29"/>
        <v>0</v>
      </c>
      <c r="F126" s="201">
        <f t="shared" si="18"/>
        <v>0</v>
      </c>
      <c r="G126" s="202">
        <f>IF($F126=0,0,Facture!AI125*12/F126)</f>
        <v>0</v>
      </c>
      <c r="H126" s="203" t="e">
        <f t="shared" ca="1" si="30"/>
        <v>#N/A</v>
      </c>
      <c r="I126" s="203" t="e">
        <f ca="1">IF(F126=" ",0,Facture!J125*12/F126*1.09)</f>
        <v>#DIV/0!</v>
      </c>
      <c r="J126" s="204">
        <f t="shared" si="27"/>
        <v>0</v>
      </c>
      <c r="K126" s="345">
        <f t="shared" si="33"/>
        <v>0</v>
      </c>
      <c r="L126" s="205">
        <f t="shared" si="31"/>
        <v>0</v>
      </c>
      <c r="M126" s="205">
        <f t="shared" si="21"/>
        <v>0</v>
      </c>
      <c r="N126" s="353">
        <f t="shared" si="32"/>
        <v>0</v>
      </c>
      <c r="O126" s="356">
        <f t="shared" si="34"/>
        <v>0</v>
      </c>
      <c r="P126" s="357">
        <f t="shared" si="35"/>
        <v>0</v>
      </c>
      <c r="Q126" s="354">
        <f>IF($F126=0,0,(Facture!$R125+Facture!$T125)*12*IF(Données!$J165="qc",1.09,IF(Données!$J165="on",1.08,1))/$F126)</f>
        <v>0</v>
      </c>
      <c r="R126" s="206"/>
      <c r="S126" s="207">
        <f>MIN(IF($F126=0,0,(Facture!$W125)*12*(1+VLOOKUP($D126,taux,28))/$F126),$J126)</f>
        <v>0</v>
      </c>
      <c r="T126" s="207">
        <f t="shared" si="23"/>
        <v>0</v>
      </c>
      <c r="U126" s="206"/>
      <c r="V126" s="207">
        <f>IF($F126=0,0,Facture!$R125*12*IF(Données!$J165="qc",1.09,IF(Données!$J165="on",1.08,1))/$F126)</f>
        <v>0</v>
      </c>
      <c r="W126" s="207">
        <f>IF($F126=0,0,Facture!$T125*12*IF(Données!$J165="qc",1.09,IF(Données!$J165="on",1.08,1))/$F126)</f>
        <v>0</v>
      </c>
      <c r="X126" s="207">
        <f>IF($F126=0,0,(Facture!$AB125+Facture!$AD125+Facture!$AF125)*12*IF(Données!$J165="qc",1.09,IF(Données!$J165="on",1.08,1))/$F126)</f>
        <v>0</v>
      </c>
      <c r="Y126" s="207">
        <f>IF($F126=0,0,(Facture!$H125+Facture!$J125+Facture!$L125+Facture!$P125+Facture!$V125)*12*IF(Données!$J165="qc",1.09,IF(Données!$J165="on",1.08,1))/$F126)</f>
        <v>0</v>
      </c>
    </row>
    <row r="127" spans="1:25">
      <c r="A127" s="208">
        <f t="shared" si="28"/>
        <v>112</v>
      </c>
      <c r="B127" s="198" t="str">
        <f>CONCATENATE(Données!B166," ",Données!C166)</f>
        <v xml:space="preserve"> </v>
      </c>
      <c r="C127" s="199">
        <f>Données!D166</f>
        <v>0</v>
      </c>
      <c r="D127" s="200" t="str">
        <f>Données!AD166</f>
        <v/>
      </c>
      <c r="E127" s="349">
        <f t="shared" si="29"/>
        <v>0</v>
      </c>
      <c r="F127" s="201">
        <f t="shared" si="18"/>
        <v>0</v>
      </c>
      <c r="G127" s="202">
        <f>IF($F127=0,0,Facture!AI126*12/F127)</f>
        <v>0</v>
      </c>
      <c r="H127" s="203" t="e">
        <f t="shared" ca="1" si="30"/>
        <v>#N/A</v>
      </c>
      <c r="I127" s="203" t="e">
        <f ca="1">IF(F127=" ",0,Facture!J126*12/F127*1.09)</f>
        <v>#DIV/0!</v>
      </c>
      <c r="J127" s="204">
        <f t="shared" si="27"/>
        <v>0</v>
      </c>
      <c r="K127" s="345">
        <f t="shared" si="33"/>
        <v>0</v>
      </c>
      <c r="L127" s="205">
        <f t="shared" si="31"/>
        <v>0</v>
      </c>
      <c r="M127" s="205">
        <f t="shared" si="21"/>
        <v>0</v>
      </c>
      <c r="N127" s="353">
        <f t="shared" si="32"/>
        <v>0</v>
      </c>
      <c r="O127" s="356">
        <f t="shared" si="34"/>
        <v>0</v>
      </c>
      <c r="P127" s="357">
        <f t="shared" si="35"/>
        <v>0</v>
      </c>
      <c r="Q127" s="354">
        <f>IF($F127=0,0,(Facture!$R126+Facture!$T126)*12*IF(Données!$J166="qc",1.09,IF(Données!$J166="on",1.08,1))/$F127)</f>
        <v>0</v>
      </c>
      <c r="R127" s="206"/>
      <c r="S127" s="207">
        <f>MIN(IF($F127=0,0,(Facture!$W126)*12*(1+VLOOKUP($D127,taux,28))/$F127),$J127)</f>
        <v>0</v>
      </c>
      <c r="T127" s="207">
        <f t="shared" si="23"/>
        <v>0</v>
      </c>
      <c r="U127" s="206"/>
      <c r="V127" s="207">
        <f>IF($F127=0,0,Facture!$R126*12*IF(Données!$J166="qc",1.09,IF(Données!$J166="on",1.08,1))/$F127)</f>
        <v>0</v>
      </c>
      <c r="W127" s="207">
        <f>IF($F127=0,0,Facture!$T126*12*IF(Données!$J166="qc",1.09,IF(Données!$J166="on",1.08,1))/$F127)</f>
        <v>0</v>
      </c>
      <c r="X127" s="207">
        <f>IF($F127=0,0,(Facture!$AB126+Facture!$AD126+Facture!$AF126)*12*IF(Données!$J166="qc",1.09,IF(Données!$J166="on",1.08,1))/$F127)</f>
        <v>0</v>
      </c>
      <c r="Y127" s="207">
        <f>IF($F127=0,0,(Facture!$H126+Facture!$J126+Facture!$L126+Facture!$P126+Facture!$V126)*12*IF(Données!$J166="qc",1.09,IF(Données!$J166="on",1.08,1))/$F127)</f>
        <v>0</v>
      </c>
    </row>
    <row r="128" spans="1:25">
      <c r="A128" s="208">
        <f t="shared" si="28"/>
        <v>113</v>
      </c>
      <c r="B128" s="198" t="str">
        <f>CONCATENATE(Données!B167," ",Données!C167)</f>
        <v xml:space="preserve"> </v>
      </c>
      <c r="C128" s="199">
        <f>Données!D167</f>
        <v>0</v>
      </c>
      <c r="D128" s="200" t="str">
        <f>Données!AD167</f>
        <v/>
      </c>
      <c r="E128" s="349">
        <f t="shared" si="29"/>
        <v>0</v>
      </c>
      <c r="F128" s="201">
        <f t="shared" si="18"/>
        <v>0</v>
      </c>
      <c r="G128" s="202">
        <f>IF($F128=0,0,Facture!AI127*12/F128)</f>
        <v>0</v>
      </c>
      <c r="H128" s="203" t="e">
        <f t="shared" ca="1" si="30"/>
        <v>#N/A</v>
      </c>
      <c r="I128" s="203" t="e">
        <f ca="1">IF(F128=" ",0,Facture!J127*12/F128*1.09)</f>
        <v>#DIV/0!</v>
      </c>
      <c r="J128" s="204">
        <f t="shared" si="27"/>
        <v>0</v>
      </c>
      <c r="K128" s="345">
        <f t="shared" si="33"/>
        <v>0</v>
      </c>
      <c r="L128" s="205">
        <f t="shared" si="31"/>
        <v>0</v>
      </c>
      <c r="M128" s="205">
        <f t="shared" si="21"/>
        <v>0</v>
      </c>
      <c r="N128" s="353">
        <f t="shared" si="32"/>
        <v>0</v>
      </c>
      <c r="O128" s="356">
        <f t="shared" si="34"/>
        <v>0</v>
      </c>
      <c r="P128" s="357">
        <f t="shared" si="35"/>
        <v>0</v>
      </c>
      <c r="Q128" s="354">
        <f>IF($F128=0,0,(Facture!$R127+Facture!$T127)*12*IF(Données!$J167="qc",1.09,IF(Données!$J167="on",1.08,1))/$F128)</f>
        <v>0</v>
      </c>
      <c r="R128" s="206"/>
      <c r="S128" s="207">
        <f>MIN(IF($F128=0,0,(Facture!$W127)*12*(1+VLOOKUP($D128,taux,28))/$F128),$J128)</f>
        <v>0</v>
      </c>
      <c r="T128" s="207">
        <f t="shared" si="23"/>
        <v>0</v>
      </c>
      <c r="U128" s="206"/>
      <c r="V128" s="207">
        <f>IF($F128=0,0,Facture!$R127*12*IF(Données!$J167="qc",1.09,IF(Données!$J167="on",1.08,1))/$F128)</f>
        <v>0</v>
      </c>
      <c r="W128" s="207">
        <f>IF($F128=0,0,Facture!$T127*12*IF(Données!$J167="qc",1.09,IF(Données!$J167="on",1.08,1))/$F128)</f>
        <v>0</v>
      </c>
      <c r="X128" s="207">
        <f>IF($F128=0,0,(Facture!$AB127+Facture!$AD127+Facture!$AF127)*12*IF(Données!$J167="qc",1.09,IF(Données!$J167="on",1.08,1))/$F128)</f>
        <v>0</v>
      </c>
      <c r="Y128" s="207">
        <f>IF($F128=0,0,(Facture!$H127+Facture!$J127+Facture!$L127+Facture!$P127+Facture!$V127)*12*IF(Données!$J167="qc",1.09,IF(Données!$J167="on",1.08,1))/$F128)</f>
        <v>0</v>
      </c>
    </row>
    <row r="129" spans="1:25">
      <c r="A129" s="208">
        <f t="shared" si="28"/>
        <v>114</v>
      </c>
      <c r="B129" s="198" t="str">
        <f>CONCATENATE(Données!B168," ",Données!C168)</f>
        <v xml:space="preserve"> </v>
      </c>
      <c r="C129" s="199">
        <f>Données!D168</f>
        <v>0</v>
      </c>
      <c r="D129" s="200" t="str">
        <f>Données!AD168</f>
        <v/>
      </c>
      <c r="E129" s="349">
        <f t="shared" si="29"/>
        <v>0</v>
      </c>
      <c r="F129" s="201">
        <f t="shared" si="18"/>
        <v>0</v>
      </c>
      <c r="G129" s="202">
        <f>IF($F129=0,0,Facture!AI128*12/F129)</f>
        <v>0</v>
      </c>
      <c r="H129" s="203" t="e">
        <f t="shared" ca="1" si="30"/>
        <v>#N/A</v>
      </c>
      <c r="I129" s="203" t="e">
        <f ca="1">IF(F129=" ",0,Facture!J128*12/F129*1.09)</f>
        <v>#DIV/0!</v>
      </c>
      <c r="J129" s="204">
        <f t="shared" si="27"/>
        <v>0</v>
      </c>
      <c r="K129" s="345">
        <f t="shared" si="33"/>
        <v>0</v>
      </c>
      <c r="L129" s="205">
        <f t="shared" si="31"/>
        <v>0</v>
      </c>
      <c r="M129" s="205">
        <f t="shared" si="21"/>
        <v>0</v>
      </c>
      <c r="N129" s="353">
        <f t="shared" si="32"/>
        <v>0</v>
      </c>
      <c r="O129" s="356">
        <f t="shared" si="34"/>
        <v>0</v>
      </c>
      <c r="P129" s="357">
        <f t="shared" si="35"/>
        <v>0</v>
      </c>
      <c r="Q129" s="354">
        <f>IF($F129=0,0,(Facture!$R128+Facture!$T128)*12*IF(Données!$J168="qc",1.09,IF(Données!$J168="on",1.08,1))/$F129)</f>
        <v>0</v>
      </c>
      <c r="R129" s="206"/>
      <c r="S129" s="207">
        <f>MIN(IF($F129=0,0,(Facture!$W128)*12*(1+VLOOKUP($D129,taux,28))/$F129),$J129)</f>
        <v>0</v>
      </c>
      <c r="T129" s="207">
        <f t="shared" si="23"/>
        <v>0</v>
      </c>
      <c r="U129" s="206"/>
      <c r="V129" s="207">
        <f>IF($F129=0,0,Facture!$R128*12*IF(Données!$J168="qc",1.09,IF(Données!$J168="on",1.08,1))/$F129)</f>
        <v>0</v>
      </c>
      <c r="W129" s="207">
        <f>IF($F129=0,0,Facture!$T128*12*IF(Données!$J168="qc",1.09,IF(Données!$J168="on",1.08,1))/$F129)</f>
        <v>0</v>
      </c>
      <c r="X129" s="207">
        <f>IF($F129=0,0,(Facture!$AB128+Facture!$AD128+Facture!$AF128)*12*IF(Données!$J168="qc",1.09,IF(Données!$J168="on",1.08,1))/$F129)</f>
        <v>0</v>
      </c>
      <c r="Y129" s="207">
        <f>IF($F129=0,0,(Facture!$H128+Facture!$J128+Facture!$L128+Facture!$P128+Facture!$V128)*12*IF(Données!$J168="qc",1.09,IF(Données!$J168="on",1.08,1))/$F129)</f>
        <v>0</v>
      </c>
    </row>
    <row r="130" spans="1:25">
      <c r="A130" s="208">
        <f t="shared" si="28"/>
        <v>115</v>
      </c>
      <c r="B130" s="198" t="str">
        <f>CONCATENATE(Données!B169," ",Données!C169)</f>
        <v xml:space="preserve"> </v>
      </c>
      <c r="C130" s="199">
        <f>Données!D169</f>
        <v>0</v>
      </c>
      <c r="D130" s="200" t="str">
        <f>Données!AD169</f>
        <v/>
      </c>
      <c r="E130" s="349">
        <f t="shared" si="29"/>
        <v>0</v>
      </c>
      <c r="F130" s="201">
        <f t="shared" si="18"/>
        <v>0</v>
      </c>
      <c r="G130" s="202">
        <f>IF($F130=0,0,Facture!AI129*12/F130)</f>
        <v>0</v>
      </c>
      <c r="H130" s="203" t="e">
        <f t="shared" ca="1" si="30"/>
        <v>#N/A</v>
      </c>
      <c r="I130" s="203" t="e">
        <f ca="1">IF(F130=" ",0,Facture!J129*12/F130*1.09)</f>
        <v>#DIV/0!</v>
      </c>
      <c r="J130" s="204">
        <f t="shared" si="27"/>
        <v>0</v>
      </c>
      <c r="K130" s="345">
        <f t="shared" si="33"/>
        <v>0</v>
      </c>
      <c r="L130" s="205">
        <f t="shared" si="31"/>
        <v>0</v>
      </c>
      <c r="M130" s="205">
        <f t="shared" si="21"/>
        <v>0</v>
      </c>
      <c r="N130" s="353">
        <f t="shared" si="32"/>
        <v>0</v>
      </c>
      <c r="O130" s="356">
        <f t="shared" si="34"/>
        <v>0</v>
      </c>
      <c r="P130" s="357">
        <f t="shared" si="35"/>
        <v>0</v>
      </c>
      <c r="Q130" s="354">
        <f>IF($F130=0,0,(Facture!$R129+Facture!$T129)*12*IF(Données!$J169="qc",1.09,IF(Données!$J169="on",1.08,1))/$F130)</f>
        <v>0</v>
      </c>
      <c r="R130" s="206"/>
      <c r="S130" s="207">
        <f>MIN(IF($F130=0,0,(Facture!$W129)*12*(1+VLOOKUP($D130,taux,28))/$F130),$J130)</f>
        <v>0</v>
      </c>
      <c r="T130" s="207">
        <f t="shared" si="23"/>
        <v>0</v>
      </c>
      <c r="U130" s="206"/>
      <c r="V130" s="207">
        <f>IF($F130=0,0,Facture!$R129*12*IF(Données!$J169="qc",1.09,IF(Données!$J169="on",1.08,1))/$F130)</f>
        <v>0</v>
      </c>
      <c r="W130" s="207">
        <f>IF($F130=0,0,Facture!$T129*12*IF(Données!$J169="qc",1.09,IF(Données!$J169="on",1.08,1))/$F130)</f>
        <v>0</v>
      </c>
      <c r="X130" s="207">
        <f>IF($F130=0,0,(Facture!$AB129+Facture!$AD129+Facture!$AF129)*12*IF(Données!$J169="qc",1.09,IF(Données!$J169="on",1.08,1))/$F130)</f>
        <v>0</v>
      </c>
      <c r="Y130" s="207">
        <f>IF($F130=0,0,(Facture!$H129+Facture!$J129+Facture!$L129+Facture!$P129+Facture!$V129)*12*IF(Données!$J169="qc",1.09,IF(Données!$J169="on",1.08,1))/$F130)</f>
        <v>0</v>
      </c>
    </row>
    <row r="131" spans="1:25">
      <c r="A131" s="208">
        <f t="shared" si="28"/>
        <v>116</v>
      </c>
      <c r="B131" s="198" t="str">
        <f>CONCATENATE(Données!B170," ",Données!C170)</f>
        <v xml:space="preserve"> </v>
      </c>
      <c r="C131" s="199">
        <f>Données!D170</f>
        <v>0</v>
      </c>
      <c r="D131" s="200" t="str">
        <f>Données!AD170</f>
        <v/>
      </c>
      <c r="E131" s="349">
        <f t="shared" si="29"/>
        <v>0</v>
      </c>
      <c r="F131" s="201">
        <f t="shared" si="18"/>
        <v>0</v>
      </c>
      <c r="G131" s="202">
        <f>IF($F131=0,0,Facture!AI130*12/F131)</f>
        <v>0</v>
      </c>
      <c r="H131" s="203" t="e">
        <f t="shared" ca="1" si="30"/>
        <v>#N/A</v>
      </c>
      <c r="I131" s="203" t="e">
        <f ca="1">IF(F131=" ",0,Facture!J130*12/F131*1.09)</f>
        <v>#DIV/0!</v>
      </c>
      <c r="J131" s="204">
        <f t="shared" si="27"/>
        <v>0</v>
      </c>
      <c r="K131" s="345">
        <f t="shared" si="33"/>
        <v>0</v>
      </c>
      <c r="L131" s="205">
        <f t="shared" si="31"/>
        <v>0</v>
      </c>
      <c r="M131" s="205">
        <f t="shared" si="21"/>
        <v>0</v>
      </c>
      <c r="N131" s="353">
        <f t="shared" si="32"/>
        <v>0</v>
      </c>
      <c r="O131" s="356">
        <f t="shared" si="34"/>
        <v>0</v>
      </c>
      <c r="P131" s="357">
        <f t="shared" si="35"/>
        <v>0</v>
      </c>
      <c r="Q131" s="354">
        <f>IF($F131=0,0,(Facture!$R130+Facture!$T130)*12*IF(Données!$J170="qc",1.09,IF(Données!$J170="on",1.08,1))/$F131)</f>
        <v>0</v>
      </c>
      <c r="R131" s="206"/>
      <c r="S131" s="207">
        <f>MIN(IF($F131=0,0,(Facture!$W130)*12*(1+VLOOKUP($D131,taux,28))/$F131),$J131)</f>
        <v>0</v>
      </c>
      <c r="T131" s="207">
        <f t="shared" si="23"/>
        <v>0</v>
      </c>
      <c r="U131" s="206"/>
      <c r="V131" s="207">
        <f>IF($F131=0,0,Facture!$R130*12*IF(Données!$J170="qc",1.09,IF(Données!$J170="on",1.08,1))/$F131)</f>
        <v>0</v>
      </c>
      <c r="W131" s="207">
        <f>IF($F131=0,0,Facture!$T130*12*IF(Données!$J170="qc",1.09,IF(Données!$J170="on",1.08,1))/$F131)</f>
        <v>0</v>
      </c>
      <c r="X131" s="207">
        <f>IF($F131=0,0,(Facture!$AB130+Facture!$AD130+Facture!$AF130)*12*IF(Données!$J170="qc",1.09,IF(Données!$J170="on",1.08,1))/$F131)</f>
        <v>0</v>
      </c>
      <c r="Y131" s="207">
        <f>IF($F131=0,0,(Facture!$H130+Facture!$J130+Facture!$L130+Facture!$P130+Facture!$V130)*12*IF(Données!$J170="qc",1.09,IF(Données!$J170="on",1.08,1))/$F131)</f>
        <v>0</v>
      </c>
    </row>
    <row r="132" spans="1:25">
      <c r="A132" s="208">
        <f t="shared" si="28"/>
        <v>117</v>
      </c>
      <c r="B132" s="198" t="str">
        <f>CONCATENATE(Données!B171," ",Données!C171)</f>
        <v xml:space="preserve"> </v>
      </c>
      <c r="C132" s="199">
        <f>Données!D171</f>
        <v>0</v>
      </c>
      <c r="D132" s="200" t="str">
        <f>Données!AD171</f>
        <v/>
      </c>
      <c r="E132" s="349">
        <f t="shared" si="29"/>
        <v>0</v>
      </c>
      <c r="F132" s="201">
        <f t="shared" si="18"/>
        <v>0</v>
      </c>
      <c r="G132" s="202">
        <f>IF($F132=0,0,Facture!AI131*12/F132)</f>
        <v>0</v>
      </c>
      <c r="H132" s="203" t="e">
        <f t="shared" ca="1" si="30"/>
        <v>#N/A</v>
      </c>
      <c r="I132" s="203" t="e">
        <f ca="1">IF(F132=" ",0,Facture!J131*12/F132*1.09)</f>
        <v>#DIV/0!</v>
      </c>
      <c r="J132" s="204">
        <f t="shared" si="27"/>
        <v>0</v>
      </c>
      <c r="K132" s="345">
        <f t="shared" si="33"/>
        <v>0</v>
      </c>
      <c r="L132" s="205">
        <f t="shared" si="31"/>
        <v>0</v>
      </c>
      <c r="M132" s="205">
        <f t="shared" si="21"/>
        <v>0</v>
      </c>
      <c r="N132" s="353">
        <f t="shared" si="32"/>
        <v>0</v>
      </c>
      <c r="O132" s="356">
        <f t="shared" si="34"/>
        <v>0</v>
      </c>
      <c r="P132" s="357">
        <f t="shared" si="35"/>
        <v>0</v>
      </c>
      <c r="Q132" s="354">
        <f>IF($F132=0,0,(Facture!$R131+Facture!$T131)*12*IF(Données!$J171="qc",1.09,IF(Données!$J171="on",1.08,1))/$F132)</f>
        <v>0</v>
      </c>
      <c r="R132" s="206"/>
      <c r="S132" s="207">
        <f>MIN(IF($F132=0,0,(Facture!$W131)*12*(1+VLOOKUP($D132,taux,28))/$F132),$J132)</f>
        <v>0</v>
      </c>
      <c r="T132" s="207">
        <f t="shared" si="23"/>
        <v>0</v>
      </c>
      <c r="U132" s="206"/>
      <c r="V132" s="207">
        <f>IF($F132=0,0,Facture!$R131*12*IF(Données!$J171="qc",1.09,IF(Données!$J171="on",1.08,1))/$F132)</f>
        <v>0</v>
      </c>
      <c r="W132" s="207">
        <f>IF($F132=0,0,Facture!$T131*12*IF(Données!$J171="qc",1.09,IF(Données!$J171="on",1.08,1))/$F132)</f>
        <v>0</v>
      </c>
      <c r="X132" s="207">
        <f>IF($F132=0,0,(Facture!$AB131+Facture!$AD131+Facture!$AF131)*12*IF(Données!$J171="qc",1.09,IF(Données!$J171="on",1.08,1))/$F132)</f>
        <v>0</v>
      </c>
      <c r="Y132" s="207">
        <f>IF($F132=0,0,(Facture!$H131+Facture!$J131+Facture!$L131+Facture!$P131+Facture!$V131)*12*IF(Données!$J171="qc",1.09,IF(Données!$J171="on",1.08,1))/$F132)</f>
        <v>0</v>
      </c>
    </row>
    <row r="133" spans="1:25">
      <c r="A133" s="208">
        <f t="shared" si="28"/>
        <v>118</v>
      </c>
      <c r="B133" s="198" t="str">
        <f>CONCATENATE(Données!B172," ",Données!C172)</f>
        <v xml:space="preserve"> </v>
      </c>
      <c r="C133" s="199">
        <f>Données!D172</f>
        <v>0</v>
      </c>
      <c r="D133" s="200" t="str">
        <f>Données!AD172</f>
        <v/>
      </c>
      <c r="E133" s="349">
        <f t="shared" si="29"/>
        <v>0</v>
      </c>
      <c r="F133" s="201">
        <f t="shared" si="18"/>
        <v>0</v>
      </c>
      <c r="G133" s="202">
        <f>IF($F133=0,0,Facture!AI132*12/F133)</f>
        <v>0</v>
      </c>
      <c r="H133" s="203" t="e">
        <f t="shared" ca="1" si="30"/>
        <v>#N/A</v>
      </c>
      <c r="I133" s="203" t="e">
        <f ca="1">IF(F133=" ",0,Facture!J132*12/F133*1.09)</f>
        <v>#DIV/0!</v>
      </c>
      <c r="J133" s="204">
        <f t="shared" si="27"/>
        <v>0</v>
      </c>
      <c r="K133" s="345">
        <f t="shared" si="33"/>
        <v>0</v>
      </c>
      <c r="L133" s="205">
        <f t="shared" si="31"/>
        <v>0</v>
      </c>
      <c r="M133" s="205">
        <f t="shared" si="21"/>
        <v>0</v>
      </c>
      <c r="N133" s="353">
        <f t="shared" si="32"/>
        <v>0</v>
      </c>
      <c r="O133" s="356">
        <f t="shared" si="34"/>
        <v>0</v>
      </c>
      <c r="P133" s="357">
        <f t="shared" si="35"/>
        <v>0</v>
      </c>
      <c r="Q133" s="354">
        <f>IF($F133=0,0,(Facture!$R132+Facture!$T132)*12*IF(Données!$J172="qc",1.09,IF(Données!$J172="on",1.08,1))/$F133)</f>
        <v>0</v>
      </c>
      <c r="R133" s="206"/>
      <c r="S133" s="207">
        <f>MIN(IF($F133=0,0,(Facture!$W132)*12*(1+VLOOKUP($D133,taux,28))/$F133),$J133)</f>
        <v>0</v>
      </c>
      <c r="T133" s="207">
        <f t="shared" si="23"/>
        <v>0</v>
      </c>
      <c r="U133" s="206"/>
      <c r="V133" s="207">
        <f>IF($F133=0,0,Facture!$R132*12*IF(Données!$J172="qc",1.09,IF(Données!$J172="on",1.08,1))/$F133)</f>
        <v>0</v>
      </c>
      <c r="W133" s="207">
        <f>IF($F133=0,0,Facture!$T132*12*IF(Données!$J172="qc",1.09,IF(Données!$J172="on",1.08,1))/$F133)</f>
        <v>0</v>
      </c>
      <c r="X133" s="207">
        <f>IF($F133=0,0,(Facture!$AB132+Facture!$AD132+Facture!$AF132)*12*IF(Données!$J172="qc",1.09,IF(Données!$J172="on",1.08,1))/$F133)</f>
        <v>0</v>
      </c>
      <c r="Y133" s="207">
        <f>IF($F133=0,0,(Facture!$H132+Facture!$J132+Facture!$L132+Facture!$P132+Facture!$V132)*12*IF(Données!$J172="qc",1.09,IF(Données!$J172="on",1.08,1))/$F133)</f>
        <v>0</v>
      </c>
    </row>
    <row r="134" spans="1:25">
      <c r="A134" s="208">
        <f t="shared" si="28"/>
        <v>119</v>
      </c>
      <c r="B134" s="198" t="str">
        <f>CONCATENATE(Données!B173," ",Données!C173)</f>
        <v xml:space="preserve"> </v>
      </c>
      <c r="C134" s="199">
        <f>Données!D173</f>
        <v>0</v>
      </c>
      <c r="D134" s="200" t="str">
        <f>Données!AD173</f>
        <v/>
      </c>
      <c r="E134" s="349">
        <f t="shared" si="29"/>
        <v>0</v>
      </c>
      <c r="F134" s="201">
        <f t="shared" si="18"/>
        <v>0</v>
      </c>
      <c r="G134" s="202">
        <f>IF($F134=0,0,Facture!AI133*12/F134)</f>
        <v>0</v>
      </c>
      <c r="H134" s="203" t="e">
        <f t="shared" ca="1" si="30"/>
        <v>#N/A</v>
      </c>
      <c r="I134" s="203" t="e">
        <f ca="1">IF(F134=" ",0,Facture!J133*12/F134*1.09)</f>
        <v>#DIV/0!</v>
      </c>
      <c r="J134" s="204">
        <f t="shared" si="27"/>
        <v>0</v>
      </c>
      <c r="K134" s="345">
        <f t="shared" si="33"/>
        <v>0</v>
      </c>
      <c r="L134" s="205">
        <f t="shared" si="31"/>
        <v>0</v>
      </c>
      <c r="M134" s="205">
        <f t="shared" si="21"/>
        <v>0</v>
      </c>
      <c r="N134" s="353">
        <f t="shared" si="32"/>
        <v>0</v>
      </c>
      <c r="O134" s="356">
        <f t="shared" si="34"/>
        <v>0</v>
      </c>
      <c r="P134" s="357">
        <f t="shared" si="35"/>
        <v>0</v>
      </c>
      <c r="Q134" s="354">
        <f>IF($F134=0,0,(Facture!$R133+Facture!$T133)*12*IF(Données!$J173="qc",1.09,IF(Données!$J173="on",1.08,1))/$F134)</f>
        <v>0</v>
      </c>
      <c r="R134" s="206"/>
      <c r="S134" s="207">
        <f>MIN(IF($F134=0,0,(Facture!$W133)*12*(1+VLOOKUP($D134,taux,28))/$F134),$J134)</f>
        <v>0</v>
      </c>
      <c r="T134" s="207">
        <f t="shared" si="23"/>
        <v>0</v>
      </c>
      <c r="U134" s="206"/>
      <c r="V134" s="207">
        <f>IF($F134=0,0,Facture!$R133*12*IF(Données!$J173="qc",1.09,IF(Données!$J173="on",1.08,1))/$F134)</f>
        <v>0</v>
      </c>
      <c r="W134" s="207">
        <f>IF($F134=0,0,Facture!$T133*12*IF(Données!$J173="qc",1.09,IF(Données!$J173="on",1.08,1))/$F134)</f>
        <v>0</v>
      </c>
      <c r="X134" s="207">
        <f>IF($F134=0,0,(Facture!$AB133+Facture!$AD133+Facture!$AF133)*12*IF(Données!$J173="qc",1.09,IF(Données!$J173="on",1.08,1))/$F134)</f>
        <v>0</v>
      </c>
      <c r="Y134" s="207">
        <f>IF($F134=0,0,(Facture!$H133+Facture!$J133+Facture!$L133+Facture!$P133+Facture!$V133)*12*IF(Données!$J173="qc",1.09,IF(Données!$J173="on",1.08,1))/$F134)</f>
        <v>0</v>
      </c>
    </row>
    <row r="135" spans="1:25">
      <c r="A135" s="208">
        <f t="shared" si="28"/>
        <v>120</v>
      </c>
      <c r="B135" s="198" t="str">
        <f>CONCATENATE(Données!B174," ",Données!C174)</f>
        <v xml:space="preserve"> </v>
      </c>
      <c r="C135" s="199">
        <f>Données!D174</f>
        <v>0</v>
      </c>
      <c r="D135" s="200" t="str">
        <f>Données!AD174</f>
        <v/>
      </c>
      <c r="E135" s="349">
        <f t="shared" si="29"/>
        <v>0</v>
      </c>
      <c r="F135" s="201">
        <f t="shared" si="18"/>
        <v>0</v>
      </c>
      <c r="G135" s="202">
        <f>IF($F135=0,0,Facture!AI134*12/F135)</f>
        <v>0</v>
      </c>
      <c r="H135" s="203" t="e">
        <f t="shared" ca="1" si="30"/>
        <v>#N/A</v>
      </c>
      <c r="I135" s="203" t="e">
        <f ca="1">IF(F135=" ",0,Facture!J134*12/F135*1.09)</f>
        <v>#DIV/0!</v>
      </c>
      <c r="J135" s="204">
        <f t="shared" si="27"/>
        <v>0</v>
      </c>
      <c r="K135" s="345">
        <f t="shared" si="33"/>
        <v>0</v>
      </c>
      <c r="L135" s="205">
        <f t="shared" si="31"/>
        <v>0</v>
      </c>
      <c r="M135" s="205">
        <f t="shared" si="21"/>
        <v>0</v>
      </c>
      <c r="N135" s="353">
        <f t="shared" si="32"/>
        <v>0</v>
      </c>
      <c r="O135" s="356">
        <f t="shared" si="34"/>
        <v>0</v>
      </c>
      <c r="P135" s="357">
        <f t="shared" si="35"/>
        <v>0</v>
      </c>
      <c r="Q135" s="354">
        <f>IF($F135=0,0,(Facture!$R134+Facture!$T134)*12*IF(Données!$J174="qc",1.09,IF(Données!$J174="on",1.08,1))/$F135)</f>
        <v>0</v>
      </c>
      <c r="R135" s="206"/>
      <c r="S135" s="207">
        <f>MIN(IF($F135=0,0,(Facture!$W134)*12*(1+VLOOKUP($D135,taux,28))/$F135),$J135)</f>
        <v>0</v>
      </c>
      <c r="T135" s="207">
        <f t="shared" si="23"/>
        <v>0</v>
      </c>
      <c r="U135" s="206"/>
      <c r="V135" s="207">
        <f>IF($F135=0,0,Facture!$R134*12*IF(Données!$J174="qc",1.09,IF(Données!$J174="on",1.08,1))/$F135)</f>
        <v>0</v>
      </c>
      <c r="W135" s="207">
        <f>IF($F135=0,0,Facture!$T134*12*IF(Données!$J174="qc",1.09,IF(Données!$J174="on",1.08,1))/$F135)</f>
        <v>0</v>
      </c>
      <c r="X135" s="207">
        <f>IF($F135=0,0,(Facture!$AB134+Facture!$AD134+Facture!$AF134)*12*IF(Données!$J174="qc",1.09,IF(Données!$J174="on",1.08,1))/$F135)</f>
        <v>0</v>
      </c>
      <c r="Y135" s="207">
        <f>IF($F135=0,0,(Facture!$H134+Facture!$J134+Facture!$L134+Facture!$P134+Facture!$V134)*12*IF(Données!$J174="qc",1.09,IF(Données!$J174="on",1.08,1))/$F135)</f>
        <v>0</v>
      </c>
    </row>
    <row r="136" spans="1:25">
      <c r="A136" s="208">
        <f t="shared" si="28"/>
        <v>121</v>
      </c>
      <c r="B136" s="198" t="str">
        <f>CONCATENATE(Données!B175," ",Données!C175)</f>
        <v xml:space="preserve"> </v>
      </c>
      <c r="C136" s="199">
        <f>Données!D175</f>
        <v>0</v>
      </c>
      <c r="D136" s="200" t="str">
        <f>Données!AD175</f>
        <v/>
      </c>
      <c r="E136" s="349">
        <f t="shared" si="29"/>
        <v>0</v>
      </c>
      <c r="F136" s="201">
        <f t="shared" si="18"/>
        <v>0</v>
      </c>
      <c r="G136" s="202">
        <f>IF($F136=0,0,Facture!AI135*12/F136)</f>
        <v>0</v>
      </c>
      <c r="H136" s="203" t="e">
        <f t="shared" ca="1" si="30"/>
        <v>#N/A</v>
      </c>
      <c r="I136" s="203" t="e">
        <f ca="1">IF(F136=" ",0,Facture!J135*12/F136*1.09)</f>
        <v>#DIV/0!</v>
      </c>
      <c r="J136" s="204">
        <f t="shared" si="27"/>
        <v>0</v>
      </c>
      <c r="K136" s="345">
        <f t="shared" si="33"/>
        <v>0</v>
      </c>
      <c r="L136" s="205">
        <f t="shared" si="31"/>
        <v>0</v>
      </c>
      <c r="M136" s="205">
        <f t="shared" si="21"/>
        <v>0</v>
      </c>
      <c r="N136" s="353">
        <f t="shared" si="32"/>
        <v>0</v>
      </c>
      <c r="O136" s="356">
        <f t="shared" si="34"/>
        <v>0</v>
      </c>
      <c r="P136" s="357">
        <f t="shared" si="35"/>
        <v>0</v>
      </c>
      <c r="Q136" s="354">
        <f>IF($F136=0,0,(Facture!$R135+Facture!$T135)*12*IF(Données!$J175="qc",1.09,IF(Données!$J175="on",1.08,1))/$F136)</f>
        <v>0</v>
      </c>
      <c r="R136" s="206"/>
      <c r="S136" s="207">
        <f>MIN(IF($F136=0,0,(Facture!$W135)*12*(1+VLOOKUP($D136,taux,28))/$F136),$J136)</f>
        <v>0</v>
      </c>
      <c r="T136" s="207">
        <f t="shared" si="23"/>
        <v>0</v>
      </c>
      <c r="U136" s="206"/>
      <c r="V136" s="207">
        <f>IF($F136=0,0,Facture!$R135*12*IF(Données!$J175="qc",1.09,IF(Données!$J175="on",1.08,1))/$F136)</f>
        <v>0</v>
      </c>
      <c r="W136" s="207">
        <f>IF($F136=0,0,Facture!$T135*12*IF(Données!$J175="qc",1.09,IF(Données!$J175="on",1.08,1))/$F136)</f>
        <v>0</v>
      </c>
      <c r="X136" s="207">
        <f>IF($F136=0,0,(Facture!$AB135+Facture!$AD135+Facture!$AF135)*12*IF(Données!$J175="qc",1.09,IF(Données!$J175="on",1.08,1))/$F136)</f>
        <v>0</v>
      </c>
      <c r="Y136" s="207">
        <f>IF($F136=0,0,(Facture!$H135+Facture!$J135+Facture!$L135+Facture!$P135+Facture!$V135)*12*IF(Données!$J175="qc",1.09,IF(Données!$J175="on",1.08,1))/$F136)</f>
        <v>0</v>
      </c>
    </row>
    <row r="137" spans="1:25">
      <c r="A137" s="208">
        <f t="shared" si="28"/>
        <v>122</v>
      </c>
      <c r="B137" s="198" t="str">
        <f>CONCATENATE(Données!B176," ",Données!C176)</f>
        <v xml:space="preserve"> </v>
      </c>
      <c r="C137" s="199">
        <f>Données!D176</f>
        <v>0</v>
      </c>
      <c r="D137" s="200" t="str">
        <f>Données!AD176</f>
        <v/>
      </c>
      <c r="E137" s="349">
        <f t="shared" si="29"/>
        <v>0</v>
      </c>
      <c r="F137" s="201">
        <f t="shared" si="18"/>
        <v>0</v>
      </c>
      <c r="G137" s="202">
        <f>IF($F137=0,0,Facture!AI136*12/F137)</f>
        <v>0</v>
      </c>
      <c r="H137" s="203" t="e">
        <f t="shared" ca="1" si="30"/>
        <v>#N/A</v>
      </c>
      <c r="I137" s="203" t="e">
        <f ca="1">IF(F137=" ",0,Facture!J136*12/F137*1.09)</f>
        <v>#DIV/0!</v>
      </c>
      <c r="J137" s="204">
        <f t="shared" si="27"/>
        <v>0</v>
      </c>
      <c r="K137" s="345">
        <f t="shared" si="33"/>
        <v>0</v>
      </c>
      <c r="L137" s="205">
        <f t="shared" si="31"/>
        <v>0</v>
      </c>
      <c r="M137" s="205">
        <f t="shared" si="21"/>
        <v>0</v>
      </c>
      <c r="N137" s="353">
        <f t="shared" si="32"/>
        <v>0</v>
      </c>
      <c r="O137" s="356">
        <f t="shared" si="34"/>
        <v>0</v>
      </c>
      <c r="P137" s="357">
        <f t="shared" si="35"/>
        <v>0</v>
      </c>
      <c r="Q137" s="354">
        <f>IF($F137=0,0,(Facture!$R136+Facture!$T136)*12*IF(Données!$J176="qc",1.09,IF(Données!$J176="on",1.08,1))/$F137)</f>
        <v>0</v>
      </c>
      <c r="R137" s="206"/>
      <c r="S137" s="207">
        <f>MIN(IF($F137=0,0,(Facture!$W136)*12*(1+VLOOKUP($D137,taux,28))/$F137),$J137)</f>
        <v>0</v>
      </c>
      <c r="T137" s="207">
        <f t="shared" si="23"/>
        <v>0</v>
      </c>
      <c r="U137" s="206"/>
      <c r="V137" s="207">
        <f>IF($F137=0,0,Facture!$R136*12*IF(Données!$J176="qc",1.09,IF(Données!$J176="on",1.08,1))/$F137)</f>
        <v>0</v>
      </c>
      <c r="W137" s="207">
        <f>IF($F137=0,0,Facture!$T136*12*IF(Données!$J176="qc",1.09,IF(Données!$J176="on",1.08,1))/$F137)</f>
        <v>0</v>
      </c>
      <c r="X137" s="207">
        <f>IF($F137=0,0,(Facture!$AB136+Facture!$AD136+Facture!$AF136)*12*IF(Données!$J176="qc",1.09,IF(Données!$J176="on",1.08,1))/$F137)</f>
        <v>0</v>
      </c>
      <c r="Y137" s="207">
        <f>IF($F137=0,0,(Facture!$H136+Facture!$J136+Facture!$L136+Facture!$P136+Facture!$V136)*12*IF(Données!$J176="qc",1.09,IF(Données!$J176="on",1.08,1))/$F137)</f>
        <v>0</v>
      </c>
    </row>
    <row r="138" spans="1:25">
      <c r="A138" s="208">
        <f t="shared" si="28"/>
        <v>123</v>
      </c>
      <c r="B138" s="198" t="str">
        <f>CONCATENATE(Données!B177," ",Données!C177)</f>
        <v xml:space="preserve"> </v>
      </c>
      <c r="C138" s="199">
        <f>Données!D177</f>
        <v>0</v>
      </c>
      <c r="D138" s="200" t="str">
        <f>Données!AD177</f>
        <v/>
      </c>
      <c r="E138" s="349">
        <f t="shared" si="29"/>
        <v>0</v>
      </c>
      <c r="F138" s="201">
        <f t="shared" si="18"/>
        <v>0</v>
      </c>
      <c r="G138" s="202">
        <f>IF($F138=0,0,Facture!AI137*12/F138)</f>
        <v>0</v>
      </c>
      <c r="H138" s="203" t="e">
        <f t="shared" ca="1" si="30"/>
        <v>#N/A</v>
      </c>
      <c r="I138" s="203" t="e">
        <f ca="1">IF(F138=" ",0,Facture!J137*12/F138*1.09)</f>
        <v>#DIV/0!</v>
      </c>
      <c r="J138" s="204">
        <f t="shared" si="27"/>
        <v>0</v>
      </c>
      <c r="K138" s="345">
        <f t="shared" si="33"/>
        <v>0</v>
      </c>
      <c r="L138" s="205">
        <f t="shared" si="31"/>
        <v>0</v>
      </c>
      <c r="M138" s="205">
        <f t="shared" si="21"/>
        <v>0</v>
      </c>
      <c r="N138" s="353">
        <f t="shared" si="32"/>
        <v>0</v>
      </c>
      <c r="O138" s="356">
        <f t="shared" si="34"/>
        <v>0</v>
      </c>
      <c r="P138" s="357">
        <f t="shared" si="35"/>
        <v>0</v>
      </c>
      <c r="Q138" s="354">
        <f>IF($F138=0,0,(Facture!$R137+Facture!$T137)*12*IF(Données!$J177="qc",1.09,IF(Données!$J177="on",1.08,1))/$F138)</f>
        <v>0</v>
      </c>
      <c r="R138" s="206"/>
      <c r="S138" s="207">
        <f>MIN(IF($F138=0,0,(Facture!$W137)*12*(1+VLOOKUP($D138,taux,28))/$F138),$J138)</f>
        <v>0</v>
      </c>
      <c r="T138" s="207">
        <f t="shared" si="23"/>
        <v>0</v>
      </c>
      <c r="U138" s="206"/>
      <c r="V138" s="207">
        <f>IF($F138=0,0,Facture!$R137*12*IF(Données!$J177="qc",1.09,IF(Données!$J177="on",1.08,1))/$F138)</f>
        <v>0</v>
      </c>
      <c r="W138" s="207">
        <f>IF($F138=0,0,Facture!$T137*12*IF(Données!$J177="qc",1.09,IF(Données!$J177="on",1.08,1))/$F138)</f>
        <v>0</v>
      </c>
      <c r="X138" s="207">
        <f>IF($F138=0,0,(Facture!$AB137+Facture!$AD137+Facture!$AF137)*12*IF(Données!$J177="qc",1.09,IF(Données!$J177="on",1.08,1))/$F138)</f>
        <v>0</v>
      </c>
      <c r="Y138" s="207">
        <f>IF($F138=0,0,(Facture!$H137+Facture!$J137+Facture!$L137+Facture!$P137+Facture!$V137)*12*IF(Données!$J177="qc",1.09,IF(Données!$J177="on",1.08,1))/$F138)</f>
        <v>0</v>
      </c>
    </row>
    <row r="139" spans="1:25">
      <c r="A139" s="208">
        <f t="shared" si="28"/>
        <v>124</v>
      </c>
      <c r="B139" s="198" t="str">
        <f>CONCATENATE(Données!B178," ",Données!C178)</f>
        <v xml:space="preserve"> </v>
      </c>
      <c r="C139" s="199">
        <f>Données!D178</f>
        <v>0</v>
      </c>
      <c r="D139" s="200" t="str">
        <f>Données!AD178</f>
        <v/>
      </c>
      <c r="E139" s="349">
        <f t="shared" si="29"/>
        <v>0</v>
      </c>
      <c r="F139" s="201">
        <f t="shared" si="18"/>
        <v>0</v>
      </c>
      <c r="G139" s="202">
        <f>IF($F139=0,0,Facture!AI138*12/F139)</f>
        <v>0</v>
      </c>
      <c r="H139" s="203" t="e">
        <f t="shared" ca="1" si="30"/>
        <v>#N/A</v>
      </c>
      <c r="I139" s="203" t="e">
        <f ca="1">IF(F139=" ",0,Facture!J138*12/F139*1.09)</f>
        <v>#DIV/0!</v>
      </c>
      <c r="J139" s="204">
        <f t="shared" si="27"/>
        <v>0</v>
      </c>
      <c r="K139" s="345">
        <f t="shared" si="33"/>
        <v>0</v>
      </c>
      <c r="L139" s="205">
        <f t="shared" si="31"/>
        <v>0</v>
      </c>
      <c r="M139" s="205">
        <f t="shared" si="21"/>
        <v>0</v>
      </c>
      <c r="N139" s="353">
        <f t="shared" si="32"/>
        <v>0</v>
      </c>
      <c r="O139" s="356">
        <f t="shared" si="34"/>
        <v>0</v>
      </c>
      <c r="P139" s="357">
        <f t="shared" si="35"/>
        <v>0</v>
      </c>
      <c r="Q139" s="354">
        <f>IF($F139=0,0,(Facture!$R138+Facture!$T138)*12*IF(Données!$J178="qc",1.09,IF(Données!$J178="on",1.08,1))/$F139)</f>
        <v>0</v>
      </c>
      <c r="R139" s="206"/>
      <c r="S139" s="207">
        <f>MIN(IF($F139=0,0,(Facture!$W138)*12*(1+VLOOKUP($D139,taux,28))/$F139),$J139)</f>
        <v>0</v>
      </c>
      <c r="T139" s="207">
        <f t="shared" si="23"/>
        <v>0</v>
      </c>
      <c r="U139" s="206"/>
      <c r="V139" s="207">
        <f>IF($F139=0,0,Facture!$R138*12*IF(Données!$J178="qc",1.09,IF(Données!$J178="on",1.08,1))/$F139)</f>
        <v>0</v>
      </c>
      <c r="W139" s="207">
        <f>IF($F139=0,0,Facture!$T138*12*IF(Données!$J178="qc",1.09,IF(Données!$J178="on",1.08,1))/$F139)</f>
        <v>0</v>
      </c>
      <c r="X139" s="207">
        <f>IF($F139=0,0,(Facture!$AB138+Facture!$AD138+Facture!$AF138)*12*IF(Données!$J178="qc",1.09,IF(Données!$J178="on",1.08,1))/$F139)</f>
        <v>0</v>
      </c>
      <c r="Y139" s="207">
        <f>IF($F139=0,0,(Facture!$H138+Facture!$J138+Facture!$L138+Facture!$P138+Facture!$V138)*12*IF(Données!$J178="qc",1.09,IF(Données!$J178="on",1.08,1))/$F139)</f>
        <v>0</v>
      </c>
    </row>
    <row r="140" spans="1:25">
      <c r="A140" s="208">
        <f t="shared" si="28"/>
        <v>125</v>
      </c>
      <c r="B140" s="198" t="str">
        <f>CONCATENATE(Données!B179," ",Données!C179)</f>
        <v xml:space="preserve"> </v>
      </c>
      <c r="C140" s="199">
        <f>Données!D179</f>
        <v>0</v>
      </c>
      <c r="D140" s="200" t="str">
        <f>Données!AD179</f>
        <v/>
      </c>
      <c r="E140" s="349">
        <f t="shared" si="29"/>
        <v>0</v>
      </c>
      <c r="F140" s="201">
        <f t="shared" si="18"/>
        <v>0</v>
      </c>
      <c r="G140" s="202">
        <f>IF($F140=0,0,Facture!AI139*12/F140)</f>
        <v>0</v>
      </c>
      <c r="H140" s="203" t="e">
        <f t="shared" ca="1" si="30"/>
        <v>#N/A</v>
      </c>
      <c r="I140" s="203" t="e">
        <f ca="1">IF(F140=" ",0,Facture!J139*12/F140*1.09)</f>
        <v>#DIV/0!</v>
      </c>
      <c r="J140" s="204">
        <f t="shared" si="27"/>
        <v>0</v>
      </c>
      <c r="K140" s="345">
        <f t="shared" si="33"/>
        <v>0</v>
      </c>
      <c r="L140" s="205">
        <f t="shared" si="31"/>
        <v>0</v>
      </c>
      <c r="M140" s="205">
        <f t="shared" si="21"/>
        <v>0</v>
      </c>
      <c r="N140" s="353">
        <f t="shared" si="32"/>
        <v>0</v>
      </c>
      <c r="O140" s="356">
        <f t="shared" si="34"/>
        <v>0</v>
      </c>
      <c r="P140" s="357">
        <f t="shared" si="35"/>
        <v>0</v>
      </c>
      <c r="Q140" s="354">
        <f>IF($F140=0,0,(Facture!$R139+Facture!$T139)*12*IF(Données!$J179="qc",1.09,IF(Données!$J179="on",1.08,1))/$F140)</f>
        <v>0</v>
      </c>
      <c r="R140" s="206"/>
      <c r="S140" s="207">
        <f>MIN(IF($F140=0,0,(Facture!$W139)*12*(1+VLOOKUP($D140,taux,28))/$F140),$J140)</f>
        <v>0</v>
      </c>
      <c r="T140" s="207">
        <f t="shared" si="23"/>
        <v>0</v>
      </c>
      <c r="U140" s="206"/>
      <c r="V140" s="207">
        <f>IF($F140=0,0,Facture!$R139*12*IF(Données!$J179="qc",1.09,IF(Données!$J179="on",1.08,1))/$F140)</f>
        <v>0</v>
      </c>
      <c r="W140" s="207">
        <f>IF($F140=0,0,Facture!$T139*12*IF(Données!$J179="qc",1.09,IF(Données!$J179="on",1.08,1))/$F140)</f>
        <v>0</v>
      </c>
      <c r="X140" s="207">
        <f>IF($F140=0,0,(Facture!$AB139+Facture!$AD139+Facture!$AF139)*12*IF(Données!$J179="qc",1.09,IF(Données!$J179="on",1.08,1))/$F140)</f>
        <v>0</v>
      </c>
      <c r="Y140" s="207">
        <f>IF($F140=0,0,(Facture!$H139+Facture!$J139+Facture!$L139+Facture!$P139+Facture!$V139)*12*IF(Données!$J179="qc",1.09,IF(Données!$J179="on",1.08,1))/$F140)</f>
        <v>0</v>
      </c>
    </row>
    <row r="141" spans="1:25">
      <c r="A141" s="208">
        <f t="shared" si="28"/>
        <v>126</v>
      </c>
      <c r="B141" s="198" t="str">
        <f>CONCATENATE(Données!B180," ",Données!C180)</f>
        <v xml:space="preserve"> </v>
      </c>
      <c r="C141" s="199">
        <f>Données!D180</f>
        <v>0</v>
      </c>
      <c r="D141" s="200" t="str">
        <f>Données!AD180</f>
        <v/>
      </c>
      <c r="E141" s="349">
        <f t="shared" si="29"/>
        <v>0</v>
      </c>
      <c r="F141" s="201">
        <f t="shared" si="18"/>
        <v>0</v>
      </c>
      <c r="G141" s="202">
        <f>IF($F141=0,0,Facture!AI140*12/F141)</f>
        <v>0</v>
      </c>
      <c r="H141" s="203" t="e">
        <f t="shared" ca="1" si="30"/>
        <v>#N/A</v>
      </c>
      <c r="I141" s="203" t="e">
        <f ca="1">IF(F141=" ",0,Facture!J140*12/F141*1.09)</f>
        <v>#DIV/0!</v>
      </c>
      <c r="J141" s="204">
        <f t="shared" si="27"/>
        <v>0</v>
      </c>
      <c r="K141" s="345">
        <f t="shared" si="33"/>
        <v>0</v>
      </c>
      <c r="L141" s="205">
        <f t="shared" si="31"/>
        <v>0</v>
      </c>
      <c r="M141" s="205">
        <f t="shared" si="21"/>
        <v>0</v>
      </c>
      <c r="N141" s="353">
        <f t="shared" si="32"/>
        <v>0</v>
      </c>
      <c r="O141" s="356">
        <f t="shared" si="34"/>
        <v>0</v>
      </c>
      <c r="P141" s="357">
        <f t="shared" si="35"/>
        <v>0</v>
      </c>
      <c r="Q141" s="354">
        <f>IF($F141=0,0,(Facture!$R140+Facture!$T140)*12*IF(Données!$J180="qc",1.09,IF(Données!$J180="on",1.08,1))/$F141)</f>
        <v>0</v>
      </c>
      <c r="R141" s="206"/>
      <c r="S141" s="207">
        <f>MIN(IF($F141=0,0,(Facture!$W140)*12*(1+VLOOKUP($D141,taux,28))/$F141),$J141)</f>
        <v>0</v>
      </c>
      <c r="T141" s="207">
        <f t="shared" si="23"/>
        <v>0</v>
      </c>
      <c r="U141" s="206"/>
      <c r="V141" s="207">
        <f>IF($F141=0,0,Facture!$R140*12*IF(Données!$J180="qc",1.09,IF(Données!$J180="on",1.08,1))/$F141)</f>
        <v>0</v>
      </c>
      <c r="W141" s="207">
        <f>IF($F141=0,0,Facture!$T140*12*IF(Données!$J180="qc",1.09,IF(Données!$J180="on",1.08,1))/$F141)</f>
        <v>0</v>
      </c>
      <c r="X141" s="207">
        <f>IF($F141=0,0,(Facture!$AB140+Facture!$AD140+Facture!$AF140)*12*IF(Données!$J180="qc",1.09,IF(Données!$J180="on",1.08,1))/$F141)</f>
        <v>0</v>
      </c>
      <c r="Y141" s="207">
        <f>IF($F141=0,0,(Facture!$H140+Facture!$J140+Facture!$L140+Facture!$P140+Facture!$V140)*12*IF(Données!$J180="qc",1.09,IF(Données!$J180="on",1.08,1))/$F141)</f>
        <v>0</v>
      </c>
    </row>
    <row r="142" spans="1:25">
      <c r="A142" s="208">
        <f t="shared" si="28"/>
        <v>127</v>
      </c>
      <c r="B142" s="198" t="str">
        <f>CONCATENATE(Données!B181," ",Données!C181)</f>
        <v xml:space="preserve"> </v>
      </c>
      <c r="C142" s="199">
        <f>Données!D181</f>
        <v>0</v>
      </c>
      <c r="D142" s="200" t="str">
        <f>Données!AD181</f>
        <v/>
      </c>
      <c r="E142" s="349">
        <f t="shared" si="29"/>
        <v>0</v>
      </c>
      <c r="F142" s="201">
        <f t="shared" si="18"/>
        <v>0</v>
      </c>
      <c r="G142" s="202">
        <f>IF($F142=0,0,Facture!AI141*12/F142)</f>
        <v>0</v>
      </c>
      <c r="H142" s="203" t="e">
        <f t="shared" ca="1" si="30"/>
        <v>#N/A</v>
      </c>
      <c r="I142" s="203" t="e">
        <f ca="1">IF(F142=" ",0,Facture!J141*12/F142*1.09)</f>
        <v>#DIV/0!</v>
      </c>
      <c r="J142" s="204">
        <f t="shared" si="27"/>
        <v>0</v>
      </c>
      <c r="K142" s="345">
        <f t="shared" si="33"/>
        <v>0</v>
      </c>
      <c r="L142" s="205">
        <f t="shared" si="31"/>
        <v>0</v>
      </c>
      <c r="M142" s="205">
        <f t="shared" si="21"/>
        <v>0</v>
      </c>
      <c r="N142" s="353">
        <f t="shared" si="32"/>
        <v>0</v>
      </c>
      <c r="O142" s="356">
        <f t="shared" si="34"/>
        <v>0</v>
      </c>
      <c r="P142" s="357">
        <f t="shared" si="35"/>
        <v>0</v>
      </c>
      <c r="Q142" s="354">
        <f>IF($F142=0,0,(Facture!$R141+Facture!$T141)*12*IF(Données!$J181="qc",1.09,IF(Données!$J181="on",1.08,1))/$F142)</f>
        <v>0</v>
      </c>
      <c r="R142" s="206"/>
      <c r="S142" s="207">
        <f>MIN(IF($F142=0,0,(Facture!$W141)*12*(1+VLOOKUP($D142,taux,28))/$F142),$J142)</f>
        <v>0</v>
      </c>
      <c r="T142" s="207">
        <f t="shared" si="23"/>
        <v>0</v>
      </c>
      <c r="U142" s="206"/>
      <c r="V142" s="207">
        <f>IF($F142=0,0,Facture!$R141*12*IF(Données!$J181="qc",1.09,IF(Données!$J181="on",1.08,1))/$F142)</f>
        <v>0</v>
      </c>
      <c r="W142" s="207">
        <f>IF($F142=0,0,Facture!$T141*12*IF(Données!$J181="qc",1.09,IF(Données!$J181="on",1.08,1))/$F142)</f>
        <v>0</v>
      </c>
      <c r="X142" s="207">
        <f>IF($F142=0,0,(Facture!$AB141+Facture!$AD141+Facture!$AF141)*12*IF(Données!$J181="qc",1.09,IF(Données!$J181="on",1.08,1))/$F142)</f>
        <v>0</v>
      </c>
      <c r="Y142" s="207">
        <f>IF($F142=0,0,(Facture!$H141+Facture!$J141+Facture!$L141+Facture!$P141+Facture!$V141)*12*IF(Données!$J181="qc",1.09,IF(Données!$J181="on",1.08,1))/$F142)</f>
        <v>0</v>
      </c>
    </row>
    <row r="143" spans="1:25">
      <c r="A143" s="208">
        <f t="shared" si="28"/>
        <v>128</v>
      </c>
      <c r="B143" s="198" t="str">
        <f>CONCATENATE(Données!B182," ",Données!C182)</f>
        <v xml:space="preserve"> </v>
      </c>
      <c r="C143" s="199">
        <f>Données!D182</f>
        <v>0</v>
      </c>
      <c r="D143" s="200" t="str">
        <f>Données!AD182</f>
        <v/>
      </c>
      <c r="E143" s="349">
        <f t="shared" si="29"/>
        <v>0</v>
      </c>
      <c r="F143" s="201">
        <f t="shared" si="18"/>
        <v>0</v>
      </c>
      <c r="G143" s="202">
        <f>IF($F143=0,0,Facture!AI142*12/F143)</f>
        <v>0</v>
      </c>
      <c r="H143" s="203" t="e">
        <f t="shared" ca="1" si="30"/>
        <v>#N/A</v>
      </c>
      <c r="I143" s="203" t="e">
        <f ca="1">IF(F143=" ",0,Facture!J142*12/F143*1.09)</f>
        <v>#DIV/0!</v>
      </c>
      <c r="J143" s="204">
        <f t="shared" si="27"/>
        <v>0</v>
      </c>
      <c r="K143" s="345">
        <f t="shared" si="33"/>
        <v>0</v>
      </c>
      <c r="L143" s="205">
        <f t="shared" si="31"/>
        <v>0</v>
      </c>
      <c r="M143" s="205">
        <f t="shared" si="21"/>
        <v>0</v>
      </c>
      <c r="N143" s="353">
        <f t="shared" si="32"/>
        <v>0</v>
      </c>
      <c r="O143" s="356">
        <f t="shared" si="34"/>
        <v>0</v>
      </c>
      <c r="P143" s="357">
        <f t="shared" si="35"/>
        <v>0</v>
      </c>
      <c r="Q143" s="354">
        <f>IF($F143=0,0,(Facture!$R142+Facture!$T142)*12*IF(Données!$J182="qc",1.09,IF(Données!$J182="on",1.08,1))/$F143)</f>
        <v>0</v>
      </c>
      <c r="R143" s="206"/>
      <c r="S143" s="207">
        <f>MIN(IF($F143=0,0,(Facture!$W142)*12*(1+VLOOKUP($D143,taux,28))/$F143),$J143)</f>
        <v>0</v>
      </c>
      <c r="T143" s="207">
        <f t="shared" si="23"/>
        <v>0</v>
      </c>
      <c r="U143" s="206"/>
      <c r="V143" s="207">
        <f>IF($F143=0,0,Facture!$R142*12*IF(Données!$J182="qc",1.09,IF(Données!$J182="on",1.08,1))/$F143)</f>
        <v>0</v>
      </c>
      <c r="W143" s="207">
        <f>IF($F143=0,0,Facture!$T142*12*IF(Données!$J182="qc",1.09,IF(Données!$J182="on",1.08,1))/$F143)</f>
        <v>0</v>
      </c>
      <c r="X143" s="207">
        <f>IF($F143=0,0,(Facture!$AB142+Facture!$AD142+Facture!$AF142)*12*IF(Données!$J182="qc",1.09,IF(Données!$J182="on",1.08,1))/$F143)</f>
        <v>0</v>
      </c>
      <c r="Y143" s="207">
        <f>IF($F143=0,0,(Facture!$H142+Facture!$J142+Facture!$L142+Facture!$P142+Facture!$V142)*12*IF(Données!$J182="qc",1.09,IF(Données!$J182="on",1.08,1))/$F143)</f>
        <v>0</v>
      </c>
    </row>
    <row r="144" spans="1:25">
      <c r="A144" s="208">
        <f t="shared" si="28"/>
        <v>129</v>
      </c>
      <c r="B144" s="198" t="str">
        <f>CONCATENATE(Données!B183," ",Données!C183)</f>
        <v xml:space="preserve"> </v>
      </c>
      <c r="C144" s="199">
        <f>Données!D183</f>
        <v>0</v>
      </c>
      <c r="D144" s="200" t="str">
        <f>Données!AD183</f>
        <v/>
      </c>
      <c r="E144" s="349">
        <f t="shared" ref="E144:E198" si="36">IF($B144=" ",0,VLOOKUP($D144,taux,47))</f>
        <v>0</v>
      </c>
      <c r="F144" s="201">
        <f t="shared" si="18"/>
        <v>0</v>
      </c>
      <c r="G144" s="202">
        <f>IF($F144=0,0,Facture!AI143*12/F144)</f>
        <v>0</v>
      </c>
      <c r="H144" s="203" t="e">
        <f t="shared" ref="H144:H175" ca="1" si="37">IF(AND(VLOOKUP($D144,taux,14)="oui",VLOOKUP($D144,taux,19)="oui"),$G144*VLOOKUP($D144,taux,47),IF(AND(VLOOKUP($D144,taux,14)="non",VLOOKUP($D144,taux,19)="non"),MIN($G144*VLOOKUP($D144,taux,47),$G144-$V144-$W144),IF(AND(VLOOKUP($D144,taux,14)="oui",VLOOKUP($D144,taux,19)="non"),MIN($G144*VLOOKUP($D144,taux,47),$G144-$W144),IF(AND(VLOOKUP($D144,taux,14)="non",VLOOKUP($D144,taux,19)="oui"),MIN($G144*VLOOKUP($D144,taux,47),$G144-$V144),IF(VLOOKUP($D144,taux,14)="non",MIN($G144*VLOOKUP($D144,taux,47),$G144-$V144),IF(VLOOKUP($D144,taux,19)="non",MIN($G144*VLOOKUP($D144,taux,47),$G144-$W144),$G144*VLOOKUP($D144,taux,47)))))))-(I144*0.5)</f>
        <v>#N/A</v>
      </c>
      <c r="I144" s="203" t="e">
        <f ca="1">IF(F144=" ",0,Facture!J143*12/F144*1.09)</f>
        <v>#DIV/0!</v>
      </c>
      <c r="J144" s="204">
        <f t="shared" si="27"/>
        <v>0</v>
      </c>
      <c r="K144" s="345">
        <f t="shared" si="33"/>
        <v>0</v>
      </c>
      <c r="L144" s="205">
        <f t="shared" ref="L144:L198" si="38">MAX(MIN($J144-$T144-$S144-$M144,$Y144),0)</f>
        <v>0</v>
      </c>
      <c r="M144" s="205">
        <f t="shared" si="21"/>
        <v>0</v>
      </c>
      <c r="N144" s="353">
        <f t="shared" ref="N144:N198" si="39">MAX(MIN($J144-$T144-$S144-$M144,$Y144),0)</f>
        <v>0</v>
      </c>
      <c r="O144" s="356">
        <f t="shared" si="34"/>
        <v>0</v>
      </c>
      <c r="P144" s="357">
        <f t="shared" si="35"/>
        <v>0</v>
      </c>
      <c r="Q144" s="354">
        <f>IF($F144=0,0,(Facture!$R143+Facture!$T143)*12*IF(Données!$J183="qc",1.09,IF(Données!$J183="on",1.08,1))/$F144)</f>
        <v>0</v>
      </c>
      <c r="R144" s="206"/>
      <c r="S144" s="207">
        <f>MIN(IF($F144=0,0,(Facture!$W143)*12*(1+VLOOKUP($D144,taux,28))/$F144),$J144)</f>
        <v>0</v>
      </c>
      <c r="T144" s="207">
        <f t="shared" si="23"/>
        <v>0</v>
      </c>
      <c r="U144" s="206"/>
      <c r="V144" s="207">
        <f>IF($F144=0,0,Facture!$R143*12*IF(Données!$J183="qc",1.09,IF(Données!$J183="on",1.08,1))/$F144)</f>
        <v>0</v>
      </c>
      <c r="W144" s="207">
        <f>IF($F144=0,0,Facture!$T143*12*IF(Données!$J183="qc",1.09,IF(Données!$J183="on",1.08,1))/$F144)</f>
        <v>0</v>
      </c>
      <c r="X144" s="207">
        <f>IF($F144=0,0,(Facture!$AB143+Facture!$AD143+Facture!$AF143)*12*IF(Données!$J183="qc",1.09,IF(Données!$J183="on",1.08,1))/$F144)</f>
        <v>0</v>
      </c>
      <c r="Y144" s="207">
        <f>IF($F144=0,0,(Facture!$H143+Facture!$J143+Facture!$L143+Facture!$P143+Facture!$V143)*12*IF(Données!$J183="qc",1.09,IF(Données!$J183="on",1.08,1))/$F144)</f>
        <v>0</v>
      </c>
    </row>
    <row r="145" spans="1:25">
      <c r="A145" s="208">
        <f t="shared" si="28"/>
        <v>130</v>
      </c>
      <c r="B145" s="198" t="str">
        <f>CONCATENATE(Données!B184," ",Données!C184)</f>
        <v xml:space="preserve"> </v>
      </c>
      <c r="C145" s="199">
        <f>Données!D184</f>
        <v>0</v>
      </c>
      <c r="D145" s="200" t="str">
        <f>Données!AD184</f>
        <v/>
      </c>
      <c r="E145" s="349">
        <f t="shared" si="36"/>
        <v>0</v>
      </c>
      <c r="F145" s="201">
        <f t="shared" si="18"/>
        <v>0</v>
      </c>
      <c r="G145" s="202">
        <f>IF($F145=0,0,Facture!AI144*12/F145)</f>
        <v>0</v>
      </c>
      <c r="H145" s="203" t="e">
        <f t="shared" ca="1" si="37"/>
        <v>#N/A</v>
      </c>
      <c r="I145" s="203" t="e">
        <f ca="1">IF(F145=" ",0,Facture!J144*12/F145*1.09)</f>
        <v>#DIV/0!</v>
      </c>
      <c r="J145" s="204">
        <f t="shared" si="27"/>
        <v>0</v>
      </c>
      <c r="K145" s="345">
        <f t="shared" si="33"/>
        <v>0</v>
      </c>
      <c r="L145" s="205">
        <f t="shared" si="38"/>
        <v>0</v>
      </c>
      <c r="M145" s="205">
        <f t="shared" si="21"/>
        <v>0</v>
      </c>
      <c r="N145" s="353">
        <f t="shared" si="39"/>
        <v>0</v>
      </c>
      <c r="O145" s="356">
        <f t="shared" si="34"/>
        <v>0</v>
      </c>
      <c r="P145" s="357">
        <f t="shared" si="35"/>
        <v>0</v>
      </c>
      <c r="Q145" s="354">
        <f>IF($F145=0,0,(Facture!$R144+Facture!$T144)*12*IF(Données!$J184="qc",1.09,IF(Données!$J184="on",1.08,1))/$F145)</f>
        <v>0</v>
      </c>
      <c r="R145" s="206"/>
      <c r="S145" s="207">
        <f>MIN(IF($F145=0,0,(Facture!$W144)*12*(1+VLOOKUP($D145,taux,28))/$F145),$J145)</f>
        <v>0</v>
      </c>
      <c r="T145" s="207">
        <f t="shared" si="23"/>
        <v>0</v>
      </c>
      <c r="U145" s="206"/>
      <c r="V145" s="207">
        <f>IF($F145=0,0,Facture!$R144*12*IF(Données!$J184="qc",1.09,IF(Données!$J184="on",1.08,1))/$F145)</f>
        <v>0</v>
      </c>
      <c r="W145" s="207">
        <f>IF($F145=0,0,Facture!$T144*12*IF(Données!$J184="qc",1.09,IF(Données!$J184="on",1.08,1))/$F145)</f>
        <v>0</v>
      </c>
      <c r="X145" s="207">
        <f>IF($F145=0,0,(Facture!$AB144+Facture!$AD144+Facture!$AF144)*12*IF(Données!$J184="qc",1.09,IF(Données!$J184="on",1.08,1))/$F145)</f>
        <v>0</v>
      </c>
      <c r="Y145" s="207">
        <f>IF($F145=0,0,(Facture!$H144+Facture!$J144+Facture!$L144+Facture!$P144+Facture!$V144)*12*IF(Données!$J184="qc",1.09,IF(Données!$J184="on",1.08,1))/$F145)</f>
        <v>0</v>
      </c>
    </row>
    <row r="146" spans="1:25">
      <c r="A146" s="208">
        <f t="shared" si="28"/>
        <v>131</v>
      </c>
      <c r="B146" s="198" t="str">
        <f>CONCATENATE(Données!B185," ",Données!C185)</f>
        <v xml:space="preserve"> </v>
      </c>
      <c r="C146" s="199">
        <f>Données!D185</f>
        <v>0</v>
      </c>
      <c r="D146" s="200" t="str">
        <f>Données!AD185</f>
        <v/>
      </c>
      <c r="E146" s="349">
        <f t="shared" si="36"/>
        <v>0</v>
      </c>
      <c r="F146" s="201">
        <f t="shared" si="18"/>
        <v>0</v>
      </c>
      <c r="G146" s="202">
        <f>IF($F146=0,0,Facture!AI145*12/F146)</f>
        <v>0</v>
      </c>
      <c r="H146" s="203" t="e">
        <f t="shared" ca="1" si="37"/>
        <v>#N/A</v>
      </c>
      <c r="I146" s="203" t="e">
        <f ca="1">IF(F146=" ",0,Facture!J145*12/F146*1.09)</f>
        <v>#DIV/0!</v>
      </c>
      <c r="J146" s="204">
        <f t="shared" ref="J146:J198" si="40">IF(B146=" ",0,H146)</f>
        <v>0</v>
      </c>
      <c r="K146" s="345">
        <f t="shared" si="33"/>
        <v>0</v>
      </c>
      <c r="L146" s="205">
        <f t="shared" si="38"/>
        <v>0</v>
      </c>
      <c r="M146" s="205">
        <f t="shared" si="21"/>
        <v>0</v>
      </c>
      <c r="N146" s="353">
        <f t="shared" si="39"/>
        <v>0</v>
      </c>
      <c r="O146" s="356">
        <f t="shared" si="34"/>
        <v>0</v>
      </c>
      <c r="P146" s="357">
        <f t="shared" si="35"/>
        <v>0</v>
      </c>
      <c r="Q146" s="354">
        <f>IF($F146=0,0,(Facture!$R145+Facture!$T145)*12*IF(Données!$J185="qc",1.09,IF(Données!$J185="on",1.08,1))/$F146)</f>
        <v>0</v>
      </c>
      <c r="R146" s="206"/>
      <c r="S146" s="207">
        <f>MIN(IF($F146=0,0,(Facture!$W145)*12*(1+VLOOKUP($D146,taux,28))/$F146),$J146)</f>
        <v>0</v>
      </c>
      <c r="T146" s="207">
        <f t="shared" si="23"/>
        <v>0</v>
      </c>
      <c r="U146" s="206"/>
      <c r="V146" s="207">
        <f>IF($F146=0,0,Facture!$R145*12*IF(Données!$J185="qc",1.09,IF(Données!$J185="on",1.08,1))/$F146)</f>
        <v>0</v>
      </c>
      <c r="W146" s="207">
        <f>IF($F146=0,0,Facture!$T145*12*IF(Données!$J185="qc",1.09,IF(Données!$J185="on",1.08,1))/$F146)</f>
        <v>0</v>
      </c>
      <c r="X146" s="207">
        <f>IF($F146=0,0,(Facture!$AB145+Facture!$AD145+Facture!$AF145)*12*IF(Données!$J185="qc",1.09,IF(Données!$J185="on",1.08,1))/$F146)</f>
        <v>0</v>
      </c>
      <c r="Y146" s="207">
        <f>IF($F146=0,0,(Facture!$H145+Facture!$J145+Facture!$L145+Facture!$P145+Facture!$V145)*12*IF(Données!$J185="qc",1.09,IF(Données!$J185="on",1.08,1))/$F146)</f>
        <v>0</v>
      </c>
    </row>
    <row r="147" spans="1:25">
      <c r="A147" s="208">
        <f t="shared" si="28"/>
        <v>132</v>
      </c>
      <c r="B147" s="198" t="str">
        <f>CONCATENATE(Données!B186," ",Données!C186)</f>
        <v xml:space="preserve"> </v>
      </c>
      <c r="C147" s="199">
        <f>Données!D186</f>
        <v>0</v>
      </c>
      <c r="D147" s="200" t="str">
        <f>Données!AD186</f>
        <v/>
      </c>
      <c r="E147" s="349">
        <f t="shared" si="36"/>
        <v>0</v>
      </c>
      <c r="F147" s="201">
        <f t="shared" si="18"/>
        <v>0</v>
      </c>
      <c r="G147" s="202">
        <f>IF($F147=0,0,Facture!AI146*12/F147)</f>
        <v>0</v>
      </c>
      <c r="H147" s="203" t="e">
        <f t="shared" ca="1" si="37"/>
        <v>#N/A</v>
      </c>
      <c r="I147" s="203" t="e">
        <f ca="1">IF(F147=" ",0,Facture!J146*12/F147*1.09)</f>
        <v>#DIV/0!</v>
      </c>
      <c r="J147" s="204">
        <f t="shared" si="40"/>
        <v>0</v>
      </c>
      <c r="K147" s="345">
        <f t="shared" si="33"/>
        <v>0</v>
      </c>
      <c r="L147" s="205">
        <f t="shared" si="38"/>
        <v>0</v>
      </c>
      <c r="M147" s="205">
        <f t="shared" si="21"/>
        <v>0</v>
      </c>
      <c r="N147" s="353">
        <f t="shared" si="39"/>
        <v>0</v>
      </c>
      <c r="O147" s="356">
        <f t="shared" si="34"/>
        <v>0</v>
      </c>
      <c r="P147" s="357">
        <f t="shared" si="35"/>
        <v>0</v>
      </c>
      <c r="Q147" s="354">
        <f>IF($F147=0,0,(Facture!$R146+Facture!$T146)*12*IF(Données!$J186="qc",1.09,IF(Données!$J186="on",1.08,1))/$F147)</f>
        <v>0</v>
      </c>
      <c r="R147" s="206"/>
      <c r="S147" s="207">
        <f>MIN(IF($F147=0,0,(Facture!$W146)*12*(1+VLOOKUP($D147,taux,28))/$F147),$J147)</f>
        <v>0</v>
      </c>
      <c r="T147" s="207">
        <f t="shared" si="23"/>
        <v>0</v>
      </c>
      <c r="U147" s="206"/>
      <c r="V147" s="207">
        <f>IF($F147=0,0,Facture!$R146*12*IF(Données!$J186="qc",1.09,IF(Données!$J186="on",1.08,1))/$F147)</f>
        <v>0</v>
      </c>
      <c r="W147" s="207">
        <f>IF($F147=0,0,Facture!$T146*12*IF(Données!$J186="qc",1.09,IF(Données!$J186="on",1.08,1))/$F147)</f>
        <v>0</v>
      </c>
      <c r="X147" s="207">
        <f>IF($F147=0,0,(Facture!$AB146+Facture!$AD146+Facture!$AF146)*12*IF(Données!$J186="qc",1.09,IF(Données!$J186="on",1.08,1))/$F147)</f>
        <v>0</v>
      </c>
      <c r="Y147" s="207">
        <f>IF($F147=0,0,(Facture!$H146+Facture!$J146+Facture!$L146+Facture!$P146+Facture!$V146)*12*IF(Données!$J186="qc",1.09,IF(Données!$J186="on",1.08,1))/$F147)</f>
        <v>0</v>
      </c>
    </row>
    <row r="148" spans="1:25">
      <c r="A148" s="208">
        <f t="shared" si="28"/>
        <v>133</v>
      </c>
      <c r="B148" s="198" t="str">
        <f>CONCATENATE(Données!B187," ",Données!C187)</f>
        <v xml:space="preserve"> </v>
      </c>
      <c r="C148" s="199">
        <f>Données!D187</f>
        <v>0</v>
      </c>
      <c r="D148" s="200" t="str">
        <f>Données!AD187</f>
        <v/>
      </c>
      <c r="E148" s="349">
        <f t="shared" si="36"/>
        <v>0</v>
      </c>
      <c r="F148" s="201">
        <f t="shared" si="18"/>
        <v>0</v>
      </c>
      <c r="G148" s="202">
        <f>IF($F148=0,0,Facture!AI147*12/F148)</f>
        <v>0</v>
      </c>
      <c r="H148" s="203" t="e">
        <f t="shared" ca="1" si="37"/>
        <v>#N/A</v>
      </c>
      <c r="I148" s="203" t="e">
        <f ca="1">IF(F148=" ",0,Facture!J147*12/F148*1.09)</f>
        <v>#DIV/0!</v>
      </c>
      <c r="J148" s="204">
        <f t="shared" si="40"/>
        <v>0</v>
      </c>
      <c r="K148" s="345">
        <f t="shared" si="33"/>
        <v>0</v>
      </c>
      <c r="L148" s="205">
        <f t="shared" si="38"/>
        <v>0</v>
      </c>
      <c r="M148" s="205">
        <f t="shared" si="21"/>
        <v>0</v>
      </c>
      <c r="N148" s="353">
        <f t="shared" si="39"/>
        <v>0</v>
      </c>
      <c r="O148" s="356">
        <f t="shared" si="34"/>
        <v>0</v>
      </c>
      <c r="P148" s="357">
        <f t="shared" si="35"/>
        <v>0</v>
      </c>
      <c r="Q148" s="354">
        <f>IF($F148=0,0,(Facture!$R147+Facture!$T147)*12*IF(Données!$J187="qc",1.09,IF(Données!$J187="on",1.08,1))/$F148)</f>
        <v>0</v>
      </c>
      <c r="R148" s="206"/>
      <c r="S148" s="207">
        <f>MIN(IF($F148=0,0,(Facture!$W147)*12*(1+VLOOKUP($D148,taux,28))/$F148),$J148)</f>
        <v>0</v>
      </c>
      <c r="T148" s="207">
        <f t="shared" si="23"/>
        <v>0</v>
      </c>
      <c r="U148" s="206"/>
      <c r="V148" s="207">
        <f>IF($F148=0,0,Facture!$R147*12*IF(Données!$J187="qc",1.09,IF(Données!$J187="on",1.08,1))/$F148)</f>
        <v>0</v>
      </c>
      <c r="W148" s="207">
        <f>IF($F148=0,0,Facture!$T147*12*IF(Données!$J187="qc",1.09,IF(Données!$J187="on",1.08,1))/$F148)</f>
        <v>0</v>
      </c>
      <c r="X148" s="207">
        <f>IF($F148=0,0,(Facture!$AB147+Facture!$AD147+Facture!$AF147)*12*IF(Données!$J187="qc",1.09,IF(Données!$J187="on",1.08,1))/$F148)</f>
        <v>0</v>
      </c>
      <c r="Y148" s="207">
        <f>IF($F148=0,0,(Facture!$H147+Facture!$J147+Facture!$L147+Facture!$P147+Facture!$V147)*12*IF(Données!$J187="qc",1.09,IF(Données!$J187="on",1.08,1))/$F148)</f>
        <v>0</v>
      </c>
    </row>
    <row r="149" spans="1:25">
      <c r="A149" s="208">
        <f t="shared" si="28"/>
        <v>134</v>
      </c>
      <c r="B149" s="198" t="str">
        <f>CONCATENATE(Données!B188," ",Données!C188)</f>
        <v xml:space="preserve"> </v>
      </c>
      <c r="C149" s="199">
        <f>Données!D188</f>
        <v>0</v>
      </c>
      <c r="D149" s="200" t="str">
        <f>Données!AD188</f>
        <v/>
      </c>
      <c r="E149" s="349">
        <f t="shared" si="36"/>
        <v>0</v>
      </c>
      <c r="F149" s="201">
        <f t="shared" si="18"/>
        <v>0</v>
      </c>
      <c r="G149" s="202">
        <f>IF($F149=0,0,Facture!AI148*12/F149)</f>
        <v>0</v>
      </c>
      <c r="H149" s="203" t="e">
        <f t="shared" ca="1" si="37"/>
        <v>#N/A</v>
      </c>
      <c r="I149" s="203" t="e">
        <f ca="1">IF(F149=" ",0,Facture!J148*12/F149*1.09)</f>
        <v>#DIV/0!</v>
      </c>
      <c r="J149" s="204">
        <f t="shared" si="40"/>
        <v>0</v>
      </c>
      <c r="K149" s="345">
        <f t="shared" si="33"/>
        <v>0</v>
      </c>
      <c r="L149" s="205">
        <f t="shared" si="38"/>
        <v>0</v>
      </c>
      <c r="M149" s="205">
        <f t="shared" si="21"/>
        <v>0</v>
      </c>
      <c r="N149" s="353">
        <f t="shared" si="39"/>
        <v>0</v>
      </c>
      <c r="O149" s="356">
        <f t="shared" si="34"/>
        <v>0</v>
      </c>
      <c r="P149" s="357">
        <f t="shared" si="35"/>
        <v>0</v>
      </c>
      <c r="Q149" s="354">
        <f>IF($F149=0,0,(Facture!$R148+Facture!$T148)*12*IF(Données!$J188="qc",1.09,IF(Données!$J188="on",1.08,1))/$F149)</f>
        <v>0</v>
      </c>
      <c r="R149" s="206"/>
      <c r="S149" s="207">
        <f>MIN(IF($F149=0,0,(Facture!$W148)*12*(1+VLOOKUP($D149,taux,28))/$F149),$J149)</f>
        <v>0</v>
      </c>
      <c r="T149" s="207">
        <f t="shared" si="23"/>
        <v>0</v>
      </c>
      <c r="U149" s="206"/>
      <c r="V149" s="207">
        <f>IF($F149=0,0,Facture!$R148*12*IF(Données!$J188="qc",1.09,IF(Données!$J188="on",1.08,1))/$F149)</f>
        <v>0</v>
      </c>
      <c r="W149" s="207">
        <f>IF($F149=0,0,Facture!$T148*12*IF(Données!$J188="qc",1.09,IF(Données!$J188="on",1.08,1))/$F149)</f>
        <v>0</v>
      </c>
      <c r="X149" s="207">
        <f>IF($F149=0,0,(Facture!$AB148+Facture!$AD148+Facture!$AF148)*12*IF(Données!$J188="qc",1.09,IF(Données!$J188="on",1.08,1))/$F149)</f>
        <v>0</v>
      </c>
      <c r="Y149" s="207">
        <f>IF($F149=0,0,(Facture!$H148+Facture!$J148+Facture!$L148+Facture!$P148+Facture!$V148)*12*IF(Données!$J188="qc",1.09,IF(Données!$J188="on",1.08,1))/$F149)</f>
        <v>0</v>
      </c>
    </row>
    <row r="150" spans="1:25">
      <c r="A150" s="208">
        <f t="shared" si="28"/>
        <v>135</v>
      </c>
      <c r="B150" s="198" t="str">
        <f>CONCATENATE(Données!B189," ",Données!C189)</f>
        <v xml:space="preserve"> </v>
      </c>
      <c r="C150" s="199">
        <f>Données!D189</f>
        <v>0</v>
      </c>
      <c r="D150" s="200" t="str">
        <f>Données!AD189</f>
        <v/>
      </c>
      <c r="E150" s="349">
        <f t="shared" si="36"/>
        <v>0</v>
      </c>
      <c r="F150" s="201">
        <f t="shared" si="18"/>
        <v>0</v>
      </c>
      <c r="G150" s="202">
        <f>IF($F150=0,0,Facture!AI149*12/F150)</f>
        <v>0</v>
      </c>
      <c r="H150" s="203" t="e">
        <f t="shared" ca="1" si="37"/>
        <v>#N/A</v>
      </c>
      <c r="I150" s="203" t="e">
        <f ca="1">IF(F150=" ",0,Facture!J149*12/F150*1.09)</f>
        <v>#DIV/0!</v>
      </c>
      <c r="J150" s="204">
        <f t="shared" si="40"/>
        <v>0</v>
      </c>
      <c r="K150" s="345">
        <f t="shared" si="33"/>
        <v>0</v>
      </c>
      <c r="L150" s="205">
        <f t="shared" si="38"/>
        <v>0</v>
      </c>
      <c r="M150" s="205">
        <f t="shared" si="21"/>
        <v>0</v>
      </c>
      <c r="N150" s="353">
        <f t="shared" si="39"/>
        <v>0</v>
      </c>
      <c r="O150" s="356">
        <f t="shared" si="34"/>
        <v>0</v>
      </c>
      <c r="P150" s="357">
        <f t="shared" si="35"/>
        <v>0</v>
      </c>
      <c r="Q150" s="354">
        <f>IF($F150=0,0,(Facture!$R149+Facture!$T149)*12*IF(Données!$J189="qc",1.09,IF(Données!$J189="on",1.08,1))/$F150)</f>
        <v>0</v>
      </c>
      <c r="R150" s="206"/>
      <c r="S150" s="207">
        <f>MIN(IF($F150=0,0,(Facture!$W149)*12*(1+VLOOKUP($D150,taux,28))/$F150),$J150)</f>
        <v>0</v>
      </c>
      <c r="T150" s="207">
        <f t="shared" si="23"/>
        <v>0</v>
      </c>
      <c r="U150" s="206"/>
      <c r="V150" s="207">
        <f>IF($F150=0,0,Facture!$R149*12*IF(Données!$J189="qc",1.09,IF(Données!$J189="on",1.08,1))/$F150)</f>
        <v>0</v>
      </c>
      <c r="W150" s="207">
        <f>IF($F150=0,0,Facture!$T149*12*IF(Données!$J189="qc",1.09,IF(Données!$J189="on",1.08,1))/$F150)</f>
        <v>0</v>
      </c>
      <c r="X150" s="207">
        <f>IF($F150=0,0,(Facture!$AB149+Facture!$AD149+Facture!$AF149)*12*IF(Données!$J189="qc",1.09,IF(Données!$J189="on",1.08,1))/$F150)</f>
        <v>0</v>
      </c>
      <c r="Y150" s="207">
        <f>IF($F150=0,0,(Facture!$H149+Facture!$J149+Facture!$L149+Facture!$P149+Facture!$V149)*12*IF(Données!$J189="qc",1.09,IF(Données!$J189="on",1.08,1))/$F150)</f>
        <v>0</v>
      </c>
    </row>
    <row r="151" spans="1:25">
      <c r="A151" s="208">
        <f t="shared" si="28"/>
        <v>136</v>
      </c>
      <c r="B151" s="198" t="str">
        <f>CONCATENATE(Données!B190," ",Données!C190)</f>
        <v xml:space="preserve"> </v>
      </c>
      <c r="C151" s="199">
        <f>Données!D190</f>
        <v>0</v>
      </c>
      <c r="D151" s="200" t="str">
        <f>Données!AD190</f>
        <v/>
      </c>
      <c r="E151" s="349">
        <f t="shared" si="36"/>
        <v>0</v>
      </c>
      <c r="F151" s="201">
        <f t="shared" si="18"/>
        <v>0</v>
      </c>
      <c r="G151" s="202">
        <f>IF($F151=0,0,Facture!AI150*12/F151)</f>
        <v>0</v>
      </c>
      <c r="H151" s="203" t="e">
        <f t="shared" ca="1" si="37"/>
        <v>#N/A</v>
      </c>
      <c r="I151" s="203" t="e">
        <f ca="1">IF(F151=" ",0,Facture!J150*12/F151*1.09)</f>
        <v>#DIV/0!</v>
      </c>
      <c r="J151" s="204">
        <f t="shared" si="40"/>
        <v>0</v>
      </c>
      <c r="K151" s="345">
        <f t="shared" si="33"/>
        <v>0</v>
      </c>
      <c r="L151" s="205">
        <f t="shared" si="38"/>
        <v>0</v>
      </c>
      <c r="M151" s="205">
        <f t="shared" si="21"/>
        <v>0</v>
      </c>
      <c r="N151" s="353">
        <f t="shared" si="39"/>
        <v>0</v>
      </c>
      <c r="O151" s="356">
        <f t="shared" si="34"/>
        <v>0</v>
      </c>
      <c r="P151" s="357">
        <f t="shared" si="35"/>
        <v>0</v>
      </c>
      <c r="Q151" s="354">
        <f>IF($F151=0,0,(Facture!$R150+Facture!$T150)*12*IF(Données!$J190="qc",1.09,IF(Données!$J190="on",1.08,1))/$F151)</f>
        <v>0</v>
      </c>
      <c r="R151" s="206"/>
      <c r="S151" s="207">
        <f>MIN(IF($F151=0,0,(Facture!$W150)*12*(1+VLOOKUP($D151,taux,28))/$F151),$J151)</f>
        <v>0</v>
      </c>
      <c r="T151" s="207">
        <f t="shared" si="23"/>
        <v>0</v>
      </c>
      <c r="U151" s="206"/>
      <c r="V151" s="207">
        <f>IF($F151=0,0,Facture!$R150*12*IF(Données!$J190="qc",1.09,IF(Données!$J190="on",1.08,1))/$F151)</f>
        <v>0</v>
      </c>
      <c r="W151" s="207">
        <f>IF($F151=0,0,Facture!$T150*12*IF(Données!$J190="qc",1.09,IF(Données!$J190="on",1.08,1))/$F151)</f>
        <v>0</v>
      </c>
      <c r="X151" s="207">
        <f>IF($F151=0,0,(Facture!$AB150+Facture!$AD150+Facture!$AF150)*12*IF(Données!$J190="qc",1.09,IF(Données!$J190="on",1.08,1))/$F151)</f>
        <v>0</v>
      </c>
      <c r="Y151" s="207">
        <f>IF($F151=0,0,(Facture!$H150+Facture!$J150+Facture!$L150+Facture!$P150+Facture!$V150)*12*IF(Données!$J190="qc",1.09,IF(Données!$J190="on",1.08,1))/$F151)</f>
        <v>0</v>
      </c>
    </row>
    <row r="152" spans="1:25">
      <c r="A152" s="208">
        <f t="shared" si="28"/>
        <v>137</v>
      </c>
      <c r="B152" s="198" t="str">
        <f>CONCATENATE(Données!B191," ",Données!C191)</f>
        <v xml:space="preserve"> </v>
      </c>
      <c r="C152" s="199">
        <f>Données!D191</f>
        <v>0</v>
      </c>
      <c r="D152" s="200" t="str">
        <f>Données!AD191</f>
        <v/>
      </c>
      <c r="E152" s="349">
        <f t="shared" si="36"/>
        <v>0</v>
      </c>
      <c r="F152" s="201">
        <f t="shared" si="18"/>
        <v>0</v>
      </c>
      <c r="G152" s="202">
        <f>IF($F152=0,0,Facture!AI151*12/F152)</f>
        <v>0</v>
      </c>
      <c r="H152" s="203" t="e">
        <f t="shared" ca="1" si="37"/>
        <v>#N/A</v>
      </c>
      <c r="I152" s="203" t="e">
        <f ca="1">IF(F152=" ",0,Facture!J151*12/F152*1.09)</f>
        <v>#DIV/0!</v>
      </c>
      <c r="J152" s="204">
        <f t="shared" si="40"/>
        <v>0</v>
      </c>
      <c r="K152" s="345">
        <f t="shared" si="33"/>
        <v>0</v>
      </c>
      <c r="L152" s="205">
        <f t="shared" si="38"/>
        <v>0</v>
      </c>
      <c r="M152" s="205">
        <f t="shared" si="21"/>
        <v>0</v>
      </c>
      <c r="N152" s="353">
        <f t="shared" si="39"/>
        <v>0</v>
      </c>
      <c r="O152" s="356">
        <f t="shared" si="34"/>
        <v>0</v>
      </c>
      <c r="P152" s="357">
        <f t="shared" si="35"/>
        <v>0</v>
      </c>
      <c r="Q152" s="354">
        <f>IF($F152=0,0,(Facture!$R151+Facture!$T151)*12*IF(Données!$J191="qc",1.09,IF(Données!$J191="on",1.08,1))/$F152)</f>
        <v>0</v>
      </c>
      <c r="R152" s="206"/>
      <c r="S152" s="207">
        <f>MIN(IF($F152=0,0,(Facture!$W151)*12*(1+VLOOKUP($D152,taux,28))/$F152),$J152)</f>
        <v>0</v>
      </c>
      <c r="T152" s="207">
        <f t="shared" si="23"/>
        <v>0</v>
      </c>
      <c r="U152" s="206"/>
      <c r="V152" s="207">
        <f>IF($F152=0,0,Facture!$R151*12*IF(Données!$J191="qc",1.09,IF(Données!$J191="on",1.08,1))/$F152)</f>
        <v>0</v>
      </c>
      <c r="W152" s="207">
        <f>IF($F152=0,0,Facture!$T151*12*IF(Données!$J191="qc",1.09,IF(Données!$J191="on",1.08,1))/$F152)</f>
        <v>0</v>
      </c>
      <c r="X152" s="207">
        <f>IF($F152=0,0,(Facture!$AB151+Facture!$AD151+Facture!$AF151)*12*IF(Données!$J191="qc",1.09,IF(Données!$J191="on",1.08,1))/$F152)</f>
        <v>0</v>
      </c>
      <c r="Y152" s="207">
        <f>IF($F152=0,0,(Facture!$H151+Facture!$J151+Facture!$L151+Facture!$P151+Facture!$V151)*12*IF(Données!$J191="qc",1.09,IF(Données!$J191="on",1.08,1))/$F152)</f>
        <v>0</v>
      </c>
    </row>
    <row r="153" spans="1:25">
      <c r="A153" s="208">
        <f t="shared" si="28"/>
        <v>138</v>
      </c>
      <c r="B153" s="198" t="str">
        <f>CONCATENATE(Données!B192," ",Données!C192)</f>
        <v xml:space="preserve"> </v>
      </c>
      <c r="C153" s="199">
        <f>Données!D192</f>
        <v>0</v>
      </c>
      <c r="D153" s="200" t="str">
        <f>Données!AD192</f>
        <v/>
      </c>
      <c r="E153" s="349">
        <f t="shared" si="36"/>
        <v>0</v>
      </c>
      <c r="F153" s="201">
        <f t="shared" si="18"/>
        <v>0</v>
      </c>
      <c r="G153" s="202">
        <f>IF($F153=0,0,Facture!AI152*12/F153)</f>
        <v>0</v>
      </c>
      <c r="H153" s="203" t="e">
        <f t="shared" ca="1" si="37"/>
        <v>#N/A</v>
      </c>
      <c r="I153" s="203" t="e">
        <f ca="1">IF(F153=" ",0,Facture!J152*12/F153*1.09)</f>
        <v>#DIV/0!</v>
      </c>
      <c r="J153" s="204">
        <f t="shared" si="40"/>
        <v>0</v>
      </c>
      <c r="K153" s="345">
        <f t="shared" si="33"/>
        <v>0</v>
      </c>
      <c r="L153" s="205">
        <f t="shared" si="38"/>
        <v>0</v>
      </c>
      <c r="M153" s="205">
        <f t="shared" si="21"/>
        <v>0</v>
      </c>
      <c r="N153" s="353">
        <f t="shared" si="39"/>
        <v>0</v>
      </c>
      <c r="O153" s="356">
        <f t="shared" si="34"/>
        <v>0</v>
      </c>
      <c r="P153" s="357">
        <f t="shared" si="35"/>
        <v>0</v>
      </c>
      <c r="Q153" s="354">
        <f>IF($F153=0,0,(Facture!$R152+Facture!$T152)*12*IF(Données!$J192="qc",1.09,IF(Données!$J192="on",1.08,1))/$F153)</f>
        <v>0</v>
      </c>
      <c r="R153" s="206"/>
      <c r="S153" s="207">
        <f>MIN(IF($F153=0,0,(Facture!$W152)*12*(1+VLOOKUP($D153,taux,28))/$F153),$J153)</f>
        <v>0</v>
      </c>
      <c r="T153" s="207">
        <f t="shared" si="23"/>
        <v>0</v>
      </c>
      <c r="U153" s="206"/>
      <c r="V153" s="207">
        <f>IF($F153=0,0,Facture!$R152*12*IF(Données!$J192="qc",1.09,IF(Données!$J192="on",1.08,1))/$F153)</f>
        <v>0</v>
      </c>
      <c r="W153" s="207">
        <f>IF($F153=0,0,Facture!$T152*12*IF(Données!$J192="qc",1.09,IF(Données!$J192="on",1.08,1))/$F153)</f>
        <v>0</v>
      </c>
      <c r="X153" s="207">
        <f>IF($F153=0,0,(Facture!$AB152+Facture!$AD152+Facture!$AF152)*12*IF(Données!$J192="qc",1.09,IF(Données!$J192="on",1.08,1))/$F153)</f>
        <v>0</v>
      </c>
      <c r="Y153" s="207">
        <f>IF($F153=0,0,(Facture!$H152+Facture!$J152+Facture!$L152+Facture!$P152+Facture!$V152)*12*IF(Données!$J192="qc",1.09,IF(Données!$J192="on",1.08,1))/$F153)</f>
        <v>0</v>
      </c>
    </row>
    <row r="154" spans="1:25">
      <c r="A154" s="208">
        <f t="shared" si="28"/>
        <v>139</v>
      </c>
      <c r="B154" s="198" t="str">
        <f>CONCATENATE(Données!B193," ",Données!C193)</f>
        <v xml:space="preserve"> </v>
      </c>
      <c r="C154" s="199">
        <f>Données!D193</f>
        <v>0</v>
      </c>
      <c r="D154" s="200" t="str">
        <f>Données!AD193</f>
        <v/>
      </c>
      <c r="E154" s="349">
        <f t="shared" si="36"/>
        <v>0</v>
      </c>
      <c r="F154" s="201">
        <f t="shared" si="18"/>
        <v>0</v>
      </c>
      <c r="G154" s="202">
        <f>IF($F154=0,0,Facture!AI153*12/F154)</f>
        <v>0</v>
      </c>
      <c r="H154" s="203" t="e">
        <f t="shared" ca="1" si="37"/>
        <v>#N/A</v>
      </c>
      <c r="I154" s="203" t="e">
        <f ca="1">IF(F154=" ",0,Facture!J153*12/F154*1.09)</f>
        <v>#DIV/0!</v>
      </c>
      <c r="J154" s="204">
        <f t="shared" si="40"/>
        <v>0</v>
      </c>
      <c r="K154" s="345">
        <f t="shared" si="33"/>
        <v>0</v>
      </c>
      <c r="L154" s="205">
        <f t="shared" si="38"/>
        <v>0</v>
      </c>
      <c r="M154" s="205">
        <f t="shared" si="21"/>
        <v>0</v>
      </c>
      <c r="N154" s="353">
        <f t="shared" si="39"/>
        <v>0</v>
      </c>
      <c r="O154" s="356">
        <f t="shared" si="34"/>
        <v>0</v>
      </c>
      <c r="P154" s="357">
        <f t="shared" si="35"/>
        <v>0</v>
      </c>
      <c r="Q154" s="354">
        <f>IF($F154=0,0,(Facture!$R153+Facture!$T153)*12*IF(Données!$J193="qc",1.09,IF(Données!$J193="on",1.08,1))/$F154)</f>
        <v>0</v>
      </c>
      <c r="R154" s="206"/>
      <c r="S154" s="207">
        <f>MIN(IF($F154=0,0,(Facture!$W153)*12*(1+VLOOKUP($D154,taux,28))/$F154),$J154)</f>
        <v>0</v>
      </c>
      <c r="T154" s="207">
        <f t="shared" si="23"/>
        <v>0</v>
      </c>
      <c r="U154" s="206"/>
      <c r="V154" s="207">
        <f>IF($F154=0,0,Facture!$R153*12*IF(Données!$J193="qc",1.09,IF(Données!$J193="on",1.08,1))/$F154)</f>
        <v>0</v>
      </c>
      <c r="W154" s="207">
        <f>IF($F154=0,0,Facture!$T153*12*IF(Données!$J193="qc",1.09,IF(Données!$J193="on",1.08,1))/$F154)</f>
        <v>0</v>
      </c>
      <c r="X154" s="207">
        <f>IF($F154=0,0,(Facture!$AB153+Facture!$AD153+Facture!$AF153)*12*IF(Données!$J193="qc",1.09,IF(Données!$J193="on",1.08,1))/$F154)</f>
        <v>0</v>
      </c>
      <c r="Y154" s="207">
        <f>IF($F154=0,0,(Facture!$H153+Facture!$J153+Facture!$L153+Facture!$P153+Facture!$V153)*12*IF(Données!$J193="qc",1.09,IF(Données!$J193="on",1.08,1))/$F154)</f>
        <v>0</v>
      </c>
    </row>
    <row r="155" spans="1:25">
      <c r="A155" s="208">
        <f t="shared" si="28"/>
        <v>140</v>
      </c>
      <c r="B155" s="198" t="str">
        <f>CONCATENATE(Données!B245," ",Données!C245)</f>
        <v xml:space="preserve"> </v>
      </c>
      <c r="C155" s="199">
        <f>Données!D245</f>
        <v>0</v>
      </c>
      <c r="D155" s="200" t="str">
        <f>Données!AD245</f>
        <v/>
      </c>
      <c r="E155" s="349">
        <f t="shared" si="36"/>
        <v>0</v>
      </c>
      <c r="F155" s="201">
        <f t="shared" si="18"/>
        <v>0</v>
      </c>
      <c r="G155" s="202">
        <f>IF($F155=0,0,Facture!AI200*12/F155)</f>
        <v>0</v>
      </c>
      <c r="H155" s="203" t="e">
        <f t="shared" ca="1" si="37"/>
        <v>#N/A</v>
      </c>
      <c r="I155" s="203" t="e">
        <f ca="1">IF(F155=" ",0,Facture!J154*12/F155*1.09)</f>
        <v>#DIV/0!</v>
      </c>
      <c r="J155" s="204">
        <f t="shared" si="40"/>
        <v>0</v>
      </c>
      <c r="K155" s="345">
        <f t="shared" ref="K155:K198" si="41">G155-J155</f>
        <v>0</v>
      </c>
      <c r="L155" s="205">
        <f t="shared" si="38"/>
        <v>0</v>
      </c>
      <c r="M155" s="205">
        <f t="shared" si="21"/>
        <v>0</v>
      </c>
      <c r="N155" s="353">
        <f t="shared" si="39"/>
        <v>0</v>
      </c>
      <c r="O155" s="356">
        <f t="shared" ref="O155:O198" si="42">X155-M155</f>
        <v>0</v>
      </c>
      <c r="P155" s="357">
        <f t="shared" ref="P155:P198" si="43">K155-O155</f>
        <v>0</v>
      </c>
      <c r="Q155" s="354">
        <f>IF($F155=0,0,(Facture!$R200+Facture!$T200)*12*IF(Données!$J245="qc",1.09,IF(Données!$J245="on",1.08,1))/$F155)</f>
        <v>0</v>
      </c>
      <c r="R155" s="206"/>
      <c r="S155" s="207">
        <f>MIN(IF($F155=0,0,(Facture!$W200)*12*(1+VLOOKUP($D155,taux,28))/$F155),$J155)</f>
        <v>0</v>
      </c>
      <c r="T155" s="207">
        <f t="shared" si="23"/>
        <v>0</v>
      </c>
      <c r="U155" s="206"/>
      <c r="V155" s="207">
        <f>IF($F155=0,0,Facture!$R200*12*IF(Données!$J245="qc",1.09,IF(Données!$J245="on",1.08,1))/$F155)</f>
        <v>0</v>
      </c>
      <c r="W155" s="207">
        <f>IF($F155=0,0,Facture!$T200*12*IF(Données!$J245="qc",1.09,IF(Données!$J245="on",1.08,1))/$F155)</f>
        <v>0</v>
      </c>
      <c r="X155" s="207">
        <f>IF($F155=0,0,(Facture!$AB200+Facture!$AD200+Facture!$AF200)*12*IF(Données!$J245="qc",1.09,IF(Données!$J245="on",1.08,1))/$F155)</f>
        <v>0</v>
      </c>
      <c r="Y155" s="207">
        <f>IF($F155=0,0,(Facture!$H154+Facture!$J154+Facture!$L154+Facture!$P154+Facture!$V154)*12*IF(Données!$J194="qc",1.09,IF(Données!$J194="on",1.08,1))/$F155)</f>
        <v>0</v>
      </c>
    </row>
    <row r="156" spans="1:25">
      <c r="A156" s="208">
        <f t="shared" si="28"/>
        <v>141</v>
      </c>
      <c r="B156" s="198" t="str">
        <f>CONCATENATE(Données!B246," ",Données!C246)</f>
        <v xml:space="preserve"> </v>
      </c>
      <c r="C156" s="199">
        <f>Données!D246</f>
        <v>0</v>
      </c>
      <c r="D156" s="200">
        <f>Données!AD246</f>
        <v>0</v>
      </c>
      <c r="E156" s="349">
        <f t="shared" si="36"/>
        <v>0</v>
      </c>
      <c r="F156" s="201">
        <f t="shared" si="18"/>
        <v>0</v>
      </c>
      <c r="G156" s="202">
        <f>IF($F156=0,0,Facture!AI201*12/F156)</f>
        <v>0</v>
      </c>
      <c r="H156" s="203" t="e">
        <f t="shared" ca="1" si="37"/>
        <v>#N/A</v>
      </c>
      <c r="I156" s="203" t="e">
        <f ca="1">IF(F156=" ",0,Facture!J155*12/F156*1.09)</f>
        <v>#DIV/0!</v>
      </c>
      <c r="J156" s="204">
        <f t="shared" si="40"/>
        <v>0</v>
      </c>
      <c r="K156" s="345">
        <f t="shared" si="41"/>
        <v>0</v>
      </c>
      <c r="L156" s="205">
        <f t="shared" si="38"/>
        <v>0</v>
      </c>
      <c r="M156" s="205">
        <f t="shared" si="21"/>
        <v>0</v>
      </c>
      <c r="N156" s="353">
        <f t="shared" si="39"/>
        <v>0</v>
      </c>
      <c r="O156" s="356">
        <f t="shared" si="42"/>
        <v>0</v>
      </c>
      <c r="P156" s="357">
        <f t="shared" si="43"/>
        <v>0</v>
      </c>
      <c r="Q156" s="354">
        <f>IF($F156=0,0,(Facture!$R201+Facture!$T201)*12*IF(Données!$J246="qc",1.09,IF(Données!$J246="on",1.08,1))/$F156)</f>
        <v>0</v>
      </c>
      <c r="R156" s="206"/>
      <c r="S156" s="207">
        <f>MIN(IF($F156=0,0,(Facture!$W201)*12*(1+VLOOKUP($D156,taux,28))/$F156),$J156)</f>
        <v>0</v>
      </c>
      <c r="T156" s="207">
        <f t="shared" si="23"/>
        <v>0</v>
      </c>
      <c r="U156" s="206"/>
      <c r="V156" s="207">
        <f>IF($F156=0,0,Facture!$R201*12*IF(Données!$J246="qc",1.09,IF(Données!$J246="on",1.08,1))/$F156)</f>
        <v>0</v>
      </c>
      <c r="W156" s="207">
        <f>IF($F156=0,0,Facture!$T201*12*IF(Données!$J246="qc",1.09,IF(Données!$J246="on",1.08,1))/$F156)</f>
        <v>0</v>
      </c>
      <c r="X156" s="207">
        <f>IF($F156=0,0,(Facture!$AB201+Facture!$AD201+Facture!$AF201)*12*IF(Données!$J246="qc",1.09,IF(Données!$J246="on",1.08,1))/$F156)</f>
        <v>0</v>
      </c>
      <c r="Y156" s="207">
        <f>IF($F156=0,0,(Facture!$H155+Facture!$J155+Facture!$L155+Facture!$P155+Facture!$V155)*12*IF(Données!$J195="qc",1.09,IF(Données!$J195="on",1.08,1))/$F156)</f>
        <v>0</v>
      </c>
    </row>
    <row r="157" spans="1:25">
      <c r="A157" s="208">
        <f t="shared" si="28"/>
        <v>142</v>
      </c>
      <c r="B157" s="198" t="str">
        <f>CONCATENATE(Données!B247," ",Données!C247)</f>
        <v xml:space="preserve"> </v>
      </c>
      <c r="C157" s="199">
        <f>Données!D247</f>
        <v>0</v>
      </c>
      <c r="D157" s="200">
        <f>Données!AD247</f>
        <v>0</v>
      </c>
      <c r="E157" s="349">
        <f t="shared" si="36"/>
        <v>0</v>
      </c>
      <c r="F157" s="201">
        <f t="shared" si="18"/>
        <v>0</v>
      </c>
      <c r="G157" s="202">
        <f>IF($F157=0,0,Facture!AI202*12/F157)</f>
        <v>0</v>
      </c>
      <c r="H157" s="203" t="e">
        <f t="shared" ca="1" si="37"/>
        <v>#N/A</v>
      </c>
      <c r="I157" s="203" t="e">
        <f ca="1">IF(F157=" ",0,Facture!J156*12/F157*1.09)</f>
        <v>#DIV/0!</v>
      </c>
      <c r="J157" s="204">
        <f t="shared" si="40"/>
        <v>0</v>
      </c>
      <c r="K157" s="345">
        <f t="shared" si="41"/>
        <v>0</v>
      </c>
      <c r="L157" s="205">
        <f t="shared" si="38"/>
        <v>0</v>
      </c>
      <c r="M157" s="205">
        <f t="shared" si="21"/>
        <v>0</v>
      </c>
      <c r="N157" s="353">
        <f t="shared" si="39"/>
        <v>0</v>
      </c>
      <c r="O157" s="356">
        <f t="shared" si="42"/>
        <v>0</v>
      </c>
      <c r="P157" s="357">
        <f t="shared" si="43"/>
        <v>0</v>
      </c>
      <c r="Q157" s="354">
        <f>IF($F157=0,0,(Facture!$R202+Facture!$T202)*12*IF(Données!$J247="qc",1.09,IF(Données!$J247="on",1.08,1))/$F157)</f>
        <v>0</v>
      </c>
      <c r="R157" s="206"/>
      <c r="S157" s="207">
        <f>MIN(IF($F157=0,0,(Facture!$W202)*12*(1+VLOOKUP($D157,taux,28))/$F157),$J157)</f>
        <v>0</v>
      </c>
      <c r="T157" s="207">
        <f t="shared" si="23"/>
        <v>0</v>
      </c>
      <c r="U157" s="206"/>
      <c r="V157" s="207">
        <f>IF($F157=0,0,Facture!$R202*12*IF(Données!$J247="qc",1.09,IF(Données!$J247="on",1.08,1))/$F157)</f>
        <v>0</v>
      </c>
      <c r="W157" s="207">
        <f>IF($F157=0,0,Facture!$T202*12*IF(Données!$J247="qc",1.09,IF(Données!$J247="on",1.08,1))/$F157)</f>
        <v>0</v>
      </c>
      <c r="X157" s="207">
        <f>IF($F157=0,0,(Facture!$AB202+Facture!$AD202+Facture!$AF202)*12*IF(Données!$J247="qc",1.09,IF(Données!$J247="on",1.08,1))/$F157)</f>
        <v>0</v>
      </c>
      <c r="Y157" s="207">
        <f>IF($F157=0,0,(Facture!$H156+Facture!$J156+Facture!$L156+Facture!$P156+Facture!$V156)*12*IF(Données!$J196="qc",1.09,IF(Données!$J196="on",1.08,1))/$F157)</f>
        <v>0</v>
      </c>
    </row>
    <row r="158" spans="1:25">
      <c r="A158" s="208">
        <f t="shared" si="28"/>
        <v>143</v>
      </c>
      <c r="B158" s="198" t="str">
        <f>CONCATENATE(Données!B248," ",Données!C248)</f>
        <v xml:space="preserve"> </v>
      </c>
      <c r="C158" s="199">
        <f>Données!D248</f>
        <v>0</v>
      </c>
      <c r="D158" s="200">
        <f>Données!AD248</f>
        <v>0</v>
      </c>
      <c r="E158" s="349">
        <f t="shared" si="36"/>
        <v>0</v>
      </c>
      <c r="F158" s="201">
        <f t="shared" si="18"/>
        <v>0</v>
      </c>
      <c r="G158" s="202">
        <f>IF($F158=0,0,Facture!AI203*12/F158)</f>
        <v>0</v>
      </c>
      <c r="H158" s="203" t="e">
        <f t="shared" ca="1" si="37"/>
        <v>#N/A</v>
      </c>
      <c r="I158" s="203" t="e">
        <f ca="1">IF(F158=" ",0,Facture!J157*12/F158*1.09)</f>
        <v>#DIV/0!</v>
      </c>
      <c r="J158" s="204">
        <f t="shared" si="40"/>
        <v>0</v>
      </c>
      <c r="K158" s="345">
        <f t="shared" si="41"/>
        <v>0</v>
      </c>
      <c r="L158" s="205">
        <f t="shared" si="38"/>
        <v>0</v>
      </c>
      <c r="M158" s="205">
        <f t="shared" si="21"/>
        <v>0</v>
      </c>
      <c r="N158" s="353">
        <f t="shared" si="39"/>
        <v>0</v>
      </c>
      <c r="O158" s="356">
        <f t="shared" si="42"/>
        <v>0</v>
      </c>
      <c r="P158" s="357">
        <f t="shared" si="43"/>
        <v>0</v>
      </c>
      <c r="Q158" s="354">
        <f>IF($F158=0,0,(Facture!$R203+Facture!$T203)*12*IF(Données!$J248="qc",1.09,IF(Données!$J248="on",1.08,1))/$F158)</f>
        <v>0</v>
      </c>
      <c r="R158" s="206"/>
      <c r="S158" s="207">
        <f>MIN(IF($F158=0,0,(Facture!$W203)*12*(1+VLOOKUP($D158,taux,28))/$F158),$J158)</f>
        <v>0</v>
      </c>
      <c r="T158" s="207">
        <f t="shared" si="23"/>
        <v>0</v>
      </c>
      <c r="U158" s="206"/>
      <c r="V158" s="207">
        <f>IF($F158=0,0,Facture!$R203*12*IF(Données!$J248="qc",1.09,IF(Données!$J248="on",1.08,1))/$F158)</f>
        <v>0</v>
      </c>
      <c r="W158" s="207">
        <f>IF($F158=0,0,Facture!$T203*12*IF(Données!$J248="qc",1.09,IF(Données!$J248="on",1.08,1))/$F158)</f>
        <v>0</v>
      </c>
      <c r="X158" s="207">
        <f>IF($F158=0,0,(Facture!$AB203+Facture!$AD203+Facture!$AF203)*12*IF(Données!$J248="qc",1.09,IF(Données!$J248="on",1.08,1))/$F158)</f>
        <v>0</v>
      </c>
      <c r="Y158" s="207">
        <f>IF($F158=0,0,(Facture!$H157+Facture!$J157+Facture!$L157+Facture!$P157+Facture!$V157)*12*IF(Données!$J197="qc",1.09,IF(Données!$J197="on",1.08,1))/$F158)</f>
        <v>0</v>
      </c>
    </row>
    <row r="159" spans="1:25">
      <c r="A159" s="208">
        <f t="shared" si="28"/>
        <v>144</v>
      </c>
      <c r="B159" s="198" t="str">
        <f>CONCATENATE(Données!B249," ",Données!C249)</f>
        <v xml:space="preserve"> </v>
      </c>
      <c r="C159" s="199">
        <f>Données!D249</f>
        <v>0</v>
      </c>
      <c r="D159" s="200">
        <f>Données!AD249</f>
        <v>0</v>
      </c>
      <c r="E159" s="349">
        <f t="shared" si="36"/>
        <v>0</v>
      </c>
      <c r="F159" s="201">
        <f t="shared" si="18"/>
        <v>0</v>
      </c>
      <c r="G159" s="202">
        <f>IF($F159=0,0,Facture!AI204*12/F159)</f>
        <v>0</v>
      </c>
      <c r="H159" s="203" t="e">
        <f t="shared" ca="1" si="37"/>
        <v>#N/A</v>
      </c>
      <c r="I159" s="203" t="e">
        <f ca="1">IF(F159=" ",0,Facture!J158*12/F159*1.09)</f>
        <v>#DIV/0!</v>
      </c>
      <c r="J159" s="204">
        <f t="shared" si="40"/>
        <v>0</v>
      </c>
      <c r="K159" s="345">
        <f t="shared" si="41"/>
        <v>0</v>
      </c>
      <c r="L159" s="205">
        <f t="shared" si="38"/>
        <v>0</v>
      </c>
      <c r="M159" s="205">
        <f t="shared" si="21"/>
        <v>0</v>
      </c>
      <c r="N159" s="353">
        <f t="shared" si="39"/>
        <v>0</v>
      </c>
      <c r="O159" s="356">
        <f t="shared" si="42"/>
        <v>0</v>
      </c>
      <c r="P159" s="357">
        <f t="shared" si="43"/>
        <v>0</v>
      </c>
      <c r="Q159" s="354">
        <f>IF($F159=0,0,(Facture!$R204+Facture!$T204)*12*IF(Données!$J249="qc",1.09,IF(Données!$J249="on",1.08,1))/$F159)</f>
        <v>0</v>
      </c>
      <c r="R159" s="206"/>
      <c r="S159" s="207">
        <f>MIN(IF($F159=0,0,(Facture!$W204)*12*(1+VLOOKUP($D159,taux,28))/$F159),$J159)</f>
        <v>0</v>
      </c>
      <c r="T159" s="207">
        <f t="shared" si="23"/>
        <v>0</v>
      </c>
      <c r="U159" s="206"/>
      <c r="V159" s="207">
        <f>IF($F159=0,0,Facture!$R204*12*IF(Données!$J249="qc",1.09,IF(Données!$J249="on",1.08,1))/$F159)</f>
        <v>0</v>
      </c>
      <c r="W159" s="207">
        <f>IF($F159=0,0,Facture!$T204*12*IF(Données!$J249="qc",1.09,IF(Données!$J249="on",1.08,1))/$F159)</f>
        <v>0</v>
      </c>
      <c r="X159" s="207">
        <f>IF($F159=0,0,(Facture!$AB204+Facture!$AD204+Facture!$AF204)*12*IF(Données!$J249="qc",1.09,IF(Données!$J249="on",1.08,1))/$F159)</f>
        <v>0</v>
      </c>
      <c r="Y159" s="207">
        <f>IF($F159=0,0,(Facture!$H158+Facture!$J158+Facture!$L158+Facture!$P158+Facture!$V158)*12*IF(Données!$J198="qc",1.09,IF(Données!$J198="on",1.08,1))/$F159)</f>
        <v>0</v>
      </c>
    </row>
    <row r="160" spans="1:25">
      <c r="A160" s="208">
        <f t="shared" si="28"/>
        <v>145</v>
      </c>
      <c r="B160" s="198" t="str">
        <f>CONCATENATE(Données!B250," ",Données!C250)</f>
        <v xml:space="preserve"> </v>
      </c>
      <c r="C160" s="199">
        <f>Données!D250</f>
        <v>0</v>
      </c>
      <c r="D160" s="200">
        <f>Données!AD250</f>
        <v>0</v>
      </c>
      <c r="E160" s="349">
        <f t="shared" si="36"/>
        <v>0</v>
      </c>
      <c r="F160" s="201">
        <f t="shared" si="18"/>
        <v>0</v>
      </c>
      <c r="G160" s="202">
        <f>IF($F160=0,0,Facture!AI205*12/F160)</f>
        <v>0</v>
      </c>
      <c r="H160" s="203" t="e">
        <f t="shared" ca="1" si="37"/>
        <v>#N/A</v>
      </c>
      <c r="I160" s="203" t="e">
        <f ca="1">IF(F160=" ",0,Facture!J159*12/F160*1.09)</f>
        <v>#DIV/0!</v>
      </c>
      <c r="J160" s="204">
        <f t="shared" si="40"/>
        <v>0</v>
      </c>
      <c r="K160" s="345">
        <f t="shared" si="41"/>
        <v>0</v>
      </c>
      <c r="L160" s="205">
        <f t="shared" si="38"/>
        <v>0</v>
      </c>
      <c r="M160" s="205">
        <f t="shared" si="21"/>
        <v>0</v>
      </c>
      <c r="N160" s="353">
        <f t="shared" si="39"/>
        <v>0</v>
      </c>
      <c r="O160" s="356">
        <f t="shared" si="42"/>
        <v>0</v>
      </c>
      <c r="P160" s="357">
        <f t="shared" si="43"/>
        <v>0</v>
      </c>
      <c r="Q160" s="354">
        <f>IF($F160=0,0,(Facture!$R205+Facture!$T205)*12*IF(Données!$J250="qc",1.09,IF(Données!$J250="on",1.08,1))/$F160)</f>
        <v>0</v>
      </c>
      <c r="R160" s="206"/>
      <c r="S160" s="207">
        <f>MIN(IF($F160=0,0,(Facture!$W205)*12*(1+VLOOKUP($D160,taux,28))/$F160),$J160)</f>
        <v>0</v>
      </c>
      <c r="T160" s="207">
        <f t="shared" si="23"/>
        <v>0</v>
      </c>
      <c r="U160" s="206"/>
      <c r="V160" s="207">
        <f>IF($F160=0,0,Facture!$R205*12*IF(Données!$J250="qc",1.09,IF(Données!$J250="on",1.08,1))/$F160)</f>
        <v>0</v>
      </c>
      <c r="W160" s="207">
        <f>IF($F160=0,0,Facture!$T205*12*IF(Données!$J250="qc",1.09,IF(Données!$J250="on",1.08,1))/$F160)</f>
        <v>0</v>
      </c>
      <c r="X160" s="207">
        <f>IF($F160=0,0,(Facture!$AB205+Facture!$AD205+Facture!$AF205)*12*IF(Données!$J250="qc",1.09,IF(Données!$J250="on",1.08,1))/$F160)</f>
        <v>0</v>
      </c>
      <c r="Y160" s="207">
        <f>IF($F160=0,0,(Facture!$H159+Facture!$J159+Facture!$L159+Facture!$P159+Facture!$V159)*12*IF(Données!$J199="qc",1.09,IF(Données!$J199="on",1.08,1))/$F160)</f>
        <v>0</v>
      </c>
    </row>
    <row r="161" spans="1:25">
      <c r="A161" s="208">
        <f t="shared" si="28"/>
        <v>146</v>
      </c>
      <c r="B161" s="198" t="str">
        <f>CONCATENATE(Données!B251," ",Données!C251)</f>
        <v xml:space="preserve"> </v>
      </c>
      <c r="C161" s="199">
        <f>Données!D251</f>
        <v>0</v>
      </c>
      <c r="D161" s="200">
        <f>Données!AD251</f>
        <v>0</v>
      </c>
      <c r="E161" s="349">
        <f t="shared" si="36"/>
        <v>0</v>
      </c>
      <c r="F161" s="201">
        <f t="shared" si="18"/>
        <v>0</v>
      </c>
      <c r="G161" s="202">
        <f>IF($F161=0,0,Facture!AI206*12/F161)</f>
        <v>0</v>
      </c>
      <c r="H161" s="203" t="e">
        <f t="shared" ca="1" si="37"/>
        <v>#N/A</v>
      </c>
      <c r="I161" s="203" t="e">
        <f ca="1">IF(F161=" ",0,Facture!J160*12/F161*1.09)</f>
        <v>#DIV/0!</v>
      </c>
      <c r="J161" s="204">
        <f t="shared" si="40"/>
        <v>0</v>
      </c>
      <c r="K161" s="345">
        <f t="shared" si="41"/>
        <v>0</v>
      </c>
      <c r="L161" s="205">
        <f t="shared" si="38"/>
        <v>0</v>
      </c>
      <c r="M161" s="205">
        <f t="shared" si="21"/>
        <v>0</v>
      </c>
      <c r="N161" s="353">
        <f t="shared" si="39"/>
        <v>0</v>
      </c>
      <c r="O161" s="356">
        <f t="shared" si="42"/>
        <v>0</v>
      </c>
      <c r="P161" s="357">
        <f t="shared" si="43"/>
        <v>0</v>
      </c>
      <c r="Q161" s="354">
        <f>IF($F161=0,0,(Facture!$R206+Facture!$T206)*12*IF(Données!$J251="qc",1.09,IF(Données!$J251="on",1.08,1))/$F161)</f>
        <v>0</v>
      </c>
      <c r="R161" s="206"/>
      <c r="S161" s="207">
        <f>MIN(IF($F161=0,0,(Facture!$W206)*12*(1+VLOOKUP($D161,taux,28))/$F161),$J161)</f>
        <v>0</v>
      </c>
      <c r="T161" s="207">
        <f t="shared" si="23"/>
        <v>0</v>
      </c>
      <c r="U161" s="206"/>
      <c r="V161" s="207">
        <f>IF($F161=0,0,Facture!$R206*12*IF(Données!$J251="qc",1.09,IF(Données!$J251="on",1.08,1))/$F161)</f>
        <v>0</v>
      </c>
      <c r="W161" s="207">
        <f>IF($F161=0,0,Facture!$T206*12*IF(Données!$J251="qc",1.09,IF(Données!$J251="on",1.08,1))/$F161)</f>
        <v>0</v>
      </c>
      <c r="X161" s="207">
        <f>IF($F161=0,0,(Facture!$AB206+Facture!$AD206+Facture!$AF206)*12*IF(Données!$J251="qc",1.09,IF(Données!$J251="on",1.08,1))/$F161)</f>
        <v>0</v>
      </c>
      <c r="Y161" s="207">
        <f>IF($F161=0,0,(Facture!$H160+Facture!$J160+Facture!$L160+Facture!$P160+Facture!$V160)*12*IF(Données!$J200="qc",1.09,IF(Données!$J200="on",1.08,1))/$F161)</f>
        <v>0</v>
      </c>
    </row>
    <row r="162" spans="1:25">
      <c r="A162" s="208">
        <f t="shared" si="28"/>
        <v>147</v>
      </c>
      <c r="B162" s="198" t="str">
        <f>CONCATENATE(Données!B252," ",Données!C252)</f>
        <v xml:space="preserve"> </v>
      </c>
      <c r="C162" s="199">
        <f>Données!D252</f>
        <v>0</v>
      </c>
      <c r="D162" s="200">
        <f>Données!AD252</f>
        <v>0</v>
      </c>
      <c r="E162" s="349">
        <f t="shared" si="36"/>
        <v>0</v>
      </c>
      <c r="F162" s="201">
        <f t="shared" si="18"/>
        <v>0</v>
      </c>
      <c r="G162" s="202">
        <f>IF($F162=0,0,Facture!AI207*12/F162)</f>
        <v>0</v>
      </c>
      <c r="H162" s="203" t="e">
        <f t="shared" ca="1" si="37"/>
        <v>#N/A</v>
      </c>
      <c r="I162" s="203" t="e">
        <f ca="1">IF(F162=" ",0,Facture!J161*12/F162*1.09)</f>
        <v>#DIV/0!</v>
      </c>
      <c r="J162" s="204">
        <f t="shared" si="40"/>
        <v>0</v>
      </c>
      <c r="K162" s="345">
        <f t="shared" si="41"/>
        <v>0</v>
      </c>
      <c r="L162" s="205">
        <f t="shared" si="38"/>
        <v>0</v>
      </c>
      <c r="M162" s="205">
        <f t="shared" si="21"/>
        <v>0</v>
      </c>
      <c r="N162" s="353">
        <f t="shared" si="39"/>
        <v>0</v>
      </c>
      <c r="O162" s="356">
        <f t="shared" si="42"/>
        <v>0</v>
      </c>
      <c r="P162" s="357">
        <f t="shared" si="43"/>
        <v>0</v>
      </c>
      <c r="Q162" s="354">
        <f>IF($F162=0,0,(Facture!$R207+Facture!$T207)*12*IF(Données!$J252="qc",1.09,IF(Données!$J252="on",1.08,1))/$F162)</f>
        <v>0</v>
      </c>
      <c r="R162" s="206"/>
      <c r="S162" s="207">
        <f>MIN(IF($F162=0,0,(Facture!$W207)*12*(1+VLOOKUP($D162,taux,28))/$F162),$J162)</f>
        <v>0</v>
      </c>
      <c r="T162" s="207">
        <f t="shared" si="23"/>
        <v>0</v>
      </c>
      <c r="U162" s="206"/>
      <c r="V162" s="207">
        <f>IF($F162=0,0,Facture!$R207*12*IF(Données!$J252="qc",1.09,IF(Données!$J252="on",1.08,1))/$F162)</f>
        <v>0</v>
      </c>
      <c r="W162" s="207">
        <f>IF($F162=0,0,Facture!$T207*12*IF(Données!$J252="qc",1.09,IF(Données!$J252="on",1.08,1))/$F162)</f>
        <v>0</v>
      </c>
      <c r="X162" s="207">
        <f>IF($F162=0,0,(Facture!$AB207+Facture!$AD207+Facture!$AF207)*12*IF(Données!$J252="qc",1.09,IF(Données!$J252="on",1.08,1))/$F162)</f>
        <v>0</v>
      </c>
      <c r="Y162" s="207">
        <f>IF($F162=0,0,(Facture!$H161+Facture!$J161+Facture!$L161+Facture!$P161+Facture!$V161)*12*IF(Données!$J201="qc",1.09,IF(Données!$J201="on",1.08,1))/$F162)</f>
        <v>0</v>
      </c>
    </row>
    <row r="163" spans="1:25">
      <c r="A163" s="208">
        <f t="shared" si="28"/>
        <v>148</v>
      </c>
      <c r="B163" s="198" t="str">
        <f>CONCATENATE(Données!B253," ",Données!C253)</f>
        <v xml:space="preserve"> </v>
      </c>
      <c r="C163" s="199">
        <f>Données!D253</f>
        <v>0</v>
      </c>
      <c r="D163" s="200">
        <f>Données!AD253</f>
        <v>0</v>
      </c>
      <c r="E163" s="349">
        <f t="shared" si="36"/>
        <v>0</v>
      </c>
      <c r="F163" s="201">
        <f t="shared" si="18"/>
        <v>0</v>
      </c>
      <c r="G163" s="202">
        <f>IF($F163=0,0,Facture!AI208*12/F163)</f>
        <v>0</v>
      </c>
      <c r="H163" s="203" t="e">
        <f t="shared" ca="1" si="37"/>
        <v>#N/A</v>
      </c>
      <c r="I163" s="203" t="e">
        <f ca="1">IF(F163=" ",0,Facture!J162*12/F163*1.09)</f>
        <v>#DIV/0!</v>
      </c>
      <c r="J163" s="204">
        <f t="shared" si="40"/>
        <v>0</v>
      </c>
      <c r="K163" s="345">
        <f t="shared" si="41"/>
        <v>0</v>
      </c>
      <c r="L163" s="205">
        <f t="shared" si="38"/>
        <v>0</v>
      </c>
      <c r="M163" s="205">
        <f t="shared" si="21"/>
        <v>0</v>
      </c>
      <c r="N163" s="353">
        <f t="shared" si="39"/>
        <v>0</v>
      </c>
      <c r="O163" s="356">
        <f t="shared" si="42"/>
        <v>0</v>
      </c>
      <c r="P163" s="357">
        <f t="shared" si="43"/>
        <v>0</v>
      </c>
      <c r="Q163" s="354">
        <f>IF($F163=0,0,(Facture!$R208+Facture!$T208)*12*IF(Données!$J253="qc",1.09,IF(Données!$J253="on",1.08,1))/$F163)</f>
        <v>0</v>
      </c>
      <c r="R163" s="206"/>
      <c r="S163" s="207">
        <f>MIN(IF($F163=0,0,(Facture!$W208)*12*(1+VLOOKUP($D163,taux,28))/$F163),$J163)</f>
        <v>0</v>
      </c>
      <c r="T163" s="207">
        <f t="shared" si="23"/>
        <v>0</v>
      </c>
      <c r="U163" s="206"/>
      <c r="V163" s="207">
        <f>IF($F163=0,0,Facture!$R208*12*IF(Données!$J253="qc",1.09,IF(Données!$J253="on",1.08,1))/$F163)</f>
        <v>0</v>
      </c>
      <c r="W163" s="207">
        <f>IF($F163=0,0,Facture!$T208*12*IF(Données!$J253="qc",1.09,IF(Données!$J253="on",1.08,1))/$F163)</f>
        <v>0</v>
      </c>
      <c r="X163" s="207">
        <f>IF($F163=0,0,(Facture!$AB208+Facture!$AD208+Facture!$AF208)*12*IF(Données!$J253="qc",1.09,IF(Données!$J253="on",1.08,1))/$F163)</f>
        <v>0</v>
      </c>
      <c r="Y163" s="207">
        <f>IF($F163=0,0,(Facture!$H162+Facture!$J162+Facture!$L162+Facture!$P162+Facture!$V162)*12*IF(Données!$J202="qc",1.09,IF(Données!$J202="on",1.08,1))/$F163)</f>
        <v>0</v>
      </c>
    </row>
    <row r="164" spans="1:25">
      <c r="A164" s="208">
        <f t="shared" ref="A164:A198" si="44">A163+1</f>
        <v>149</v>
      </c>
      <c r="B164" s="198" t="str">
        <f>CONCATENATE(Données!B254," ",Données!C254)</f>
        <v xml:space="preserve"> </v>
      </c>
      <c r="C164" s="199">
        <f>Données!D254</f>
        <v>0</v>
      </c>
      <c r="D164" s="200">
        <f>Données!AD254</f>
        <v>0</v>
      </c>
      <c r="E164" s="349">
        <f t="shared" si="36"/>
        <v>0</v>
      </c>
      <c r="F164" s="201">
        <f t="shared" si="18"/>
        <v>0</v>
      </c>
      <c r="G164" s="202">
        <f>IF($F164=0,0,Facture!AI209*12/F164)</f>
        <v>0</v>
      </c>
      <c r="H164" s="203" t="e">
        <f t="shared" ca="1" si="37"/>
        <v>#N/A</v>
      </c>
      <c r="I164" s="203" t="e">
        <f ca="1">IF(F164=" ",0,Facture!J163*12/F164*1.09)</f>
        <v>#DIV/0!</v>
      </c>
      <c r="J164" s="204">
        <f t="shared" si="40"/>
        <v>0</v>
      </c>
      <c r="K164" s="345">
        <f t="shared" si="41"/>
        <v>0</v>
      </c>
      <c r="L164" s="205">
        <f t="shared" si="38"/>
        <v>0</v>
      </c>
      <c r="M164" s="205">
        <f t="shared" si="21"/>
        <v>0</v>
      </c>
      <c r="N164" s="353">
        <f t="shared" si="39"/>
        <v>0</v>
      </c>
      <c r="O164" s="356">
        <f t="shared" si="42"/>
        <v>0</v>
      </c>
      <c r="P164" s="357">
        <f t="shared" si="43"/>
        <v>0</v>
      </c>
      <c r="Q164" s="354">
        <f>IF($F164=0,0,(Facture!$R209+Facture!$T209)*12*IF(Données!$J254="qc",1.09,IF(Données!$J254="on",1.08,1))/$F164)</f>
        <v>0</v>
      </c>
      <c r="R164" s="206"/>
      <c r="S164" s="207">
        <f>MIN(IF($F164=0,0,(Facture!$W209)*12*(1+VLOOKUP($D164,taux,28))/$F164),$J164)</f>
        <v>0</v>
      </c>
      <c r="T164" s="207">
        <f t="shared" si="23"/>
        <v>0</v>
      </c>
      <c r="U164" s="206"/>
      <c r="V164" s="207">
        <f>IF($F164=0,0,Facture!$R209*12*IF(Données!$J254="qc",1.09,IF(Données!$J254="on",1.08,1))/$F164)</f>
        <v>0</v>
      </c>
      <c r="W164" s="207">
        <f>IF($F164=0,0,Facture!$T209*12*IF(Données!$J254="qc",1.09,IF(Données!$J254="on",1.08,1))/$F164)</f>
        <v>0</v>
      </c>
      <c r="X164" s="207">
        <f>IF($F164=0,0,(Facture!$AB209+Facture!$AD209+Facture!$AF209)*12*IF(Données!$J254="qc",1.09,IF(Données!$J254="on",1.08,1))/$F164)</f>
        <v>0</v>
      </c>
      <c r="Y164" s="207">
        <f>IF($F164=0,0,(Facture!$H163+Facture!$J163+Facture!$L163+Facture!$P163+Facture!$V163)*12*IF(Données!$J203="qc",1.09,IF(Données!$J203="on",1.08,1))/$F164)</f>
        <v>0</v>
      </c>
    </row>
    <row r="165" spans="1:25">
      <c r="A165" s="208">
        <f t="shared" si="44"/>
        <v>150</v>
      </c>
      <c r="B165" s="198" t="str">
        <f>CONCATENATE(Données!B255," ",Données!C255)</f>
        <v xml:space="preserve"> </v>
      </c>
      <c r="C165" s="199">
        <f>Données!D255</f>
        <v>0</v>
      </c>
      <c r="D165" s="200">
        <f>Données!AD255</f>
        <v>0</v>
      </c>
      <c r="E165" s="349">
        <f t="shared" si="36"/>
        <v>0</v>
      </c>
      <c r="F165" s="201">
        <f t="shared" si="18"/>
        <v>0</v>
      </c>
      <c r="G165" s="202">
        <f>IF($F165=0,0,Facture!AI210*12/F165)</f>
        <v>0</v>
      </c>
      <c r="H165" s="203" t="e">
        <f t="shared" ca="1" si="37"/>
        <v>#N/A</v>
      </c>
      <c r="I165" s="203" t="e">
        <f ca="1">IF(F165=" ",0,Facture!J164*12/F165*1.09)</f>
        <v>#DIV/0!</v>
      </c>
      <c r="J165" s="204">
        <f t="shared" si="40"/>
        <v>0</v>
      </c>
      <c r="K165" s="345">
        <f t="shared" si="41"/>
        <v>0</v>
      </c>
      <c r="L165" s="205">
        <f t="shared" si="38"/>
        <v>0</v>
      </c>
      <c r="M165" s="205">
        <f t="shared" si="21"/>
        <v>0</v>
      </c>
      <c r="N165" s="353">
        <f t="shared" si="39"/>
        <v>0</v>
      </c>
      <c r="O165" s="356">
        <f t="shared" si="42"/>
        <v>0</v>
      </c>
      <c r="P165" s="357">
        <f t="shared" si="43"/>
        <v>0</v>
      </c>
      <c r="Q165" s="354">
        <f>IF($F165=0,0,(Facture!$R210+Facture!$T210)*12*IF(Données!$J255="qc",1.09,IF(Données!$J255="on",1.08,1))/$F165)</f>
        <v>0</v>
      </c>
      <c r="R165" s="206"/>
      <c r="S165" s="207">
        <f>MIN(IF($F165=0,0,(Facture!$W210)*12*(1+VLOOKUP($D165,taux,28))/$F165),$J165)</f>
        <v>0</v>
      </c>
      <c r="T165" s="207">
        <f t="shared" si="23"/>
        <v>0</v>
      </c>
      <c r="U165" s="206"/>
      <c r="V165" s="207">
        <f>IF($F165=0,0,Facture!$R210*12*IF(Données!$J255="qc",1.09,IF(Données!$J255="on",1.08,1))/$F165)</f>
        <v>0</v>
      </c>
      <c r="W165" s="207">
        <f>IF($F165=0,0,Facture!$T210*12*IF(Données!$J255="qc",1.09,IF(Données!$J255="on",1.08,1))/$F165)</f>
        <v>0</v>
      </c>
      <c r="X165" s="207">
        <f>IF($F165=0,0,(Facture!$AB210+Facture!$AD210+Facture!$AF210)*12*IF(Données!$J255="qc",1.09,IF(Données!$J255="on",1.08,1))/$F165)</f>
        <v>0</v>
      </c>
      <c r="Y165" s="207">
        <f>IF($F165=0,0,(Facture!$H164+Facture!$J164+Facture!$L164+Facture!$P164+Facture!$V164)*12*IF(Données!$J204="qc",1.09,IF(Données!$J204="on",1.08,1))/$F165)</f>
        <v>0</v>
      </c>
    </row>
    <row r="166" spans="1:25">
      <c r="A166" s="208">
        <f t="shared" si="44"/>
        <v>151</v>
      </c>
      <c r="B166" s="198" t="str">
        <f>CONCATENATE(Données!B256," ",Données!C256)</f>
        <v xml:space="preserve"> </v>
      </c>
      <c r="C166" s="199">
        <f>Données!D256</f>
        <v>0</v>
      </c>
      <c r="D166" s="200">
        <f>Données!AD256</f>
        <v>0</v>
      </c>
      <c r="E166" s="349">
        <f t="shared" si="36"/>
        <v>0</v>
      </c>
      <c r="F166" s="201">
        <f t="shared" si="18"/>
        <v>0</v>
      </c>
      <c r="G166" s="202">
        <f>IF($F166=0,0,Facture!AI211*12/F166)</f>
        <v>0</v>
      </c>
      <c r="H166" s="203" t="e">
        <f t="shared" ca="1" si="37"/>
        <v>#N/A</v>
      </c>
      <c r="I166" s="203" t="e">
        <f ca="1">IF(F166=" ",0,Facture!J165*12/F166*1.09)</f>
        <v>#DIV/0!</v>
      </c>
      <c r="J166" s="204">
        <f t="shared" si="40"/>
        <v>0</v>
      </c>
      <c r="K166" s="345">
        <f t="shared" si="41"/>
        <v>0</v>
      </c>
      <c r="L166" s="205">
        <f t="shared" si="38"/>
        <v>0</v>
      </c>
      <c r="M166" s="205">
        <f t="shared" si="21"/>
        <v>0</v>
      </c>
      <c r="N166" s="353">
        <f t="shared" si="39"/>
        <v>0</v>
      </c>
      <c r="O166" s="356">
        <f t="shared" si="42"/>
        <v>0</v>
      </c>
      <c r="P166" s="357">
        <f t="shared" si="43"/>
        <v>0</v>
      </c>
      <c r="Q166" s="354">
        <f>IF($F166=0,0,(Facture!$R211+Facture!$T211)*12*IF(Données!$J256="qc",1.09,IF(Données!$J256="on",1.08,1))/$F166)</f>
        <v>0</v>
      </c>
      <c r="R166" s="206"/>
      <c r="S166" s="207">
        <f>MIN(IF($F166=0,0,(Facture!$W211)*12*(1+VLOOKUP($D166,taux,28))/$F166),$J166)</f>
        <v>0</v>
      </c>
      <c r="T166" s="207">
        <f t="shared" si="23"/>
        <v>0</v>
      </c>
      <c r="U166" s="206"/>
      <c r="V166" s="207">
        <f>IF($F166=0,0,Facture!$R211*12*IF(Données!$J256="qc",1.09,IF(Données!$J256="on",1.08,1))/$F166)</f>
        <v>0</v>
      </c>
      <c r="W166" s="207">
        <f>IF($F166=0,0,Facture!$T211*12*IF(Données!$J256="qc",1.09,IF(Données!$J256="on",1.08,1))/$F166)</f>
        <v>0</v>
      </c>
      <c r="X166" s="207">
        <f>IF($F166=0,0,(Facture!$AB211+Facture!$AD211+Facture!$AF211)*12*IF(Données!$J256="qc",1.09,IF(Données!$J256="on",1.08,1))/$F166)</f>
        <v>0</v>
      </c>
      <c r="Y166" s="207">
        <f>IF($F166=0,0,(Facture!$H165+Facture!$J165+Facture!$L165+Facture!$P165+Facture!$V165)*12*IF(Données!$J205="qc",1.09,IF(Données!$J205="on",1.08,1))/$F166)</f>
        <v>0</v>
      </c>
    </row>
    <row r="167" spans="1:25">
      <c r="A167" s="208">
        <f t="shared" si="44"/>
        <v>152</v>
      </c>
      <c r="B167" s="198" t="str">
        <f>CONCATENATE(Données!B257," ",Données!C257)</f>
        <v xml:space="preserve"> </v>
      </c>
      <c r="C167" s="199">
        <f>Données!D257</f>
        <v>0</v>
      </c>
      <c r="D167" s="200">
        <f>Données!AD257</f>
        <v>0</v>
      </c>
      <c r="E167" s="349">
        <f t="shared" si="36"/>
        <v>0</v>
      </c>
      <c r="F167" s="201">
        <f t="shared" si="18"/>
        <v>0</v>
      </c>
      <c r="G167" s="202">
        <f>IF($F167=0,0,Facture!AI212*12/F167)</f>
        <v>0</v>
      </c>
      <c r="H167" s="203" t="e">
        <f t="shared" ca="1" si="37"/>
        <v>#N/A</v>
      </c>
      <c r="I167" s="203" t="e">
        <f ca="1">IF(F167=" ",0,Facture!J166*12/F167*1.09)</f>
        <v>#DIV/0!</v>
      </c>
      <c r="J167" s="204">
        <f t="shared" si="40"/>
        <v>0</v>
      </c>
      <c r="K167" s="345">
        <f t="shared" si="41"/>
        <v>0</v>
      </c>
      <c r="L167" s="205">
        <f t="shared" si="38"/>
        <v>0</v>
      </c>
      <c r="M167" s="205">
        <f t="shared" si="21"/>
        <v>0</v>
      </c>
      <c r="N167" s="353">
        <f t="shared" si="39"/>
        <v>0</v>
      </c>
      <c r="O167" s="356">
        <f t="shared" si="42"/>
        <v>0</v>
      </c>
      <c r="P167" s="357">
        <f t="shared" si="43"/>
        <v>0</v>
      </c>
      <c r="Q167" s="354">
        <f>IF($F167=0,0,(Facture!$R212+Facture!$T212)*12*IF(Données!$J257="qc",1.09,IF(Données!$J257="on",1.08,1))/$F167)</f>
        <v>0</v>
      </c>
      <c r="R167" s="206"/>
      <c r="S167" s="207">
        <f>MIN(IF($F167=0,0,(Facture!$W212)*12*(1+VLOOKUP($D167,taux,28))/$F167),$J167)</f>
        <v>0</v>
      </c>
      <c r="T167" s="207">
        <f t="shared" si="23"/>
        <v>0</v>
      </c>
      <c r="U167" s="206"/>
      <c r="V167" s="207">
        <f>IF($F167=0,0,Facture!$R212*12*IF(Données!$J257="qc",1.09,IF(Données!$J257="on",1.08,1))/$F167)</f>
        <v>0</v>
      </c>
      <c r="W167" s="207">
        <f>IF($F167=0,0,Facture!$T212*12*IF(Données!$J257="qc",1.09,IF(Données!$J257="on",1.08,1))/$F167)</f>
        <v>0</v>
      </c>
      <c r="X167" s="207">
        <f>IF($F167=0,0,(Facture!$AB212+Facture!$AD212+Facture!$AF212)*12*IF(Données!$J257="qc",1.09,IF(Données!$J257="on",1.08,1))/$F167)</f>
        <v>0</v>
      </c>
      <c r="Y167" s="207">
        <f>IF($F167=0,0,(Facture!$H166+Facture!$J166+Facture!$L166+Facture!$P166+Facture!$V166)*12*IF(Données!$J206="qc",1.09,IF(Données!$J206="on",1.08,1))/$F167)</f>
        <v>0</v>
      </c>
    </row>
    <row r="168" spans="1:25">
      <c r="A168" s="208">
        <f t="shared" si="44"/>
        <v>153</v>
      </c>
      <c r="B168" s="198" t="str">
        <f>CONCATENATE(Données!B258," ",Données!C258)</f>
        <v xml:space="preserve"> </v>
      </c>
      <c r="C168" s="199">
        <f>Données!D258</f>
        <v>0</v>
      </c>
      <c r="D168" s="200">
        <f>Données!AD258</f>
        <v>0</v>
      </c>
      <c r="E168" s="349">
        <f t="shared" si="36"/>
        <v>0</v>
      </c>
      <c r="F168" s="201">
        <f t="shared" si="18"/>
        <v>0</v>
      </c>
      <c r="G168" s="202">
        <f>IF($F168=0,0,Facture!AI213*12/F168)</f>
        <v>0</v>
      </c>
      <c r="H168" s="203" t="e">
        <f t="shared" ca="1" si="37"/>
        <v>#N/A</v>
      </c>
      <c r="I168" s="203" t="e">
        <f ca="1">IF(F168=" ",0,Facture!J167*12/F168*1.09)</f>
        <v>#DIV/0!</v>
      </c>
      <c r="J168" s="204">
        <f t="shared" si="40"/>
        <v>0</v>
      </c>
      <c r="K168" s="345">
        <f t="shared" si="41"/>
        <v>0</v>
      </c>
      <c r="L168" s="205">
        <f t="shared" si="38"/>
        <v>0</v>
      </c>
      <c r="M168" s="205">
        <f t="shared" si="21"/>
        <v>0</v>
      </c>
      <c r="N168" s="353">
        <f t="shared" si="39"/>
        <v>0</v>
      </c>
      <c r="O168" s="356">
        <f t="shared" si="42"/>
        <v>0</v>
      </c>
      <c r="P168" s="357">
        <f t="shared" si="43"/>
        <v>0</v>
      </c>
      <c r="Q168" s="354">
        <f>IF($F168=0,0,(Facture!$R213+Facture!$T213)*12*IF(Données!$J258="qc",1.09,IF(Données!$J258="on",1.08,1))/$F168)</f>
        <v>0</v>
      </c>
      <c r="R168" s="206"/>
      <c r="S168" s="207">
        <f>MIN(IF($F168=0,0,(Facture!$W213)*12*(1+VLOOKUP($D168,taux,28))/$F168),$J168)</f>
        <v>0</v>
      </c>
      <c r="T168" s="207">
        <f t="shared" si="23"/>
        <v>0</v>
      </c>
      <c r="U168" s="206"/>
      <c r="V168" s="207">
        <f>IF($F168=0,0,Facture!$R213*12*IF(Données!$J258="qc",1.09,IF(Données!$J258="on",1.08,1))/$F168)</f>
        <v>0</v>
      </c>
      <c r="W168" s="207">
        <f>IF($F168=0,0,Facture!$T213*12*IF(Données!$J258="qc",1.09,IF(Données!$J258="on",1.08,1))/$F168)</f>
        <v>0</v>
      </c>
      <c r="X168" s="207">
        <f>IF($F168=0,0,(Facture!$AB213+Facture!$AD213+Facture!$AF213)*12*IF(Données!$J258="qc",1.09,IF(Données!$J258="on",1.08,1))/$F168)</f>
        <v>0</v>
      </c>
      <c r="Y168" s="207">
        <f>IF($F168=0,0,(Facture!$H167+Facture!$J167+Facture!$L167+Facture!$P167+Facture!$V167)*12*IF(Données!$J207="qc",1.09,IF(Données!$J207="on",1.08,1))/$F168)</f>
        <v>0</v>
      </c>
    </row>
    <row r="169" spans="1:25">
      <c r="A169" s="208">
        <f t="shared" si="44"/>
        <v>154</v>
      </c>
      <c r="B169" s="198" t="str">
        <f>CONCATENATE(Données!B259," ",Données!C259)</f>
        <v xml:space="preserve"> </v>
      </c>
      <c r="C169" s="199">
        <f>Données!D259</f>
        <v>0</v>
      </c>
      <c r="D169" s="200">
        <f>Données!AD259</f>
        <v>0</v>
      </c>
      <c r="E169" s="349">
        <f t="shared" si="36"/>
        <v>0</v>
      </c>
      <c r="F169" s="201">
        <f t="shared" si="18"/>
        <v>0</v>
      </c>
      <c r="G169" s="202">
        <f>IF($F169=0,0,Facture!AI214*12/F169)</f>
        <v>0</v>
      </c>
      <c r="H169" s="203" t="e">
        <f t="shared" ca="1" si="37"/>
        <v>#N/A</v>
      </c>
      <c r="I169" s="203" t="e">
        <f ca="1">IF(F169=" ",0,Facture!J168*12/F169*1.09)</f>
        <v>#DIV/0!</v>
      </c>
      <c r="J169" s="204">
        <f t="shared" si="40"/>
        <v>0</v>
      </c>
      <c r="K169" s="345">
        <f t="shared" si="41"/>
        <v>0</v>
      </c>
      <c r="L169" s="205">
        <f t="shared" si="38"/>
        <v>0</v>
      </c>
      <c r="M169" s="205">
        <f t="shared" si="21"/>
        <v>0</v>
      </c>
      <c r="N169" s="353">
        <f t="shared" si="39"/>
        <v>0</v>
      </c>
      <c r="O169" s="356">
        <f t="shared" si="42"/>
        <v>0</v>
      </c>
      <c r="P169" s="357">
        <f t="shared" si="43"/>
        <v>0</v>
      </c>
      <c r="Q169" s="354">
        <f>IF($F169=0,0,(Facture!$R214+Facture!$T214)*12*IF(Données!$J259="qc",1.09,IF(Données!$J259="on",1.08,1))/$F169)</f>
        <v>0</v>
      </c>
      <c r="R169" s="206"/>
      <c r="S169" s="207">
        <f>MIN(IF($F169=0,0,(Facture!$W214)*12*(1+VLOOKUP($D169,taux,28))/$F169),$J169)</f>
        <v>0</v>
      </c>
      <c r="T169" s="207">
        <f t="shared" si="23"/>
        <v>0</v>
      </c>
      <c r="U169" s="206"/>
      <c r="V169" s="207">
        <f>IF($F169=0,0,Facture!$R214*12*IF(Données!$J259="qc",1.09,IF(Données!$J259="on",1.08,1))/$F169)</f>
        <v>0</v>
      </c>
      <c r="W169" s="207">
        <f>IF($F169=0,0,Facture!$T214*12*IF(Données!$J259="qc",1.09,IF(Données!$J259="on",1.08,1))/$F169)</f>
        <v>0</v>
      </c>
      <c r="X169" s="207">
        <f>IF($F169=0,0,(Facture!$AB214+Facture!$AD214+Facture!$AF214)*12*IF(Données!$J259="qc",1.09,IF(Données!$J259="on",1.08,1))/$F169)</f>
        <v>0</v>
      </c>
      <c r="Y169" s="207">
        <f>IF($F169=0,0,(Facture!$H168+Facture!$J168+Facture!$L168+Facture!$P168+Facture!$V168)*12*IF(Données!$J208="qc",1.09,IF(Données!$J208="on",1.08,1))/$F169)</f>
        <v>0</v>
      </c>
    </row>
    <row r="170" spans="1:25">
      <c r="A170" s="208">
        <f t="shared" si="44"/>
        <v>155</v>
      </c>
      <c r="B170" s="198" t="str">
        <f>CONCATENATE(Données!B260," ",Données!C260)</f>
        <v xml:space="preserve"> </v>
      </c>
      <c r="C170" s="199">
        <f>Données!D260</f>
        <v>0</v>
      </c>
      <c r="D170" s="200">
        <f>Données!AD260</f>
        <v>0</v>
      </c>
      <c r="E170" s="349">
        <f t="shared" si="36"/>
        <v>0</v>
      </c>
      <c r="F170" s="201">
        <f t="shared" si="18"/>
        <v>0</v>
      </c>
      <c r="G170" s="202">
        <f>IF($F170=0,0,Facture!AI215*12/F170)</f>
        <v>0</v>
      </c>
      <c r="H170" s="203" t="e">
        <f t="shared" ca="1" si="37"/>
        <v>#N/A</v>
      </c>
      <c r="I170" s="203" t="e">
        <f ca="1">IF(F170=" ",0,Facture!J169*12/F170*1.09)</f>
        <v>#DIV/0!</v>
      </c>
      <c r="J170" s="204">
        <f t="shared" si="40"/>
        <v>0</v>
      </c>
      <c r="K170" s="345">
        <f t="shared" si="41"/>
        <v>0</v>
      </c>
      <c r="L170" s="205">
        <f t="shared" si="38"/>
        <v>0</v>
      </c>
      <c r="M170" s="205">
        <f t="shared" si="21"/>
        <v>0</v>
      </c>
      <c r="N170" s="353">
        <f t="shared" si="39"/>
        <v>0</v>
      </c>
      <c r="O170" s="356">
        <f t="shared" si="42"/>
        <v>0</v>
      </c>
      <c r="P170" s="357">
        <f t="shared" si="43"/>
        <v>0</v>
      </c>
      <c r="Q170" s="354">
        <f>IF($F170=0,0,(Facture!$R215+Facture!$T215)*12*IF(Données!$J260="qc",1.09,IF(Données!$J260="on",1.08,1))/$F170)</f>
        <v>0</v>
      </c>
      <c r="R170" s="206"/>
      <c r="S170" s="207">
        <f>MIN(IF($F170=0,0,(Facture!$W215)*12*(1+VLOOKUP($D170,taux,28))/$F170),$J170)</f>
        <v>0</v>
      </c>
      <c r="T170" s="207">
        <f t="shared" si="23"/>
        <v>0</v>
      </c>
      <c r="U170" s="206"/>
      <c r="V170" s="207">
        <f>IF($F170=0,0,Facture!$R215*12*IF(Données!$J260="qc",1.09,IF(Données!$J260="on",1.08,1))/$F170)</f>
        <v>0</v>
      </c>
      <c r="W170" s="207">
        <f>IF($F170=0,0,Facture!$T215*12*IF(Données!$J260="qc",1.09,IF(Données!$J260="on",1.08,1))/$F170)</f>
        <v>0</v>
      </c>
      <c r="X170" s="207">
        <f>IF($F170=0,0,(Facture!$AB215+Facture!$AD215+Facture!$AF215)*12*IF(Données!$J260="qc",1.09,IF(Données!$J260="on",1.08,1))/$F170)</f>
        <v>0</v>
      </c>
      <c r="Y170" s="207">
        <f>IF($F170=0,0,(Facture!$H169+Facture!$J169+Facture!$L169+Facture!$P169+Facture!$V169)*12*IF(Données!$J209="qc",1.09,IF(Données!$J209="on",1.08,1))/$F170)</f>
        <v>0</v>
      </c>
    </row>
    <row r="171" spans="1:25">
      <c r="A171" s="208">
        <f t="shared" si="44"/>
        <v>156</v>
      </c>
      <c r="B171" s="198" t="str">
        <f>CONCATENATE(Données!B261," ",Données!C261)</f>
        <v xml:space="preserve"> </v>
      </c>
      <c r="C171" s="199">
        <f>Données!D261</f>
        <v>0</v>
      </c>
      <c r="D171" s="200">
        <f>Données!AD261</f>
        <v>0</v>
      </c>
      <c r="E171" s="349">
        <f t="shared" si="36"/>
        <v>0</v>
      </c>
      <c r="F171" s="201">
        <f t="shared" si="18"/>
        <v>0</v>
      </c>
      <c r="G171" s="202">
        <f>IF($F171=0,0,Facture!AI216*12/F171)</f>
        <v>0</v>
      </c>
      <c r="H171" s="203" t="e">
        <f t="shared" ca="1" si="37"/>
        <v>#N/A</v>
      </c>
      <c r="I171" s="203" t="e">
        <f ca="1">IF(F171=" ",0,Facture!J170*12/F171*1.09)</f>
        <v>#DIV/0!</v>
      </c>
      <c r="J171" s="204">
        <f t="shared" si="40"/>
        <v>0</v>
      </c>
      <c r="K171" s="345">
        <f t="shared" si="41"/>
        <v>0</v>
      </c>
      <c r="L171" s="205">
        <f t="shared" si="38"/>
        <v>0</v>
      </c>
      <c r="M171" s="205">
        <f t="shared" si="21"/>
        <v>0</v>
      </c>
      <c r="N171" s="353">
        <f t="shared" si="39"/>
        <v>0</v>
      </c>
      <c r="O171" s="356">
        <f t="shared" si="42"/>
        <v>0</v>
      </c>
      <c r="P171" s="357">
        <f t="shared" si="43"/>
        <v>0</v>
      </c>
      <c r="Q171" s="354">
        <f>IF($F171=0,0,(Facture!$R216+Facture!$T216)*12*IF(Données!$J261="qc",1.09,IF(Données!$J261="on",1.08,1))/$F171)</f>
        <v>0</v>
      </c>
      <c r="R171" s="206"/>
      <c r="S171" s="207">
        <f>MIN(IF($F171=0,0,(Facture!$W216)*12*(1+VLOOKUP($D171,taux,28))/$F171),$J171)</f>
        <v>0</v>
      </c>
      <c r="T171" s="207">
        <f t="shared" si="23"/>
        <v>0</v>
      </c>
      <c r="U171" s="206"/>
      <c r="V171" s="207">
        <f>IF($F171=0,0,Facture!$R216*12*IF(Données!$J261="qc",1.09,IF(Données!$J261="on",1.08,1))/$F171)</f>
        <v>0</v>
      </c>
      <c r="W171" s="207">
        <f>IF($F171=0,0,Facture!$T216*12*IF(Données!$J261="qc",1.09,IF(Données!$J261="on",1.08,1))/$F171)</f>
        <v>0</v>
      </c>
      <c r="X171" s="207">
        <f>IF($F171=0,0,(Facture!$AB216+Facture!$AD216+Facture!$AF216)*12*IF(Données!$J261="qc",1.09,IF(Données!$J261="on",1.08,1))/$F171)</f>
        <v>0</v>
      </c>
      <c r="Y171" s="207">
        <f>IF($F171=0,0,(Facture!$H170+Facture!$J170+Facture!$L170+Facture!$P170+Facture!$V170)*12*IF(Données!$J210="qc",1.09,IF(Données!$J210="on",1.08,1))/$F171)</f>
        <v>0</v>
      </c>
    </row>
    <row r="172" spans="1:25">
      <c r="A172" s="208">
        <f t="shared" si="44"/>
        <v>157</v>
      </c>
      <c r="B172" s="198" t="str">
        <f>CONCATENATE(Données!B262," ",Données!C262)</f>
        <v xml:space="preserve"> </v>
      </c>
      <c r="C172" s="199">
        <f>Données!D262</f>
        <v>0</v>
      </c>
      <c r="D172" s="200">
        <f>Données!AD262</f>
        <v>0</v>
      </c>
      <c r="E172" s="349">
        <f t="shared" si="36"/>
        <v>0</v>
      </c>
      <c r="F172" s="201">
        <f t="shared" si="18"/>
        <v>0</v>
      </c>
      <c r="G172" s="202">
        <f>IF($F172=0,0,Facture!AI217*12/F172)</f>
        <v>0</v>
      </c>
      <c r="H172" s="203" t="e">
        <f t="shared" ca="1" si="37"/>
        <v>#N/A</v>
      </c>
      <c r="I172" s="203" t="e">
        <f ca="1">IF(F172=" ",0,Facture!J171*12/F172*1.09)</f>
        <v>#DIV/0!</v>
      </c>
      <c r="J172" s="204">
        <f t="shared" si="40"/>
        <v>0</v>
      </c>
      <c r="K172" s="345">
        <f t="shared" si="41"/>
        <v>0</v>
      </c>
      <c r="L172" s="205">
        <f t="shared" si="38"/>
        <v>0</v>
      </c>
      <c r="M172" s="205">
        <f t="shared" si="21"/>
        <v>0</v>
      </c>
      <c r="N172" s="353">
        <f t="shared" si="39"/>
        <v>0</v>
      </c>
      <c r="O172" s="356">
        <f t="shared" si="42"/>
        <v>0</v>
      </c>
      <c r="P172" s="357">
        <f t="shared" si="43"/>
        <v>0</v>
      </c>
      <c r="Q172" s="354">
        <f>IF($F172=0,0,(Facture!$R217+Facture!$T217)*12*IF(Données!$J262="qc",1.09,IF(Données!$J262="on",1.08,1))/$F172)</f>
        <v>0</v>
      </c>
      <c r="R172" s="206"/>
      <c r="S172" s="207">
        <f>MIN(IF($F172=0,0,(Facture!$W217)*12*(1+VLOOKUP($D172,taux,28))/$F172),$J172)</f>
        <v>0</v>
      </c>
      <c r="T172" s="207">
        <f t="shared" si="23"/>
        <v>0</v>
      </c>
      <c r="U172" s="206"/>
      <c r="V172" s="207">
        <f>IF($F172=0,0,Facture!$R217*12*IF(Données!$J262="qc",1.09,IF(Données!$J262="on",1.08,1))/$F172)</f>
        <v>0</v>
      </c>
      <c r="W172" s="207">
        <f>IF($F172=0,0,Facture!$T217*12*IF(Données!$J262="qc",1.09,IF(Données!$J262="on",1.08,1))/$F172)</f>
        <v>0</v>
      </c>
      <c r="X172" s="207">
        <f>IF($F172=0,0,(Facture!$AB217+Facture!$AD217+Facture!$AF217)*12*IF(Données!$J262="qc",1.09,IF(Données!$J262="on",1.08,1))/$F172)</f>
        <v>0</v>
      </c>
      <c r="Y172" s="207">
        <f>IF($F172=0,0,(Facture!$H171+Facture!$J171+Facture!$L171+Facture!$P171+Facture!$V171)*12*IF(Données!$J211="qc",1.09,IF(Données!$J211="on",1.08,1))/$F172)</f>
        <v>0</v>
      </c>
    </row>
    <row r="173" spans="1:25">
      <c r="A173" s="208">
        <f t="shared" si="44"/>
        <v>158</v>
      </c>
      <c r="B173" s="198" t="str">
        <f>CONCATENATE(Données!B263," ",Données!C263)</f>
        <v xml:space="preserve"> </v>
      </c>
      <c r="C173" s="199">
        <f>Données!D263</f>
        <v>0</v>
      </c>
      <c r="D173" s="200">
        <f>Données!AD263</f>
        <v>0</v>
      </c>
      <c r="E173" s="349">
        <f t="shared" si="36"/>
        <v>0</v>
      </c>
      <c r="F173" s="201">
        <f t="shared" si="18"/>
        <v>0</v>
      </c>
      <c r="G173" s="202">
        <f>IF($F173=0,0,Facture!AI218*12/F173)</f>
        <v>0</v>
      </c>
      <c r="H173" s="203" t="e">
        <f t="shared" ca="1" si="37"/>
        <v>#N/A</v>
      </c>
      <c r="I173" s="203" t="e">
        <f ca="1">IF(F173=" ",0,Facture!J172*12/F173*1.09)</f>
        <v>#DIV/0!</v>
      </c>
      <c r="J173" s="204">
        <f t="shared" si="40"/>
        <v>0</v>
      </c>
      <c r="K173" s="345">
        <f t="shared" si="41"/>
        <v>0</v>
      </c>
      <c r="L173" s="205">
        <f t="shared" si="38"/>
        <v>0</v>
      </c>
      <c r="M173" s="205">
        <f t="shared" si="21"/>
        <v>0</v>
      </c>
      <c r="N173" s="353">
        <f t="shared" si="39"/>
        <v>0</v>
      </c>
      <c r="O173" s="356">
        <f t="shared" si="42"/>
        <v>0</v>
      </c>
      <c r="P173" s="357">
        <f t="shared" si="43"/>
        <v>0</v>
      </c>
      <c r="Q173" s="354">
        <f>IF($F173=0,0,(Facture!$R218+Facture!$T218)*12*IF(Données!$J263="qc",1.09,IF(Données!$J263="on",1.08,1))/$F173)</f>
        <v>0</v>
      </c>
      <c r="R173" s="206"/>
      <c r="S173" s="207">
        <f>MIN(IF($F173=0,0,(Facture!$W218)*12*(1+VLOOKUP($D173,taux,28))/$F173),$J173)</f>
        <v>0</v>
      </c>
      <c r="T173" s="207">
        <f t="shared" si="23"/>
        <v>0</v>
      </c>
      <c r="U173" s="206"/>
      <c r="V173" s="207">
        <f>IF($F173=0,0,Facture!$R218*12*IF(Données!$J263="qc",1.09,IF(Données!$J263="on",1.08,1))/$F173)</f>
        <v>0</v>
      </c>
      <c r="W173" s="207">
        <f>IF($F173=0,0,Facture!$T218*12*IF(Données!$J263="qc",1.09,IF(Données!$J263="on",1.08,1))/$F173)</f>
        <v>0</v>
      </c>
      <c r="X173" s="207">
        <f>IF($F173=0,0,(Facture!$AB218+Facture!$AD218+Facture!$AF218)*12*IF(Données!$J263="qc",1.09,IF(Données!$J263="on",1.08,1))/$F173)</f>
        <v>0</v>
      </c>
      <c r="Y173" s="207">
        <f>IF($F173=0,0,(Facture!$H172+Facture!$J172+Facture!$L172+Facture!$P172+Facture!$V172)*12*IF(Données!$J212="qc",1.09,IF(Données!$J212="on",1.08,1))/$F173)</f>
        <v>0</v>
      </c>
    </row>
    <row r="174" spans="1:25">
      <c r="A174" s="208">
        <f t="shared" si="44"/>
        <v>159</v>
      </c>
      <c r="B174" s="198" t="str">
        <f>CONCATENATE(Données!B264," ",Données!C264)</f>
        <v xml:space="preserve"> </v>
      </c>
      <c r="C174" s="199">
        <f>Données!D264</f>
        <v>0</v>
      </c>
      <c r="D174" s="200">
        <f>Données!AD264</f>
        <v>0</v>
      </c>
      <c r="E174" s="349">
        <f t="shared" si="36"/>
        <v>0</v>
      </c>
      <c r="F174" s="201">
        <f t="shared" si="18"/>
        <v>0</v>
      </c>
      <c r="G174" s="202">
        <f>IF($F174=0,0,Facture!AI219*12/F174)</f>
        <v>0</v>
      </c>
      <c r="H174" s="203" t="e">
        <f t="shared" ca="1" si="37"/>
        <v>#N/A</v>
      </c>
      <c r="I174" s="203" t="e">
        <f ca="1">IF(F174=" ",0,Facture!J173*12/F174*1.09)</f>
        <v>#DIV/0!</v>
      </c>
      <c r="J174" s="204">
        <f t="shared" si="40"/>
        <v>0</v>
      </c>
      <c r="K174" s="345">
        <f t="shared" si="41"/>
        <v>0</v>
      </c>
      <c r="L174" s="205">
        <f t="shared" si="38"/>
        <v>0</v>
      </c>
      <c r="M174" s="205">
        <f t="shared" si="21"/>
        <v>0</v>
      </c>
      <c r="N174" s="353">
        <f t="shared" si="39"/>
        <v>0</v>
      </c>
      <c r="O174" s="356">
        <f t="shared" si="42"/>
        <v>0</v>
      </c>
      <c r="P174" s="357">
        <f t="shared" si="43"/>
        <v>0</v>
      </c>
      <c r="Q174" s="354">
        <f>IF($F174=0,0,(Facture!$R219+Facture!$T219)*12*IF(Données!$J264="qc",1.09,IF(Données!$J264="on",1.08,1))/$F174)</f>
        <v>0</v>
      </c>
      <c r="R174" s="206"/>
      <c r="S174" s="207">
        <f>MIN(IF($F174=0,0,(Facture!$W219)*12*(1+VLOOKUP($D174,taux,28))/$F174),$J174)</f>
        <v>0</v>
      </c>
      <c r="T174" s="207">
        <f t="shared" si="23"/>
        <v>0</v>
      </c>
      <c r="U174" s="206"/>
      <c r="V174" s="207">
        <f>IF($F174=0,0,Facture!$R219*12*IF(Données!$J264="qc",1.09,IF(Données!$J264="on",1.08,1))/$F174)</f>
        <v>0</v>
      </c>
      <c r="W174" s="207">
        <f>IF($F174=0,0,Facture!$T219*12*IF(Données!$J264="qc",1.09,IF(Données!$J264="on",1.08,1))/$F174)</f>
        <v>0</v>
      </c>
      <c r="X174" s="207">
        <f>IF($F174=0,0,(Facture!$AB219+Facture!$AD219+Facture!$AF219)*12*IF(Données!$J264="qc",1.09,IF(Données!$J264="on",1.08,1))/$F174)</f>
        <v>0</v>
      </c>
      <c r="Y174" s="207">
        <f>IF($F174=0,0,(Facture!$H173+Facture!$J173+Facture!$L173+Facture!$P173+Facture!$V173)*12*IF(Données!$J213="qc",1.09,IF(Données!$J213="on",1.08,1))/$F174)</f>
        <v>0</v>
      </c>
    </row>
    <row r="175" spans="1:25">
      <c r="A175" s="208">
        <f t="shared" si="44"/>
        <v>160</v>
      </c>
      <c r="B175" s="198" t="str">
        <f>CONCATENATE(Données!B265," ",Données!C265)</f>
        <v xml:space="preserve"> </v>
      </c>
      <c r="C175" s="199">
        <f>Données!D265</f>
        <v>0</v>
      </c>
      <c r="D175" s="200">
        <f>Données!AD265</f>
        <v>0</v>
      </c>
      <c r="E175" s="349">
        <f t="shared" si="36"/>
        <v>0</v>
      </c>
      <c r="F175" s="201">
        <f t="shared" si="18"/>
        <v>0</v>
      </c>
      <c r="G175" s="202">
        <f>IF($F175=0,0,Facture!AI220*12/F175)</f>
        <v>0</v>
      </c>
      <c r="H175" s="203" t="e">
        <f t="shared" ca="1" si="37"/>
        <v>#N/A</v>
      </c>
      <c r="I175" s="203" t="e">
        <f ca="1">IF(F175=" ",0,Facture!J174*12/F175*1.09)</f>
        <v>#DIV/0!</v>
      </c>
      <c r="J175" s="204">
        <f t="shared" si="40"/>
        <v>0</v>
      </c>
      <c r="K175" s="345">
        <f t="shared" si="41"/>
        <v>0</v>
      </c>
      <c r="L175" s="205">
        <f t="shared" si="38"/>
        <v>0</v>
      </c>
      <c r="M175" s="205">
        <f t="shared" si="21"/>
        <v>0</v>
      </c>
      <c r="N175" s="353">
        <f t="shared" si="39"/>
        <v>0</v>
      </c>
      <c r="O175" s="356">
        <f t="shared" si="42"/>
        <v>0</v>
      </c>
      <c r="P175" s="357">
        <f t="shared" si="43"/>
        <v>0</v>
      </c>
      <c r="Q175" s="354">
        <f>IF($F175=0,0,(Facture!$R220+Facture!$T220)*12*IF(Données!$J265="qc",1.09,IF(Données!$J265="on",1.08,1))/$F175)</f>
        <v>0</v>
      </c>
      <c r="R175" s="206"/>
      <c r="S175" s="207">
        <f>MIN(IF($F175=0,0,(Facture!$W220)*12*(1+VLOOKUP($D175,taux,28))/$F175),$J175)</f>
        <v>0</v>
      </c>
      <c r="T175" s="207">
        <f t="shared" si="23"/>
        <v>0</v>
      </c>
      <c r="U175" s="206"/>
      <c r="V175" s="207">
        <f>IF($F175=0,0,Facture!$R220*12*IF(Données!$J265="qc",1.09,IF(Données!$J265="on",1.08,1))/$F175)</f>
        <v>0</v>
      </c>
      <c r="W175" s="207">
        <f>IF($F175=0,0,Facture!$T220*12*IF(Données!$J265="qc",1.09,IF(Données!$J265="on",1.08,1))/$F175)</f>
        <v>0</v>
      </c>
      <c r="X175" s="207">
        <f>IF($F175=0,0,(Facture!$AB220+Facture!$AD220+Facture!$AF220)*12*IF(Données!$J265="qc",1.09,IF(Données!$J265="on",1.08,1))/$F175)</f>
        <v>0</v>
      </c>
      <c r="Y175" s="207">
        <f>IF($F175=0,0,(Facture!$H174+Facture!$J174+Facture!$L174+Facture!$P174+Facture!$V174)*12*IF(Données!$J214="qc",1.09,IF(Données!$J214="on",1.08,1))/$F175)</f>
        <v>0</v>
      </c>
    </row>
    <row r="176" spans="1:25">
      <c r="A176" s="208">
        <f t="shared" si="44"/>
        <v>161</v>
      </c>
      <c r="B176" s="198" t="str">
        <f>CONCATENATE(Données!B266," ",Données!C266)</f>
        <v xml:space="preserve"> </v>
      </c>
      <c r="C176" s="199">
        <f>Données!D266</f>
        <v>0</v>
      </c>
      <c r="D176" s="200">
        <f>Données!AD266</f>
        <v>0</v>
      </c>
      <c r="E176" s="349">
        <f t="shared" si="36"/>
        <v>0</v>
      </c>
      <c r="F176" s="201">
        <f t="shared" si="18"/>
        <v>0</v>
      </c>
      <c r="G176" s="202">
        <f>IF($F176=0,0,Facture!AI221*12/F176)</f>
        <v>0</v>
      </c>
      <c r="H176" s="203" t="e">
        <f t="shared" ref="H176:H198" ca="1" si="45">IF(AND(VLOOKUP($D176,taux,14)="oui",VLOOKUP($D176,taux,19)="oui"),$G176*VLOOKUP($D176,taux,47),IF(AND(VLOOKUP($D176,taux,14)="non",VLOOKUP($D176,taux,19)="non"),MIN($G176*VLOOKUP($D176,taux,47),$G176-$V176-$W176),IF(AND(VLOOKUP($D176,taux,14)="oui",VLOOKUP($D176,taux,19)="non"),MIN($G176*VLOOKUP($D176,taux,47),$G176-$W176),IF(AND(VLOOKUP($D176,taux,14)="non",VLOOKUP($D176,taux,19)="oui"),MIN($G176*VLOOKUP($D176,taux,47),$G176-$V176),IF(VLOOKUP($D176,taux,14)="non",MIN($G176*VLOOKUP($D176,taux,47),$G176-$V176),IF(VLOOKUP($D176,taux,19)="non",MIN($G176*VLOOKUP($D176,taux,47),$G176-$W176),$G176*VLOOKUP($D176,taux,47)))))))-(I176*0.5)</f>
        <v>#N/A</v>
      </c>
      <c r="I176" s="203" t="e">
        <f ca="1">IF(F176=" ",0,Facture!J175*12/F176*1.09)</f>
        <v>#DIV/0!</v>
      </c>
      <c r="J176" s="204">
        <f t="shared" si="40"/>
        <v>0</v>
      </c>
      <c r="K176" s="345">
        <f t="shared" si="41"/>
        <v>0</v>
      </c>
      <c r="L176" s="205">
        <f t="shared" si="38"/>
        <v>0</v>
      </c>
      <c r="M176" s="205">
        <f t="shared" si="21"/>
        <v>0</v>
      </c>
      <c r="N176" s="353">
        <f t="shared" si="39"/>
        <v>0</v>
      </c>
      <c r="O176" s="356">
        <f t="shared" si="42"/>
        <v>0</v>
      </c>
      <c r="P176" s="357">
        <f t="shared" si="43"/>
        <v>0</v>
      </c>
      <c r="Q176" s="354">
        <f>IF($F176=0,0,(Facture!$R221+Facture!$T221)*12*IF(Données!$J266="qc",1.09,IF(Données!$J266="on",1.08,1))/$F176)</f>
        <v>0</v>
      </c>
      <c r="R176" s="206"/>
      <c r="S176" s="207">
        <f>MIN(IF($F176=0,0,(Facture!$W221)*12*(1+VLOOKUP($D176,taux,28))/$F176),$J176)</f>
        <v>0</v>
      </c>
      <c r="T176" s="207">
        <f t="shared" si="23"/>
        <v>0</v>
      </c>
      <c r="U176" s="206"/>
      <c r="V176" s="207">
        <f>IF($F176=0,0,Facture!$R221*12*IF(Données!$J266="qc",1.09,IF(Données!$J266="on",1.08,1))/$F176)</f>
        <v>0</v>
      </c>
      <c r="W176" s="207">
        <f>IF($F176=0,0,Facture!$T221*12*IF(Données!$J266="qc",1.09,IF(Données!$J266="on",1.08,1))/$F176)</f>
        <v>0</v>
      </c>
      <c r="X176" s="207">
        <f>IF($F176=0,0,(Facture!$AB221+Facture!$AD221+Facture!$AF221)*12*IF(Données!$J266="qc",1.09,IF(Données!$J266="on",1.08,1))/$F176)</f>
        <v>0</v>
      </c>
      <c r="Y176" s="207">
        <f>IF($F176=0,0,(Facture!$H175+Facture!$J175+Facture!$L175+Facture!$P175+Facture!$V175)*12*IF(Données!$J215="qc",1.09,IF(Données!$J215="on",1.08,1))/$F176)</f>
        <v>0</v>
      </c>
    </row>
    <row r="177" spans="1:25">
      <c r="A177" s="208">
        <f t="shared" si="44"/>
        <v>162</v>
      </c>
      <c r="B177" s="198" t="str">
        <f>CONCATENATE(Données!B267," ",Données!C267)</f>
        <v xml:space="preserve"> </v>
      </c>
      <c r="C177" s="199">
        <f>Données!D267</f>
        <v>0</v>
      </c>
      <c r="D177" s="200">
        <f>Données!AD267</f>
        <v>0</v>
      </c>
      <c r="E177" s="349">
        <f t="shared" si="36"/>
        <v>0</v>
      </c>
      <c r="F177" s="201">
        <f t="shared" si="18"/>
        <v>0</v>
      </c>
      <c r="G177" s="202">
        <f>IF($F177=0,0,Facture!AI222*12/F177)</f>
        <v>0</v>
      </c>
      <c r="H177" s="203" t="e">
        <f t="shared" ca="1" si="45"/>
        <v>#N/A</v>
      </c>
      <c r="I177" s="203" t="e">
        <f ca="1">IF(F177=" ",0,Facture!J176*12/F177*1.09)</f>
        <v>#DIV/0!</v>
      </c>
      <c r="J177" s="204">
        <f t="shared" si="40"/>
        <v>0</v>
      </c>
      <c r="K177" s="345">
        <f t="shared" si="41"/>
        <v>0</v>
      </c>
      <c r="L177" s="205">
        <f t="shared" si="38"/>
        <v>0</v>
      </c>
      <c r="M177" s="205">
        <f t="shared" si="21"/>
        <v>0</v>
      </c>
      <c r="N177" s="353">
        <f t="shared" si="39"/>
        <v>0</v>
      </c>
      <c r="O177" s="356">
        <f t="shared" si="42"/>
        <v>0</v>
      </c>
      <c r="P177" s="357">
        <f t="shared" si="43"/>
        <v>0</v>
      </c>
      <c r="Q177" s="354">
        <f>IF($F177=0,0,(Facture!$R222+Facture!$T222)*12*IF(Données!$J267="qc",1.09,IF(Données!$J267="on",1.08,1))/$F177)</f>
        <v>0</v>
      </c>
      <c r="R177" s="206"/>
      <c r="S177" s="207">
        <f>MIN(IF($F177=0,0,(Facture!$W222)*12*(1+VLOOKUP($D177,taux,28))/$F177),$J177)</f>
        <v>0</v>
      </c>
      <c r="T177" s="207">
        <f t="shared" si="23"/>
        <v>0</v>
      </c>
      <c r="U177" s="206"/>
      <c r="V177" s="207">
        <f>IF($F177=0,0,Facture!$R222*12*IF(Données!$J267="qc",1.09,IF(Données!$J267="on",1.08,1))/$F177)</f>
        <v>0</v>
      </c>
      <c r="W177" s="207">
        <f>IF($F177=0,0,Facture!$T222*12*IF(Données!$J267="qc",1.09,IF(Données!$J267="on",1.08,1))/$F177)</f>
        <v>0</v>
      </c>
      <c r="X177" s="207">
        <f>IF($F177=0,0,(Facture!$AB222+Facture!$AD222+Facture!$AF222)*12*IF(Données!$J267="qc",1.09,IF(Données!$J267="on",1.08,1))/$F177)</f>
        <v>0</v>
      </c>
      <c r="Y177" s="207">
        <f>IF($F177=0,0,(Facture!$H176+Facture!$J176+Facture!$L176+Facture!$P176+Facture!$V176)*12*IF(Données!$J216="qc",1.09,IF(Données!$J216="on",1.08,1))/$F177)</f>
        <v>0</v>
      </c>
    </row>
    <row r="178" spans="1:25">
      <c r="A178" s="208">
        <f t="shared" si="44"/>
        <v>163</v>
      </c>
      <c r="B178" s="198" t="str">
        <f>CONCATENATE(Données!B268," ",Données!C268)</f>
        <v xml:space="preserve"> </v>
      </c>
      <c r="C178" s="199">
        <f>Données!D268</f>
        <v>0</v>
      </c>
      <c r="D178" s="200">
        <f>Données!AD268</f>
        <v>0</v>
      </c>
      <c r="E178" s="349">
        <f t="shared" si="36"/>
        <v>0</v>
      </c>
      <c r="F178" s="201">
        <f t="shared" si="18"/>
        <v>0</v>
      </c>
      <c r="G178" s="202">
        <f>IF($F178=0,0,Facture!AI223*12/F178)</f>
        <v>0</v>
      </c>
      <c r="H178" s="203" t="e">
        <f t="shared" ca="1" si="45"/>
        <v>#N/A</v>
      </c>
      <c r="I178" s="203" t="e">
        <f ca="1">IF(F178=" ",0,Facture!J177*12/F178*1.09)</f>
        <v>#DIV/0!</v>
      </c>
      <c r="J178" s="204">
        <f t="shared" si="40"/>
        <v>0</v>
      </c>
      <c r="K178" s="345">
        <f t="shared" si="41"/>
        <v>0</v>
      </c>
      <c r="L178" s="205">
        <f t="shared" si="38"/>
        <v>0</v>
      </c>
      <c r="M178" s="205">
        <f t="shared" si="21"/>
        <v>0</v>
      </c>
      <c r="N178" s="353">
        <f t="shared" si="39"/>
        <v>0</v>
      </c>
      <c r="O178" s="356">
        <f t="shared" si="42"/>
        <v>0</v>
      </c>
      <c r="P178" s="357">
        <f t="shared" si="43"/>
        <v>0</v>
      </c>
      <c r="Q178" s="354">
        <f>IF($F178=0,0,(Facture!$R223+Facture!$T223)*12*IF(Données!$J268="qc",1.09,IF(Données!$J268="on",1.08,1))/$F178)</f>
        <v>0</v>
      </c>
      <c r="R178" s="206"/>
      <c r="S178" s="207">
        <f>MIN(IF($F178=0,0,(Facture!$W223)*12*(1+VLOOKUP($D178,taux,28))/$F178),$J178)</f>
        <v>0</v>
      </c>
      <c r="T178" s="207">
        <f t="shared" si="23"/>
        <v>0</v>
      </c>
      <c r="U178" s="206"/>
      <c r="V178" s="207">
        <f>IF($F178=0,0,Facture!$R223*12*IF(Données!$J268="qc",1.09,IF(Données!$J268="on",1.08,1))/$F178)</f>
        <v>0</v>
      </c>
      <c r="W178" s="207">
        <f>IF($F178=0,0,Facture!$T223*12*IF(Données!$J268="qc",1.09,IF(Données!$J268="on",1.08,1))/$F178)</f>
        <v>0</v>
      </c>
      <c r="X178" s="207">
        <f>IF($F178=0,0,(Facture!$AB223+Facture!$AD223+Facture!$AF223)*12*IF(Données!$J268="qc",1.09,IF(Données!$J268="on",1.08,1))/$F178)</f>
        <v>0</v>
      </c>
      <c r="Y178" s="207">
        <f>IF($F178=0,0,(Facture!$H177+Facture!$J177+Facture!$L177+Facture!$P177+Facture!$V177)*12*IF(Données!$J217="qc",1.09,IF(Données!$J217="on",1.08,1))/$F178)</f>
        <v>0</v>
      </c>
    </row>
    <row r="179" spans="1:25">
      <c r="A179" s="208">
        <f t="shared" si="44"/>
        <v>164</v>
      </c>
      <c r="B179" s="198" t="str">
        <f>CONCATENATE(Données!B269," ",Données!C269)</f>
        <v xml:space="preserve"> </v>
      </c>
      <c r="C179" s="199">
        <f>Données!D269</f>
        <v>0</v>
      </c>
      <c r="D179" s="200">
        <f>Données!AD269</f>
        <v>0</v>
      </c>
      <c r="E179" s="349">
        <f t="shared" si="36"/>
        <v>0</v>
      </c>
      <c r="F179" s="201">
        <f t="shared" si="18"/>
        <v>0</v>
      </c>
      <c r="G179" s="202">
        <f>IF($F179=0,0,Facture!AI224*12/F179)</f>
        <v>0</v>
      </c>
      <c r="H179" s="203" t="e">
        <f t="shared" ca="1" si="45"/>
        <v>#N/A</v>
      </c>
      <c r="I179" s="203" t="e">
        <f ca="1">IF(F179=" ",0,Facture!J178*12/F179*1.09)</f>
        <v>#DIV/0!</v>
      </c>
      <c r="J179" s="204">
        <f t="shared" si="40"/>
        <v>0</v>
      </c>
      <c r="K179" s="345">
        <f t="shared" si="41"/>
        <v>0</v>
      </c>
      <c r="L179" s="205">
        <f t="shared" si="38"/>
        <v>0</v>
      </c>
      <c r="M179" s="205">
        <f t="shared" si="21"/>
        <v>0</v>
      </c>
      <c r="N179" s="353">
        <f t="shared" si="39"/>
        <v>0</v>
      </c>
      <c r="O179" s="356">
        <f t="shared" si="42"/>
        <v>0</v>
      </c>
      <c r="P179" s="357">
        <f t="shared" si="43"/>
        <v>0</v>
      </c>
      <c r="Q179" s="354">
        <f>IF($F179=0,0,(Facture!$R224+Facture!$T224)*12*IF(Données!$J269="qc",1.09,IF(Données!$J269="on",1.08,1))/$F179)</f>
        <v>0</v>
      </c>
      <c r="R179" s="206"/>
      <c r="S179" s="207">
        <f>MIN(IF($F179=0,0,(Facture!$W224)*12*(1+VLOOKUP($D179,taux,28))/$F179),$J179)</f>
        <v>0</v>
      </c>
      <c r="T179" s="205">
        <f t="shared" si="23"/>
        <v>0</v>
      </c>
      <c r="U179" s="206"/>
      <c r="V179" s="207">
        <f>IF($F179=0,0,Facture!$R224*12*IF(Données!$J269="qc",1.09,IF(Données!$J269="on",1.08,1))/$F179)</f>
        <v>0</v>
      </c>
      <c r="W179" s="207">
        <f>IF($F179=0,0,Facture!$T224*12*IF(Données!$J269="qc",1.09,IF(Données!$J269="on",1.08,1))/$F179)</f>
        <v>0</v>
      </c>
      <c r="X179" s="207">
        <f>IF($F179=0,0,(Facture!$AB224+Facture!$AD224+Facture!$AF224)*12*IF(Données!$J269="qc",1.09,IF(Données!$J269="on",1.08,1))/$F179)</f>
        <v>0</v>
      </c>
      <c r="Y179" s="207">
        <f>IF($F179=0,0,(Facture!$H178+Facture!$J178+Facture!$L178+Facture!$P178+Facture!$V178)*12*IF(Données!$J218="qc",1.09,IF(Données!$J218="on",1.08,1))/$F179)</f>
        <v>0</v>
      </c>
    </row>
    <row r="180" spans="1:25">
      <c r="A180" s="208">
        <f t="shared" si="44"/>
        <v>165</v>
      </c>
      <c r="B180" s="198" t="str">
        <f>CONCATENATE(Données!B270," ",Données!C270)</f>
        <v xml:space="preserve"> </v>
      </c>
      <c r="C180" s="199">
        <f>Données!D270</f>
        <v>0</v>
      </c>
      <c r="D180" s="200">
        <f>Données!AD270</f>
        <v>0</v>
      </c>
      <c r="E180" s="349">
        <f t="shared" si="36"/>
        <v>0</v>
      </c>
      <c r="F180" s="201">
        <f t="shared" si="18"/>
        <v>0</v>
      </c>
      <c r="G180" s="202">
        <f>IF($F180=0,0,Facture!AI225*12/F180)</f>
        <v>0</v>
      </c>
      <c r="H180" s="203" t="e">
        <f t="shared" ca="1" si="45"/>
        <v>#N/A</v>
      </c>
      <c r="I180" s="203" t="e">
        <f ca="1">IF(F180=" ",0,Facture!J179*12/F180*1.09)</f>
        <v>#DIV/0!</v>
      </c>
      <c r="J180" s="204">
        <f t="shared" si="40"/>
        <v>0</v>
      </c>
      <c r="K180" s="345">
        <f t="shared" si="41"/>
        <v>0</v>
      </c>
      <c r="L180" s="205">
        <f t="shared" si="38"/>
        <v>0</v>
      </c>
      <c r="M180" s="205">
        <f t="shared" si="21"/>
        <v>0</v>
      </c>
      <c r="N180" s="353">
        <f t="shared" si="39"/>
        <v>0</v>
      </c>
      <c r="O180" s="356">
        <f t="shared" si="42"/>
        <v>0</v>
      </c>
      <c r="P180" s="357">
        <f t="shared" si="43"/>
        <v>0</v>
      </c>
      <c r="Q180" s="354">
        <f>IF($F180=0,0,(Facture!$R225+Facture!$T225)*12*IF(Données!$J270="qc",1.09,IF(Données!$J270="on",1.08,1))/$F180)</f>
        <v>0</v>
      </c>
      <c r="R180" s="206"/>
      <c r="S180" s="207">
        <f>MIN(IF($F180=0,0,(Facture!$W225)*12*(1+VLOOKUP($D180,taux,28))/$F180),$J180)</f>
        <v>0</v>
      </c>
      <c r="T180" s="205">
        <f t="shared" si="23"/>
        <v>0</v>
      </c>
      <c r="U180" s="206"/>
      <c r="V180" s="207">
        <f>IF($F180=0,0,Facture!$R225*12*IF(Données!$J270="qc",1.09,IF(Données!$J270="on",1.08,1))/$F180)</f>
        <v>0</v>
      </c>
      <c r="W180" s="207">
        <f>IF($F180=0,0,Facture!$T225*12*IF(Données!$J270="qc",1.09,IF(Données!$J270="on",1.08,1))/$F180)</f>
        <v>0</v>
      </c>
      <c r="X180" s="207">
        <f>IF($F180=0,0,(Facture!$AB225+Facture!$AD225+Facture!$AF225)*12*IF(Données!$J270="qc",1.09,IF(Données!$J270="on",1.08,1))/$F180)</f>
        <v>0</v>
      </c>
      <c r="Y180" s="207">
        <f>IF($F180=0,0,(Facture!$H179+Facture!$J179+Facture!$L179+Facture!$P179+Facture!$V179)*12*IF(Données!$J219="qc",1.09,IF(Données!$J219="on",1.08,1))/$F180)</f>
        <v>0</v>
      </c>
    </row>
    <row r="181" spans="1:25">
      <c r="A181" s="208">
        <f t="shared" si="44"/>
        <v>166</v>
      </c>
      <c r="B181" s="198" t="str">
        <f>CONCATENATE(Données!B271," ",Données!C271)</f>
        <v xml:space="preserve"> </v>
      </c>
      <c r="C181" s="199">
        <f>Données!D271</f>
        <v>0</v>
      </c>
      <c r="D181" s="200">
        <f>Données!AD271</f>
        <v>0</v>
      </c>
      <c r="E181" s="349">
        <f t="shared" si="36"/>
        <v>0</v>
      </c>
      <c r="F181" s="201">
        <f t="shared" si="18"/>
        <v>0</v>
      </c>
      <c r="G181" s="202">
        <f>IF($F181=0,0,Facture!AI226*12/F181)</f>
        <v>0</v>
      </c>
      <c r="H181" s="203" t="e">
        <f t="shared" ca="1" si="45"/>
        <v>#N/A</v>
      </c>
      <c r="I181" s="203" t="e">
        <f ca="1">IF(F181=" ",0,Facture!J180*12/F181*1.09)</f>
        <v>#DIV/0!</v>
      </c>
      <c r="J181" s="204">
        <f t="shared" si="40"/>
        <v>0</v>
      </c>
      <c r="K181" s="345">
        <f t="shared" si="41"/>
        <v>0</v>
      </c>
      <c r="L181" s="205">
        <f t="shared" si="38"/>
        <v>0</v>
      </c>
      <c r="M181" s="205">
        <f t="shared" si="21"/>
        <v>0</v>
      </c>
      <c r="N181" s="353">
        <f t="shared" si="39"/>
        <v>0</v>
      </c>
      <c r="O181" s="356">
        <f t="shared" si="42"/>
        <v>0</v>
      </c>
      <c r="P181" s="357">
        <f t="shared" si="43"/>
        <v>0</v>
      </c>
      <c r="Q181" s="354">
        <f>IF($F181=0,0,(Facture!$R226+Facture!$T226)*12*IF(Données!$J271="qc",1.09,IF(Données!$J271="on",1.08,1))/$F181)</f>
        <v>0</v>
      </c>
      <c r="R181" s="206"/>
      <c r="S181" s="207">
        <f>MIN(IF($F181=0,0,(Facture!$W226)*12*(1+VLOOKUP($D181,taux,28))/$F181),$J181)</f>
        <v>0</v>
      </c>
      <c r="T181" s="205">
        <f t="shared" si="23"/>
        <v>0</v>
      </c>
      <c r="U181" s="206"/>
      <c r="V181" s="207">
        <f>IF($F181=0,0,Facture!$R226*12*IF(Données!$J271="qc",1.09,IF(Données!$J271="on",1.08,1))/$F181)</f>
        <v>0</v>
      </c>
      <c r="W181" s="207">
        <f>IF($F181=0,0,Facture!$T226*12*IF(Données!$J271="qc",1.09,IF(Données!$J271="on",1.08,1))/$F181)</f>
        <v>0</v>
      </c>
      <c r="X181" s="207">
        <f>IF($F181=0,0,(Facture!$AB226+Facture!$AD226+Facture!$AF226)*12*IF(Données!$J271="qc",1.09,IF(Données!$J271="on",1.08,1))/$F181)</f>
        <v>0</v>
      </c>
      <c r="Y181" s="207">
        <f>IF($F181=0,0,(Facture!$H180+Facture!$J180+Facture!$L180+Facture!$P180+Facture!$V180)*12*IF(Données!$J220="qc",1.09,IF(Données!$J220="on",1.08,1))/$F181)</f>
        <v>0</v>
      </c>
    </row>
    <row r="182" spans="1:25">
      <c r="A182" s="208">
        <f t="shared" si="44"/>
        <v>167</v>
      </c>
      <c r="B182" s="198" t="str">
        <f>CONCATENATE(Données!B272," ",Données!C272)</f>
        <v xml:space="preserve"> </v>
      </c>
      <c r="C182" s="199">
        <f>Données!D272</f>
        <v>0</v>
      </c>
      <c r="D182" s="200">
        <f>Données!AD272</f>
        <v>0</v>
      </c>
      <c r="E182" s="349">
        <f t="shared" si="36"/>
        <v>0</v>
      </c>
      <c r="F182" s="201">
        <f t="shared" si="18"/>
        <v>0</v>
      </c>
      <c r="G182" s="202">
        <f>IF($F182=0,0,Facture!AI227*12/F182)</f>
        <v>0</v>
      </c>
      <c r="H182" s="203" t="e">
        <f t="shared" ca="1" si="45"/>
        <v>#N/A</v>
      </c>
      <c r="I182" s="203" t="e">
        <f ca="1">IF(F182=" ",0,Facture!J181*12/F182*1.09)</f>
        <v>#DIV/0!</v>
      </c>
      <c r="J182" s="204">
        <f t="shared" si="40"/>
        <v>0</v>
      </c>
      <c r="K182" s="345">
        <f t="shared" si="41"/>
        <v>0</v>
      </c>
      <c r="L182" s="205">
        <f t="shared" si="38"/>
        <v>0</v>
      </c>
      <c r="M182" s="205">
        <f t="shared" si="21"/>
        <v>0</v>
      </c>
      <c r="N182" s="353">
        <f t="shared" si="39"/>
        <v>0</v>
      </c>
      <c r="O182" s="356">
        <f t="shared" si="42"/>
        <v>0</v>
      </c>
      <c r="P182" s="357">
        <f t="shared" si="43"/>
        <v>0</v>
      </c>
      <c r="Q182" s="354">
        <f>IF($F182=0,0,(Facture!$R227+Facture!$T227)*12*IF(Données!$J272="qc",1.09,IF(Données!$J272="on",1.08,1))/$F182)</f>
        <v>0</v>
      </c>
      <c r="R182" s="206"/>
      <c r="S182" s="207">
        <f>MIN(IF($F182=0,0,(Facture!$W227)*12*(1+VLOOKUP($D182,taux,28))/$F182),$J182)</f>
        <v>0</v>
      </c>
      <c r="T182" s="205">
        <f t="shared" si="23"/>
        <v>0</v>
      </c>
      <c r="U182" s="206"/>
      <c r="V182" s="207">
        <f>IF($F182=0,0,Facture!$R227*12*IF(Données!$J272="qc",1.09,IF(Données!$J272="on",1.08,1))/$F182)</f>
        <v>0</v>
      </c>
      <c r="W182" s="207">
        <f>IF($F182=0,0,Facture!$T227*12*IF(Données!$J272="qc",1.09,IF(Données!$J272="on",1.08,1))/$F182)</f>
        <v>0</v>
      </c>
      <c r="X182" s="207">
        <f>IF($F182=0,0,(Facture!$AB227+Facture!$AD227+Facture!$AF227)*12*IF(Données!$J272="qc",1.09,IF(Données!$J272="on",1.08,1))/$F182)</f>
        <v>0</v>
      </c>
      <c r="Y182" s="207">
        <f>IF($F182=0,0,(Facture!$H181+Facture!$J181+Facture!$L181+Facture!$P181+Facture!$V181)*12*IF(Données!$J221="qc",1.09,IF(Données!$J221="on",1.08,1))/$F182)</f>
        <v>0</v>
      </c>
    </row>
    <row r="183" spans="1:25">
      <c r="A183" s="208">
        <f t="shared" si="44"/>
        <v>168</v>
      </c>
      <c r="B183" s="198" t="str">
        <f>CONCATENATE(Données!B273," ",Données!C273)</f>
        <v xml:space="preserve"> </v>
      </c>
      <c r="C183" s="199">
        <f>Données!D273</f>
        <v>0</v>
      </c>
      <c r="D183" s="200">
        <f>Données!AD273</f>
        <v>0</v>
      </c>
      <c r="E183" s="349">
        <f t="shared" si="36"/>
        <v>0</v>
      </c>
      <c r="F183" s="201">
        <f t="shared" si="18"/>
        <v>0</v>
      </c>
      <c r="G183" s="202">
        <f>IF($F183=0,0,Facture!AI228*12/F183)</f>
        <v>0</v>
      </c>
      <c r="H183" s="203" t="e">
        <f t="shared" ca="1" si="45"/>
        <v>#N/A</v>
      </c>
      <c r="I183" s="203" t="e">
        <f ca="1">IF(F183=" ",0,Facture!J182*12/F183*1.09)</f>
        <v>#DIV/0!</v>
      </c>
      <c r="J183" s="204">
        <f t="shared" si="40"/>
        <v>0</v>
      </c>
      <c r="K183" s="345">
        <f t="shared" si="41"/>
        <v>0</v>
      </c>
      <c r="L183" s="205">
        <f t="shared" si="38"/>
        <v>0</v>
      </c>
      <c r="M183" s="205">
        <f t="shared" si="21"/>
        <v>0</v>
      </c>
      <c r="N183" s="353">
        <f t="shared" si="39"/>
        <v>0</v>
      </c>
      <c r="O183" s="356">
        <f t="shared" si="42"/>
        <v>0</v>
      </c>
      <c r="P183" s="357">
        <f t="shared" si="43"/>
        <v>0</v>
      </c>
      <c r="Q183" s="354">
        <f>IF($F183=0,0,(Facture!$R228+Facture!$T228)*12*IF(Données!$J273="qc",1.09,IF(Données!$J273="on",1.08,1))/$F183)</f>
        <v>0</v>
      </c>
      <c r="R183" s="206"/>
      <c r="S183" s="207">
        <f>MIN(IF($F183=0,0,(Facture!$W228)*12*(1+VLOOKUP($D183,taux,28))/$F183),$J183)</f>
        <v>0</v>
      </c>
      <c r="T183" s="205">
        <f t="shared" si="23"/>
        <v>0</v>
      </c>
      <c r="U183" s="206"/>
      <c r="V183" s="207">
        <f>IF($F183=0,0,Facture!$R228*12*IF(Données!$J273="qc",1.09,IF(Données!$J273="on",1.08,1))/$F183)</f>
        <v>0</v>
      </c>
      <c r="W183" s="207">
        <f>IF($F183=0,0,Facture!$T228*12*IF(Données!$J273="qc",1.09,IF(Données!$J273="on",1.08,1))/$F183)</f>
        <v>0</v>
      </c>
      <c r="X183" s="207">
        <f>IF($F183=0,0,(Facture!$AB228+Facture!$AD228+Facture!$AF228)*12*IF(Données!$J273="qc",1.09,IF(Données!$J273="on",1.08,1))/$F183)</f>
        <v>0</v>
      </c>
      <c r="Y183" s="207">
        <f>IF($F183=0,0,(Facture!$H182+Facture!$J182+Facture!$L182+Facture!$P182+Facture!$V182)*12*IF(Données!$J222="qc",1.09,IF(Données!$J222="on",1.08,1))/$F183)</f>
        <v>0</v>
      </c>
    </row>
    <row r="184" spans="1:25">
      <c r="A184" s="208">
        <f t="shared" si="44"/>
        <v>169</v>
      </c>
      <c r="B184" s="198" t="str">
        <f>CONCATENATE(Données!B274," ",Données!C274)</f>
        <v xml:space="preserve"> </v>
      </c>
      <c r="C184" s="199">
        <f>Données!D274</f>
        <v>0</v>
      </c>
      <c r="D184" s="200">
        <f>Données!AD274</f>
        <v>0</v>
      </c>
      <c r="E184" s="349">
        <f t="shared" si="36"/>
        <v>0</v>
      </c>
      <c r="F184" s="201">
        <f t="shared" si="18"/>
        <v>0</v>
      </c>
      <c r="G184" s="202">
        <f>IF($F184=0,0,Facture!AI229*12/F184)</f>
        <v>0</v>
      </c>
      <c r="H184" s="203" t="e">
        <f t="shared" ca="1" si="45"/>
        <v>#N/A</v>
      </c>
      <c r="I184" s="203" t="e">
        <f ca="1">IF(F184=" ",0,Facture!J183*12/F184*1.09)</f>
        <v>#DIV/0!</v>
      </c>
      <c r="J184" s="204">
        <f t="shared" si="40"/>
        <v>0</v>
      </c>
      <c r="K184" s="345">
        <f t="shared" si="41"/>
        <v>0</v>
      </c>
      <c r="L184" s="205">
        <f t="shared" si="38"/>
        <v>0</v>
      </c>
      <c r="M184" s="205">
        <f t="shared" si="21"/>
        <v>0</v>
      </c>
      <c r="N184" s="353">
        <f t="shared" si="39"/>
        <v>0</v>
      </c>
      <c r="O184" s="356">
        <f t="shared" si="42"/>
        <v>0</v>
      </c>
      <c r="P184" s="357">
        <f t="shared" si="43"/>
        <v>0</v>
      </c>
      <c r="Q184" s="354">
        <f>IF($F184=0,0,(Facture!$R229+Facture!$T229)*12*IF(Données!$J274="qc",1.09,IF(Données!$J274="on",1.08,1))/$F184)</f>
        <v>0</v>
      </c>
      <c r="R184" s="206"/>
      <c r="S184" s="207">
        <f>MIN(IF($F184=0,0,(Facture!$W229)*12*(1+VLOOKUP($D184,taux,28))/$F184),$J184)</f>
        <v>0</v>
      </c>
      <c r="T184" s="205">
        <f t="shared" si="23"/>
        <v>0</v>
      </c>
      <c r="U184" s="206"/>
      <c r="V184" s="207">
        <f>IF($F184=0,0,Facture!$R229*12*IF(Données!$J274="qc",1.09,IF(Données!$J274="on",1.08,1))/$F184)</f>
        <v>0</v>
      </c>
      <c r="W184" s="207">
        <f>IF($F184=0,0,Facture!$T229*12*IF(Données!$J274="qc",1.09,IF(Données!$J274="on",1.08,1))/$F184)</f>
        <v>0</v>
      </c>
      <c r="X184" s="207">
        <f>IF($F184=0,0,(Facture!$AB229+Facture!$AD229+Facture!$AF229)*12*IF(Données!$J274="qc",1.09,IF(Données!$J274="on",1.08,1))/$F184)</f>
        <v>0</v>
      </c>
      <c r="Y184" s="207">
        <f>IF($F184=0,0,(Facture!$H183+Facture!$J183+Facture!$L183+Facture!$P183+Facture!$V183)*12*IF(Données!$J223="qc",1.09,IF(Données!$J223="on",1.08,1))/$F184)</f>
        <v>0</v>
      </c>
    </row>
    <row r="185" spans="1:25">
      <c r="A185" s="208">
        <f t="shared" si="44"/>
        <v>170</v>
      </c>
      <c r="B185" s="198" t="str">
        <f>CONCATENATE(Données!B275," ",Données!C275)</f>
        <v xml:space="preserve"> </v>
      </c>
      <c r="C185" s="199">
        <f>Données!D275</f>
        <v>0</v>
      </c>
      <c r="D185" s="200">
        <f>Données!AD275</f>
        <v>0</v>
      </c>
      <c r="E185" s="349">
        <f t="shared" si="36"/>
        <v>0</v>
      </c>
      <c r="F185" s="201">
        <f t="shared" si="18"/>
        <v>0</v>
      </c>
      <c r="G185" s="202">
        <f>IF($F185=0,0,Facture!AI230*12/F185)</f>
        <v>0</v>
      </c>
      <c r="H185" s="203" t="e">
        <f t="shared" ca="1" si="45"/>
        <v>#N/A</v>
      </c>
      <c r="I185" s="203" t="e">
        <f ca="1">IF(F185=" ",0,Facture!J184*12/F185*1.09)</f>
        <v>#DIV/0!</v>
      </c>
      <c r="J185" s="204">
        <f t="shared" si="40"/>
        <v>0</v>
      </c>
      <c r="K185" s="345">
        <f t="shared" si="41"/>
        <v>0</v>
      </c>
      <c r="L185" s="205">
        <f t="shared" si="38"/>
        <v>0</v>
      </c>
      <c r="M185" s="205">
        <f t="shared" si="21"/>
        <v>0</v>
      </c>
      <c r="N185" s="353">
        <f t="shared" si="39"/>
        <v>0</v>
      </c>
      <c r="O185" s="356">
        <f t="shared" si="42"/>
        <v>0</v>
      </c>
      <c r="P185" s="357">
        <f t="shared" si="43"/>
        <v>0</v>
      </c>
      <c r="Q185" s="354">
        <f>IF($F185=0,0,(Facture!$R230+Facture!$T230)*12*IF(Données!$J275="qc",1.09,IF(Données!$J275="on",1.08,1))/$F185)</f>
        <v>0</v>
      </c>
      <c r="R185" s="206"/>
      <c r="S185" s="207">
        <f>MIN(IF($F185=0,0,(Facture!$W230)*12*(1+VLOOKUP($D185,taux,28))/$F185),$J185)</f>
        <v>0</v>
      </c>
      <c r="T185" s="205">
        <f t="shared" si="23"/>
        <v>0</v>
      </c>
      <c r="U185" s="206"/>
      <c r="V185" s="207">
        <f>IF($F185=0,0,Facture!$R230*12*IF(Données!$J275="qc",1.09,IF(Données!$J275="on",1.08,1))/$F185)</f>
        <v>0</v>
      </c>
      <c r="W185" s="207">
        <f>IF($F185=0,0,Facture!$T230*12*IF(Données!$J275="qc",1.09,IF(Données!$J275="on",1.08,1))/$F185)</f>
        <v>0</v>
      </c>
      <c r="X185" s="207">
        <f>IF($F185=0,0,(Facture!$AB230+Facture!$AD230+Facture!$AF230)*12*IF(Données!$J275="qc",1.09,IF(Données!$J275="on",1.08,1))/$F185)</f>
        <v>0</v>
      </c>
      <c r="Y185" s="207">
        <f>IF($F185=0,0,(Facture!$H184+Facture!$J184+Facture!$L184+Facture!$P184+Facture!$V184)*12*IF(Données!$J224="qc",1.09,IF(Données!$J224="on",1.08,1))/$F185)</f>
        <v>0</v>
      </c>
    </row>
    <row r="186" spans="1:25">
      <c r="A186" s="208">
        <f t="shared" si="44"/>
        <v>171</v>
      </c>
      <c r="B186" s="198" t="str">
        <f>CONCATENATE(Données!B276," ",Données!C276)</f>
        <v xml:space="preserve"> </v>
      </c>
      <c r="C186" s="199">
        <f>Données!D276</f>
        <v>0</v>
      </c>
      <c r="D186" s="200">
        <f>Données!AD276</f>
        <v>0</v>
      </c>
      <c r="E186" s="349">
        <f t="shared" si="36"/>
        <v>0</v>
      </c>
      <c r="F186" s="201">
        <f t="shared" si="18"/>
        <v>0</v>
      </c>
      <c r="G186" s="202">
        <f>IF($F186=0,0,Facture!AI231*12/F186)</f>
        <v>0</v>
      </c>
      <c r="H186" s="203" t="e">
        <f t="shared" ca="1" si="45"/>
        <v>#N/A</v>
      </c>
      <c r="I186" s="203" t="e">
        <f ca="1">IF(F186=" ",0,Facture!J185*12/F186*1.09)</f>
        <v>#DIV/0!</v>
      </c>
      <c r="J186" s="204">
        <f t="shared" si="40"/>
        <v>0</v>
      </c>
      <c r="K186" s="345">
        <f t="shared" si="41"/>
        <v>0</v>
      </c>
      <c r="L186" s="205">
        <f t="shared" si="38"/>
        <v>0</v>
      </c>
      <c r="M186" s="205">
        <f t="shared" si="21"/>
        <v>0</v>
      </c>
      <c r="N186" s="353">
        <f t="shared" si="39"/>
        <v>0</v>
      </c>
      <c r="O186" s="356">
        <f t="shared" si="42"/>
        <v>0</v>
      </c>
      <c r="P186" s="357">
        <f t="shared" si="43"/>
        <v>0</v>
      </c>
      <c r="Q186" s="354">
        <f>IF($F186=0,0,(Facture!$R231+Facture!$T231)*12*IF(Données!$J276="qc",1.09,IF(Données!$J276="on",1.08,1))/$F186)</f>
        <v>0</v>
      </c>
      <c r="R186" s="206"/>
      <c r="S186" s="207">
        <f>MIN(IF($F186=0,0,(Facture!$W231)*12*(1+VLOOKUP($D186,taux,28))/$F186),$J186)</f>
        <v>0</v>
      </c>
      <c r="T186" s="205">
        <f t="shared" si="23"/>
        <v>0</v>
      </c>
      <c r="U186" s="206"/>
      <c r="V186" s="207">
        <f>IF($F186=0,0,Facture!$R231*12*IF(Données!$J276="qc",1.09,IF(Données!$J276="on",1.08,1))/$F186)</f>
        <v>0</v>
      </c>
      <c r="W186" s="207">
        <f>IF($F186=0,0,Facture!$T231*12*IF(Données!$J276="qc",1.09,IF(Données!$J276="on",1.08,1))/$F186)</f>
        <v>0</v>
      </c>
      <c r="X186" s="207">
        <f>IF($F186=0,0,(Facture!$AB231+Facture!$AD231+Facture!$AF231)*12*IF(Données!$J276="qc",1.09,IF(Données!$J276="on",1.08,1))/$F186)</f>
        <v>0</v>
      </c>
      <c r="Y186" s="207">
        <f>IF($F186=0,0,(Facture!$H185+Facture!$J185+Facture!$L185+Facture!$P185+Facture!$V185)*12*IF(Données!$J225="qc",1.09,IF(Données!$J225="on",1.08,1))/$F186)</f>
        <v>0</v>
      </c>
    </row>
    <row r="187" spans="1:25">
      <c r="A187" s="208">
        <f t="shared" si="44"/>
        <v>172</v>
      </c>
      <c r="B187" s="198" t="str">
        <f>CONCATENATE(Données!B277," ",Données!C277)</f>
        <v xml:space="preserve"> </v>
      </c>
      <c r="C187" s="199">
        <f>Données!D277</f>
        <v>0</v>
      </c>
      <c r="D187" s="200">
        <f>Données!AD277</f>
        <v>0</v>
      </c>
      <c r="E187" s="349">
        <f t="shared" si="36"/>
        <v>0</v>
      </c>
      <c r="F187" s="201">
        <f t="shared" si="18"/>
        <v>0</v>
      </c>
      <c r="G187" s="202">
        <f>IF($F187=0,0,Facture!AI232*12/F187)</f>
        <v>0</v>
      </c>
      <c r="H187" s="203" t="e">
        <f t="shared" ca="1" si="45"/>
        <v>#N/A</v>
      </c>
      <c r="I187" s="203" t="e">
        <f ca="1">IF(F187=" ",0,Facture!J186*12/F187*1.09)</f>
        <v>#DIV/0!</v>
      </c>
      <c r="J187" s="204">
        <f t="shared" si="40"/>
        <v>0</v>
      </c>
      <c r="K187" s="345">
        <f t="shared" si="41"/>
        <v>0</v>
      </c>
      <c r="L187" s="205">
        <f t="shared" si="38"/>
        <v>0</v>
      </c>
      <c r="M187" s="205">
        <f t="shared" si="21"/>
        <v>0</v>
      </c>
      <c r="N187" s="353">
        <f t="shared" si="39"/>
        <v>0</v>
      </c>
      <c r="O187" s="356">
        <f t="shared" si="42"/>
        <v>0</v>
      </c>
      <c r="P187" s="357">
        <f t="shared" si="43"/>
        <v>0</v>
      </c>
      <c r="Q187" s="354">
        <f>IF($F187=0,0,(Facture!$R232+Facture!$T232)*12*IF(Données!$J277="qc",1.09,IF(Données!$J277="on",1.08,1))/$F187)</f>
        <v>0</v>
      </c>
      <c r="R187" s="206"/>
      <c r="S187" s="207">
        <f>MIN(IF($F187=0,0,(Facture!$W232)*12*(1+VLOOKUP($D187,taux,28))/$F187),$J187)</f>
        <v>0</v>
      </c>
      <c r="T187" s="205">
        <f t="shared" si="23"/>
        <v>0</v>
      </c>
      <c r="U187" s="206"/>
      <c r="V187" s="207">
        <f>IF($F187=0,0,Facture!$R232*12*IF(Données!$J277="qc",1.09,IF(Données!$J277="on",1.08,1))/$F187)</f>
        <v>0</v>
      </c>
      <c r="W187" s="207">
        <f>IF($F187=0,0,Facture!$T232*12*IF(Données!$J277="qc",1.09,IF(Données!$J277="on",1.08,1))/$F187)</f>
        <v>0</v>
      </c>
      <c r="X187" s="207">
        <f>IF($F187=0,0,(Facture!$AB232+Facture!$AD232+Facture!$AF232)*12*IF(Données!$J277="qc",1.09,IF(Données!$J277="on",1.08,1))/$F187)</f>
        <v>0</v>
      </c>
      <c r="Y187" s="207">
        <f>IF($F187=0,0,(Facture!$H186+Facture!$J186+Facture!$L186+Facture!$P186+Facture!$V186)*12*IF(Données!$J226="qc",1.09,IF(Données!$J226="on",1.08,1))/$F187)</f>
        <v>0</v>
      </c>
    </row>
    <row r="188" spans="1:25">
      <c r="A188" s="208">
        <f t="shared" si="44"/>
        <v>173</v>
      </c>
      <c r="B188" s="198" t="str">
        <f>CONCATENATE(Données!B278," ",Données!C278)</f>
        <v xml:space="preserve"> </v>
      </c>
      <c r="C188" s="199">
        <f>Données!D278</f>
        <v>0</v>
      </c>
      <c r="D188" s="200">
        <f>Données!AD278</f>
        <v>0</v>
      </c>
      <c r="E188" s="349">
        <f t="shared" si="36"/>
        <v>0</v>
      </c>
      <c r="F188" s="201">
        <f t="shared" si="18"/>
        <v>0</v>
      </c>
      <c r="G188" s="202">
        <f>IF($F188=0,0,Facture!AI233*12/F188)</f>
        <v>0</v>
      </c>
      <c r="H188" s="203" t="e">
        <f t="shared" ca="1" si="45"/>
        <v>#N/A</v>
      </c>
      <c r="I188" s="203" t="e">
        <f ca="1">IF(F188=" ",0,Facture!J187*12/F188*1.09)</f>
        <v>#DIV/0!</v>
      </c>
      <c r="J188" s="204">
        <f t="shared" si="40"/>
        <v>0</v>
      </c>
      <c r="K188" s="345">
        <f t="shared" si="41"/>
        <v>0</v>
      </c>
      <c r="L188" s="205">
        <f t="shared" si="38"/>
        <v>0</v>
      </c>
      <c r="M188" s="205">
        <f t="shared" si="21"/>
        <v>0</v>
      </c>
      <c r="N188" s="353">
        <f t="shared" si="39"/>
        <v>0</v>
      </c>
      <c r="O188" s="356">
        <f t="shared" si="42"/>
        <v>0</v>
      </c>
      <c r="P188" s="357">
        <f t="shared" si="43"/>
        <v>0</v>
      </c>
      <c r="Q188" s="354">
        <f>IF($F188=0,0,(Facture!$R233+Facture!$T233)*12*IF(Données!$J278="qc",1.09,IF(Données!$J278="on",1.08,1))/$F188)</f>
        <v>0</v>
      </c>
      <c r="R188" s="206"/>
      <c r="S188" s="207">
        <f>MIN(IF($F188=0,0,(Facture!$W233)*12*(1+VLOOKUP($D188,taux,28))/$F188),$J188)</f>
        <v>0</v>
      </c>
      <c r="T188" s="205">
        <f t="shared" si="23"/>
        <v>0</v>
      </c>
      <c r="U188" s="206"/>
      <c r="V188" s="207">
        <f>IF($F188=0,0,Facture!$R233*12*IF(Données!$J278="qc",1.09,IF(Données!$J278="on",1.08,1))/$F188)</f>
        <v>0</v>
      </c>
      <c r="W188" s="207">
        <f>IF($F188=0,0,Facture!$T233*12*IF(Données!$J278="qc",1.09,IF(Données!$J278="on",1.08,1))/$F188)</f>
        <v>0</v>
      </c>
      <c r="X188" s="207">
        <f>IF($F188=0,0,(Facture!$AB233+Facture!$AD233+Facture!$AF233)*12*IF(Données!$J278="qc",1.09,IF(Données!$J278="on",1.08,1))/$F188)</f>
        <v>0</v>
      </c>
      <c r="Y188" s="207">
        <f>IF($F188=0,0,(Facture!$H187+Facture!$J187+Facture!$L187+Facture!$P187+Facture!$V187)*12*IF(Données!$J227="qc",1.09,IF(Données!$J227="on",1.08,1))/$F188)</f>
        <v>0</v>
      </c>
    </row>
    <row r="189" spans="1:25">
      <c r="A189" s="208">
        <f t="shared" si="44"/>
        <v>174</v>
      </c>
      <c r="B189" s="198" t="str">
        <f>CONCATENATE(Données!B279," ",Données!C279)</f>
        <v xml:space="preserve"> </v>
      </c>
      <c r="C189" s="199">
        <f>Données!D279</f>
        <v>0</v>
      </c>
      <c r="D189" s="200">
        <f>Données!AD279</f>
        <v>0</v>
      </c>
      <c r="E189" s="349">
        <f t="shared" si="36"/>
        <v>0</v>
      </c>
      <c r="F189" s="201">
        <f t="shared" si="18"/>
        <v>0</v>
      </c>
      <c r="G189" s="202">
        <f>IF($F189=0,0,Facture!AI234*12/F189)</f>
        <v>0</v>
      </c>
      <c r="H189" s="203" t="e">
        <f t="shared" ca="1" si="45"/>
        <v>#N/A</v>
      </c>
      <c r="I189" s="203" t="e">
        <f ca="1">IF(F189=" ",0,Facture!J188*12/F189*1.09)</f>
        <v>#DIV/0!</v>
      </c>
      <c r="J189" s="204">
        <f t="shared" si="40"/>
        <v>0</v>
      </c>
      <c r="K189" s="345">
        <f t="shared" si="41"/>
        <v>0</v>
      </c>
      <c r="L189" s="205">
        <f t="shared" si="38"/>
        <v>0</v>
      </c>
      <c r="M189" s="205">
        <f t="shared" si="21"/>
        <v>0</v>
      </c>
      <c r="N189" s="353">
        <f t="shared" si="39"/>
        <v>0</v>
      </c>
      <c r="O189" s="356">
        <f t="shared" si="42"/>
        <v>0</v>
      </c>
      <c r="P189" s="357">
        <f t="shared" si="43"/>
        <v>0</v>
      </c>
      <c r="Q189" s="354">
        <f>IF($F189=0,0,(Facture!$R234+Facture!$T234)*12*IF(Données!$J279="qc",1.09,IF(Données!$J279="on",1.08,1))/$F189)</f>
        <v>0</v>
      </c>
      <c r="R189" s="206"/>
      <c r="S189" s="207">
        <f>MIN(IF($F189=0,0,(Facture!$W234)*12*(1+VLOOKUP($D189,taux,28))/$F189),$J189)</f>
        <v>0</v>
      </c>
      <c r="T189" s="205">
        <f t="shared" si="23"/>
        <v>0</v>
      </c>
      <c r="U189" s="206"/>
      <c r="V189" s="207">
        <f>IF($F189=0,0,Facture!$R234*12*IF(Données!$J279="qc",1.09,IF(Données!$J279="on",1.08,1))/$F189)</f>
        <v>0</v>
      </c>
      <c r="W189" s="207">
        <f>IF($F189=0,0,Facture!$T234*12*IF(Données!$J279="qc",1.09,IF(Données!$J279="on",1.08,1))/$F189)</f>
        <v>0</v>
      </c>
      <c r="X189" s="207">
        <f>IF($F189=0,0,(Facture!$AB234+Facture!$AD234+Facture!$AF234)*12*IF(Données!$J279="qc",1.09,IF(Données!$J279="on",1.08,1))/$F189)</f>
        <v>0</v>
      </c>
      <c r="Y189" s="207">
        <f>IF($F189=0,0,(Facture!$H188+Facture!$J188+Facture!$L188+Facture!$P188+Facture!$V188)*12*IF(Données!$J228="qc",1.09,IF(Données!$J228="on",1.08,1))/$F189)</f>
        <v>0</v>
      </c>
    </row>
    <row r="190" spans="1:25">
      <c r="A190" s="208">
        <f t="shared" si="44"/>
        <v>175</v>
      </c>
      <c r="B190" s="198" t="str">
        <f>CONCATENATE(Données!B280," ",Données!C280)</f>
        <v xml:space="preserve"> </v>
      </c>
      <c r="C190" s="199">
        <f>Données!D280</f>
        <v>0</v>
      </c>
      <c r="D190" s="200">
        <f>Données!AD280</f>
        <v>0</v>
      </c>
      <c r="E190" s="349">
        <f t="shared" si="36"/>
        <v>0</v>
      </c>
      <c r="F190" s="201">
        <f t="shared" si="18"/>
        <v>0</v>
      </c>
      <c r="G190" s="202">
        <f>IF($F190=0,0,Facture!AI235*12/F190)</f>
        <v>0</v>
      </c>
      <c r="H190" s="203" t="e">
        <f t="shared" ca="1" si="45"/>
        <v>#N/A</v>
      </c>
      <c r="I190" s="203" t="e">
        <f ca="1">IF(F190=" ",0,Facture!J189*12/F190*1.09)</f>
        <v>#DIV/0!</v>
      </c>
      <c r="J190" s="204">
        <f t="shared" si="40"/>
        <v>0</v>
      </c>
      <c r="K190" s="345">
        <f t="shared" si="41"/>
        <v>0</v>
      </c>
      <c r="L190" s="205">
        <f t="shared" si="38"/>
        <v>0</v>
      </c>
      <c r="M190" s="205">
        <f t="shared" si="21"/>
        <v>0</v>
      </c>
      <c r="N190" s="353">
        <f t="shared" si="39"/>
        <v>0</v>
      </c>
      <c r="O190" s="356">
        <f t="shared" si="42"/>
        <v>0</v>
      </c>
      <c r="P190" s="357">
        <f t="shared" si="43"/>
        <v>0</v>
      </c>
      <c r="Q190" s="354">
        <f>IF($F190=0,0,(Facture!$R235+Facture!$T235)*12*IF(Données!$J280="qc",1.09,IF(Données!$J280="on",1.08,1))/$F190)</f>
        <v>0</v>
      </c>
      <c r="R190" s="206"/>
      <c r="S190" s="207">
        <f>MIN(IF($F190=0,0,(Facture!$W235)*12*(1+VLOOKUP($D190,taux,28))/$F190),$J190)</f>
        <v>0</v>
      </c>
      <c r="T190" s="205">
        <f t="shared" si="23"/>
        <v>0</v>
      </c>
      <c r="U190" s="206"/>
      <c r="V190" s="207">
        <f>IF($F190=0,0,Facture!$R235*12*IF(Données!$J280="qc",1.09,IF(Données!$J280="on",1.08,1))/$F190)</f>
        <v>0</v>
      </c>
      <c r="W190" s="207">
        <f>IF($F190=0,0,Facture!$T235*12*IF(Données!$J280="qc",1.09,IF(Données!$J280="on",1.08,1))/$F190)</f>
        <v>0</v>
      </c>
      <c r="X190" s="207">
        <f>IF($F190=0,0,(Facture!$AB235+Facture!$AD235+Facture!$AF235)*12*IF(Données!$J280="qc",1.09,IF(Données!$J280="on",1.08,1))/$F190)</f>
        <v>0</v>
      </c>
      <c r="Y190" s="207">
        <f>IF($F190=0,0,(Facture!$H189+Facture!$J189+Facture!$L189+Facture!$P189+Facture!$V189)*12*IF(Données!$J229="qc",1.09,IF(Données!$J229="on",1.08,1))/$F190)</f>
        <v>0</v>
      </c>
    </row>
    <row r="191" spans="1:25">
      <c r="A191" s="208">
        <f t="shared" si="44"/>
        <v>176</v>
      </c>
      <c r="B191" s="198" t="str">
        <f>CONCATENATE(Données!B281," ",Données!C281)</f>
        <v xml:space="preserve"> </v>
      </c>
      <c r="C191" s="199">
        <f>Données!D281</f>
        <v>0</v>
      </c>
      <c r="D191" s="200">
        <f>Données!AD281</f>
        <v>0</v>
      </c>
      <c r="E191" s="349">
        <f t="shared" si="36"/>
        <v>0</v>
      </c>
      <c r="F191" s="201">
        <f t="shared" si="18"/>
        <v>0</v>
      </c>
      <c r="G191" s="202">
        <f>IF($F191=0,0,Facture!AI236*12/F191)</f>
        <v>0</v>
      </c>
      <c r="H191" s="203" t="e">
        <f t="shared" ca="1" si="45"/>
        <v>#N/A</v>
      </c>
      <c r="I191" s="203" t="e">
        <f ca="1">IF(F191=" ",0,Facture!J190*12/F191*1.09)</f>
        <v>#DIV/0!</v>
      </c>
      <c r="J191" s="204">
        <f t="shared" si="40"/>
        <v>0</v>
      </c>
      <c r="K191" s="345">
        <f t="shared" si="41"/>
        <v>0</v>
      </c>
      <c r="L191" s="205">
        <f t="shared" si="38"/>
        <v>0</v>
      </c>
      <c r="M191" s="205">
        <f t="shared" si="21"/>
        <v>0</v>
      </c>
      <c r="N191" s="353">
        <f t="shared" si="39"/>
        <v>0</v>
      </c>
      <c r="O191" s="356">
        <f t="shared" si="42"/>
        <v>0</v>
      </c>
      <c r="P191" s="357">
        <f t="shared" si="43"/>
        <v>0</v>
      </c>
      <c r="Q191" s="354">
        <f>IF($F191=0,0,(Facture!$R236+Facture!$T236)*12*IF(Données!$J281="qc",1.09,IF(Données!$J281="on",1.08,1))/$F191)</f>
        <v>0</v>
      </c>
      <c r="R191" s="206"/>
      <c r="S191" s="207">
        <f>MIN(IF($F191=0,0,(Facture!$W236)*12*(1+VLOOKUP($D191,taux,28))/$F191),$J191)</f>
        <v>0</v>
      </c>
      <c r="T191" s="205">
        <f t="shared" si="23"/>
        <v>0</v>
      </c>
      <c r="U191" s="206"/>
      <c r="V191" s="207">
        <f>IF($F191=0,0,Facture!$R236*12*IF(Données!$J281="qc",1.09,IF(Données!$J281="on",1.08,1))/$F191)</f>
        <v>0</v>
      </c>
      <c r="W191" s="207">
        <f>IF($F191=0,0,Facture!$T236*12*IF(Données!$J281="qc",1.09,IF(Données!$J281="on",1.08,1))/$F191)</f>
        <v>0</v>
      </c>
      <c r="X191" s="207">
        <f>IF($F191=0,0,(Facture!$AB236+Facture!$AD236+Facture!$AF236)*12*IF(Données!$J281="qc",1.09,IF(Données!$J281="on",1.08,1))/$F191)</f>
        <v>0</v>
      </c>
      <c r="Y191" s="207">
        <f>IF($F191=0,0,(Facture!$H190+Facture!$J190+Facture!$L190+Facture!$P190+Facture!$V190)*12*IF(Données!$J230="qc",1.09,IF(Données!$J230="on",1.08,1))/$F191)</f>
        <v>0</v>
      </c>
    </row>
    <row r="192" spans="1:25">
      <c r="A192" s="208">
        <f t="shared" si="44"/>
        <v>177</v>
      </c>
      <c r="B192" s="198" t="str">
        <f>CONCATENATE(Données!B282," ",Données!C282)</f>
        <v xml:space="preserve"> </v>
      </c>
      <c r="C192" s="199">
        <f>Données!D282</f>
        <v>0</v>
      </c>
      <c r="D192" s="200">
        <f>Données!AD282</f>
        <v>0</v>
      </c>
      <c r="E192" s="349">
        <f t="shared" si="36"/>
        <v>0</v>
      </c>
      <c r="F192" s="201">
        <f t="shared" si="18"/>
        <v>0</v>
      </c>
      <c r="G192" s="202">
        <f>IF($F192=0,0,Facture!AI237*12/F192)</f>
        <v>0</v>
      </c>
      <c r="H192" s="203" t="e">
        <f t="shared" ca="1" si="45"/>
        <v>#N/A</v>
      </c>
      <c r="I192" s="203" t="e">
        <f ca="1">IF(F192=" ",0,Facture!J191*12/F192*1.09)</f>
        <v>#DIV/0!</v>
      </c>
      <c r="J192" s="204">
        <f t="shared" si="40"/>
        <v>0</v>
      </c>
      <c r="K192" s="345">
        <f t="shared" si="41"/>
        <v>0</v>
      </c>
      <c r="L192" s="205">
        <f t="shared" si="38"/>
        <v>0</v>
      </c>
      <c r="M192" s="205">
        <f t="shared" si="21"/>
        <v>0</v>
      </c>
      <c r="N192" s="353">
        <f t="shared" si="39"/>
        <v>0</v>
      </c>
      <c r="O192" s="356">
        <f t="shared" si="42"/>
        <v>0</v>
      </c>
      <c r="P192" s="357">
        <f t="shared" si="43"/>
        <v>0</v>
      </c>
      <c r="Q192" s="354">
        <f>IF($F192=0,0,(Facture!$R237+Facture!$T237)*12*IF(Données!$J282="qc",1.09,IF(Données!$J282="on",1.08,1))/$F192)</f>
        <v>0</v>
      </c>
      <c r="R192" s="206"/>
      <c r="S192" s="207">
        <f>MIN(IF($F192=0,0,(Facture!$W237)*12*(1+VLOOKUP($D192,taux,28))/$F192),$J192)</f>
        <v>0</v>
      </c>
      <c r="T192" s="205">
        <f t="shared" si="23"/>
        <v>0</v>
      </c>
      <c r="U192" s="206"/>
      <c r="V192" s="207">
        <f>IF($F192=0,0,Facture!$R237*12*IF(Données!$J282="qc",1.09,IF(Données!$J282="on",1.08,1))/$F192)</f>
        <v>0</v>
      </c>
      <c r="W192" s="207">
        <f>IF($F192=0,0,Facture!$T237*12*IF(Données!$J282="qc",1.09,IF(Données!$J282="on",1.08,1))/$F192)</f>
        <v>0</v>
      </c>
      <c r="X192" s="207">
        <f>IF($F192=0,0,(Facture!$AB237+Facture!$AD237+Facture!$AF237)*12*IF(Données!$J282="qc",1.09,IF(Données!$J282="on",1.08,1))/$F192)</f>
        <v>0</v>
      </c>
      <c r="Y192" s="207">
        <f>IF($F192=0,0,(Facture!$H191+Facture!$J191+Facture!$L191+Facture!$P191+Facture!$V191)*12*IF(Données!$J231="qc",1.09,IF(Données!$J231="on",1.08,1))/$F192)</f>
        <v>0</v>
      </c>
    </row>
    <row r="193" spans="1:25">
      <c r="A193" s="208">
        <f t="shared" si="44"/>
        <v>178</v>
      </c>
      <c r="B193" s="198" t="str">
        <f>CONCATENATE(Données!B283," ",Données!C283)</f>
        <v xml:space="preserve"> </v>
      </c>
      <c r="C193" s="199">
        <f>Données!D283</f>
        <v>0</v>
      </c>
      <c r="D193" s="200">
        <f>Données!AD283</f>
        <v>0</v>
      </c>
      <c r="E193" s="349">
        <f t="shared" si="36"/>
        <v>0</v>
      </c>
      <c r="F193" s="201">
        <f t="shared" si="18"/>
        <v>0</v>
      </c>
      <c r="G193" s="202">
        <f>IF($F193=0,0,Facture!AI238*12/F193)</f>
        <v>0</v>
      </c>
      <c r="H193" s="203" t="e">
        <f t="shared" ca="1" si="45"/>
        <v>#N/A</v>
      </c>
      <c r="I193" s="203" t="e">
        <f ca="1">IF(F193=" ",0,Facture!J192*12/F193*1.09)</f>
        <v>#DIV/0!</v>
      </c>
      <c r="J193" s="204">
        <f t="shared" si="40"/>
        <v>0</v>
      </c>
      <c r="K193" s="345">
        <f t="shared" si="41"/>
        <v>0</v>
      </c>
      <c r="L193" s="205">
        <f t="shared" si="38"/>
        <v>0</v>
      </c>
      <c r="M193" s="205">
        <f t="shared" si="21"/>
        <v>0</v>
      </c>
      <c r="N193" s="353">
        <f t="shared" si="39"/>
        <v>0</v>
      </c>
      <c r="O193" s="356">
        <f t="shared" si="42"/>
        <v>0</v>
      </c>
      <c r="P193" s="357">
        <f t="shared" si="43"/>
        <v>0</v>
      </c>
      <c r="Q193" s="354">
        <f>IF($F193=0,0,(Facture!$R238+Facture!$T238)*12*IF(Données!$J283="qc",1.09,IF(Données!$J283="on",1.08,1))/$F193)</f>
        <v>0</v>
      </c>
      <c r="R193" s="206"/>
      <c r="S193" s="207">
        <f>MIN(IF($F193=0,0,(Facture!$W238)*12*(1+VLOOKUP($D193,taux,28))/$F193),$J193)</f>
        <v>0</v>
      </c>
      <c r="T193" s="205">
        <f t="shared" si="23"/>
        <v>0</v>
      </c>
      <c r="U193" s="206"/>
      <c r="V193" s="207">
        <f>IF($F193=0,0,Facture!$R238*12*IF(Données!$J283="qc",1.09,IF(Données!$J283="on",1.08,1))/$F193)</f>
        <v>0</v>
      </c>
      <c r="W193" s="207">
        <f>IF($F193=0,0,Facture!$T238*12*IF(Données!$J283="qc",1.09,IF(Données!$J283="on",1.08,1))/$F193)</f>
        <v>0</v>
      </c>
      <c r="X193" s="207">
        <f>IF($F193=0,0,(Facture!$AB238+Facture!$AD238+Facture!$AF238)*12*IF(Données!$J283="qc",1.09,IF(Données!$J283="on",1.08,1))/$F193)</f>
        <v>0</v>
      </c>
      <c r="Y193" s="207">
        <f>IF($F193=0,0,(Facture!$H192+Facture!$J192+Facture!$L192+Facture!$P192+Facture!$V192)*12*IF(Données!$J232="qc",1.09,IF(Données!$J232="on",1.08,1))/$F193)</f>
        <v>0</v>
      </c>
    </row>
    <row r="194" spans="1:25">
      <c r="A194" s="208">
        <f t="shared" si="44"/>
        <v>179</v>
      </c>
      <c r="B194" s="198" t="str">
        <f>CONCATENATE(Données!B284," ",Données!C284)</f>
        <v xml:space="preserve"> </v>
      </c>
      <c r="C194" s="199">
        <f>Données!D284</f>
        <v>0</v>
      </c>
      <c r="D194" s="200">
        <f>Données!AD284</f>
        <v>0</v>
      </c>
      <c r="E194" s="349">
        <f t="shared" si="36"/>
        <v>0</v>
      </c>
      <c r="F194" s="201">
        <f t="shared" si="18"/>
        <v>0</v>
      </c>
      <c r="G194" s="202">
        <f>IF($F194=0,0,Facture!AI239*12/F194)</f>
        <v>0</v>
      </c>
      <c r="H194" s="203" t="e">
        <f t="shared" ca="1" si="45"/>
        <v>#N/A</v>
      </c>
      <c r="I194" s="203" t="e">
        <f ca="1">IF(F194=" ",0,Facture!J193*12/F194*1.09)</f>
        <v>#DIV/0!</v>
      </c>
      <c r="J194" s="204">
        <f t="shared" si="40"/>
        <v>0</v>
      </c>
      <c r="K194" s="345">
        <f t="shared" si="41"/>
        <v>0</v>
      </c>
      <c r="L194" s="205">
        <f t="shared" si="38"/>
        <v>0</v>
      </c>
      <c r="M194" s="205">
        <f t="shared" si="21"/>
        <v>0</v>
      </c>
      <c r="N194" s="353">
        <f t="shared" si="39"/>
        <v>0</v>
      </c>
      <c r="O194" s="356">
        <f t="shared" si="42"/>
        <v>0</v>
      </c>
      <c r="P194" s="357">
        <f t="shared" si="43"/>
        <v>0</v>
      </c>
      <c r="Q194" s="354">
        <f>IF($F194=0,0,(Facture!$R239+Facture!$T239)*12*IF(Données!$J284="qc",1.09,IF(Données!$J284="on",1.08,1))/$F194)</f>
        <v>0</v>
      </c>
      <c r="R194" s="206"/>
      <c r="S194" s="207">
        <f>MIN(IF($F194=0,0,(Facture!$W239)*12*(1+VLOOKUP($D194,taux,28))/$F194),$J194)</f>
        <v>0</v>
      </c>
      <c r="T194" s="205">
        <f t="shared" si="23"/>
        <v>0</v>
      </c>
      <c r="U194" s="206"/>
      <c r="V194" s="207">
        <f>IF($F194=0,0,Facture!$R239*12*IF(Données!$J284="qc",1.09,IF(Données!$J284="on",1.08,1))/$F194)</f>
        <v>0</v>
      </c>
      <c r="W194" s="207">
        <f>IF($F194=0,0,Facture!$T239*12*IF(Données!$J284="qc",1.09,IF(Données!$J284="on",1.08,1))/$F194)</f>
        <v>0</v>
      </c>
      <c r="X194" s="207">
        <f>IF($F194=0,0,(Facture!$AB239+Facture!$AD239+Facture!$AF239)*12*IF(Données!$J284="qc",1.09,IF(Données!$J284="on",1.08,1))/$F194)</f>
        <v>0</v>
      </c>
      <c r="Y194" s="207">
        <f>IF($F194=0,0,(Facture!$H193+Facture!$J193+Facture!$L193+Facture!$P193+Facture!$V193)*12*IF(Données!$J233="qc",1.09,IF(Données!$J233="on",1.08,1))/$F194)</f>
        <v>0</v>
      </c>
    </row>
    <row r="195" spans="1:25">
      <c r="A195" s="208">
        <f t="shared" si="44"/>
        <v>180</v>
      </c>
      <c r="B195" s="198" t="str">
        <f>CONCATENATE(Données!B285," ",Données!C285)</f>
        <v xml:space="preserve"> </v>
      </c>
      <c r="C195" s="199">
        <f>Données!D285</f>
        <v>0</v>
      </c>
      <c r="D195" s="200">
        <f>Données!AD285</f>
        <v>0</v>
      </c>
      <c r="E195" s="349">
        <f t="shared" si="36"/>
        <v>0</v>
      </c>
      <c r="F195" s="201">
        <f t="shared" si="18"/>
        <v>0</v>
      </c>
      <c r="G195" s="202">
        <f>IF($F195=0,0,Facture!AI240*12/F195)</f>
        <v>0</v>
      </c>
      <c r="H195" s="203" t="e">
        <f t="shared" ca="1" si="45"/>
        <v>#N/A</v>
      </c>
      <c r="I195" s="203" t="e">
        <f ca="1">IF(F195=" ",0,Facture!J194*12/F195*1.09)</f>
        <v>#DIV/0!</v>
      </c>
      <c r="J195" s="204">
        <f t="shared" si="40"/>
        <v>0</v>
      </c>
      <c r="K195" s="345">
        <f t="shared" si="41"/>
        <v>0</v>
      </c>
      <c r="L195" s="205">
        <f t="shared" si="38"/>
        <v>0</v>
      </c>
      <c r="M195" s="205">
        <f t="shared" si="21"/>
        <v>0</v>
      </c>
      <c r="N195" s="353">
        <f t="shared" si="39"/>
        <v>0</v>
      </c>
      <c r="O195" s="356">
        <f t="shared" si="42"/>
        <v>0</v>
      </c>
      <c r="P195" s="357">
        <f t="shared" si="43"/>
        <v>0</v>
      </c>
      <c r="Q195" s="354">
        <f>IF($F195=0,0,(Facture!$R240+Facture!$T240)*12*IF(Données!$J285="qc",1.09,IF(Données!$J285="on",1.08,1))/$F195)</f>
        <v>0</v>
      </c>
      <c r="R195" s="206"/>
      <c r="S195" s="207">
        <f>MIN(IF($F195=0,0,(Facture!$W240)*12*(1+VLOOKUP($D195,taux,28))/$F195),$J195)</f>
        <v>0</v>
      </c>
      <c r="T195" s="205">
        <f t="shared" si="23"/>
        <v>0</v>
      </c>
      <c r="U195" s="206"/>
      <c r="V195" s="207">
        <f>IF($F195=0,0,Facture!$R240*12*IF(Données!$J285="qc",1.09,IF(Données!$J285="on",1.08,1))/$F195)</f>
        <v>0</v>
      </c>
      <c r="W195" s="207">
        <f>IF($F195=0,0,Facture!$T240*12*IF(Données!$J285="qc",1.09,IF(Données!$J285="on",1.08,1))/$F195)</f>
        <v>0</v>
      </c>
      <c r="X195" s="207">
        <f>IF($F195=0,0,(Facture!$AB240+Facture!$AD240+Facture!$AF240)*12*IF(Données!$J285="qc",1.09,IF(Données!$J285="on",1.08,1))/$F195)</f>
        <v>0</v>
      </c>
      <c r="Y195" s="207">
        <f>IF($F195=0,0,(Facture!$H194+Facture!$J194+Facture!$L194+Facture!$P194+Facture!$V194)*12*IF(Données!$J234="qc",1.09,IF(Données!$J234="on",1.08,1))/$F195)</f>
        <v>0</v>
      </c>
    </row>
    <row r="196" spans="1:25">
      <c r="A196" s="208">
        <f t="shared" si="44"/>
        <v>181</v>
      </c>
      <c r="B196" s="198" t="str">
        <f>CONCATENATE(Données!B286," ",Données!C286)</f>
        <v xml:space="preserve"> </v>
      </c>
      <c r="C196" s="199">
        <f>Données!D286</f>
        <v>0</v>
      </c>
      <c r="D196" s="200">
        <f>Données!AD286</f>
        <v>0</v>
      </c>
      <c r="E196" s="349">
        <f t="shared" si="36"/>
        <v>0</v>
      </c>
      <c r="F196" s="201">
        <f t="shared" si="18"/>
        <v>0</v>
      </c>
      <c r="G196" s="202">
        <f>IF($F196=0,0,Facture!AI241*12/F196)</f>
        <v>0</v>
      </c>
      <c r="H196" s="203" t="e">
        <f t="shared" ca="1" si="45"/>
        <v>#N/A</v>
      </c>
      <c r="I196" s="203" t="e">
        <f ca="1">IF(F196=" ",0,Facture!J195*12/F196*1.09)</f>
        <v>#DIV/0!</v>
      </c>
      <c r="J196" s="204">
        <f t="shared" si="40"/>
        <v>0</v>
      </c>
      <c r="K196" s="345">
        <f t="shared" si="41"/>
        <v>0</v>
      </c>
      <c r="L196" s="205">
        <f t="shared" si="38"/>
        <v>0</v>
      </c>
      <c r="M196" s="205">
        <f t="shared" si="21"/>
        <v>0</v>
      </c>
      <c r="N196" s="353">
        <f t="shared" si="39"/>
        <v>0</v>
      </c>
      <c r="O196" s="356">
        <f t="shared" si="42"/>
        <v>0</v>
      </c>
      <c r="P196" s="357">
        <f t="shared" si="43"/>
        <v>0</v>
      </c>
      <c r="Q196" s="354">
        <f>IF($F196=0,0,(Facture!$R241+Facture!$T241)*12*IF(Données!$J286="qc",1.09,IF(Données!$J286="on",1.08,1))/$F196)</f>
        <v>0</v>
      </c>
      <c r="R196" s="206"/>
      <c r="S196" s="207">
        <f>MIN(IF($F196=0,0,(Facture!$W241)*12*(1+VLOOKUP($D196,taux,28))/$F196),$J196)</f>
        <v>0</v>
      </c>
      <c r="T196" s="205">
        <f t="shared" si="23"/>
        <v>0</v>
      </c>
      <c r="U196" s="206"/>
      <c r="V196" s="207">
        <f>IF($F196=0,0,Facture!$R241*12*IF(Données!$J286="qc",1.09,IF(Données!$J286="on",1.08,1))/$F196)</f>
        <v>0</v>
      </c>
      <c r="W196" s="207">
        <f>IF($F196=0,0,Facture!$T241*12*IF(Données!$J286="qc",1.09,IF(Données!$J286="on",1.08,1))/$F196)</f>
        <v>0</v>
      </c>
      <c r="X196" s="207">
        <f>IF($F196=0,0,(Facture!$AB241+Facture!$AD241+Facture!$AF241)*12*IF(Données!$J286="qc",1.09,IF(Données!$J286="on",1.08,1))/$F196)</f>
        <v>0</v>
      </c>
      <c r="Y196" s="207">
        <f>IF($F196=0,0,(Facture!$H195+Facture!$J195+Facture!$L195+Facture!$P195+Facture!$V195)*12*IF(Données!$J235="qc",1.09,IF(Données!$J235="on",1.08,1))/$F196)</f>
        <v>0</v>
      </c>
    </row>
    <row r="197" spans="1:25">
      <c r="A197" s="208">
        <f t="shared" si="44"/>
        <v>182</v>
      </c>
      <c r="B197" s="198" t="str">
        <f>CONCATENATE(Données!B287," ",Données!C287)</f>
        <v xml:space="preserve"> </v>
      </c>
      <c r="C197" s="199">
        <f>Données!D287</f>
        <v>0</v>
      </c>
      <c r="D197" s="200">
        <f>Données!AD287</f>
        <v>0</v>
      </c>
      <c r="E197" s="349">
        <f t="shared" si="36"/>
        <v>0</v>
      </c>
      <c r="F197" s="201">
        <f t="shared" si="18"/>
        <v>0</v>
      </c>
      <c r="G197" s="202">
        <f>IF($F197=0,0,Facture!AI242*12/F197)</f>
        <v>0</v>
      </c>
      <c r="H197" s="203" t="e">
        <f t="shared" ca="1" si="45"/>
        <v>#N/A</v>
      </c>
      <c r="I197" s="203" t="e">
        <f ca="1">IF(F197=" ",0,Facture!J196*12/F197*1.09)</f>
        <v>#DIV/0!</v>
      </c>
      <c r="J197" s="204">
        <f t="shared" si="40"/>
        <v>0</v>
      </c>
      <c r="K197" s="345">
        <f t="shared" si="41"/>
        <v>0</v>
      </c>
      <c r="L197" s="205">
        <f t="shared" si="38"/>
        <v>0</v>
      </c>
      <c r="M197" s="205">
        <f t="shared" si="21"/>
        <v>0</v>
      </c>
      <c r="N197" s="353">
        <f t="shared" si="39"/>
        <v>0</v>
      </c>
      <c r="O197" s="356">
        <f t="shared" si="42"/>
        <v>0</v>
      </c>
      <c r="P197" s="357">
        <f t="shared" si="43"/>
        <v>0</v>
      </c>
      <c r="Q197" s="354">
        <f>IF($F197=0,0,(Facture!$R242+Facture!$T242)*12*IF(Données!$J287="qc",1.09,IF(Données!$J287="on",1.08,1))/$F197)</f>
        <v>0</v>
      </c>
      <c r="R197" s="206"/>
      <c r="S197" s="207">
        <f>MIN(IF($F197=0,0,(Facture!$W242)*12*(1+VLOOKUP($D197,taux,28))/$F197),$J197)</f>
        <v>0</v>
      </c>
      <c r="T197" s="205">
        <f t="shared" si="23"/>
        <v>0</v>
      </c>
      <c r="U197" s="206"/>
      <c r="V197" s="207">
        <f>IF($F197=0,0,Facture!$R242*12*IF(Données!$J287="qc",1.09,IF(Données!$J287="on",1.08,1))/$F197)</f>
        <v>0</v>
      </c>
      <c r="W197" s="207">
        <f>IF($F197=0,0,Facture!$T242*12*IF(Données!$J287="qc",1.09,IF(Données!$J287="on",1.08,1))/$F197)</f>
        <v>0</v>
      </c>
      <c r="X197" s="207">
        <f>IF($F197=0,0,(Facture!$AB242+Facture!$AD242+Facture!$AF242)*12*IF(Données!$J287="qc",1.09,IF(Données!$J287="on",1.08,1))/$F197)</f>
        <v>0</v>
      </c>
      <c r="Y197" s="207">
        <f>IF($F197=0,0,(Facture!$H196+Facture!$J196+Facture!$L196+Facture!$P196+Facture!$V196)*12*IF(Données!$J236="qc",1.09,IF(Données!$J236="on",1.08,1))/$F197)</f>
        <v>0</v>
      </c>
    </row>
    <row r="198" spans="1:25">
      <c r="A198" s="208">
        <f t="shared" si="44"/>
        <v>183</v>
      </c>
      <c r="B198" s="198" t="str">
        <f>CONCATENATE(Données!B288," ",Données!C288)</f>
        <v xml:space="preserve"> </v>
      </c>
      <c r="C198" s="199">
        <f>Données!D288</f>
        <v>0</v>
      </c>
      <c r="D198" s="200">
        <f>Données!AD288</f>
        <v>0</v>
      </c>
      <c r="E198" s="349">
        <f t="shared" si="36"/>
        <v>0</v>
      </c>
      <c r="F198" s="201">
        <f t="shared" ref="F198" si="46">IF($B198=" ",0,VLOOKUP($D198,taux,46))</f>
        <v>0</v>
      </c>
      <c r="G198" s="202">
        <f>IF($F198=0,0,Facture!AI243*12/F198)</f>
        <v>0</v>
      </c>
      <c r="H198" s="203" t="e">
        <f t="shared" ca="1" si="45"/>
        <v>#N/A</v>
      </c>
      <c r="I198" s="203" t="e">
        <f ca="1">IF(F198=" ",0,Facture!J197*12/F198*1.09)</f>
        <v>#DIV/0!</v>
      </c>
      <c r="J198" s="204">
        <f t="shared" si="40"/>
        <v>0</v>
      </c>
      <c r="K198" s="345">
        <f t="shared" si="41"/>
        <v>0</v>
      </c>
      <c r="L198" s="205">
        <f t="shared" si="38"/>
        <v>0</v>
      </c>
      <c r="M198" s="205">
        <f t="shared" ref="M198" si="47">MAX(MIN($J198-$T198-$S198,$X198),0)</f>
        <v>0</v>
      </c>
      <c r="N198" s="353">
        <f t="shared" si="39"/>
        <v>0</v>
      </c>
      <c r="O198" s="356">
        <f t="shared" si="42"/>
        <v>0</v>
      </c>
      <c r="P198" s="357">
        <f t="shared" si="43"/>
        <v>0</v>
      </c>
      <c r="Q198" s="354">
        <f>IF($F198=0,0,(Facture!$R243+Facture!$T243)*12*IF(Données!$J288="qc",1.09,IF(Données!$J288="on",1.08,1))/$F198)</f>
        <v>0</v>
      </c>
      <c r="R198" s="206"/>
      <c r="S198" s="207">
        <f>MIN(IF($F198=0,0,(Facture!$W243)*12*(1+VLOOKUP($D198,taux,28))/$F198),$J198)</f>
        <v>0</v>
      </c>
      <c r="T198" s="205">
        <f t="shared" ref="T198" si="48">IF($F198=0,0,IF(AND(VLOOKUP($D198,taux,14)="oui",VLOOKUP($D198,taux,19)="oui"),MIN($V198+$W198,$J198-$S198),IF(VLOOKUP($D198,taux,14)="OUI",MIN($V198,$J198-$S198),IF(VLOOKUP($D198,taux,19)="OUI",MIN($W198,$J198-$S198),0))))</f>
        <v>0</v>
      </c>
      <c r="U198" s="206"/>
      <c r="V198" s="207">
        <f>IF($F198=0,0,Facture!$R243*12*IF(Données!$J288="qc",1.09,IF(Données!$J288="on",1.08,1))/$F198)</f>
        <v>0</v>
      </c>
      <c r="W198" s="207">
        <f>IF($F198=0,0,Facture!$T243*12*IF(Données!$J288="qc",1.09,IF(Données!$J288="on",1.08,1))/$F198)</f>
        <v>0</v>
      </c>
      <c r="X198" s="207">
        <f>IF($F198=0,0,(Facture!$AB243+Facture!$AD243+Facture!$AF243)*12*IF(Données!$J288="qc",1.09,IF(Données!$J288="on",1.08,1))/$F198)</f>
        <v>0</v>
      </c>
      <c r="Y198" s="207">
        <f>IF($F198=0,0,(Facture!$H197+Facture!$J197+Facture!$L197+Facture!$P197+Facture!$V197)*12*IF(Données!$J237="qc",1.09,IF(Données!$J237="on",1.08,1))/$F198)</f>
        <v>0</v>
      </c>
    </row>
    <row r="199" spans="1:25">
      <c r="A199" s="209"/>
      <c r="B199" s="115"/>
      <c r="C199" s="116"/>
      <c r="D199" s="210"/>
      <c r="E199" s="210"/>
      <c r="F199" s="117"/>
      <c r="G199" s="211"/>
      <c r="H199" s="212"/>
      <c r="I199" s="212"/>
      <c r="J199" s="211"/>
      <c r="K199" s="211"/>
      <c r="L199" s="211"/>
      <c r="M199" s="211"/>
      <c r="N199" s="211"/>
      <c r="O199" s="193"/>
      <c r="P199" s="193"/>
      <c r="Q199" s="211"/>
      <c r="R199" s="193"/>
      <c r="S199" s="212"/>
      <c r="T199" s="211"/>
      <c r="U199" s="193"/>
      <c r="V199" s="212"/>
      <c r="W199" s="212"/>
      <c r="X199" s="212"/>
      <c r="Y199" s="212"/>
    </row>
    <row r="200" spans="1:25">
      <c r="A200" s="213" t="s">
        <v>60</v>
      </c>
      <c r="B200" s="127"/>
      <c r="C200" s="128"/>
      <c r="D200" s="214"/>
      <c r="E200" s="214"/>
      <c r="F200" s="129"/>
      <c r="G200" s="215">
        <f t="shared" ref="G200:Q200" si="49">SUM(G16:G198)</f>
        <v>0</v>
      </c>
      <c r="H200" s="216" t="e">
        <f t="shared" ca="1" si="49"/>
        <v>#N/A</v>
      </c>
      <c r="I200" s="216"/>
      <c r="J200" s="215">
        <f t="shared" si="49"/>
        <v>0</v>
      </c>
      <c r="K200" s="215">
        <f t="shared" si="49"/>
        <v>0</v>
      </c>
      <c r="L200" s="215">
        <f t="shared" si="49"/>
        <v>0</v>
      </c>
      <c r="M200" s="215">
        <f t="shared" si="49"/>
        <v>0</v>
      </c>
      <c r="N200" s="215">
        <f t="shared" si="49"/>
        <v>0</v>
      </c>
      <c r="O200" s="215">
        <f t="shared" si="49"/>
        <v>0</v>
      </c>
      <c r="P200" s="344">
        <f t="shared" si="49"/>
        <v>0</v>
      </c>
      <c r="Q200" s="215">
        <f t="shared" si="49"/>
        <v>0</v>
      </c>
      <c r="R200" s="215"/>
      <c r="S200" s="216">
        <f>SUM(S16:S198)</f>
        <v>0</v>
      </c>
      <c r="T200" s="344">
        <f>SUM(T16:T198)</f>
        <v>0</v>
      </c>
      <c r="U200" s="215"/>
      <c r="V200" s="216">
        <f t="shared" ref="V200:Y200" si="50">SUM(V16:V198)</f>
        <v>0</v>
      </c>
      <c r="W200" s="216">
        <f t="shared" si="50"/>
        <v>0</v>
      </c>
      <c r="X200" s="216">
        <f t="shared" si="50"/>
        <v>0</v>
      </c>
      <c r="Y200" s="216">
        <f t="shared" si="50"/>
        <v>0</v>
      </c>
    </row>
    <row r="201" spans="1:25">
      <c r="A201" s="217"/>
      <c r="B201" s="151"/>
      <c r="C201" s="152"/>
      <c r="D201" s="218"/>
      <c r="E201" s="218"/>
      <c r="F201" s="153"/>
      <c r="G201" s="219"/>
      <c r="H201" s="220"/>
      <c r="I201" s="220"/>
      <c r="J201" s="219"/>
      <c r="K201" s="219"/>
      <c r="L201" s="219"/>
      <c r="M201" s="219"/>
      <c r="N201" s="219"/>
      <c r="O201" s="219"/>
      <c r="P201" s="341"/>
      <c r="Q201" s="219"/>
      <c r="R201" s="193"/>
      <c r="S201" s="220"/>
      <c r="T201" s="341"/>
      <c r="U201" s="193"/>
      <c r="V201" s="220"/>
      <c r="W201" s="220"/>
      <c r="X201" s="220"/>
      <c r="Y201" s="220"/>
    </row>
  </sheetData>
  <sheetProtection password="F4B7" sheet="1" objects="1" scenarios="1" formatCells="0"/>
  <mergeCells count="14">
    <mergeCell ref="C6:G6"/>
    <mergeCell ref="C7:G7"/>
    <mergeCell ref="L11:N11"/>
    <mergeCell ref="L12:N12"/>
    <mergeCell ref="B10:B15"/>
    <mergeCell ref="J10:J15"/>
    <mergeCell ref="G10:G15"/>
    <mergeCell ref="F10:F15"/>
    <mergeCell ref="C10:C15"/>
    <mergeCell ref="O11:P11"/>
    <mergeCell ref="O12:P12"/>
    <mergeCell ref="O13:O15"/>
    <mergeCell ref="P13:P15"/>
    <mergeCell ref="K10:K15"/>
  </mergeCells>
  <phoneticPr fontId="8" type="noConversion"/>
  <printOptions horizontalCentered="1"/>
  <pageMargins left="0.19685039370078741" right="0.19685039370078741" top="0.78740157480314965" bottom="0.59055118110236227" header="0.31496062992125984" footer="0.51181102362204722"/>
  <pageSetup orientation="landscape" r:id="rId1"/>
  <headerFooter alignWithMargins="0">
    <oddHeader>&amp;C&amp;"Helv,Gras"&amp;10COÛTS  PAR  PÉRIODE  DE  PAIE  ET   AVANTAGES  IMPOSABLES</oddHeader>
    <oddFooter>&amp;R&amp;"Helv,Italique"&amp;6Imprimé le &amp;D</oddFooter>
  </headerFooter>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F21"/>
  <sheetViews>
    <sheetView topLeftCell="B2" zoomScale="150" zoomScaleNormal="150" workbookViewId="0">
      <selection activeCell="E6" sqref="E6"/>
    </sheetView>
  </sheetViews>
  <sheetFormatPr baseColWidth="10" defaultRowHeight="9"/>
  <cols>
    <col min="1" max="1" width="0" hidden="1" customWidth="1"/>
    <col min="2" max="2" width="16.19921875" customWidth="1"/>
  </cols>
  <sheetData>
    <row r="1" spans="1:6" ht="15">
      <c r="A1" s="386"/>
      <c r="B1" s="507" t="s">
        <v>171</v>
      </c>
      <c r="C1" s="507"/>
      <c r="D1" s="507"/>
      <c r="E1" s="507"/>
      <c r="F1" s="507"/>
    </row>
    <row r="2" spans="1:6">
      <c r="A2" s="386"/>
      <c r="B2" s="386"/>
      <c r="C2" s="386"/>
      <c r="D2" s="386"/>
      <c r="E2" s="386"/>
      <c r="F2" s="386"/>
    </row>
    <row r="3" spans="1:6" ht="12.75">
      <c r="A3" s="386"/>
      <c r="B3" s="508" t="s">
        <v>132</v>
      </c>
      <c r="C3" s="508"/>
      <c r="D3" s="508"/>
      <c r="E3" s="508"/>
      <c r="F3" s="508"/>
    </row>
    <row r="4" spans="1:6" ht="12.75">
      <c r="A4" s="386"/>
      <c r="B4" s="387"/>
      <c r="C4" s="386"/>
      <c r="D4" s="386"/>
      <c r="E4" s="386"/>
      <c r="F4" s="386"/>
    </row>
    <row r="5" spans="1:6" ht="12.75">
      <c r="A5" s="386"/>
      <c r="B5" s="508" t="s">
        <v>133</v>
      </c>
      <c r="C5" s="508"/>
      <c r="D5" s="508"/>
      <c r="E5" s="508"/>
      <c r="F5" s="508"/>
    </row>
    <row r="6" spans="1:6">
      <c r="A6" s="386"/>
      <c r="B6" s="386"/>
      <c r="C6" s="386"/>
      <c r="D6" s="386"/>
      <c r="E6" s="386"/>
      <c r="F6" s="386"/>
    </row>
    <row r="7" spans="1:6" ht="11.25">
      <c r="A7" s="386"/>
      <c r="B7" s="509" t="s">
        <v>134</v>
      </c>
      <c r="C7" s="510" t="s">
        <v>135</v>
      </c>
      <c r="D7" s="510"/>
      <c r="E7" s="510" t="s">
        <v>136</v>
      </c>
      <c r="F7" s="510"/>
    </row>
    <row r="8" spans="1:6" ht="11.25">
      <c r="A8" s="386"/>
      <c r="B8" s="509"/>
      <c r="C8" s="393" t="s">
        <v>137</v>
      </c>
      <c r="D8" s="393" t="s">
        <v>138</v>
      </c>
      <c r="E8" s="393" t="s">
        <v>137</v>
      </c>
      <c r="F8" s="393" t="s">
        <v>138</v>
      </c>
    </row>
    <row r="9" spans="1:6">
      <c r="A9" s="386"/>
      <c r="B9" s="388"/>
      <c r="C9" s="389"/>
      <c r="D9" s="389"/>
      <c r="E9" s="389"/>
      <c r="F9" s="389"/>
    </row>
    <row r="10" spans="1:6" ht="12.75">
      <c r="A10" s="400">
        <v>1</v>
      </c>
      <c r="B10" s="390" t="s">
        <v>139</v>
      </c>
      <c r="C10" s="399">
        <v>7.0000000000000007E-2</v>
      </c>
      <c r="D10" s="399">
        <f>D11</f>
        <v>0.09</v>
      </c>
      <c r="E10" s="399">
        <v>0.03</v>
      </c>
      <c r="F10" s="399">
        <f>F11</f>
        <v>0.05</v>
      </c>
    </row>
    <row r="11" spans="1:6" ht="12.75">
      <c r="A11" s="400">
        <v>2</v>
      </c>
      <c r="B11" s="390" t="s">
        <v>140</v>
      </c>
      <c r="C11" s="399">
        <v>7.0000000000000007E-2</v>
      </c>
      <c r="D11" s="399">
        <f>D12</f>
        <v>0.09</v>
      </c>
      <c r="E11" s="399">
        <v>0.03</v>
      </c>
      <c r="F11" s="399">
        <f>F12</f>
        <v>0.05</v>
      </c>
    </row>
    <row r="12" spans="1:6" ht="12.75">
      <c r="A12" s="400">
        <v>3</v>
      </c>
      <c r="B12" s="390" t="s">
        <v>141</v>
      </c>
      <c r="C12" s="399">
        <v>7.0000000000000007E-2</v>
      </c>
      <c r="D12" s="399">
        <v>0.09</v>
      </c>
      <c r="E12" s="399">
        <v>0.03</v>
      </c>
      <c r="F12" s="399">
        <v>0.05</v>
      </c>
    </row>
    <row r="13" spans="1:6" ht="12.75">
      <c r="A13" s="400">
        <v>4</v>
      </c>
      <c r="B13" s="390" t="s">
        <v>142</v>
      </c>
      <c r="C13" s="399">
        <v>0.08</v>
      </c>
      <c r="D13" s="399">
        <v>0.11</v>
      </c>
      <c r="E13" s="399">
        <v>0.04</v>
      </c>
      <c r="F13" s="399">
        <v>7.0000000000000007E-2</v>
      </c>
    </row>
    <row r="14" spans="1:6" ht="12.75">
      <c r="A14" s="400">
        <v>5</v>
      </c>
      <c r="B14" s="390" t="s">
        <v>143</v>
      </c>
      <c r="C14" s="399">
        <v>0.09</v>
      </c>
      <c r="D14" s="399">
        <v>0.16</v>
      </c>
      <c r="E14" s="399">
        <v>7.0000000000000007E-2</v>
      </c>
      <c r="F14" s="399">
        <v>0.13</v>
      </c>
    </row>
    <row r="15" spans="1:6" ht="12.75">
      <c r="A15" s="400">
        <v>6</v>
      </c>
      <c r="B15" s="390" t="s">
        <v>144</v>
      </c>
      <c r="C15" s="399">
        <v>0.14000000000000001</v>
      </c>
      <c r="D15" s="399">
        <v>0.27</v>
      </c>
      <c r="E15" s="399">
        <v>0.11</v>
      </c>
      <c r="F15" s="399">
        <v>0.23</v>
      </c>
    </row>
    <row r="16" spans="1:6" ht="12.75">
      <c r="A16" s="400">
        <v>7</v>
      </c>
      <c r="B16" s="390" t="s">
        <v>145</v>
      </c>
      <c r="C16" s="399">
        <v>0.25</v>
      </c>
      <c r="D16" s="399">
        <v>0.56999999999999995</v>
      </c>
      <c r="E16" s="399">
        <v>0.17</v>
      </c>
      <c r="F16" s="399">
        <v>0.4</v>
      </c>
    </row>
    <row r="17" spans="1:6" ht="12.75">
      <c r="A17" s="400">
        <v>8</v>
      </c>
      <c r="B17" s="390" t="s">
        <v>146</v>
      </c>
      <c r="C17" s="399">
        <v>0.44</v>
      </c>
      <c r="D17" s="399">
        <v>1.1299999999999999</v>
      </c>
      <c r="E17" s="399">
        <v>0.28000000000000003</v>
      </c>
      <c r="F17" s="399">
        <v>0.71</v>
      </c>
    </row>
    <row r="18" spans="1:6" ht="12.75">
      <c r="A18" s="400">
        <v>9</v>
      </c>
      <c r="B18" s="390" t="s">
        <v>147</v>
      </c>
      <c r="C18" s="399">
        <v>0.78</v>
      </c>
      <c r="D18" s="399">
        <v>2.11</v>
      </c>
      <c r="E18" s="399">
        <v>0.51</v>
      </c>
      <c r="F18" s="399">
        <v>1.22</v>
      </c>
    </row>
    <row r="19" spans="1:6" ht="12.75">
      <c r="A19" s="400">
        <v>10</v>
      </c>
      <c r="B19" s="390" t="s">
        <v>148</v>
      </c>
      <c r="C19" s="399">
        <v>1.1200000000000001</v>
      </c>
      <c r="D19" s="399">
        <v>3</v>
      </c>
      <c r="E19" s="399">
        <v>0.69</v>
      </c>
      <c r="F19" s="399">
        <v>1.5</v>
      </c>
    </row>
    <row r="20" spans="1:6" ht="12.75">
      <c r="A20" s="400">
        <v>11</v>
      </c>
      <c r="B20" s="390" t="s">
        <v>149</v>
      </c>
      <c r="C20" s="399">
        <v>0</v>
      </c>
      <c r="D20" s="399">
        <v>0</v>
      </c>
      <c r="E20" s="399">
        <v>0</v>
      </c>
      <c r="F20" s="399">
        <v>0</v>
      </c>
    </row>
    <row r="21" spans="1:6">
      <c r="A21" s="391"/>
      <c r="B21" s="392"/>
      <c r="C21" s="392"/>
      <c r="D21" s="392"/>
      <c r="E21" s="392"/>
      <c r="F21" s="392"/>
    </row>
  </sheetData>
  <sheetProtection password="FB77" sheet="1" objects="1" scenarios="1"/>
  <mergeCells count="6">
    <mergeCell ref="B1:F1"/>
    <mergeCell ref="B3:F3"/>
    <mergeCell ref="B5:F5"/>
    <mergeCell ref="B7:B8"/>
    <mergeCell ref="C7:D7"/>
    <mergeCell ref="E7:F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12</vt:i4>
      </vt:variant>
    </vt:vector>
  </HeadingPairs>
  <TitlesOfParts>
    <vt:vector size="17" baseType="lpstr">
      <vt:lpstr>Programmation</vt:lpstr>
      <vt:lpstr>Données</vt:lpstr>
      <vt:lpstr>Facture</vt:lpstr>
      <vt:lpstr>Paie</vt:lpstr>
      <vt:lpstr>Vie Fac</vt:lpstr>
      <vt:lpstr>Classes</vt:lpstr>
      <vt:lpstr>Données!Impression_des_titres</vt:lpstr>
      <vt:lpstr>Facture!Impression_des_titres</vt:lpstr>
      <vt:lpstr>Paie!Impression_des_titres</vt:lpstr>
      <vt:lpstr>Programmation!Impression_des_titres</vt:lpstr>
      <vt:lpstr>taux</vt:lpstr>
      <vt:lpstr>taxes</vt:lpstr>
      <vt:lpstr>Test</vt:lpstr>
      <vt:lpstr>TxVfac</vt:lpstr>
      <vt:lpstr>Données!Zone_d_impression</vt:lpstr>
      <vt:lpstr>Facture!Zone_d_impression</vt:lpstr>
      <vt:lpstr>Paie!Zone_d_impression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Master</dc:title>
  <dc:subject>Calculs avantages imposables</dc:subject>
  <dc:creator>Camille Breton</dc:creator>
  <cp:lastModifiedBy>Valérie</cp:lastModifiedBy>
  <cp:lastPrinted>2019-08-30T17:58:59Z</cp:lastPrinted>
  <dcterms:created xsi:type="dcterms:W3CDTF">2002-03-01T18:52:24Z</dcterms:created>
  <dcterms:modified xsi:type="dcterms:W3CDTF">2019-11-04T17:09:01Z</dcterms:modified>
</cp:coreProperties>
</file>