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projet recap service\"/>
    </mc:Choice>
  </mc:AlternateContent>
  <bookViews>
    <workbookView xWindow="0" yWindow="0" windowWidth="20160" windowHeight="9216"/>
  </bookViews>
  <sheets>
    <sheet name="test" sheetId="1" r:id="rId1"/>
  </sheets>
  <externalReferences>
    <externalReference r:id="rId2"/>
  </externalReferences>
  <definedNames>
    <definedName name="_xlnm._FilterDatabase" localSheetId="0" hidden="1">test!$A$4:$BM$138</definedName>
    <definedName name="TABLEAU5">test!$AO$141:$AV$146</definedName>
    <definedName name="_xlnm.Print_Area" localSheetId="0">test!$A$1:$AZ$413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412" i="1" l="1"/>
  <c r="Y412" i="1"/>
  <c r="Y413" i="1" s="1"/>
  <c r="Q412" i="1"/>
  <c r="AM411" i="1"/>
  <c r="AK411" i="1"/>
  <c r="AC412" i="1"/>
  <c r="AB412" i="1"/>
  <c r="U412" i="1"/>
  <c r="P412" i="1"/>
  <c r="M412" i="1"/>
  <c r="M413" i="1" s="1"/>
  <c r="I412" i="1"/>
  <c r="I413" i="1" s="1"/>
  <c r="AP408" i="1"/>
  <c r="AI412" i="1"/>
  <c r="AF412" i="1"/>
  <c r="AE412" i="1"/>
  <c r="AA412" i="1"/>
  <c r="W412" i="1"/>
  <c r="T412" i="1"/>
  <c r="S412" i="1"/>
  <c r="O412" i="1"/>
  <c r="O413" i="1" s="1"/>
  <c r="K412" i="1"/>
  <c r="K413" i="1" s="1"/>
  <c r="D408" i="1"/>
  <c r="AP406" i="1"/>
  <c r="AM406" i="1"/>
  <c r="AO406" i="1" s="1"/>
  <c r="AK406" i="1"/>
  <c r="E406" i="1"/>
  <c r="D406" i="1"/>
  <c r="AN405" i="1"/>
  <c r="AL405" i="1"/>
  <c r="AM404" i="1"/>
  <c r="AK404" i="1"/>
  <c r="AN403" i="1"/>
  <c r="AL403" i="1"/>
  <c r="AP401" i="1"/>
  <c r="AN401" i="1"/>
  <c r="AM401" i="1"/>
  <c r="AM403" i="1" s="1"/>
  <c r="AO403" i="1" s="1"/>
  <c r="AL401" i="1"/>
  <c r="AK401" i="1"/>
  <c r="D401" i="1"/>
  <c r="AP399" i="1"/>
  <c r="AO399" i="1"/>
  <c r="AN399" i="1"/>
  <c r="AM399" i="1"/>
  <c r="AL399" i="1"/>
  <c r="AK399" i="1"/>
  <c r="D399" i="1"/>
  <c r="AN398" i="1"/>
  <c r="AL398" i="1"/>
  <c r="AM397" i="1"/>
  <c r="AK397" i="1"/>
  <c r="AN396" i="1"/>
  <c r="AL396" i="1"/>
  <c r="AP394" i="1"/>
  <c r="AN394" i="1"/>
  <c r="AM394" i="1"/>
  <c r="AO394" i="1" s="1"/>
  <c r="AL394" i="1"/>
  <c r="AK394" i="1"/>
  <c r="D394" i="1"/>
  <c r="AP392" i="1"/>
  <c r="AN392" i="1"/>
  <c r="AM392" i="1"/>
  <c r="AO392" i="1" s="1"/>
  <c r="AL392" i="1"/>
  <c r="AK392" i="1"/>
  <c r="D392" i="1"/>
  <c r="AM390" i="1"/>
  <c r="AK390" i="1"/>
  <c r="AP387" i="1"/>
  <c r="AM387" i="1"/>
  <c r="AK387" i="1"/>
  <c r="AL387" i="1" s="1"/>
  <c r="D387" i="1"/>
  <c r="AP385" i="1"/>
  <c r="AM385" i="1"/>
  <c r="AK385" i="1"/>
  <c r="AK389" i="1" s="1"/>
  <c r="D385" i="1"/>
  <c r="AM383" i="1"/>
  <c r="AK383" i="1"/>
  <c r="AP380" i="1"/>
  <c r="AK380" i="1"/>
  <c r="AL380" i="1" s="1"/>
  <c r="D380" i="1"/>
  <c r="AP378" i="1"/>
  <c r="AM378" i="1"/>
  <c r="AK378" i="1"/>
  <c r="D378" i="1"/>
  <c r="AM376" i="1"/>
  <c r="AK376" i="1"/>
  <c r="AP373" i="1"/>
  <c r="AM373" i="1"/>
  <c r="AK373" i="1"/>
  <c r="D373" i="1"/>
  <c r="AP371" i="1"/>
  <c r="AP375" i="1" s="1"/>
  <c r="AP377" i="1" s="1"/>
  <c r="AM371" i="1"/>
  <c r="AN371" i="1" s="1"/>
  <c r="AK371" i="1"/>
  <c r="D371" i="1"/>
  <c r="AM369" i="1"/>
  <c r="AK369" i="1"/>
  <c r="AP366" i="1"/>
  <c r="AM366" i="1"/>
  <c r="AN366" i="1" s="1"/>
  <c r="AK366" i="1"/>
  <c r="AO366" i="1" s="1"/>
  <c r="D366" i="1"/>
  <c r="AP364" i="1"/>
  <c r="AM364" i="1"/>
  <c r="AN364" i="1" s="1"/>
  <c r="AK364" i="1"/>
  <c r="D364" i="1"/>
  <c r="A363" i="1"/>
  <c r="B356" i="1" s="1"/>
  <c r="S289" i="1" s="1"/>
  <c r="S349" i="1" s="1"/>
  <c r="AM362" i="1"/>
  <c r="AK362" i="1"/>
  <c r="AP359" i="1"/>
  <c r="AM359" i="1"/>
  <c r="AN359" i="1" s="1"/>
  <c r="AK359" i="1"/>
  <c r="D359" i="1"/>
  <c r="AP357" i="1"/>
  <c r="AP361" i="1" s="1"/>
  <c r="AP363" i="1" s="1"/>
  <c r="AM357" i="1"/>
  <c r="AN357" i="1" s="1"/>
  <c r="AK357" i="1"/>
  <c r="AO357" i="1" s="1"/>
  <c r="D357" i="1"/>
  <c r="AM355" i="1"/>
  <c r="AK355" i="1"/>
  <c r="AP352" i="1"/>
  <c r="AM352" i="1"/>
  <c r="AN352" i="1" s="1"/>
  <c r="AK352" i="1"/>
  <c r="AL352" i="1" s="1"/>
  <c r="D352" i="1"/>
  <c r="AP350" i="1"/>
  <c r="AP354" i="1" s="1"/>
  <c r="AP356" i="1" s="1"/>
  <c r="AM350" i="1"/>
  <c r="AN350" i="1" s="1"/>
  <c r="AK350" i="1"/>
  <c r="D350" i="1"/>
  <c r="AI348" i="1"/>
  <c r="E348" i="1"/>
  <c r="AP278" i="1" s="1"/>
  <c r="AL341" i="1"/>
  <c r="AK341" i="1"/>
  <c r="D341" i="1"/>
  <c r="AP339" i="1"/>
  <c r="AM339" i="1"/>
  <c r="AK339" i="1"/>
  <c r="AL339" i="1" s="1"/>
  <c r="E339" i="1"/>
  <c r="D339" i="1"/>
  <c r="AN338" i="1"/>
  <c r="AL338" i="1"/>
  <c r="B338" i="1"/>
  <c r="Q289" i="1" s="1"/>
  <c r="Q349" i="1" s="1"/>
  <c r="AM337" i="1"/>
  <c r="AK337" i="1"/>
  <c r="AN336" i="1"/>
  <c r="AL336" i="1"/>
  <c r="AP334" i="1"/>
  <c r="AN334" i="1"/>
  <c r="AM334" i="1"/>
  <c r="AM336" i="1" s="1"/>
  <c r="AL334" i="1"/>
  <c r="AK334" i="1"/>
  <c r="D334" i="1"/>
  <c r="AP332" i="1"/>
  <c r="AN332" i="1"/>
  <c r="AM332" i="1"/>
  <c r="AO332" i="1" s="1"/>
  <c r="AL332" i="1"/>
  <c r="AK332" i="1"/>
  <c r="D332" i="1"/>
  <c r="AN331" i="1"/>
  <c r="AL331" i="1"/>
  <c r="B331" i="1"/>
  <c r="O289" i="1" s="1"/>
  <c r="O349" i="1" s="1"/>
  <c r="AM330" i="1"/>
  <c r="AK330" i="1"/>
  <c r="AN329" i="1"/>
  <c r="AL329" i="1"/>
  <c r="AP327" i="1"/>
  <c r="AN327" i="1"/>
  <c r="AM327" i="1"/>
  <c r="AO327" i="1" s="1"/>
  <c r="AL327" i="1"/>
  <c r="AK327" i="1"/>
  <c r="D327" i="1"/>
  <c r="AP325" i="1"/>
  <c r="AN325" i="1"/>
  <c r="AM325" i="1"/>
  <c r="AO325" i="1" s="1"/>
  <c r="AL325" i="1"/>
  <c r="AK325" i="1"/>
  <c r="D325" i="1"/>
  <c r="B324" i="1"/>
  <c r="M289" i="1" s="1"/>
  <c r="M349" i="1" s="1"/>
  <c r="AK323" i="1"/>
  <c r="AP320" i="1"/>
  <c r="AM320" i="1"/>
  <c r="AK320" i="1"/>
  <c r="AO320" i="1" s="1"/>
  <c r="D320" i="1"/>
  <c r="AP318" i="1"/>
  <c r="AM318" i="1"/>
  <c r="AO318" i="1" s="1"/>
  <c r="AK318" i="1"/>
  <c r="AL318" i="1" s="1"/>
  <c r="D318" i="1"/>
  <c r="B317" i="1"/>
  <c r="K289" i="1" s="1"/>
  <c r="K349" i="1" s="1"/>
  <c r="AM316" i="1"/>
  <c r="AK316" i="1"/>
  <c r="AP313" i="1"/>
  <c r="AM313" i="1"/>
  <c r="AO313" i="1" s="1"/>
  <c r="AK313" i="1"/>
  <c r="AL313" i="1" s="1"/>
  <c r="D313" i="1"/>
  <c r="AP311" i="1"/>
  <c r="AP315" i="1" s="1"/>
  <c r="AP317" i="1" s="1"/>
  <c r="AM311" i="1"/>
  <c r="AK311" i="1"/>
  <c r="D311" i="1"/>
  <c r="B310" i="1"/>
  <c r="I289" i="1" s="1"/>
  <c r="I349" i="1" s="1"/>
  <c r="AM309" i="1"/>
  <c r="AK309" i="1"/>
  <c r="AP306" i="1"/>
  <c r="AM306" i="1"/>
  <c r="AK306" i="1"/>
  <c r="AL306" i="1" s="1"/>
  <c r="D306" i="1"/>
  <c r="AP304" i="1"/>
  <c r="AM304" i="1"/>
  <c r="AO304" i="1" s="1"/>
  <c r="AK304" i="1"/>
  <c r="AL304" i="1" s="1"/>
  <c r="D304" i="1"/>
  <c r="B303" i="1"/>
  <c r="G289" i="1" s="1"/>
  <c r="G349" i="1" s="1"/>
  <c r="AM302" i="1"/>
  <c r="AK302" i="1"/>
  <c r="AP299" i="1"/>
  <c r="AM299" i="1"/>
  <c r="AO299" i="1" s="1"/>
  <c r="AK299" i="1"/>
  <c r="AL299" i="1" s="1"/>
  <c r="D299" i="1"/>
  <c r="AP297" i="1"/>
  <c r="AM297" i="1"/>
  <c r="AK297" i="1"/>
  <c r="AK301" i="1" s="1"/>
  <c r="D297" i="1"/>
  <c r="AN296" i="1"/>
  <c r="AL296" i="1"/>
  <c r="AM295" i="1"/>
  <c r="AT295" i="1" s="1"/>
  <c r="AK295" i="1"/>
  <c r="AR295" i="1" s="1"/>
  <c r="AN294" i="1"/>
  <c r="AL294" i="1"/>
  <c r="AN292" i="1"/>
  <c r="AL292" i="1"/>
  <c r="D292" i="1"/>
  <c r="AN290" i="1"/>
  <c r="AL290" i="1"/>
  <c r="AM290" i="1"/>
  <c r="D290" i="1"/>
  <c r="AG288" i="1"/>
  <c r="AG348" i="1" s="1"/>
  <c r="AE288" i="1"/>
  <c r="AE348" i="1" s="1"/>
  <c r="AC288" i="1"/>
  <c r="AC348" i="1" s="1"/>
  <c r="AA288" i="1"/>
  <c r="AA348" i="1" s="1"/>
  <c r="Y288" i="1"/>
  <c r="Y348" i="1" s="1"/>
  <c r="W288" i="1"/>
  <c r="W348" i="1" s="1"/>
  <c r="U288" i="1"/>
  <c r="U348" i="1" s="1"/>
  <c r="S288" i="1"/>
  <c r="S348" i="1" s="1"/>
  <c r="Q288" i="1"/>
  <c r="Q348" i="1" s="1"/>
  <c r="O288" i="1"/>
  <c r="O348" i="1" s="1"/>
  <c r="M288" i="1"/>
  <c r="M348" i="1" s="1"/>
  <c r="K288" i="1"/>
  <c r="K348" i="1" s="1"/>
  <c r="I288" i="1"/>
  <c r="I348" i="1" s="1"/>
  <c r="G288" i="1"/>
  <c r="G348" i="1" s="1"/>
  <c r="F286" i="1"/>
  <c r="E284" i="1"/>
  <c r="F284" i="1" s="1"/>
  <c r="E283" i="1"/>
  <c r="F283" i="1" s="1"/>
  <c r="G282" i="1"/>
  <c r="F282" i="1"/>
  <c r="E281" i="1"/>
  <c r="F281" i="1" s="1"/>
  <c r="E280" i="1"/>
  <c r="F280" i="1" s="1"/>
  <c r="G279" i="1"/>
  <c r="F279" i="1"/>
  <c r="E279" i="1"/>
  <c r="AO278" i="1"/>
  <c r="AM274" i="1"/>
  <c r="AK274" i="1"/>
  <c r="D271" i="1"/>
  <c r="X275" i="1"/>
  <c r="L275" i="1"/>
  <c r="E269" i="1"/>
  <c r="D269" i="1"/>
  <c r="AN268" i="1"/>
  <c r="AL268" i="1"/>
  <c r="AM267" i="1"/>
  <c r="AK267" i="1"/>
  <c r="AN266" i="1"/>
  <c r="AL266" i="1"/>
  <c r="AP264" i="1"/>
  <c r="AN264" i="1"/>
  <c r="AM264" i="1"/>
  <c r="AL264" i="1"/>
  <c r="AK264" i="1"/>
  <c r="D264" i="1"/>
  <c r="AP262" i="1"/>
  <c r="AN262" i="1"/>
  <c r="AM262" i="1"/>
  <c r="AO262" i="1" s="1"/>
  <c r="AL262" i="1"/>
  <c r="AK262" i="1"/>
  <c r="D262" i="1"/>
  <c r="AN261" i="1"/>
  <c r="AL261" i="1"/>
  <c r="AM260" i="1"/>
  <c r="AK260" i="1"/>
  <c r="AN259" i="1"/>
  <c r="AL259" i="1"/>
  <c r="AP257" i="1"/>
  <c r="AN257" i="1"/>
  <c r="AM257" i="1"/>
  <c r="AO257" i="1" s="1"/>
  <c r="AL257" i="1"/>
  <c r="AK257" i="1"/>
  <c r="D257" i="1"/>
  <c r="AP255" i="1"/>
  <c r="AN255" i="1"/>
  <c r="AM255" i="1"/>
  <c r="AO255" i="1" s="1"/>
  <c r="AL255" i="1"/>
  <c r="AK255" i="1"/>
  <c r="D255" i="1"/>
  <c r="AM253" i="1"/>
  <c r="AK253" i="1"/>
  <c r="AP252" i="1"/>
  <c r="AP254" i="1" s="1"/>
  <c r="AP250" i="1"/>
  <c r="AM250" i="1"/>
  <c r="AN250" i="1" s="1"/>
  <c r="AK250" i="1"/>
  <c r="AL250" i="1" s="1"/>
  <c r="D250" i="1"/>
  <c r="AP248" i="1"/>
  <c r="AM248" i="1"/>
  <c r="AK248" i="1"/>
  <c r="D248" i="1"/>
  <c r="AM246" i="1"/>
  <c r="AK246" i="1"/>
  <c r="AP243" i="1"/>
  <c r="AM243" i="1"/>
  <c r="AK243" i="1"/>
  <c r="AL243" i="1" s="1"/>
  <c r="D243" i="1"/>
  <c r="AP241" i="1"/>
  <c r="AM241" i="1"/>
  <c r="AN241" i="1" s="1"/>
  <c r="AK241" i="1"/>
  <c r="D241" i="1"/>
  <c r="AM239" i="1"/>
  <c r="AK239" i="1"/>
  <c r="AP236" i="1"/>
  <c r="AM236" i="1"/>
  <c r="AN236" i="1" s="1"/>
  <c r="D236" i="1"/>
  <c r="AP234" i="1"/>
  <c r="D234" i="1"/>
  <c r="AM232" i="1"/>
  <c r="AK232" i="1"/>
  <c r="AP229" i="1"/>
  <c r="AM229" i="1"/>
  <c r="AN229" i="1" s="1"/>
  <c r="AK229" i="1"/>
  <c r="AL229" i="1" s="1"/>
  <c r="D229" i="1"/>
  <c r="AP227" i="1"/>
  <c r="AP231" i="1" s="1"/>
  <c r="AP233" i="1" s="1"/>
  <c r="AM227" i="1"/>
  <c r="AK227" i="1"/>
  <c r="D227" i="1"/>
  <c r="A226" i="1"/>
  <c r="B219" i="1" s="1"/>
  <c r="S152" i="1" s="1"/>
  <c r="S212" i="1" s="1"/>
  <c r="AM225" i="1"/>
  <c r="AK225" i="1"/>
  <c r="AP222" i="1"/>
  <c r="AK222" i="1"/>
  <c r="AL222" i="1" s="1"/>
  <c r="D222" i="1"/>
  <c r="AP220" i="1"/>
  <c r="D220" i="1"/>
  <c r="AM218" i="1"/>
  <c r="AK218" i="1"/>
  <c r="AP215" i="1"/>
  <c r="AM215" i="1"/>
  <c r="AN215" i="1" s="1"/>
  <c r="AK215" i="1"/>
  <c r="AL215" i="1" s="1"/>
  <c r="D215" i="1"/>
  <c r="AP213" i="1"/>
  <c r="AP217" i="1" s="1"/>
  <c r="AP219" i="1" s="1"/>
  <c r="D213" i="1"/>
  <c r="AI211" i="1"/>
  <c r="E211" i="1"/>
  <c r="AP141" i="1" s="1"/>
  <c r="A211" i="1"/>
  <c r="AL204" i="1"/>
  <c r="D204" i="1"/>
  <c r="E202" i="1"/>
  <c r="D202" i="1"/>
  <c r="AN201" i="1"/>
  <c r="AL201" i="1"/>
  <c r="B201" i="1"/>
  <c r="Q152" i="1" s="1"/>
  <c r="Q212" i="1" s="1"/>
  <c r="AM200" i="1"/>
  <c r="AK200" i="1"/>
  <c r="AN199" i="1"/>
  <c r="AL199" i="1"/>
  <c r="AP197" i="1"/>
  <c r="AN197" i="1"/>
  <c r="AM197" i="1"/>
  <c r="AL197" i="1"/>
  <c r="AK197" i="1"/>
  <c r="D197" i="1"/>
  <c r="AP195" i="1"/>
  <c r="AN195" i="1"/>
  <c r="AM195" i="1"/>
  <c r="AO195" i="1" s="1"/>
  <c r="AL195" i="1"/>
  <c r="AK195" i="1"/>
  <c r="D195" i="1"/>
  <c r="AN194" i="1"/>
  <c r="AL194" i="1"/>
  <c r="B194" i="1"/>
  <c r="O152" i="1" s="1"/>
  <c r="O212" i="1" s="1"/>
  <c r="AM193" i="1"/>
  <c r="AK193" i="1"/>
  <c r="AN192" i="1"/>
  <c r="AL192" i="1"/>
  <c r="AP190" i="1"/>
  <c r="AN190" i="1"/>
  <c r="AM190" i="1"/>
  <c r="AL190" i="1"/>
  <c r="AK190" i="1"/>
  <c r="D190" i="1"/>
  <c r="AP188" i="1"/>
  <c r="AN188" i="1"/>
  <c r="AM188" i="1"/>
  <c r="AO188" i="1" s="1"/>
  <c r="AL188" i="1"/>
  <c r="AK188" i="1"/>
  <c r="D188" i="1"/>
  <c r="B187" i="1"/>
  <c r="M152" i="1" s="1"/>
  <c r="M212" i="1" s="1"/>
  <c r="AM186" i="1"/>
  <c r="AK186" i="1"/>
  <c r="AP183" i="1"/>
  <c r="D183" i="1"/>
  <c r="AP181" i="1"/>
  <c r="AM181" i="1"/>
  <c r="AK181" i="1"/>
  <c r="AL181" i="1" s="1"/>
  <c r="D181" i="1"/>
  <c r="B180" i="1"/>
  <c r="K152" i="1" s="1"/>
  <c r="K212" i="1" s="1"/>
  <c r="AM179" i="1"/>
  <c r="AK179" i="1"/>
  <c r="AP176" i="1"/>
  <c r="AM176" i="1"/>
  <c r="AK176" i="1"/>
  <c r="AL176" i="1" s="1"/>
  <c r="D176" i="1"/>
  <c r="AP174" i="1"/>
  <c r="AM174" i="1"/>
  <c r="AK174" i="1"/>
  <c r="AL174" i="1" s="1"/>
  <c r="D174" i="1"/>
  <c r="B173" i="1"/>
  <c r="I152" i="1" s="1"/>
  <c r="I212" i="1" s="1"/>
  <c r="AM172" i="1"/>
  <c r="AK172" i="1"/>
  <c r="AP169" i="1"/>
  <c r="AM169" i="1"/>
  <c r="AO169" i="1" s="1"/>
  <c r="AK169" i="1"/>
  <c r="AL169" i="1" s="1"/>
  <c r="D169" i="1"/>
  <c r="AP167" i="1"/>
  <c r="AM167" i="1"/>
  <c r="AN167" i="1" s="1"/>
  <c r="AK167" i="1"/>
  <c r="AL167" i="1" s="1"/>
  <c r="D167" i="1"/>
  <c r="B166" i="1"/>
  <c r="G152" i="1" s="1"/>
  <c r="G212" i="1" s="1"/>
  <c r="AM165" i="1"/>
  <c r="AK165" i="1"/>
  <c r="AP162" i="1"/>
  <c r="AM162" i="1"/>
  <c r="AK162" i="1"/>
  <c r="AL162" i="1" s="1"/>
  <c r="D162" i="1"/>
  <c r="AP160" i="1"/>
  <c r="AM160" i="1"/>
  <c r="AN160" i="1" s="1"/>
  <c r="AK160" i="1"/>
  <c r="D160" i="1"/>
  <c r="AN159" i="1"/>
  <c r="AL159" i="1"/>
  <c r="AM158" i="1"/>
  <c r="AT158" i="1" s="1"/>
  <c r="AK158" i="1"/>
  <c r="AR158" i="1" s="1"/>
  <c r="AN157" i="1"/>
  <c r="AL157" i="1"/>
  <c r="AN155" i="1"/>
  <c r="AL155" i="1"/>
  <c r="D155" i="1"/>
  <c r="AN153" i="1"/>
  <c r="AL153" i="1"/>
  <c r="D153" i="1"/>
  <c r="AG151" i="1"/>
  <c r="AG211" i="1" s="1"/>
  <c r="AE151" i="1"/>
  <c r="AE211" i="1" s="1"/>
  <c r="AC151" i="1"/>
  <c r="AC211" i="1" s="1"/>
  <c r="AA151" i="1"/>
  <c r="AA211" i="1" s="1"/>
  <c r="Y151" i="1"/>
  <c r="Y211" i="1" s="1"/>
  <c r="W151" i="1"/>
  <c r="W211" i="1" s="1"/>
  <c r="U151" i="1"/>
  <c r="U211" i="1" s="1"/>
  <c r="S151" i="1"/>
  <c r="S211" i="1" s="1"/>
  <c r="Q151" i="1"/>
  <c r="Q211" i="1" s="1"/>
  <c r="O151" i="1"/>
  <c r="O211" i="1" s="1"/>
  <c r="M151" i="1"/>
  <c r="M211" i="1" s="1"/>
  <c r="K151" i="1"/>
  <c r="K211" i="1" s="1"/>
  <c r="I151" i="1"/>
  <c r="I211" i="1" s="1"/>
  <c r="G151" i="1"/>
  <c r="G211" i="1" s="1"/>
  <c r="F149" i="1"/>
  <c r="E147" i="1"/>
  <c r="F147" i="1" s="1"/>
  <c r="E146" i="1"/>
  <c r="F146" i="1" s="1"/>
  <c r="G145" i="1"/>
  <c r="F145" i="1"/>
  <c r="E145" i="1"/>
  <c r="E144" i="1"/>
  <c r="F144" i="1" s="1"/>
  <c r="E143" i="1"/>
  <c r="F143" i="1" s="1"/>
  <c r="G142" i="1"/>
  <c r="F142" i="1"/>
  <c r="E142" i="1"/>
  <c r="AO141" i="1"/>
  <c r="AM137" i="1"/>
  <c r="AK137" i="1"/>
  <c r="AI135" i="1"/>
  <c r="AG135" i="1"/>
  <c r="AE135" i="1"/>
  <c r="AC135" i="1"/>
  <c r="AA135" i="1"/>
  <c r="Y135" i="1"/>
  <c r="W135" i="1"/>
  <c r="U135" i="1"/>
  <c r="S135" i="1"/>
  <c r="Q135" i="1"/>
  <c r="O135" i="1"/>
  <c r="M135" i="1"/>
  <c r="K135" i="1"/>
  <c r="I135" i="1"/>
  <c r="G135" i="1"/>
  <c r="AJ134" i="1"/>
  <c r="AI134" i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D134" i="1"/>
  <c r="AI133" i="1"/>
  <c r="AG133" i="1"/>
  <c r="AE133" i="1"/>
  <c r="AC133" i="1"/>
  <c r="AA133" i="1"/>
  <c r="Y133" i="1"/>
  <c r="W133" i="1"/>
  <c r="U133" i="1"/>
  <c r="S133" i="1"/>
  <c r="Q133" i="1"/>
  <c r="O133" i="1"/>
  <c r="M133" i="1"/>
  <c r="K133" i="1"/>
  <c r="I133" i="1"/>
  <c r="G133" i="1"/>
  <c r="AJ132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E132" i="1"/>
  <c r="D132" i="1"/>
  <c r="AN131" i="1"/>
  <c r="AL131" i="1"/>
  <c r="AM130" i="1"/>
  <c r="AK130" i="1"/>
  <c r="AN129" i="1"/>
  <c r="AL129" i="1"/>
  <c r="AJ129" i="1"/>
  <c r="AJ131" i="1" s="1"/>
  <c r="AI129" i="1"/>
  <c r="AI131" i="1" s="1"/>
  <c r="AH129" i="1"/>
  <c r="AH131" i="1" s="1"/>
  <c r="AG129" i="1"/>
  <c r="AG131" i="1" s="1"/>
  <c r="AF129" i="1"/>
  <c r="AF131" i="1" s="1"/>
  <c r="AE129" i="1"/>
  <c r="AE131" i="1" s="1"/>
  <c r="AP127" i="1"/>
  <c r="AN127" i="1"/>
  <c r="AM127" i="1"/>
  <c r="AL127" i="1"/>
  <c r="AK127" i="1"/>
  <c r="D127" i="1"/>
  <c r="AP125" i="1"/>
  <c r="AN125" i="1"/>
  <c r="AM125" i="1"/>
  <c r="AO125" i="1" s="1"/>
  <c r="AL125" i="1"/>
  <c r="AK125" i="1"/>
  <c r="D125" i="1"/>
  <c r="AN124" i="1"/>
  <c r="AL124" i="1"/>
  <c r="AM123" i="1"/>
  <c r="AK123" i="1"/>
  <c r="AN122" i="1"/>
  <c r="AL122" i="1"/>
  <c r="AJ122" i="1"/>
  <c r="AJ124" i="1" s="1"/>
  <c r="AI122" i="1"/>
  <c r="AI124" i="1" s="1"/>
  <c r="AH122" i="1"/>
  <c r="AH124" i="1" s="1"/>
  <c r="AG122" i="1"/>
  <c r="AG124" i="1" s="1"/>
  <c r="AF122" i="1"/>
  <c r="AF124" i="1" s="1"/>
  <c r="AE122" i="1"/>
  <c r="AE124" i="1" s="1"/>
  <c r="AP120" i="1"/>
  <c r="AN120" i="1"/>
  <c r="AM120" i="1"/>
  <c r="AO120" i="1" s="1"/>
  <c r="AL120" i="1"/>
  <c r="AK120" i="1"/>
  <c r="D120" i="1"/>
  <c r="AP118" i="1"/>
  <c r="AN118" i="1"/>
  <c r="AM118" i="1"/>
  <c r="AO118" i="1" s="1"/>
  <c r="AL118" i="1"/>
  <c r="AK118" i="1"/>
  <c r="D118" i="1"/>
  <c r="AM116" i="1"/>
  <c r="AK116" i="1"/>
  <c r="AJ115" i="1"/>
  <c r="AJ117" i="1" s="1"/>
  <c r="AI115" i="1"/>
  <c r="AI117" i="1" s="1"/>
  <c r="AH115" i="1"/>
  <c r="AH117" i="1" s="1"/>
  <c r="AG115" i="1"/>
  <c r="AG117" i="1" s="1"/>
  <c r="AF115" i="1"/>
  <c r="AF117" i="1" s="1"/>
  <c r="AE115" i="1"/>
  <c r="AE117" i="1" s="1"/>
  <c r="AP113" i="1"/>
  <c r="AM113" i="1"/>
  <c r="AN113" i="1" s="1"/>
  <c r="AK113" i="1"/>
  <c r="AL113" i="1" s="1"/>
  <c r="D113" i="1"/>
  <c r="AP111" i="1"/>
  <c r="AM111" i="1"/>
  <c r="AK111" i="1"/>
  <c r="AL111" i="1" s="1"/>
  <c r="D111" i="1"/>
  <c r="AN110" i="1"/>
  <c r="AL110" i="1"/>
  <c r="AM109" i="1"/>
  <c r="AK109" i="1"/>
  <c r="AN108" i="1"/>
  <c r="AL108" i="1"/>
  <c r="AJ108" i="1"/>
  <c r="AJ110" i="1" s="1"/>
  <c r="AI108" i="1"/>
  <c r="AI110" i="1" s="1"/>
  <c r="AH108" i="1"/>
  <c r="AH110" i="1" s="1"/>
  <c r="AG108" i="1"/>
  <c r="AG110" i="1" s="1"/>
  <c r="AF108" i="1"/>
  <c r="AF110" i="1" s="1"/>
  <c r="AE108" i="1"/>
  <c r="AE110" i="1" s="1"/>
  <c r="AP106" i="1"/>
  <c r="AN106" i="1"/>
  <c r="AM106" i="1"/>
  <c r="AL106" i="1"/>
  <c r="AK106" i="1"/>
  <c r="D106" i="1"/>
  <c r="AP104" i="1"/>
  <c r="AN104" i="1"/>
  <c r="AM104" i="1"/>
  <c r="AO104" i="1" s="1"/>
  <c r="AL104" i="1"/>
  <c r="AK104" i="1"/>
  <c r="D104" i="1"/>
  <c r="AM102" i="1"/>
  <c r="AK102" i="1"/>
  <c r="AJ101" i="1"/>
  <c r="AJ103" i="1" s="1"/>
  <c r="AI101" i="1"/>
  <c r="AI103" i="1" s="1"/>
  <c r="AH101" i="1"/>
  <c r="AH103" i="1" s="1"/>
  <c r="AG101" i="1"/>
  <c r="AG103" i="1" s="1"/>
  <c r="AF101" i="1"/>
  <c r="AF103" i="1" s="1"/>
  <c r="AE101" i="1"/>
  <c r="AE103" i="1" s="1"/>
  <c r="AP99" i="1"/>
  <c r="AM99" i="1"/>
  <c r="AL99" i="1"/>
  <c r="AK99" i="1"/>
  <c r="D99" i="1"/>
  <c r="AP97" i="1"/>
  <c r="AM97" i="1"/>
  <c r="AN97" i="1" s="1"/>
  <c r="AK97" i="1"/>
  <c r="D97" i="1"/>
  <c r="AM95" i="1"/>
  <c r="AK95" i="1"/>
  <c r="AJ94" i="1"/>
  <c r="AJ96" i="1" s="1"/>
  <c r="AI94" i="1"/>
  <c r="AI96" i="1" s="1"/>
  <c r="AH94" i="1"/>
  <c r="AH96" i="1" s="1"/>
  <c r="AG94" i="1"/>
  <c r="AG96" i="1" s="1"/>
  <c r="AF94" i="1"/>
  <c r="AF96" i="1" s="1"/>
  <c r="AE94" i="1"/>
  <c r="AE96" i="1" s="1"/>
  <c r="AP92" i="1"/>
  <c r="AM92" i="1"/>
  <c r="AN92" i="1" s="1"/>
  <c r="AL92" i="1"/>
  <c r="AK92" i="1"/>
  <c r="D92" i="1"/>
  <c r="AP90" i="1"/>
  <c r="AM90" i="1"/>
  <c r="AN90" i="1" s="1"/>
  <c r="AK90" i="1"/>
  <c r="AL90" i="1" s="1"/>
  <c r="D90" i="1"/>
  <c r="A89" i="1"/>
  <c r="B89" i="1" s="1"/>
  <c r="AM88" i="1"/>
  <c r="AK88" i="1"/>
  <c r="AJ87" i="1"/>
  <c r="AJ89" i="1" s="1"/>
  <c r="AI87" i="1"/>
  <c r="AI89" i="1" s="1"/>
  <c r="AH87" i="1"/>
  <c r="AH89" i="1" s="1"/>
  <c r="AG87" i="1"/>
  <c r="AG89" i="1" s="1"/>
  <c r="AF87" i="1"/>
  <c r="AF89" i="1" s="1"/>
  <c r="AE87" i="1"/>
  <c r="AE89" i="1" s="1"/>
  <c r="AP85" i="1"/>
  <c r="AM85" i="1"/>
  <c r="AL85" i="1"/>
  <c r="AK85" i="1"/>
  <c r="D85" i="1"/>
  <c r="AP83" i="1"/>
  <c r="AM83" i="1"/>
  <c r="AK83" i="1"/>
  <c r="D83" i="1"/>
  <c r="AM81" i="1"/>
  <c r="AK81" i="1"/>
  <c r="AJ80" i="1"/>
  <c r="AJ82" i="1" s="1"/>
  <c r="AI80" i="1"/>
  <c r="AI82" i="1" s="1"/>
  <c r="AH80" i="1"/>
  <c r="AH82" i="1" s="1"/>
  <c r="AG80" i="1"/>
  <c r="AG82" i="1" s="1"/>
  <c r="AF80" i="1"/>
  <c r="AF82" i="1" s="1"/>
  <c r="AE80" i="1"/>
  <c r="AE82" i="1" s="1"/>
  <c r="AP78" i="1"/>
  <c r="AM78" i="1"/>
  <c r="AL78" i="1"/>
  <c r="AK78" i="1"/>
  <c r="D78" i="1"/>
  <c r="AP76" i="1"/>
  <c r="AM76" i="1"/>
  <c r="AN76" i="1" s="1"/>
  <c r="AK76" i="1"/>
  <c r="D76" i="1"/>
  <c r="AI74" i="1"/>
  <c r="E74" i="1"/>
  <c r="A74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AL67" i="1"/>
  <c r="D67" i="1"/>
  <c r="E65" i="1"/>
  <c r="D65" i="1"/>
  <c r="AN64" i="1"/>
  <c r="AL64" i="1"/>
  <c r="B64" i="1"/>
  <c r="Q15" i="1" s="1"/>
  <c r="Q75" i="1" s="1"/>
  <c r="AM63" i="1"/>
  <c r="AK63" i="1"/>
  <c r="AN62" i="1"/>
  <c r="AL62" i="1"/>
  <c r="AP60" i="1"/>
  <c r="AN60" i="1"/>
  <c r="AM60" i="1"/>
  <c r="AO60" i="1" s="1"/>
  <c r="AL60" i="1"/>
  <c r="AK60" i="1"/>
  <c r="D60" i="1"/>
  <c r="AP58" i="1"/>
  <c r="AN58" i="1"/>
  <c r="AM58" i="1"/>
  <c r="AL58" i="1"/>
  <c r="AK58" i="1"/>
  <c r="D58" i="1"/>
  <c r="AN57" i="1"/>
  <c r="AL57" i="1"/>
  <c r="B57" i="1"/>
  <c r="O15" i="1" s="1"/>
  <c r="O75" i="1" s="1"/>
  <c r="AM56" i="1"/>
  <c r="AK56" i="1"/>
  <c r="AN55" i="1"/>
  <c r="AL55" i="1"/>
  <c r="AP53" i="1"/>
  <c r="AN53" i="1"/>
  <c r="AM53" i="1"/>
  <c r="AL53" i="1"/>
  <c r="AK53" i="1"/>
  <c r="D53" i="1"/>
  <c r="AP51" i="1"/>
  <c r="AN51" i="1"/>
  <c r="AM51" i="1"/>
  <c r="AO51" i="1" s="1"/>
  <c r="AL51" i="1"/>
  <c r="AK51" i="1"/>
  <c r="D51" i="1"/>
  <c r="AN50" i="1"/>
  <c r="AL50" i="1"/>
  <c r="B50" i="1"/>
  <c r="M15" i="1" s="1"/>
  <c r="M75" i="1" s="1"/>
  <c r="AM49" i="1"/>
  <c r="AK49" i="1"/>
  <c r="AN48" i="1"/>
  <c r="AL48" i="1"/>
  <c r="AP46" i="1"/>
  <c r="AN46" i="1"/>
  <c r="AM46" i="1"/>
  <c r="AL46" i="1"/>
  <c r="AK46" i="1"/>
  <c r="D46" i="1"/>
  <c r="AP44" i="1"/>
  <c r="AN44" i="1"/>
  <c r="AM44" i="1"/>
  <c r="AO44" i="1" s="1"/>
  <c r="AL44" i="1"/>
  <c r="AK44" i="1"/>
  <c r="D44" i="1"/>
  <c r="AM42" i="1"/>
  <c r="AK42" i="1"/>
  <c r="AP39" i="1"/>
  <c r="AM39" i="1"/>
  <c r="AO39" i="1" s="1"/>
  <c r="AL39" i="1"/>
  <c r="AK39" i="1"/>
  <c r="D39" i="1"/>
  <c r="AP37" i="1"/>
  <c r="AM37" i="1"/>
  <c r="AO37" i="1" s="1"/>
  <c r="AK37" i="1"/>
  <c r="AL37" i="1" s="1"/>
  <c r="D37" i="1"/>
  <c r="AM35" i="1"/>
  <c r="AK35" i="1"/>
  <c r="AP32" i="1"/>
  <c r="AM32" i="1"/>
  <c r="AL32" i="1"/>
  <c r="AK32" i="1"/>
  <c r="D32" i="1"/>
  <c r="AP30" i="1"/>
  <c r="AM30" i="1"/>
  <c r="AK30" i="1"/>
  <c r="AK34" i="1" s="1"/>
  <c r="D30" i="1"/>
  <c r="AM28" i="1"/>
  <c r="AK28" i="1"/>
  <c r="AP25" i="1"/>
  <c r="AM25" i="1"/>
  <c r="AO25" i="1" s="1"/>
  <c r="AL25" i="1"/>
  <c r="AK25" i="1"/>
  <c r="D25" i="1"/>
  <c r="AP23" i="1"/>
  <c r="AM23" i="1"/>
  <c r="AK23" i="1"/>
  <c r="AL23" i="1" s="1"/>
  <c r="D23" i="1"/>
  <c r="AN22" i="1"/>
  <c r="AL22" i="1"/>
  <c r="AM21" i="1"/>
  <c r="AT21" i="1" s="1"/>
  <c r="AK21" i="1"/>
  <c r="AR21" i="1" s="1"/>
  <c r="AN20" i="1"/>
  <c r="AL20" i="1"/>
  <c r="AP18" i="1"/>
  <c r="AV18" i="1" s="1"/>
  <c r="AN18" i="1"/>
  <c r="AM18" i="1"/>
  <c r="AL18" i="1"/>
  <c r="AK18" i="1"/>
  <c r="AR18" i="1" s="1"/>
  <c r="D18" i="1"/>
  <c r="AP16" i="1"/>
  <c r="AN16" i="1"/>
  <c r="AM16" i="1"/>
  <c r="AO16" i="1" s="1"/>
  <c r="AL16" i="1"/>
  <c r="AK16" i="1"/>
  <c r="AR16" i="1" s="1"/>
  <c r="D16" i="1"/>
  <c r="U15" i="1"/>
  <c r="U75" i="1" s="1"/>
  <c r="K15" i="1"/>
  <c r="I15" i="1"/>
  <c r="G15" i="1"/>
  <c r="AG14" i="1"/>
  <c r="AG74" i="1" s="1"/>
  <c r="AE14" i="1"/>
  <c r="AE74" i="1" s="1"/>
  <c r="AC14" i="1"/>
  <c r="AC74" i="1" s="1"/>
  <c r="AA14" i="1"/>
  <c r="AA74" i="1" s="1"/>
  <c r="Y14" i="1"/>
  <c r="Y74" i="1" s="1"/>
  <c r="W14" i="1"/>
  <c r="W74" i="1" s="1"/>
  <c r="U14" i="1"/>
  <c r="U74" i="1" s="1"/>
  <c r="S14" i="1"/>
  <c r="S74" i="1" s="1"/>
  <c r="Q14" i="1"/>
  <c r="Q74" i="1" s="1"/>
  <c r="O14" i="1"/>
  <c r="O74" i="1" s="1"/>
  <c r="M14" i="1"/>
  <c r="M74" i="1" s="1"/>
  <c r="K14" i="1"/>
  <c r="K74" i="1" s="1"/>
  <c r="I14" i="1"/>
  <c r="I74" i="1" s="1"/>
  <c r="G14" i="1"/>
  <c r="G74" i="1" s="1"/>
  <c r="F12" i="1"/>
  <c r="G8" i="1"/>
  <c r="F8" i="1"/>
  <c r="E8" i="1"/>
  <c r="E6" i="1"/>
  <c r="F6" i="1" s="1"/>
  <c r="G5" i="1"/>
  <c r="F5" i="1"/>
  <c r="E5" i="1"/>
  <c r="AP4" i="1"/>
  <c r="AO4" i="1"/>
  <c r="O136" i="1" l="1"/>
  <c r="O138" i="1" s="1"/>
  <c r="W136" i="1"/>
  <c r="W138" i="1" s="1"/>
  <c r="Y136" i="1"/>
  <c r="Y138" i="1" s="1"/>
  <c r="AK192" i="1"/>
  <c r="AK194" i="1" s="1"/>
  <c r="AR28" i="1"/>
  <c r="AR35" i="1" s="1"/>
  <c r="AR42" i="1" s="1"/>
  <c r="AR49" i="1" s="1"/>
  <c r="AR56" i="1" s="1"/>
  <c r="AR63" i="1" s="1"/>
  <c r="AR81" i="1" s="1"/>
  <c r="AR88" i="1" s="1"/>
  <c r="AR95" i="1" s="1"/>
  <c r="AR102" i="1" s="1"/>
  <c r="AR109" i="1" s="1"/>
  <c r="AR116" i="1" s="1"/>
  <c r="AR123" i="1" s="1"/>
  <c r="AR130" i="1" s="1"/>
  <c r="AT28" i="1"/>
  <c r="AT35" i="1" s="1"/>
  <c r="AT42" i="1" s="1"/>
  <c r="AT49" i="1" s="1"/>
  <c r="AT56" i="1" s="1"/>
  <c r="AT63" i="1" s="1"/>
  <c r="AT81" i="1" s="1"/>
  <c r="AT88" i="1" s="1"/>
  <c r="AT95" i="1" s="1"/>
  <c r="AT102" i="1" s="1"/>
  <c r="AT109" i="1" s="1"/>
  <c r="AT116" i="1" s="1"/>
  <c r="AT123" i="1" s="1"/>
  <c r="AT130" i="1" s="1"/>
  <c r="AK48" i="1"/>
  <c r="AP48" i="1"/>
  <c r="AP50" i="1" s="1"/>
  <c r="AM48" i="1"/>
  <c r="AM50" i="1" s="1"/>
  <c r="AK129" i="1"/>
  <c r="AK131" i="1" s="1"/>
  <c r="AP129" i="1"/>
  <c r="AP131" i="1" s="1"/>
  <c r="J275" i="1"/>
  <c r="R275" i="1"/>
  <c r="S208" i="1"/>
  <c r="AP20" i="1"/>
  <c r="AP22" i="1" s="1"/>
  <c r="AV25" i="1"/>
  <c r="AV32" i="1" s="1"/>
  <c r="AV39" i="1" s="1"/>
  <c r="AV46" i="1" s="1"/>
  <c r="AV53" i="1" s="1"/>
  <c r="AV60" i="1" s="1"/>
  <c r="AV78" i="1" s="1"/>
  <c r="AV85" i="1" s="1"/>
  <c r="AV92" i="1" s="1"/>
  <c r="AV99" i="1" s="1"/>
  <c r="AV106" i="1" s="1"/>
  <c r="AV113" i="1" s="1"/>
  <c r="AV120" i="1" s="1"/>
  <c r="AV127" i="1" s="1"/>
  <c r="AM65" i="1"/>
  <c r="AO65" i="1" s="1"/>
  <c r="I71" i="1"/>
  <c r="I72" i="1" s="1"/>
  <c r="M71" i="1"/>
  <c r="Q71" i="1"/>
  <c r="Q72" i="1" s="1"/>
  <c r="U71" i="1"/>
  <c r="U72" i="1" s="1"/>
  <c r="Y71" i="1"/>
  <c r="Y72" i="1" s="1"/>
  <c r="AC71" i="1"/>
  <c r="AC72" i="1" s="1"/>
  <c r="AG71" i="1"/>
  <c r="AG72" i="1" s="1"/>
  <c r="AM70" i="1"/>
  <c r="AK183" i="1"/>
  <c r="AL183" i="1" s="1"/>
  <c r="AP202" i="1"/>
  <c r="T208" i="1"/>
  <c r="AB208" i="1"/>
  <c r="AN318" i="1"/>
  <c r="AP101" i="1"/>
  <c r="AP103" i="1" s="1"/>
  <c r="AO99" i="1"/>
  <c r="AI136" i="1"/>
  <c r="AI138" i="1" s="1"/>
  <c r="AM183" i="1"/>
  <c r="AN183" i="1" s="1"/>
  <c r="AK303" i="1"/>
  <c r="AL303" i="1" s="1"/>
  <c r="AM322" i="1"/>
  <c r="AN322" i="1" s="1"/>
  <c r="AO18" i="1"/>
  <c r="AT18" i="1"/>
  <c r="AT25" i="1" s="1"/>
  <c r="AT32" i="1" s="1"/>
  <c r="B233" i="1"/>
  <c r="W152" i="1" s="1"/>
  <c r="W212" i="1" s="1"/>
  <c r="AK236" i="1"/>
  <c r="AL236" i="1" s="1"/>
  <c r="AM259" i="1"/>
  <c r="AO259" i="1" s="1"/>
  <c r="N275" i="1"/>
  <c r="V275" i="1"/>
  <c r="Z275" i="1"/>
  <c r="H208" i="1"/>
  <c r="L208" i="1"/>
  <c r="L276" i="1" s="1"/>
  <c r="AF208" i="1"/>
  <c r="AF209" i="1" s="1"/>
  <c r="AJ208" i="1"/>
  <c r="AJ209" i="1" s="1"/>
  <c r="AJ275" i="1"/>
  <c r="AK403" i="1"/>
  <c r="AK405" i="1" s="1"/>
  <c r="AN37" i="1"/>
  <c r="AO83" i="1"/>
  <c r="AR165" i="1"/>
  <c r="AR172" i="1" s="1"/>
  <c r="AR179" i="1" s="1"/>
  <c r="AR186" i="1" s="1"/>
  <c r="AR193" i="1" s="1"/>
  <c r="AR200" i="1" s="1"/>
  <c r="AR218" i="1" s="1"/>
  <c r="AR225" i="1" s="1"/>
  <c r="AR232" i="1" s="1"/>
  <c r="AR239" i="1" s="1"/>
  <c r="AR246" i="1" s="1"/>
  <c r="AR253" i="1" s="1"/>
  <c r="AR260" i="1" s="1"/>
  <c r="AR267" i="1" s="1"/>
  <c r="AP185" i="1"/>
  <c r="AP187" i="1" s="1"/>
  <c r="AM202" i="1"/>
  <c r="AN202" i="1" s="1"/>
  <c r="AM222" i="1"/>
  <c r="AO222" i="1" s="1"/>
  <c r="AO248" i="1"/>
  <c r="H275" i="1"/>
  <c r="AG275" i="1"/>
  <c r="AP27" i="1"/>
  <c r="AP29" i="1" s="1"/>
  <c r="H71" i="1"/>
  <c r="H72" i="1" s="1"/>
  <c r="L71" i="1"/>
  <c r="L72" i="1" s="1"/>
  <c r="P71" i="1"/>
  <c r="T71" i="1"/>
  <c r="T72" i="1" s="1"/>
  <c r="X71" i="1"/>
  <c r="X72" i="1" s="1"/>
  <c r="AB71" i="1"/>
  <c r="AB72" i="1" s="1"/>
  <c r="AF71" i="1"/>
  <c r="AF72" i="1" s="1"/>
  <c r="AJ71" i="1"/>
  <c r="AJ72" i="1" s="1"/>
  <c r="B110" i="1"/>
  <c r="AA15" i="1" s="1"/>
  <c r="AA75" i="1" s="1"/>
  <c r="AM122" i="1"/>
  <c r="AM124" i="1" s="1"/>
  <c r="AO124" i="1" s="1"/>
  <c r="G136" i="1"/>
  <c r="G138" i="1" s="1"/>
  <c r="G139" i="1" s="1"/>
  <c r="S136" i="1"/>
  <c r="S138" i="1" s="1"/>
  <c r="AA136" i="1"/>
  <c r="AA138" i="1" s="1"/>
  <c r="AE136" i="1"/>
  <c r="AE138" i="1" s="1"/>
  <c r="AK199" i="1"/>
  <c r="AK201" i="1" s="1"/>
  <c r="AP199" i="1"/>
  <c r="AP201" i="1" s="1"/>
  <c r="AR25" i="1"/>
  <c r="AR32" i="1" s="1"/>
  <c r="AR39" i="1" s="1"/>
  <c r="AP34" i="1"/>
  <c r="AP36" i="1" s="1"/>
  <c r="AP41" i="1"/>
  <c r="AP43" i="1" s="1"/>
  <c r="AM41" i="1"/>
  <c r="AM43" i="1" s="1"/>
  <c r="AN43" i="1" s="1"/>
  <c r="AK65" i="1"/>
  <c r="AL65" i="1" s="1"/>
  <c r="AM67" i="1"/>
  <c r="AN67" i="1" s="1"/>
  <c r="AP87" i="1"/>
  <c r="AP89" i="1" s="1"/>
  <c r="AO106" i="1"/>
  <c r="R136" i="1"/>
  <c r="R138" i="1" s="1"/>
  <c r="V136" i="1"/>
  <c r="V138" i="1" s="1"/>
  <c r="AD136" i="1"/>
  <c r="AD138" i="1" s="1"/>
  <c r="L136" i="1"/>
  <c r="L138" i="1" s="1"/>
  <c r="P136" i="1"/>
  <c r="P138" i="1" s="1"/>
  <c r="P139" i="1" s="1"/>
  <c r="T136" i="1"/>
  <c r="T138" i="1" s="1"/>
  <c r="X136" i="1"/>
  <c r="X138" i="1" s="1"/>
  <c r="AB136" i="1"/>
  <c r="AB138" i="1" s="1"/>
  <c r="AF136" i="1"/>
  <c r="AF138" i="1" s="1"/>
  <c r="AF139" i="1" s="1"/>
  <c r="AJ136" i="1"/>
  <c r="AJ138" i="1" s="1"/>
  <c r="AK259" i="1"/>
  <c r="M275" i="1"/>
  <c r="M276" i="1" s="1"/>
  <c r="AK41" i="1"/>
  <c r="AK43" i="1" s="1"/>
  <c r="AL43" i="1" s="1"/>
  <c r="AM87" i="1"/>
  <c r="AM89" i="1" s="1"/>
  <c r="AN85" i="1"/>
  <c r="AM101" i="1"/>
  <c r="J136" i="1"/>
  <c r="J138" i="1" s="1"/>
  <c r="AO197" i="1"/>
  <c r="AM199" i="1"/>
  <c r="AM201" i="1" s="1"/>
  <c r="AO201" i="1" s="1"/>
  <c r="T275" i="1"/>
  <c r="T276" i="1" s="1"/>
  <c r="A367" i="1"/>
  <c r="B384" i="1"/>
  <c r="AA289" i="1" s="1"/>
  <c r="AA349" i="1" s="1"/>
  <c r="AM389" i="1"/>
  <c r="AN389" i="1" s="1"/>
  <c r="AV16" i="1"/>
  <c r="AN30" i="1"/>
  <c r="AO30" i="1"/>
  <c r="N136" i="1"/>
  <c r="N138" i="1" s="1"/>
  <c r="AT165" i="1"/>
  <c r="AT172" i="1" s="1"/>
  <c r="AT179" i="1" s="1"/>
  <c r="AT186" i="1" s="1"/>
  <c r="AT193" i="1" s="1"/>
  <c r="AT200" i="1" s="1"/>
  <c r="AT218" i="1" s="1"/>
  <c r="AT225" i="1" s="1"/>
  <c r="AT232" i="1" s="1"/>
  <c r="AT239" i="1" s="1"/>
  <c r="AT246" i="1" s="1"/>
  <c r="AT253" i="1" s="1"/>
  <c r="AT260" i="1" s="1"/>
  <c r="AT267" i="1" s="1"/>
  <c r="AN248" i="1"/>
  <c r="AM375" i="1"/>
  <c r="AN375" i="1" s="1"/>
  <c r="AK55" i="1"/>
  <c r="AK57" i="1" s="1"/>
  <c r="AP65" i="1"/>
  <c r="AO78" i="1"/>
  <c r="AM80" i="1"/>
  <c r="AO80" i="1" s="1"/>
  <c r="AN78" i="1"/>
  <c r="AM94" i="1"/>
  <c r="AN94" i="1" s="1"/>
  <c r="AK101" i="1"/>
  <c r="AL101" i="1" s="1"/>
  <c r="AL97" i="1"/>
  <c r="AP122" i="1"/>
  <c r="AP124" i="1" s="1"/>
  <c r="AM132" i="1"/>
  <c r="AN132" i="1" s="1"/>
  <c r="Z136" i="1"/>
  <c r="Z138" i="1" s="1"/>
  <c r="AH136" i="1"/>
  <c r="AH138" i="1" s="1"/>
  <c r="AM164" i="1"/>
  <c r="AN164" i="1" s="1"/>
  <c r="AO162" i="1"/>
  <c r="E9" i="1"/>
  <c r="AK50" i="1"/>
  <c r="AO58" i="1"/>
  <c r="AM62" i="1"/>
  <c r="AM64" i="1" s="1"/>
  <c r="AO64" i="1" s="1"/>
  <c r="N71" i="1"/>
  <c r="N72" i="1" s="1"/>
  <c r="R71" i="1"/>
  <c r="R72" i="1" s="1"/>
  <c r="V71" i="1"/>
  <c r="V72" i="1" s="1"/>
  <c r="Z71" i="1"/>
  <c r="Z72" i="1" s="1"/>
  <c r="AD71" i="1"/>
  <c r="AD72" i="1" s="1"/>
  <c r="AH71" i="1"/>
  <c r="AH72" i="1" s="1"/>
  <c r="AK70" i="1"/>
  <c r="AP115" i="1"/>
  <c r="AP117" i="1" s="1"/>
  <c r="AK115" i="1"/>
  <c r="AK117" i="1" s="1"/>
  <c r="AL117" i="1" s="1"/>
  <c r="K136" i="1"/>
  <c r="K138" i="1" s="1"/>
  <c r="K139" i="1" s="1"/>
  <c r="AP164" i="1"/>
  <c r="AP166" i="1" s="1"/>
  <c r="AN162" i="1"/>
  <c r="AP178" i="1"/>
  <c r="AP180" i="1" s="1"/>
  <c r="AK178" i="1"/>
  <c r="O275" i="1"/>
  <c r="S275" i="1"/>
  <c r="W275" i="1"/>
  <c r="AH275" i="1"/>
  <c r="AP55" i="1"/>
  <c r="AP57" i="1" s="1"/>
  <c r="AO85" i="1"/>
  <c r="AO92" i="1"/>
  <c r="AN111" i="1"/>
  <c r="AO111" i="1"/>
  <c r="AO167" i="1"/>
  <c r="AK171" i="1"/>
  <c r="AK173" i="1" s="1"/>
  <c r="AK336" i="1"/>
  <c r="AK338" i="1" s="1"/>
  <c r="AK329" i="1"/>
  <c r="AK331" i="1" s="1"/>
  <c r="AP329" i="1"/>
  <c r="AP331" i="1" s="1"/>
  <c r="AL378" i="1"/>
  <c r="AK382" i="1"/>
  <c r="AL382" i="1" s="1"/>
  <c r="AK396" i="1"/>
  <c r="AK398" i="1" s="1"/>
  <c r="AP396" i="1"/>
  <c r="AP398" i="1" s="1"/>
  <c r="AM20" i="1"/>
  <c r="AT20" i="1" s="1"/>
  <c r="AT16" i="1"/>
  <c r="AT23" i="1" s="1"/>
  <c r="AK27" i="1"/>
  <c r="AO46" i="1"/>
  <c r="AK62" i="1"/>
  <c r="AK64" i="1" s="1"/>
  <c r="AP62" i="1"/>
  <c r="AP64" i="1" s="1"/>
  <c r="AP67" i="1"/>
  <c r="AK108" i="1"/>
  <c r="AK110" i="1" s="1"/>
  <c r="AP108" i="1"/>
  <c r="AP110" i="1" s="1"/>
  <c r="I208" i="1"/>
  <c r="I209" i="1" s="1"/>
  <c r="M208" i="1"/>
  <c r="Q208" i="1"/>
  <c r="Q209" i="1" s="1"/>
  <c r="U208" i="1"/>
  <c r="Y208" i="1"/>
  <c r="Y209" i="1" s="1"/>
  <c r="AC208" i="1"/>
  <c r="AC209" i="1" s="1"/>
  <c r="AG208" i="1"/>
  <c r="AG209" i="1" s="1"/>
  <c r="K208" i="1"/>
  <c r="O208" i="1"/>
  <c r="O209" i="1" s="1"/>
  <c r="W208" i="1"/>
  <c r="W209" i="1" s="1"/>
  <c r="AA208" i="1"/>
  <c r="AA209" i="1" s="1"/>
  <c r="AE208" i="1"/>
  <c r="AE209" i="1" s="1"/>
  <c r="AI208" i="1"/>
  <c r="AI209" i="1" s="1"/>
  <c r="AM207" i="1"/>
  <c r="P208" i="1"/>
  <c r="P209" i="1" s="1"/>
  <c r="X208" i="1"/>
  <c r="X276" i="1" s="1"/>
  <c r="AP259" i="1"/>
  <c r="AP261" i="1" s="1"/>
  <c r="AP266" i="1"/>
  <c r="AP268" i="1" s="1"/>
  <c r="AM266" i="1"/>
  <c r="AM268" i="1" s="1"/>
  <c r="AO268" i="1" s="1"/>
  <c r="AO264" i="1"/>
  <c r="I275" i="1"/>
  <c r="I276" i="1" s="1"/>
  <c r="Q275" i="1"/>
  <c r="U275" i="1"/>
  <c r="Y275" i="1"/>
  <c r="AP171" i="1"/>
  <c r="AP173" i="1" s="1"/>
  <c r="AM171" i="1"/>
  <c r="AM173" i="1" s="1"/>
  <c r="AP204" i="1"/>
  <c r="AP206" i="1" s="1"/>
  <c r="AP208" i="1" s="1"/>
  <c r="AK207" i="1"/>
  <c r="AB275" i="1"/>
  <c r="AP238" i="1"/>
  <c r="AP240" i="1" s="1"/>
  <c r="AK266" i="1"/>
  <c r="AK268" i="1" s="1"/>
  <c r="AI275" i="1"/>
  <c r="AO371" i="1"/>
  <c r="AP382" i="1"/>
  <c r="AP384" i="1" s="1"/>
  <c r="AK391" i="1"/>
  <c r="AL391" i="1" s="1"/>
  <c r="AL389" i="1"/>
  <c r="AM354" i="1"/>
  <c r="AN354" i="1" s="1"/>
  <c r="AL357" i="1"/>
  <c r="AL366" i="1"/>
  <c r="AL371" i="1"/>
  <c r="AN373" i="1"/>
  <c r="AP403" i="1"/>
  <c r="AP405" i="1" s="1"/>
  <c r="AO350" i="1"/>
  <c r="AM361" i="1"/>
  <c r="AM363" i="1" s="1"/>
  <c r="AP368" i="1"/>
  <c r="AP370" i="1" s="1"/>
  <c r="AM368" i="1"/>
  <c r="AN368" i="1" s="1"/>
  <c r="AK375" i="1"/>
  <c r="AL375" i="1" s="1"/>
  <c r="AL385" i="1"/>
  <c r="AP410" i="1"/>
  <c r="AP412" i="1" s="1"/>
  <c r="AO352" i="1"/>
  <c r="AL373" i="1"/>
  <c r="AO401" i="1"/>
  <c r="AM338" i="1"/>
  <c r="AO338" i="1" s="1"/>
  <c r="AO336" i="1"/>
  <c r="AT302" i="1"/>
  <c r="AT309" i="1" s="1"/>
  <c r="AT316" i="1" s="1"/>
  <c r="AL320" i="1"/>
  <c r="AK322" i="1"/>
  <c r="AO322" i="1" s="1"/>
  <c r="AP308" i="1"/>
  <c r="AP310" i="1" s="1"/>
  <c r="AN320" i="1"/>
  <c r="AO334" i="1"/>
  <c r="AK308" i="1"/>
  <c r="AK310" i="1" s="1"/>
  <c r="AL310" i="1" s="1"/>
  <c r="AN313" i="1"/>
  <c r="AP336" i="1"/>
  <c r="AP338" i="1" s="1"/>
  <c r="AL297" i="1"/>
  <c r="AN304" i="1"/>
  <c r="AP322" i="1"/>
  <c r="AP324" i="1" s="1"/>
  <c r="AO43" i="1"/>
  <c r="AR23" i="1"/>
  <c r="AS16" i="1"/>
  <c r="AK36" i="1"/>
  <c r="AL36" i="1" s="1"/>
  <c r="AL34" i="1"/>
  <c r="AO32" i="1"/>
  <c r="AM34" i="1"/>
  <c r="AN32" i="1"/>
  <c r="AO127" i="1"/>
  <c r="AM129" i="1"/>
  <c r="AO176" i="1"/>
  <c r="AM178" i="1"/>
  <c r="AN176" i="1"/>
  <c r="E7" i="1"/>
  <c r="AS25" i="1" s="1"/>
  <c r="K71" i="1"/>
  <c r="K72" i="1" s="1"/>
  <c r="S71" i="1"/>
  <c r="S72" i="1" s="1"/>
  <c r="AA71" i="1"/>
  <c r="AA72" i="1" s="1"/>
  <c r="AI71" i="1"/>
  <c r="AI72" i="1" s="1"/>
  <c r="J71" i="1"/>
  <c r="J72" i="1" s="1"/>
  <c r="AP80" i="1"/>
  <c r="AP82" i="1" s="1"/>
  <c r="AP153" i="1"/>
  <c r="AP132" i="1"/>
  <c r="AE275" i="1"/>
  <c r="AN25" i="1"/>
  <c r="AM27" i="1"/>
  <c r="AO53" i="1"/>
  <c r="AM55" i="1"/>
  <c r="P72" i="1"/>
  <c r="M72" i="1"/>
  <c r="AL83" i="1"/>
  <c r="AK87" i="1"/>
  <c r="AK94" i="1"/>
  <c r="AP94" i="1"/>
  <c r="AP96" i="1" s="1"/>
  <c r="AO122" i="1"/>
  <c r="AK132" i="1"/>
  <c r="AL132" i="1" s="1"/>
  <c r="M136" i="1"/>
  <c r="M138" i="1" s="1"/>
  <c r="M139" i="1" s="1"/>
  <c r="Q136" i="1"/>
  <c r="Q138" i="1" s="1"/>
  <c r="U136" i="1"/>
  <c r="U138" i="1" s="1"/>
  <c r="AC136" i="1"/>
  <c r="AC138" i="1" s="1"/>
  <c r="AG136" i="1"/>
  <c r="AG138" i="1" s="1"/>
  <c r="I136" i="1"/>
  <c r="I138" i="1" s="1"/>
  <c r="I139" i="1" s="1"/>
  <c r="AO174" i="1"/>
  <c r="AN174" i="1"/>
  <c r="AO181" i="1"/>
  <c r="AN181" i="1"/>
  <c r="AP192" i="1"/>
  <c r="AP194" i="1" s="1"/>
  <c r="AO199" i="1"/>
  <c r="AB209" i="1"/>
  <c r="AM323" i="1"/>
  <c r="AO23" i="1"/>
  <c r="AN23" i="1"/>
  <c r="AN65" i="1"/>
  <c r="AN173" i="1"/>
  <c r="AK20" i="1"/>
  <c r="AL30" i="1"/>
  <c r="G71" i="1"/>
  <c r="G72" i="1" s="1"/>
  <c r="AK67" i="1"/>
  <c r="O71" i="1"/>
  <c r="O72" i="1" s="1"/>
  <c r="W71" i="1"/>
  <c r="W72" i="1" s="1"/>
  <c r="AE71" i="1"/>
  <c r="AE72" i="1" s="1"/>
  <c r="H136" i="1"/>
  <c r="H138" i="1" s="1"/>
  <c r="AM134" i="1"/>
  <c r="AT290" i="1"/>
  <c r="AK80" i="1"/>
  <c r="AO76" i="1"/>
  <c r="AL76" i="1"/>
  <c r="AK164" i="1"/>
  <c r="AL160" i="1"/>
  <c r="AO160" i="1"/>
  <c r="AK202" i="1"/>
  <c r="AL202" i="1" s="1"/>
  <c r="AM220" i="1"/>
  <c r="AO311" i="1"/>
  <c r="AM315" i="1"/>
  <c r="AN311" i="1"/>
  <c r="AM108" i="1"/>
  <c r="AK134" i="1"/>
  <c r="AL134" i="1" s="1"/>
  <c r="AP155" i="1"/>
  <c r="AV155" i="1" s="1"/>
  <c r="AV162" i="1" s="1"/>
  <c r="AV169" i="1" s="1"/>
  <c r="AV176" i="1" s="1"/>
  <c r="AV183" i="1" s="1"/>
  <c r="AV190" i="1" s="1"/>
  <c r="AV197" i="1" s="1"/>
  <c r="AV215" i="1" s="1"/>
  <c r="AV222" i="1" s="1"/>
  <c r="AV229" i="1" s="1"/>
  <c r="AV236" i="1" s="1"/>
  <c r="AV243" i="1" s="1"/>
  <c r="AV250" i="1" s="1"/>
  <c r="AV257" i="1" s="1"/>
  <c r="AV264" i="1" s="1"/>
  <c r="AP134" i="1"/>
  <c r="AF275" i="1"/>
  <c r="AC275" i="1"/>
  <c r="AK234" i="1"/>
  <c r="AK245" i="1"/>
  <c r="AL241" i="1"/>
  <c r="AM252" i="1"/>
  <c r="AN39" i="1"/>
  <c r="AN83" i="1"/>
  <c r="B405" i="1"/>
  <c r="AG289" i="1" s="1"/>
  <c r="AG349" i="1" s="1"/>
  <c r="B268" i="1"/>
  <c r="AG152" i="1" s="1"/>
  <c r="AG212" i="1" s="1"/>
  <c r="B131" i="1"/>
  <c r="AG15" i="1" s="1"/>
  <c r="AG75" i="1" s="1"/>
  <c r="B117" i="1"/>
  <c r="B103" i="1"/>
  <c r="Y15" i="1" s="1"/>
  <c r="Y75" i="1" s="1"/>
  <c r="A93" i="1"/>
  <c r="B82" i="1"/>
  <c r="S15" i="1" s="1"/>
  <c r="S75" i="1" s="1"/>
  <c r="B96" i="1"/>
  <c r="W15" i="1" s="1"/>
  <c r="W75" i="1" s="1"/>
  <c r="AO97" i="1"/>
  <c r="AN99" i="1"/>
  <c r="AK153" i="1"/>
  <c r="AO190" i="1"/>
  <c r="AM192" i="1"/>
  <c r="J208" i="1"/>
  <c r="N208" i="1"/>
  <c r="R208" i="1"/>
  <c r="R209" i="1" s="1"/>
  <c r="V208" i="1"/>
  <c r="Z208" i="1"/>
  <c r="Z209" i="1" s="1"/>
  <c r="AD208" i="1"/>
  <c r="AD209" i="1" s="1"/>
  <c r="AH208" i="1"/>
  <c r="AM213" i="1"/>
  <c r="AO215" i="1"/>
  <c r="AK231" i="1"/>
  <c r="AL227" i="1"/>
  <c r="AO250" i="1"/>
  <c r="AO306" i="1"/>
  <c r="AM308" i="1"/>
  <c r="AN306" i="1"/>
  <c r="AO339" i="1"/>
  <c r="AN339" i="1"/>
  <c r="U413" i="1"/>
  <c r="AO90" i="1"/>
  <c r="AO113" i="1"/>
  <c r="AM115" i="1"/>
  <c r="AK122" i="1"/>
  <c r="AK124" i="1" s="1"/>
  <c r="G208" i="1"/>
  <c r="AK204" i="1"/>
  <c r="AP245" i="1"/>
  <c r="AP247" i="1" s="1"/>
  <c r="AP292" i="1"/>
  <c r="AV292" i="1" s="1"/>
  <c r="AV299" i="1" s="1"/>
  <c r="AV306" i="1" s="1"/>
  <c r="AV313" i="1" s="1"/>
  <c r="AV320" i="1" s="1"/>
  <c r="AV327" i="1" s="1"/>
  <c r="AV334" i="1" s="1"/>
  <c r="AV352" i="1" s="1"/>
  <c r="AV359" i="1" s="1"/>
  <c r="AV366" i="1" s="1"/>
  <c r="AV373" i="1" s="1"/>
  <c r="AV380" i="1" s="1"/>
  <c r="AV387" i="1" s="1"/>
  <c r="AV394" i="1" s="1"/>
  <c r="AV401" i="1" s="1"/>
  <c r="AN297" i="1"/>
  <c r="AO297" i="1"/>
  <c r="AA275" i="1"/>
  <c r="AA276" i="1" s="1"/>
  <c r="AK213" i="1"/>
  <c r="AD275" i="1"/>
  <c r="AM234" i="1"/>
  <c r="AK261" i="1"/>
  <c r="AP269" i="1"/>
  <c r="AP290" i="1"/>
  <c r="G275" i="1"/>
  <c r="G276" i="1" s="1"/>
  <c r="K275" i="1"/>
  <c r="K276" i="1" s="1"/>
  <c r="AP301" i="1"/>
  <c r="AP303" i="1" s="1"/>
  <c r="AK384" i="1"/>
  <c r="AL384" i="1" s="1"/>
  <c r="AN169" i="1"/>
  <c r="AP224" i="1"/>
  <c r="AP226" i="1" s="1"/>
  <c r="A230" i="1"/>
  <c r="B254" i="1"/>
  <c r="B226" i="1"/>
  <c r="U152" i="1" s="1"/>
  <c r="U212" i="1" s="1"/>
  <c r="AN227" i="1"/>
  <c r="AO227" i="1"/>
  <c r="AO229" i="1"/>
  <c r="AM231" i="1"/>
  <c r="B240" i="1"/>
  <c r="Y152" i="1" s="1"/>
  <c r="Y212" i="1" s="1"/>
  <c r="AO241" i="1"/>
  <c r="AM245" i="1"/>
  <c r="AN243" i="1"/>
  <c r="AO243" i="1"/>
  <c r="B247" i="1"/>
  <c r="AA152" i="1" s="1"/>
  <c r="AA212" i="1" s="1"/>
  <c r="AK290" i="1"/>
  <c r="AK271" i="1"/>
  <c r="AL271" i="1" s="1"/>
  <c r="AM301" i="1"/>
  <c r="AN299" i="1"/>
  <c r="AL301" i="1"/>
  <c r="AM341" i="1"/>
  <c r="W413" i="1"/>
  <c r="AC413" i="1"/>
  <c r="Q413" i="1"/>
  <c r="AK220" i="1"/>
  <c r="AM271" i="1"/>
  <c r="P275" i="1"/>
  <c r="AP271" i="1"/>
  <c r="AR302" i="1"/>
  <c r="AR309" i="1" s="1"/>
  <c r="AR316" i="1" s="1"/>
  <c r="AR323" i="1" s="1"/>
  <c r="AR330" i="1" s="1"/>
  <c r="AR337" i="1" s="1"/>
  <c r="AR355" i="1" s="1"/>
  <c r="AR362" i="1" s="1"/>
  <c r="AR369" i="1" s="1"/>
  <c r="AR376" i="1" s="1"/>
  <c r="AR383" i="1" s="1"/>
  <c r="AR390" i="1" s="1"/>
  <c r="AR397" i="1" s="1"/>
  <c r="AR404" i="1" s="1"/>
  <c r="AM380" i="1"/>
  <c r="AJ412" i="1"/>
  <c r="AJ413" i="1" s="1"/>
  <c r="AM329" i="1"/>
  <c r="AK368" i="1"/>
  <c r="AL364" i="1"/>
  <c r="AO364" i="1"/>
  <c r="AM391" i="1"/>
  <c r="AN406" i="1"/>
  <c r="AL406" i="1"/>
  <c r="AK408" i="1"/>
  <c r="AK410" i="1" s="1"/>
  <c r="AK412" i="1" s="1"/>
  <c r="AL412" i="1" s="1"/>
  <c r="G412" i="1"/>
  <c r="G413" i="1" s="1"/>
  <c r="S413" i="1"/>
  <c r="AA413" i="1"/>
  <c r="AE413" i="1"/>
  <c r="AI413" i="1"/>
  <c r="AK315" i="1"/>
  <c r="AL311" i="1"/>
  <c r="AK343" i="1"/>
  <c r="AL343" i="1" s="1"/>
  <c r="AP341" i="1"/>
  <c r="AP343" i="1" s="1"/>
  <c r="AP345" i="1" s="1"/>
  <c r="AL359" i="1"/>
  <c r="AO359" i="1"/>
  <c r="AK361" i="1"/>
  <c r="AB413" i="1"/>
  <c r="AG413" i="1"/>
  <c r="AK252" i="1"/>
  <c r="AL248" i="1"/>
  <c r="AK344" i="1"/>
  <c r="AO373" i="1"/>
  <c r="T413" i="1"/>
  <c r="AF413" i="1"/>
  <c r="P413" i="1"/>
  <c r="B391" i="1"/>
  <c r="B377" i="1"/>
  <c r="Y289" i="1" s="1"/>
  <c r="Y349" i="1" s="1"/>
  <c r="B370" i="1"/>
  <c r="W289" i="1" s="1"/>
  <c r="W349" i="1" s="1"/>
  <c r="AO385" i="1"/>
  <c r="AN385" i="1"/>
  <c r="AM396" i="1"/>
  <c r="H412" i="1"/>
  <c r="H413" i="1" s="1"/>
  <c r="L412" i="1"/>
  <c r="L413" i="1" s="1"/>
  <c r="X412" i="1"/>
  <c r="AM344" i="1"/>
  <c r="AN361" i="1"/>
  <c r="B363" i="1"/>
  <c r="U289" i="1" s="1"/>
  <c r="U349" i="1" s="1"/>
  <c r="AN378" i="1"/>
  <c r="AO378" i="1"/>
  <c r="AP389" i="1"/>
  <c r="AP391" i="1" s="1"/>
  <c r="AM405" i="1"/>
  <c r="AO405" i="1" s="1"/>
  <c r="AM408" i="1"/>
  <c r="AN408" i="1" s="1"/>
  <c r="AK354" i="1"/>
  <c r="AL350" i="1"/>
  <c r="AO387" i="1"/>
  <c r="AN387" i="1"/>
  <c r="J412" i="1"/>
  <c r="J413" i="1" s="1"/>
  <c r="N412" i="1"/>
  <c r="N413" i="1" s="1"/>
  <c r="R412" i="1"/>
  <c r="R413" i="1" s="1"/>
  <c r="V412" i="1"/>
  <c r="V413" i="1" s="1"/>
  <c r="Z412" i="1"/>
  <c r="Z413" i="1" s="1"/>
  <c r="AD412" i="1"/>
  <c r="AD413" i="1" s="1"/>
  <c r="AH412" i="1"/>
  <c r="AB139" i="1" l="1"/>
  <c r="L139" i="1"/>
  <c r="AL171" i="1"/>
  <c r="W139" i="1"/>
  <c r="AO62" i="1"/>
  <c r="AM22" i="1"/>
  <c r="AO22" i="1" s="1"/>
  <c r="AK69" i="1"/>
  <c r="AK71" i="1" s="1"/>
  <c r="AL71" i="1" s="1"/>
  <c r="AN41" i="1"/>
  <c r="AO20" i="1"/>
  <c r="AM96" i="1"/>
  <c r="AI276" i="1"/>
  <c r="U276" i="1"/>
  <c r="Q276" i="1"/>
  <c r="AG276" i="1"/>
  <c r="AL173" i="1"/>
  <c r="AO173" i="1"/>
  <c r="AL115" i="1"/>
  <c r="AK155" i="1"/>
  <c r="AR155" i="1" s="1"/>
  <c r="AR162" i="1" s="1"/>
  <c r="AM185" i="1"/>
  <c r="AO185" i="1" s="1"/>
  <c r="AK185" i="1"/>
  <c r="AK187" i="1" s="1"/>
  <c r="AL187" i="1" s="1"/>
  <c r="Y139" i="1"/>
  <c r="AO48" i="1"/>
  <c r="AO101" i="1"/>
  <c r="AA139" i="1"/>
  <c r="AO183" i="1"/>
  <c r="AN222" i="1"/>
  <c r="AN171" i="1"/>
  <c r="AO171" i="1"/>
  <c r="AB276" i="1"/>
  <c r="W276" i="1"/>
  <c r="S139" i="1"/>
  <c r="U139" i="1"/>
  <c r="AK324" i="1"/>
  <c r="AL324" i="1" s="1"/>
  <c r="AL308" i="1"/>
  <c r="Q139" i="1"/>
  <c r="AM69" i="1"/>
  <c r="AN69" i="1" s="1"/>
  <c r="AO354" i="1"/>
  <c r="AL322" i="1"/>
  <c r="AM204" i="1"/>
  <c r="AO204" i="1" s="1"/>
  <c r="AO50" i="1"/>
  <c r="K209" i="1"/>
  <c r="AO375" i="1"/>
  <c r="AO389" i="1"/>
  <c r="AD276" i="1"/>
  <c r="T209" i="1"/>
  <c r="AC276" i="1"/>
  <c r="AM324" i="1"/>
  <c r="AN324" i="1" s="1"/>
  <c r="AO41" i="1"/>
  <c r="AE276" i="1"/>
  <c r="AM103" i="1"/>
  <c r="N139" i="1"/>
  <c r="AJ139" i="1"/>
  <c r="T139" i="1"/>
  <c r="V139" i="1"/>
  <c r="X209" i="1"/>
  <c r="R276" i="1"/>
  <c r="AF276" i="1"/>
  <c r="AJ276" i="1"/>
  <c r="H139" i="1"/>
  <c r="AN87" i="1"/>
  <c r="AO202" i="1"/>
  <c r="U209" i="1"/>
  <c r="AO236" i="1"/>
  <c r="J209" i="1"/>
  <c r="AO164" i="1"/>
  <c r="AG139" i="1"/>
  <c r="AO87" i="1"/>
  <c r="AL41" i="1"/>
  <c r="L209" i="1"/>
  <c r="AU16" i="1"/>
  <c r="AO94" i="1"/>
  <c r="Y276" i="1"/>
  <c r="AM261" i="1"/>
  <c r="AO261" i="1" s="1"/>
  <c r="Z139" i="1"/>
  <c r="X139" i="1"/>
  <c r="J276" i="1"/>
  <c r="AK269" i="1"/>
  <c r="AK273" i="1" s="1"/>
  <c r="AL273" i="1" s="1"/>
  <c r="O139" i="1"/>
  <c r="AN101" i="1"/>
  <c r="AO67" i="1"/>
  <c r="AS32" i="1"/>
  <c r="AK29" i="1"/>
  <c r="AL29" i="1" s="1"/>
  <c r="AL27" i="1"/>
  <c r="AK180" i="1"/>
  <c r="AL180" i="1" s="1"/>
  <c r="AL178" i="1"/>
  <c r="AO266" i="1"/>
  <c r="AH139" i="1"/>
  <c r="AM166" i="1"/>
  <c r="AN166" i="1" s="1"/>
  <c r="AK103" i="1"/>
  <c r="AL103" i="1" s="1"/>
  <c r="AC139" i="1"/>
  <c r="AK136" i="1"/>
  <c r="AL136" i="1" s="1"/>
  <c r="AK377" i="1"/>
  <c r="AL377" i="1" s="1"/>
  <c r="S276" i="1"/>
  <c r="F9" i="1"/>
  <c r="E10" i="1"/>
  <c r="F10" i="1" s="1"/>
  <c r="S209" i="1"/>
  <c r="AP69" i="1"/>
  <c r="AP71" i="1" s="1"/>
  <c r="AV20" i="1"/>
  <c r="AV22" i="1" s="1"/>
  <c r="AZ16" i="1" s="1"/>
  <c r="AV23" i="1"/>
  <c r="P276" i="1"/>
  <c r="AM153" i="1"/>
  <c r="AT153" i="1" s="1"/>
  <c r="R139" i="1"/>
  <c r="M209" i="1"/>
  <c r="AD139" i="1"/>
  <c r="AM377" i="1"/>
  <c r="O276" i="1"/>
  <c r="AN80" i="1"/>
  <c r="AM82" i="1"/>
  <c r="AN82" i="1" s="1"/>
  <c r="AL408" i="1"/>
  <c r="AL410" i="1"/>
  <c r="AM370" i="1"/>
  <c r="AM356" i="1"/>
  <c r="AO356" i="1" s="1"/>
  <c r="AN370" i="1"/>
  <c r="AM343" i="1"/>
  <c r="AO341" i="1"/>
  <c r="AN341" i="1"/>
  <c r="AK275" i="1"/>
  <c r="AL275" i="1" s="1"/>
  <c r="AN231" i="1"/>
  <c r="AM233" i="1"/>
  <c r="AO231" i="1"/>
  <c r="AN115" i="1"/>
  <c r="AO115" i="1"/>
  <c r="AM117" i="1"/>
  <c r="N209" i="1"/>
  <c r="N276" i="1"/>
  <c r="AM254" i="1"/>
  <c r="AO252" i="1"/>
  <c r="AN254" i="1"/>
  <c r="AN252" i="1"/>
  <c r="AM136" i="1"/>
  <c r="AO134" i="1"/>
  <c r="AN134" i="1"/>
  <c r="AM57" i="1"/>
  <c r="AO57" i="1" s="1"/>
  <c r="AO55" i="1"/>
  <c r="AK356" i="1"/>
  <c r="AL356" i="1" s="1"/>
  <c r="AL354" i="1"/>
  <c r="AM398" i="1"/>
  <c r="AO398" i="1" s="1"/>
  <c r="AO396" i="1"/>
  <c r="AL368" i="1"/>
  <c r="AK370" i="1"/>
  <c r="AL370" i="1" s="1"/>
  <c r="AK224" i="1"/>
  <c r="AL220" i="1"/>
  <c r="AR290" i="1"/>
  <c r="AM247" i="1"/>
  <c r="AN245" i="1"/>
  <c r="AO245" i="1"/>
  <c r="AL213" i="1"/>
  <c r="AK217" i="1"/>
  <c r="G209" i="1"/>
  <c r="AS155" i="1"/>
  <c r="AL231" i="1"/>
  <c r="AK233" i="1"/>
  <c r="AL233" i="1" s="1"/>
  <c r="B124" i="1"/>
  <c r="AE15" i="1" s="1"/>
  <c r="AE75" i="1" s="1"/>
  <c r="AC15" i="1"/>
  <c r="AC75" i="1" s="1"/>
  <c r="AK206" i="1"/>
  <c r="AR46" i="1"/>
  <c r="AS39" i="1"/>
  <c r="AT6" i="1"/>
  <c r="AU6" i="1" s="1"/>
  <c r="B398" i="1"/>
  <c r="AE289" i="1" s="1"/>
  <c r="AE349" i="1" s="1"/>
  <c r="AC289" i="1"/>
  <c r="AC349" i="1" s="1"/>
  <c r="AK254" i="1"/>
  <c r="AL254" i="1"/>
  <c r="AL252" i="1"/>
  <c r="AM382" i="1"/>
  <c r="AN380" i="1"/>
  <c r="AO380" i="1"/>
  <c r="AM292" i="1"/>
  <c r="AN301" i="1"/>
  <c r="AM303" i="1"/>
  <c r="AO301" i="1"/>
  <c r="Z276" i="1"/>
  <c r="AP273" i="1"/>
  <c r="AP275" i="1" s="1"/>
  <c r="AN234" i="1"/>
  <c r="AM238" i="1"/>
  <c r="AO234" i="1"/>
  <c r="V209" i="1"/>
  <c r="V276" i="1"/>
  <c r="AM194" i="1"/>
  <c r="AO194" i="1" s="1"/>
  <c r="AO192" i="1"/>
  <c r="AR153" i="1"/>
  <c r="AK247" i="1"/>
  <c r="AL247" i="1" s="1"/>
  <c r="AL245" i="1"/>
  <c r="AM317" i="1"/>
  <c r="AO315" i="1"/>
  <c r="AN315" i="1"/>
  <c r="AO132" i="1"/>
  <c r="AK22" i="1"/>
  <c r="AR20" i="1"/>
  <c r="AT27" i="1"/>
  <c r="AU23" i="1"/>
  <c r="AT30" i="1"/>
  <c r="AM269" i="1"/>
  <c r="AM273" i="1" s="1"/>
  <c r="AO27" i="1"/>
  <c r="AM29" i="1"/>
  <c r="AN27" i="1"/>
  <c r="AP136" i="1"/>
  <c r="AP138" i="1" s="1"/>
  <c r="F7" i="1"/>
  <c r="AU32" i="1" s="1"/>
  <c r="AS18" i="1"/>
  <c r="AT323" i="1"/>
  <c r="AT330" i="1" s="1"/>
  <c r="AT337" i="1" s="1"/>
  <c r="AT355" i="1" s="1"/>
  <c r="AT362" i="1" s="1"/>
  <c r="AT369" i="1" s="1"/>
  <c r="AT376" i="1" s="1"/>
  <c r="AT383" i="1" s="1"/>
  <c r="AT390" i="1" s="1"/>
  <c r="AT397" i="1" s="1"/>
  <c r="AT404" i="1" s="1"/>
  <c r="AN178" i="1"/>
  <c r="AM180" i="1"/>
  <c r="AO178" i="1"/>
  <c r="AM131" i="1"/>
  <c r="AO131" i="1" s="1"/>
  <c r="AO129" i="1"/>
  <c r="AM36" i="1"/>
  <c r="AN34" i="1"/>
  <c r="AO34" i="1"/>
  <c r="AO408" i="1"/>
  <c r="AM410" i="1"/>
  <c r="AN363" i="1"/>
  <c r="AO213" i="1"/>
  <c r="AN213" i="1"/>
  <c r="AO108" i="1"/>
  <c r="AM110" i="1"/>
  <c r="AO110" i="1" s="1"/>
  <c r="AO220" i="1"/>
  <c r="AN220" i="1"/>
  <c r="AU290" i="1"/>
  <c r="AT297" i="1"/>
  <c r="AT39" i="1"/>
  <c r="AN96" i="1"/>
  <c r="AL87" i="1"/>
  <c r="AK89" i="1"/>
  <c r="AL89" i="1" s="1"/>
  <c r="AL361" i="1"/>
  <c r="AK363" i="1"/>
  <c r="AL363" i="1" s="1"/>
  <c r="AO361" i="1"/>
  <c r="AK317" i="1"/>
  <c r="AL317" i="1" s="1"/>
  <c r="AL315" i="1"/>
  <c r="AN391" i="1"/>
  <c r="AO391" i="1"/>
  <c r="AM331" i="1"/>
  <c r="AO331" i="1" s="1"/>
  <c r="AO329" i="1"/>
  <c r="AO271" i="1"/>
  <c r="AN271" i="1"/>
  <c r="B261" i="1"/>
  <c r="AE152" i="1" s="1"/>
  <c r="AE212" i="1" s="1"/>
  <c r="AC152" i="1"/>
  <c r="AC212" i="1" s="1"/>
  <c r="AP294" i="1"/>
  <c r="AP296" i="1" s="1"/>
  <c r="AV290" i="1"/>
  <c r="AM224" i="1"/>
  <c r="AO324" i="1"/>
  <c r="AN103" i="1"/>
  <c r="X413" i="1"/>
  <c r="AH413" i="1"/>
  <c r="AK345" i="1"/>
  <c r="AL345" i="1" s="1"/>
  <c r="AO368" i="1"/>
  <c r="AK292" i="1"/>
  <c r="AR292" i="1" s="1"/>
  <c r="AN185" i="1"/>
  <c r="AE139" i="1"/>
  <c r="AN308" i="1"/>
  <c r="AM310" i="1"/>
  <c r="AO308" i="1"/>
  <c r="H276" i="1"/>
  <c r="AM217" i="1"/>
  <c r="AH209" i="1"/>
  <c r="AH276" i="1"/>
  <c r="AK238" i="1"/>
  <c r="AL234" i="1"/>
  <c r="AI139" i="1"/>
  <c r="J139" i="1"/>
  <c r="AL164" i="1"/>
  <c r="AK166" i="1"/>
  <c r="AL166" i="1" s="1"/>
  <c r="AK82" i="1"/>
  <c r="AL80" i="1"/>
  <c r="AO290" i="1"/>
  <c r="H209" i="1"/>
  <c r="AM155" i="1"/>
  <c r="AO89" i="1"/>
  <c r="AN89" i="1"/>
  <c r="AL94" i="1"/>
  <c r="AK96" i="1"/>
  <c r="AL96" i="1" s="1"/>
  <c r="AV153" i="1"/>
  <c r="AP157" i="1"/>
  <c r="AP159" i="1" s="1"/>
  <c r="AR30" i="1"/>
  <c r="AS23" i="1"/>
  <c r="AR27" i="1"/>
  <c r="AT22" i="1"/>
  <c r="AU20" i="1"/>
  <c r="AK157" i="1" l="1"/>
  <c r="AL69" i="1"/>
  <c r="AK138" i="1"/>
  <c r="AL138" i="1" s="1"/>
  <c r="AM206" i="1"/>
  <c r="AM208" i="1" s="1"/>
  <c r="AM187" i="1"/>
  <c r="AO187" i="1" s="1"/>
  <c r="AO69" i="1"/>
  <c r="AL185" i="1"/>
  <c r="AM71" i="1"/>
  <c r="AN71" i="1" s="1"/>
  <c r="AN204" i="1"/>
  <c r="AN356" i="1"/>
  <c r="AO166" i="1"/>
  <c r="AO153" i="1"/>
  <c r="AN377" i="1"/>
  <c r="AO377" i="1"/>
  <c r="AL269" i="1"/>
  <c r="AO103" i="1"/>
  <c r="AV30" i="1"/>
  <c r="AV27" i="1"/>
  <c r="AV29" i="1" s="1"/>
  <c r="AZ23" i="1" s="1"/>
  <c r="AR29" i="1"/>
  <c r="AS27" i="1"/>
  <c r="AV160" i="1"/>
  <c r="AV157" i="1"/>
  <c r="AV159" i="1" s="1"/>
  <c r="AR299" i="1"/>
  <c r="AS292" i="1"/>
  <c r="AN29" i="1"/>
  <c r="AO29" i="1"/>
  <c r="AK208" i="1"/>
  <c r="AL208" i="1" s="1"/>
  <c r="AL206" i="1"/>
  <c r="AR169" i="1"/>
  <c r="AS162" i="1"/>
  <c r="AK294" i="1"/>
  <c r="AM138" i="1"/>
  <c r="AO136" i="1"/>
  <c r="AN136" i="1"/>
  <c r="AO254" i="1"/>
  <c r="AT155" i="1"/>
  <c r="AO155" i="1"/>
  <c r="AM157" i="1"/>
  <c r="AL82" i="1"/>
  <c r="AO82" i="1"/>
  <c r="AN310" i="1"/>
  <c r="AO310" i="1"/>
  <c r="AO273" i="1"/>
  <c r="AN273" i="1"/>
  <c r="AM275" i="1"/>
  <c r="AO96" i="1"/>
  <c r="AT304" i="1"/>
  <c r="AU297" i="1"/>
  <c r="AO180" i="1"/>
  <c r="AN180" i="1"/>
  <c r="AU25" i="1"/>
  <c r="AU18" i="1"/>
  <c r="AT29" i="1"/>
  <c r="AU27" i="1"/>
  <c r="AO206" i="1"/>
  <c r="AM240" i="1"/>
  <c r="AN238" i="1"/>
  <c r="AO238" i="1"/>
  <c r="AM294" i="1"/>
  <c r="AO292" i="1"/>
  <c r="AT292" i="1"/>
  <c r="AN382" i="1"/>
  <c r="AM384" i="1"/>
  <c r="AO382" i="1"/>
  <c r="AT7" i="1"/>
  <c r="AU7" i="1" s="1"/>
  <c r="AR53" i="1"/>
  <c r="AS46" i="1"/>
  <c r="AM345" i="1"/>
  <c r="AO343" i="1"/>
  <c r="AN343" i="1"/>
  <c r="AR37" i="1"/>
  <c r="AS30" i="1"/>
  <c r="AR34" i="1"/>
  <c r="AO217" i="1"/>
  <c r="AN217" i="1"/>
  <c r="AM219" i="1"/>
  <c r="AN224" i="1"/>
  <c r="AM226" i="1"/>
  <c r="AO224" i="1"/>
  <c r="AO363" i="1"/>
  <c r="AO269" i="1"/>
  <c r="AN269" i="1"/>
  <c r="AR22" i="1"/>
  <c r="AS20" i="1"/>
  <c r="AR157" i="1"/>
  <c r="AK159" i="1"/>
  <c r="AO303" i="1"/>
  <c r="AN303" i="1"/>
  <c r="AK219" i="1"/>
  <c r="AL219" i="1" s="1"/>
  <c r="AL217" i="1"/>
  <c r="AO247" i="1"/>
  <c r="AN247" i="1"/>
  <c r="AU22" i="1"/>
  <c r="AY16" i="1"/>
  <c r="AL238" i="1"/>
  <c r="AK240" i="1"/>
  <c r="AL240" i="1" s="1"/>
  <c r="AV297" i="1"/>
  <c r="AV294" i="1"/>
  <c r="AV296" i="1" s="1"/>
  <c r="AT46" i="1"/>
  <c r="AU39" i="1"/>
  <c r="AM412" i="1"/>
  <c r="AO410" i="1"/>
  <c r="AN410" i="1"/>
  <c r="AO36" i="1"/>
  <c r="AN36" i="1"/>
  <c r="AT37" i="1"/>
  <c r="AT34" i="1"/>
  <c r="AU30" i="1"/>
  <c r="AO317" i="1"/>
  <c r="AN317" i="1"/>
  <c r="AR160" i="1"/>
  <c r="AS153" i="1"/>
  <c r="AT160" i="1"/>
  <c r="AU153" i="1"/>
  <c r="AR297" i="1"/>
  <c r="AS290" i="1"/>
  <c r="AL224" i="1"/>
  <c r="AK226" i="1"/>
  <c r="AL226" i="1" s="1"/>
  <c r="AO117" i="1"/>
  <c r="AN117" i="1"/>
  <c r="AN233" i="1"/>
  <c r="AO233" i="1"/>
  <c r="AO370" i="1"/>
  <c r="AN206" i="1" l="1"/>
  <c r="AO71" i="1"/>
  <c r="AN187" i="1"/>
  <c r="AV37" i="1"/>
  <c r="AV34" i="1"/>
  <c r="AV36" i="1" s="1"/>
  <c r="AZ30" i="1" s="1"/>
  <c r="AU160" i="1"/>
  <c r="AT167" i="1"/>
  <c r="AO412" i="1"/>
  <c r="AN412" i="1"/>
  <c r="AV301" i="1"/>
  <c r="AV303" i="1" s="1"/>
  <c r="AV304" i="1"/>
  <c r="AS22" i="1"/>
  <c r="AX16" i="1"/>
  <c r="AR41" i="1"/>
  <c r="AR6" i="1"/>
  <c r="AR44" i="1"/>
  <c r="AS37" i="1"/>
  <c r="AO384" i="1"/>
  <c r="AN384" i="1"/>
  <c r="AT294" i="1"/>
  <c r="AO294" i="1"/>
  <c r="AM296" i="1"/>
  <c r="AO296" i="1" s="1"/>
  <c r="AU29" i="1"/>
  <c r="AY23" i="1"/>
  <c r="AU155" i="1"/>
  <c r="AT162" i="1"/>
  <c r="AO138" i="1"/>
  <c r="AN138" i="1"/>
  <c r="AN226" i="1"/>
  <c r="AO226" i="1"/>
  <c r="AR60" i="1"/>
  <c r="AS53" i="1"/>
  <c r="AT311" i="1"/>
  <c r="AU304" i="1"/>
  <c r="AR294" i="1"/>
  <c r="AK296" i="1"/>
  <c r="AS299" i="1"/>
  <c r="AR306" i="1"/>
  <c r="AV167" i="1"/>
  <c r="AV164" i="1"/>
  <c r="AV166" i="1" s="1"/>
  <c r="AR301" i="1"/>
  <c r="AS297" i="1"/>
  <c r="AR304" i="1"/>
  <c r="AR167" i="1"/>
  <c r="AR164" i="1"/>
  <c r="AS160" i="1"/>
  <c r="AT36" i="1"/>
  <c r="AU34" i="1"/>
  <c r="AT53" i="1"/>
  <c r="AU46" i="1"/>
  <c r="AR159" i="1"/>
  <c r="AS159" i="1" s="1"/>
  <c r="AS157" i="1"/>
  <c r="AR36" i="1"/>
  <c r="AS34" i="1"/>
  <c r="AU292" i="1"/>
  <c r="AT299" i="1"/>
  <c r="AO208" i="1"/>
  <c r="AN208" i="1"/>
  <c r="AM159" i="1"/>
  <c r="AO159" i="1" s="1"/>
  <c r="AO157" i="1"/>
  <c r="AT157" i="1"/>
  <c r="AT44" i="1"/>
  <c r="AU37" i="1"/>
  <c r="AT41" i="1"/>
  <c r="AO219" i="1"/>
  <c r="AN219" i="1"/>
  <c r="AO345" i="1"/>
  <c r="AN345" i="1"/>
  <c r="AN240" i="1"/>
  <c r="AO240" i="1"/>
  <c r="AO275" i="1"/>
  <c r="AN275" i="1"/>
  <c r="AS169" i="1"/>
  <c r="AR176" i="1"/>
  <c r="AS29" i="1"/>
  <c r="AX23" i="1"/>
  <c r="AV41" i="1" l="1"/>
  <c r="AV43" i="1" s="1"/>
  <c r="AZ37" i="1" s="1"/>
  <c r="AV44" i="1"/>
  <c r="AT159" i="1"/>
  <c r="AU159" i="1" s="1"/>
  <c r="AU157" i="1"/>
  <c r="AT296" i="1"/>
  <c r="AU296" i="1" s="1"/>
  <c r="AU294" i="1"/>
  <c r="AT43" i="1"/>
  <c r="AU41" i="1"/>
  <c r="AR78" i="1"/>
  <c r="AS60" i="1"/>
  <c r="AV6" i="1"/>
  <c r="AS6" i="1"/>
  <c r="AV311" i="1"/>
  <c r="AV308" i="1"/>
  <c r="AV310" i="1" s="1"/>
  <c r="AU53" i="1"/>
  <c r="AT60" i="1"/>
  <c r="AR166" i="1"/>
  <c r="AS166" i="1" s="1"/>
  <c r="AS164" i="1"/>
  <c r="AR303" i="1"/>
  <c r="AS303" i="1" s="1"/>
  <c r="AS301" i="1"/>
  <c r="AU162" i="1"/>
  <c r="AT169" i="1"/>
  <c r="AS41" i="1"/>
  <c r="AR43" i="1"/>
  <c r="AS36" i="1"/>
  <c r="AX30" i="1"/>
  <c r="AU36" i="1"/>
  <c r="AY30" i="1"/>
  <c r="AR308" i="1"/>
  <c r="AS304" i="1"/>
  <c r="AR311" i="1"/>
  <c r="AV171" i="1"/>
  <c r="AV173" i="1" s="1"/>
  <c r="AV174" i="1"/>
  <c r="AR296" i="1"/>
  <c r="AS296" i="1" s="1"/>
  <c r="AS294" i="1"/>
  <c r="AR51" i="1"/>
  <c r="AS44" i="1"/>
  <c r="AR7" i="1"/>
  <c r="AR48" i="1"/>
  <c r="AT306" i="1"/>
  <c r="AU299" i="1"/>
  <c r="AT301" i="1"/>
  <c r="AR313" i="1"/>
  <c r="AS306" i="1"/>
  <c r="AT174" i="1"/>
  <c r="AU167" i="1"/>
  <c r="AR183" i="1"/>
  <c r="AS176" i="1"/>
  <c r="AT143" i="1"/>
  <c r="AU143" i="1" s="1"/>
  <c r="AU44" i="1"/>
  <c r="AT48" i="1"/>
  <c r="AT51" i="1"/>
  <c r="AR171" i="1"/>
  <c r="AS167" i="1"/>
  <c r="AR174" i="1"/>
  <c r="AU311" i="1"/>
  <c r="AT318" i="1"/>
  <c r="AT164" i="1"/>
  <c r="AV51" i="1" l="1"/>
  <c r="AV48" i="1"/>
  <c r="AV50" i="1" s="1"/>
  <c r="AZ44" i="1" s="1"/>
  <c r="AU164" i="1"/>
  <c r="AT166" i="1"/>
  <c r="AU166" i="1" s="1"/>
  <c r="AR178" i="1"/>
  <c r="AS174" i="1"/>
  <c r="AR181" i="1"/>
  <c r="AR143" i="1"/>
  <c r="AT303" i="1"/>
  <c r="AU303" i="1" s="1"/>
  <c r="AU301" i="1"/>
  <c r="AT325" i="1"/>
  <c r="AU318" i="1"/>
  <c r="AT58" i="1"/>
  <c r="AT55" i="1"/>
  <c r="AU51" i="1"/>
  <c r="AT181" i="1"/>
  <c r="AU174" i="1"/>
  <c r="AS308" i="1"/>
  <c r="AR310" i="1"/>
  <c r="AS310" i="1" s="1"/>
  <c r="AR85" i="1"/>
  <c r="AS78" i="1"/>
  <c r="AU48" i="1"/>
  <c r="AT50" i="1"/>
  <c r="AS51" i="1"/>
  <c r="AR55" i="1"/>
  <c r="AR58" i="1"/>
  <c r="AS43" i="1"/>
  <c r="AX37" i="1"/>
  <c r="AS7" i="1"/>
  <c r="AV7" i="1"/>
  <c r="AT176" i="1"/>
  <c r="AT178" i="1" s="1"/>
  <c r="AU169" i="1"/>
  <c r="AV178" i="1"/>
  <c r="AV180" i="1" s="1"/>
  <c r="AV181" i="1"/>
  <c r="AV318" i="1"/>
  <c r="AV315" i="1"/>
  <c r="AV317" i="1" s="1"/>
  <c r="AS171" i="1"/>
  <c r="AR173" i="1"/>
  <c r="AS173" i="1" s="1"/>
  <c r="AS183" i="1"/>
  <c r="AR190" i="1"/>
  <c r="AT144" i="1"/>
  <c r="AU144" i="1" s="1"/>
  <c r="AT313" i="1"/>
  <c r="AU306" i="1"/>
  <c r="AT308" i="1"/>
  <c r="AT78" i="1"/>
  <c r="AU60" i="1"/>
  <c r="AT171" i="1"/>
  <c r="AR320" i="1"/>
  <c r="AS313" i="1"/>
  <c r="AT280" i="1"/>
  <c r="AU280" i="1" s="1"/>
  <c r="AR50" i="1"/>
  <c r="AS48" i="1"/>
  <c r="AR318" i="1"/>
  <c r="AR280" i="1"/>
  <c r="AR315" i="1"/>
  <c r="AS311" i="1"/>
  <c r="AU43" i="1"/>
  <c r="AY37" i="1"/>
  <c r="AV58" i="1" l="1"/>
  <c r="AV55" i="1"/>
  <c r="AV57" i="1" s="1"/>
  <c r="AZ51" i="1" s="1"/>
  <c r="AT281" i="1"/>
  <c r="AU281" i="1" s="1"/>
  <c r="AR327" i="1"/>
  <c r="AS320" i="1"/>
  <c r="AU313" i="1"/>
  <c r="AT320" i="1"/>
  <c r="AT315" i="1"/>
  <c r="AV185" i="1"/>
  <c r="AV187" i="1" s="1"/>
  <c r="AV188" i="1"/>
  <c r="AS85" i="1"/>
  <c r="AR92" i="1"/>
  <c r="AT180" i="1"/>
  <c r="AU180" i="1" s="1"/>
  <c r="AU178" i="1"/>
  <c r="AT76" i="1"/>
  <c r="AU58" i="1"/>
  <c r="AT62" i="1"/>
  <c r="AR317" i="1"/>
  <c r="AS317" i="1" s="1"/>
  <c r="AS315" i="1"/>
  <c r="AS50" i="1"/>
  <c r="AX44" i="1"/>
  <c r="AT173" i="1"/>
  <c r="AU173" i="1" s="1"/>
  <c r="AU171" i="1"/>
  <c r="AT85" i="1"/>
  <c r="AU78" i="1"/>
  <c r="AY44" i="1"/>
  <c r="AU50" i="1"/>
  <c r="AT188" i="1"/>
  <c r="AU181" i="1"/>
  <c r="AS178" i="1"/>
  <c r="AR180" i="1"/>
  <c r="AS180" i="1" s="1"/>
  <c r="AS280" i="1"/>
  <c r="AV280" i="1"/>
  <c r="AU308" i="1"/>
  <c r="AT310" i="1"/>
  <c r="AU310" i="1" s="1"/>
  <c r="AS190" i="1"/>
  <c r="AR197" i="1"/>
  <c r="AR76" i="1"/>
  <c r="AR62" i="1"/>
  <c r="AS58" i="1"/>
  <c r="AU325" i="1"/>
  <c r="AT332" i="1"/>
  <c r="AV143" i="1"/>
  <c r="AS143" i="1"/>
  <c r="AR325" i="1"/>
  <c r="AS318" i="1"/>
  <c r="AR322" i="1"/>
  <c r="AR281" i="1"/>
  <c r="AV325" i="1"/>
  <c r="AV322" i="1"/>
  <c r="AV324" i="1" s="1"/>
  <c r="AU176" i="1"/>
  <c r="AT183" i="1"/>
  <c r="AT185" i="1" s="1"/>
  <c r="AS55" i="1"/>
  <c r="AR57" i="1"/>
  <c r="AT57" i="1"/>
  <c r="AU55" i="1"/>
  <c r="AR185" i="1"/>
  <c r="AR144" i="1"/>
  <c r="AR188" i="1"/>
  <c r="AS181" i="1"/>
  <c r="AV76" i="1" l="1"/>
  <c r="AV62" i="1"/>
  <c r="AV64" i="1" s="1"/>
  <c r="AV144" i="1"/>
  <c r="AS144" i="1"/>
  <c r="AS57" i="1"/>
  <c r="AX51" i="1"/>
  <c r="AT350" i="1"/>
  <c r="AU332" i="1"/>
  <c r="AR64" i="1"/>
  <c r="AS62" i="1"/>
  <c r="AS197" i="1"/>
  <c r="AR215" i="1"/>
  <c r="AT187" i="1"/>
  <c r="AU187" i="1" s="1"/>
  <c r="AU185" i="1"/>
  <c r="AV192" i="1"/>
  <c r="AV194" i="1" s="1"/>
  <c r="AV195" i="1"/>
  <c r="AR187" i="1"/>
  <c r="AS187" i="1" s="1"/>
  <c r="AS185" i="1"/>
  <c r="AV332" i="1"/>
  <c r="AV329" i="1"/>
  <c r="AV331" i="1" s="1"/>
  <c r="AR332" i="1"/>
  <c r="AR329" i="1"/>
  <c r="AS325" i="1"/>
  <c r="AS76" i="1"/>
  <c r="AR83" i="1"/>
  <c r="AR80" i="1"/>
  <c r="AU62" i="1"/>
  <c r="AT64" i="1"/>
  <c r="AT190" i="1"/>
  <c r="AU183" i="1"/>
  <c r="AV281" i="1"/>
  <c r="AS281" i="1"/>
  <c r="AT195" i="1"/>
  <c r="AU188" i="1"/>
  <c r="AT92" i="1"/>
  <c r="AU85" i="1"/>
  <c r="AS92" i="1"/>
  <c r="AR99" i="1"/>
  <c r="AU315" i="1"/>
  <c r="AT317" i="1"/>
  <c r="AU317" i="1" s="1"/>
  <c r="AR334" i="1"/>
  <c r="AS327" i="1"/>
  <c r="AR192" i="1"/>
  <c r="AS188" i="1"/>
  <c r="AR195" i="1"/>
  <c r="AU57" i="1"/>
  <c r="AY51" i="1"/>
  <c r="AS322" i="1"/>
  <c r="AR324" i="1"/>
  <c r="AS324" i="1" s="1"/>
  <c r="AT83" i="1"/>
  <c r="AU76" i="1"/>
  <c r="AT80" i="1"/>
  <c r="AU320" i="1"/>
  <c r="AT327" i="1"/>
  <c r="AT322" i="1"/>
  <c r="AV71" i="1" l="1"/>
  <c r="AZ58" i="1"/>
  <c r="AZ71" i="1" s="1"/>
  <c r="AV80" i="1"/>
  <c r="AV82" i="1" s="1"/>
  <c r="AZ76" i="1" s="1"/>
  <c r="AV83" i="1"/>
  <c r="AU327" i="1"/>
  <c r="AT334" i="1"/>
  <c r="AT329" i="1"/>
  <c r="AU83" i="1"/>
  <c r="AT90" i="1"/>
  <c r="AT87" i="1"/>
  <c r="AU195" i="1"/>
  <c r="AT213" i="1"/>
  <c r="AT197" i="1"/>
  <c r="AT199" i="1" s="1"/>
  <c r="AU190" i="1"/>
  <c r="AR90" i="1"/>
  <c r="AR87" i="1"/>
  <c r="AS83" i="1"/>
  <c r="AR350" i="1"/>
  <c r="AR336" i="1"/>
  <c r="AS332" i="1"/>
  <c r="AS64" i="1"/>
  <c r="AS71" i="1" s="1"/>
  <c r="AR71" i="1"/>
  <c r="AX58" i="1"/>
  <c r="AX71" i="1" s="1"/>
  <c r="AS192" i="1"/>
  <c r="AR194" i="1"/>
  <c r="AS194" i="1" s="1"/>
  <c r="AT99" i="1"/>
  <c r="AU92" i="1"/>
  <c r="AT71" i="1"/>
  <c r="AY58" i="1"/>
  <c r="AY71" i="1" s="1"/>
  <c r="AU64" i="1"/>
  <c r="AU71" i="1" s="1"/>
  <c r="AV213" i="1"/>
  <c r="AV199" i="1"/>
  <c r="AV201" i="1" s="1"/>
  <c r="AV208" i="1" s="1"/>
  <c r="AS215" i="1"/>
  <c r="AR222" i="1"/>
  <c r="AU80" i="1"/>
  <c r="AT82" i="1"/>
  <c r="AR106" i="1"/>
  <c r="AS99" i="1"/>
  <c r="AT8" i="1"/>
  <c r="AU8" i="1" s="1"/>
  <c r="AV350" i="1"/>
  <c r="AV336" i="1"/>
  <c r="AV338" i="1" s="1"/>
  <c r="AV345" i="1" s="1"/>
  <c r="AU322" i="1"/>
  <c r="AT324" i="1"/>
  <c r="AU324" i="1" s="1"/>
  <c r="AR199" i="1"/>
  <c r="AS195" i="1"/>
  <c r="AR213" i="1"/>
  <c r="AR352" i="1"/>
  <c r="AS334" i="1"/>
  <c r="AT192" i="1"/>
  <c r="AS80" i="1"/>
  <c r="AR82" i="1"/>
  <c r="AR331" i="1"/>
  <c r="AS331" i="1" s="1"/>
  <c r="AS329" i="1"/>
  <c r="AU350" i="1"/>
  <c r="AT357" i="1"/>
  <c r="AV90" i="1" l="1"/>
  <c r="AV87" i="1"/>
  <c r="AV89" i="1" s="1"/>
  <c r="AZ83" i="1" s="1"/>
  <c r="AV217" i="1"/>
  <c r="AV219" i="1" s="1"/>
  <c r="AV220" i="1"/>
  <c r="AR94" i="1"/>
  <c r="AS90" i="1"/>
  <c r="AR97" i="1"/>
  <c r="AT106" i="1"/>
  <c r="AU99" i="1"/>
  <c r="AR359" i="1"/>
  <c r="AS352" i="1"/>
  <c r="AU197" i="1"/>
  <c r="AT215" i="1"/>
  <c r="AT217" i="1" s="1"/>
  <c r="AU87" i="1"/>
  <c r="AT89" i="1"/>
  <c r="AT352" i="1"/>
  <c r="AU334" i="1"/>
  <c r="AT336" i="1"/>
  <c r="AT194" i="1"/>
  <c r="AU194" i="1" s="1"/>
  <c r="AU192" i="1"/>
  <c r="AR113" i="1"/>
  <c r="AS106" i="1"/>
  <c r="AT9" i="1"/>
  <c r="AU9" i="1" s="1"/>
  <c r="AS336" i="1"/>
  <c r="AR338" i="1"/>
  <c r="AT364" i="1"/>
  <c r="AU357" i="1"/>
  <c r="AR201" i="1"/>
  <c r="AS199" i="1"/>
  <c r="AV357" i="1"/>
  <c r="AV354" i="1"/>
  <c r="AV356" i="1" s="1"/>
  <c r="AR229" i="1"/>
  <c r="AS222" i="1"/>
  <c r="AR357" i="1"/>
  <c r="AR354" i="1"/>
  <c r="AS350" i="1"/>
  <c r="AT201" i="1"/>
  <c r="AU199" i="1"/>
  <c r="AU329" i="1"/>
  <c r="AT331" i="1"/>
  <c r="AU331" i="1" s="1"/>
  <c r="AS82" i="1"/>
  <c r="AX76" i="1"/>
  <c r="AR217" i="1"/>
  <c r="AR220" i="1"/>
  <c r="AS213" i="1"/>
  <c r="AU82" i="1"/>
  <c r="AY76" i="1"/>
  <c r="AR89" i="1"/>
  <c r="AS87" i="1"/>
  <c r="AT220" i="1"/>
  <c r="AU213" i="1"/>
  <c r="AU90" i="1"/>
  <c r="AT97" i="1"/>
  <c r="AT94" i="1"/>
  <c r="AV97" i="1" l="1"/>
  <c r="AV94" i="1"/>
  <c r="AV96" i="1" s="1"/>
  <c r="AZ90" i="1" s="1"/>
  <c r="AU94" i="1"/>
  <c r="AT96" i="1"/>
  <c r="AR219" i="1"/>
  <c r="AS219" i="1" s="1"/>
  <c r="AS217" i="1"/>
  <c r="AR356" i="1"/>
  <c r="AS356" i="1" s="1"/>
  <c r="AS354" i="1"/>
  <c r="AU352" i="1"/>
  <c r="AT359" i="1"/>
  <c r="AT354" i="1"/>
  <c r="AT113" i="1"/>
  <c r="AU106" i="1"/>
  <c r="AT104" i="1"/>
  <c r="AU97" i="1"/>
  <c r="AT101" i="1"/>
  <c r="AT227" i="1"/>
  <c r="AU220" i="1"/>
  <c r="AR364" i="1"/>
  <c r="AR361" i="1"/>
  <c r="AS357" i="1"/>
  <c r="AV364" i="1"/>
  <c r="AV361" i="1"/>
  <c r="AV363" i="1" s="1"/>
  <c r="AT371" i="1"/>
  <c r="AU364" i="1"/>
  <c r="AU89" i="1"/>
  <c r="AY83" i="1"/>
  <c r="AR96" i="1"/>
  <c r="AS94" i="1"/>
  <c r="AU201" i="1"/>
  <c r="AU208" i="1" s="1"/>
  <c r="AT208" i="1"/>
  <c r="AU336" i="1"/>
  <c r="AT338" i="1"/>
  <c r="AR366" i="1"/>
  <c r="AS359" i="1"/>
  <c r="AV224" i="1"/>
  <c r="AV226" i="1" s="1"/>
  <c r="AV227" i="1"/>
  <c r="AT219" i="1"/>
  <c r="AU219" i="1" s="1"/>
  <c r="AU217" i="1"/>
  <c r="AS89" i="1"/>
  <c r="AX83" i="1"/>
  <c r="AR224" i="1"/>
  <c r="AS220" i="1"/>
  <c r="AR227" i="1"/>
  <c r="AR236" i="1"/>
  <c r="AS229" i="1"/>
  <c r="AR208" i="1"/>
  <c r="AS201" i="1"/>
  <c r="AS208" i="1" s="1"/>
  <c r="AS338" i="1"/>
  <c r="AS345" i="1" s="1"/>
  <c r="AR345" i="1"/>
  <c r="AR120" i="1"/>
  <c r="AS113" i="1"/>
  <c r="AU215" i="1"/>
  <c r="AT222" i="1"/>
  <c r="AS97" i="1"/>
  <c r="AR101" i="1"/>
  <c r="AR104" i="1"/>
  <c r="AR8" i="1"/>
  <c r="AV101" i="1" l="1"/>
  <c r="AV103" i="1" s="1"/>
  <c r="AZ97" i="1" s="1"/>
  <c r="AV104" i="1"/>
  <c r="AR127" i="1"/>
  <c r="AS127" i="1" s="1"/>
  <c r="AS120" i="1"/>
  <c r="AV371" i="1"/>
  <c r="AV368" i="1"/>
  <c r="AV370" i="1" s="1"/>
  <c r="AU354" i="1"/>
  <c r="AT356" i="1"/>
  <c r="AU356" i="1" s="1"/>
  <c r="AS8" i="1"/>
  <c r="AV8" i="1"/>
  <c r="AU222" i="1"/>
  <c r="AT229" i="1"/>
  <c r="AR226" i="1"/>
  <c r="AS226" i="1" s="1"/>
  <c r="AS224" i="1"/>
  <c r="AR373" i="1"/>
  <c r="AS366" i="1"/>
  <c r="AU371" i="1"/>
  <c r="AT378" i="1"/>
  <c r="AT224" i="1"/>
  <c r="AU104" i="1"/>
  <c r="AT111" i="1"/>
  <c r="AT108" i="1"/>
  <c r="AU359" i="1"/>
  <c r="AT366" i="1"/>
  <c r="AT361" i="1"/>
  <c r="AR111" i="1"/>
  <c r="AS104" i="1"/>
  <c r="AR108" i="1"/>
  <c r="AR9" i="1"/>
  <c r="AS236" i="1"/>
  <c r="AT145" i="1"/>
  <c r="AU145" i="1" s="1"/>
  <c r="AR243" i="1"/>
  <c r="AV234" i="1"/>
  <c r="AV231" i="1"/>
  <c r="AV233" i="1" s="1"/>
  <c r="AT345" i="1"/>
  <c r="AU338" i="1"/>
  <c r="AU345" i="1" s="1"/>
  <c r="AR363" i="1"/>
  <c r="AS363" i="1" s="1"/>
  <c r="AS361" i="1"/>
  <c r="AT234" i="1"/>
  <c r="AU227" i="1"/>
  <c r="AS101" i="1"/>
  <c r="AR103" i="1"/>
  <c r="AS227" i="1"/>
  <c r="AR234" i="1"/>
  <c r="AR231" i="1"/>
  <c r="AS96" i="1"/>
  <c r="AX90" i="1"/>
  <c r="AR371" i="1"/>
  <c r="AR368" i="1"/>
  <c r="AS364" i="1"/>
  <c r="AU101" i="1"/>
  <c r="AT103" i="1"/>
  <c r="AU113" i="1"/>
  <c r="AT120" i="1"/>
  <c r="AU96" i="1"/>
  <c r="AY90" i="1"/>
  <c r="AV111" i="1" l="1"/>
  <c r="AV108" i="1"/>
  <c r="AV110" i="1" s="1"/>
  <c r="AZ104" i="1" s="1"/>
  <c r="AU234" i="1"/>
  <c r="AT241" i="1"/>
  <c r="AT127" i="1"/>
  <c r="AU127" i="1" s="1"/>
  <c r="AU120" i="1"/>
  <c r="AS103" i="1"/>
  <c r="AX97" i="1"/>
  <c r="AU224" i="1"/>
  <c r="AT226" i="1"/>
  <c r="AU226" i="1" s="1"/>
  <c r="AT236" i="1"/>
  <c r="AU229" i="1"/>
  <c r="AR370" i="1"/>
  <c r="AS370" i="1" s="1"/>
  <c r="AS368" i="1"/>
  <c r="AS231" i="1"/>
  <c r="AR233" i="1"/>
  <c r="AS233" i="1" s="1"/>
  <c r="AS111" i="1"/>
  <c r="AR115" i="1"/>
  <c r="AR118" i="1"/>
  <c r="AU108" i="1"/>
  <c r="AT110" i="1"/>
  <c r="AT385" i="1"/>
  <c r="AU378" i="1"/>
  <c r="AR380" i="1"/>
  <c r="AS373" i="1"/>
  <c r="AU282" i="1" s="1"/>
  <c r="AT282" i="1"/>
  <c r="AU103" i="1"/>
  <c r="AY97" i="1"/>
  <c r="AR378" i="1"/>
  <c r="AR282" i="1"/>
  <c r="AV282" i="1" s="1"/>
  <c r="AS371" i="1"/>
  <c r="AS282" i="1" s="1"/>
  <c r="AR375" i="1"/>
  <c r="AS234" i="1"/>
  <c r="AR241" i="1"/>
  <c r="AR145" i="1"/>
  <c r="AR238" i="1"/>
  <c r="AV241" i="1"/>
  <c r="AV238" i="1"/>
  <c r="AV240" i="1" s="1"/>
  <c r="AV9" i="1"/>
  <c r="AS9" i="1"/>
  <c r="AU361" i="1"/>
  <c r="AT363" i="1"/>
  <c r="AU363" i="1" s="1"/>
  <c r="AT118" i="1"/>
  <c r="AT115" i="1"/>
  <c r="AU111" i="1"/>
  <c r="AT231" i="1"/>
  <c r="AS243" i="1"/>
  <c r="AR250" i="1"/>
  <c r="AT146" i="1"/>
  <c r="AU146" i="1" s="1"/>
  <c r="AS108" i="1"/>
  <c r="AR110" i="1"/>
  <c r="AU366" i="1"/>
  <c r="AT373" i="1"/>
  <c r="AT368" i="1"/>
  <c r="AV375" i="1"/>
  <c r="AV377" i="1" s="1"/>
  <c r="AV378" i="1"/>
  <c r="AV118" i="1" l="1"/>
  <c r="AV115" i="1"/>
  <c r="AV117" i="1" s="1"/>
  <c r="AZ111" i="1" s="1"/>
  <c r="AV385" i="1"/>
  <c r="AV382" i="1"/>
  <c r="AV384" i="1" s="1"/>
  <c r="AR257" i="1"/>
  <c r="AS250" i="1"/>
  <c r="AT117" i="1"/>
  <c r="AU115" i="1"/>
  <c r="AS238" i="1"/>
  <c r="AR240" i="1"/>
  <c r="AS240" i="1" s="1"/>
  <c r="AR377" i="1"/>
  <c r="AS377" i="1" s="1"/>
  <c r="AS375" i="1"/>
  <c r="AR387" i="1"/>
  <c r="AS380" i="1"/>
  <c r="AT283" i="1"/>
  <c r="AU283" i="1" s="1"/>
  <c r="AU110" i="1"/>
  <c r="AY104" i="1"/>
  <c r="AS110" i="1"/>
  <c r="AX104" i="1"/>
  <c r="AU118" i="1"/>
  <c r="AT122" i="1"/>
  <c r="AT125" i="1"/>
  <c r="AV145" i="1"/>
  <c r="AS145" i="1"/>
  <c r="AU241" i="1"/>
  <c r="AT248" i="1"/>
  <c r="AU368" i="1"/>
  <c r="AT370" i="1"/>
  <c r="AU370" i="1" s="1"/>
  <c r="AU231" i="1"/>
  <c r="AT233" i="1"/>
  <c r="AU233" i="1" s="1"/>
  <c r="AR245" i="1"/>
  <c r="AS241" i="1"/>
  <c r="AR248" i="1"/>
  <c r="AR146" i="1"/>
  <c r="AR125" i="1"/>
  <c r="AR122" i="1"/>
  <c r="AS118" i="1"/>
  <c r="AT243" i="1"/>
  <c r="AT245" i="1" s="1"/>
  <c r="AU236" i="1"/>
  <c r="AU373" i="1"/>
  <c r="AT380" i="1"/>
  <c r="AT375" i="1"/>
  <c r="AV248" i="1"/>
  <c r="AV245" i="1"/>
  <c r="AV247" i="1" s="1"/>
  <c r="AR385" i="1"/>
  <c r="AS378" i="1"/>
  <c r="AR283" i="1"/>
  <c r="AR382" i="1"/>
  <c r="AT392" i="1"/>
  <c r="AU385" i="1"/>
  <c r="AS115" i="1"/>
  <c r="AR117" i="1"/>
  <c r="AT238" i="1"/>
  <c r="AV125" i="1" l="1"/>
  <c r="AV129" i="1" s="1"/>
  <c r="AV131" i="1" s="1"/>
  <c r="AZ125" i="1" s="1"/>
  <c r="AZ138" i="1" s="1"/>
  <c r="AV122" i="1"/>
  <c r="AV124" i="1" s="1"/>
  <c r="AZ118" i="1" s="1"/>
  <c r="AR389" i="1"/>
  <c r="AR392" i="1"/>
  <c r="AS385" i="1"/>
  <c r="AS125" i="1"/>
  <c r="AR129" i="1"/>
  <c r="AS117" i="1"/>
  <c r="AX111" i="1"/>
  <c r="AT387" i="1"/>
  <c r="AU380" i="1"/>
  <c r="AT382" i="1"/>
  <c r="AR255" i="1"/>
  <c r="AR252" i="1"/>
  <c r="AS248" i="1"/>
  <c r="AU125" i="1"/>
  <c r="AT129" i="1"/>
  <c r="AR384" i="1"/>
  <c r="AS384" i="1" s="1"/>
  <c r="AS382" i="1"/>
  <c r="AR124" i="1"/>
  <c r="AS122" i="1"/>
  <c r="AT247" i="1"/>
  <c r="AU247" i="1" s="1"/>
  <c r="AU245" i="1"/>
  <c r="AU122" i="1"/>
  <c r="AT124" i="1"/>
  <c r="AR394" i="1"/>
  <c r="AS387" i="1"/>
  <c r="AR264" i="1"/>
  <c r="AS264" i="1" s="1"/>
  <c r="AS257" i="1"/>
  <c r="AV283" i="1"/>
  <c r="AS283" i="1"/>
  <c r="AV255" i="1"/>
  <c r="AV252" i="1"/>
  <c r="AV254" i="1" s="1"/>
  <c r="AR247" i="1"/>
  <c r="AS247" i="1" s="1"/>
  <c r="AS245" i="1"/>
  <c r="AU238" i="1"/>
  <c r="AT240" i="1"/>
  <c r="AU240" i="1" s="1"/>
  <c r="AU392" i="1"/>
  <c r="AT399" i="1"/>
  <c r="AU375" i="1"/>
  <c r="AT377" i="1"/>
  <c r="AU377" i="1" s="1"/>
  <c r="AU243" i="1"/>
  <c r="AT250" i="1"/>
  <c r="AS146" i="1"/>
  <c r="AV146" i="1"/>
  <c r="AU248" i="1"/>
  <c r="AT255" i="1"/>
  <c r="AU117" i="1"/>
  <c r="AY111" i="1"/>
  <c r="AV389" i="1"/>
  <c r="AV391" i="1" s="1"/>
  <c r="AV392" i="1"/>
  <c r="AR401" i="1" l="1"/>
  <c r="AS401" i="1" s="1"/>
  <c r="AS394" i="1"/>
  <c r="AR254" i="1"/>
  <c r="AS254" i="1" s="1"/>
  <c r="AS252" i="1"/>
  <c r="AT262" i="1"/>
  <c r="AU255" i="1"/>
  <c r="AS255" i="1"/>
  <c r="AR259" i="1"/>
  <c r="AR262" i="1"/>
  <c r="AU250" i="1"/>
  <c r="AT257" i="1"/>
  <c r="AU399" i="1"/>
  <c r="AV262" i="1"/>
  <c r="AV266" i="1" s="1"/>
  <c r="AV268" i="1" s="1"/>
  <c r="AV259" i="1"/>
  <c r="AV261" i="1" s="1"/>
  <c r="AS124" i="1"/>
  <c r="AX118" i="1"/>
  <c r="AT384" i="1"/>
  <c r="AU384" i="1" s="1"/>
  <c r="AU382" i="1"/>
  <c r="AR399" i="1"/>
  <c r="AR396" i="1"/>
  <c r="AS392" i="1"/>
  <c r="AT394" i="1"/>
  <c r="AU387" i="1"/>
  <c r="AT389" i="1"/>
  <c r="AV399" i="1"/>
  <c r="AV403" i="1" s="1"/>
  <c r="AV405" i="1" s="1"/>
  <c r="AV396" i="1"/>
  <c r="AV398" i="1" s="1"/>
  <c r="AU124" i="1"/>
  <c r="AY118" i="1"/>
  <c r="AT131" i="1"/>
  <c r="AU129" i="1"/>
  <c r="AT252" i="1"/>
  <c r="AS129" i="1"/>
  <c r="AR131" i="1"/>
  <c r="AS389" i="1"/>
  <c r="AR391" i="1"/>
  <c r="AS391" i="1" s="1"/>
  <c r="AU394" i="1" l="1"/>
  <c r="AT401" i="1"/>
  <c r="AT396" i="1"/>
  <c r="AT264" i="1"/>
  <c r="AU264" i="1" s="1"/>
  <c r="AU257" i="1"/>
  <c r="AS131" i="1"/>
  <c r="AX125" i="1"/>
  <c r="AX138" i="1" s="1"/>
  <c r="AU131" i="1"/>
  <c r="AY125" i="1"/>
  <c r="AY138" i="1" s="1"/>
  <c r="AU389" i="1"/>
  <c r="AT391" i="1"/>
  <c r="AU391" i="1" s="1"/>
  <c r="AR398" i="1"/>
  <c r="AS398" i="1" s="1"/>
  <c r="AS396" i="1"/>
  <c r="AR266" i="1"/>
  <c r="AS262" i="1"/>
  <c r="AT259" i="1"/>
  <c r="AU252" i="1"/>
  <c r="AT254" i="1"/>
  <c r="AU254" i="1" s="1"/>
  <c r="AS399" i="1"/>
  <c r="AR403" i="1"/>
  <c r="AS259" i="1"/>
  <c r="AR261" i="1"/>
  <c r="AS261" i="1" s="1"/>
  <c r="AU262" i="1"/>
  <c r="AT266" i="1"/>
  <c r="AT268" i="1" l="1"/>
  <c r="AU268" i="1" s="1"/>
  <c r="AU266" i="1"/>
  <c r="AU259" i="1"/>
  <c r="AT261" i="1"/>
  <c r="AU261" i="1" s="1"/>
  <c r="AT398" i="1"/>
  <c r="AU398" i="1" s="1"/>
  <c r="AU396" i="1"/>
  <c r="AS266" i="1"/>
  <c r="AR268" i="1"/>
  <c r="AS268" i="1" s="1"/>
  <c r="AU401" i="1"/>
  <c r="AT403" i="1"/>
  <c r="AS403" i="1"/>
  <c r="AR405" i="1"/>
  <c r="AS405" i="1" s="1"/>
  <c r="AU403" i="1" l="1"/>
  <c r="AT405" i="1"/>
  <c r="AU405" i="1" s="1"/>
</calcChain>
</file>

<file path=xl/comments1.xml><?xml version="1.0" encoding="utf-8"?>
<comments xmlns="http://schemas.openxmlformats.org/spreadsheetml/2006/main">
  <authors>
    <author>MEKOUAR Mohamed</author>
  </authors>
  <commentList>
    <comment ref="AI311" authorId="0" shapeId="0">
      <text>
        <r>
          <rPr>
            <b/>
            <sz val="9"/>
            <color indexed="81"/>
            <rFont val="Tahoma"/>
            <family val="2"/>
          </rPr>
          <t>MEKOUAR Mohamed:
FM RITA SCHEPPERS OMIT VLC</t>
        </r>
      </text>
    </comment>
  </commentList>
</comments>
</file>

<file path=xl/sharedStrings.xml><?xml version="1.0" encoding="utf-8"?>
<sst xmlns="http://schemas.openxmlformats.org/spreadsheetml/2006/main" count="702" uniqueCount="84">
  <si>
    <t>ALLOCATIONS</t>
  </si>
  <si>
    <t>TEUS</t>
  </si>
  <si>
    <t>TONS</t>
  </si>
  <si>
    <t>REEFER PLUGS</t>
  </si>
  <si>
    <t>TRADE</t>
  </si>
  <si>
    <t>Feedering</t>
  </si>
  <si>
    <t>TOTAL</t>
  </si>
  <si>
    <t>EB</t>
  </si>
  <si>
    <t xml:space="preserve"> Vessel</t>
  </si>
  <si>
    <t>Teus</t>
  </si>
  <si>
    <t>FF</t>
  </si>
  <si>
    <t>FF t</t>
  </si>
  <si>
    <t>Trade</t>
  </si>
  <si>
    <t>Sailing Valencia</t>
  </si>
  <si>
    <t>Feeder</t>
  </si>
  <si>
    <t>Sailing Malta EB</t>
  </si>
  <si>
    <t>WB</t>
  </si>
  <si>
    <t>Vessel</t>
  </si>
  <si>
    <t>Sailing Alexandria</t>
  </si>
  <si>
    <t>Sailing Malta WB</t>
  </si>
  <si>
    <t>MEDITERRANEAN SEA</t>
  </si>
  <si>
    <t xml:space="preserve">TOTAL / POL </t>
  </si>
  <si>
    <t>ROB</t>
  </si>
  <si>
    <t>AVAILABLE SPACE</t>
  </si>
  <si>
    <t>POL</t>
  </si>
  <si>
    <t>Operator</t>
  </si>
  <si>
    <t>Allocation</t>
  </si>
  <si>
    <t>POD</t>
  </si>
  <si>
    <t>Forecast</t>
  </si>
  <si>
    <t>%</t>
  </si>
  <si>
    <t>Tons</t>
  </si>
  <si>
    <t>Av. Wght</t>
  </si>
  <si>
    <t>RF (units)</t>
  </si>
  <si>
    <t>RF</t>
  </si>
  <si>
    <t>REEFER</t>
  </si>
  <si>
    <t>PLUGS</t>
  </si>
  <si>
    <t>FULL</t>
  </si>
  <si>
    <t>RF (incl in Full)</t>
  </si>
  <si>
    <t>TOTAL FULL</t>
  </si>
  <si>
    <t>EMPTY ALL BRANDS</t>
  </si>
  <si>
    <t>TOTAL (incl mty)</t>
  </si>
  <si>
    <t>MET</t>
  </si>
  <si>
    <t>FRMRS</t>
  </si>
  <si>
    <t>Wed</t>
  </si>
  <si>
    <t>OMIT</t>
  </si>
  <si>
    <t>TCB</t>
  </si>
  <si>
    <t>ESBCN</t>
  </si>
  <si>
    <t>Thu</t>
  </si>
  <si>
    <t>TCV</t>
  </si>
  <si>
    <t>ESVLC</t>
  </si>
  <si>
    <t>Fri</t>
  </si>
  <si>
    <t>MFP</t>
  </si>
  <si>
    <t>MTMLA</t>
  </si>
  <si>
    <t>Mon</t>
  </si>
  <si>
    <t>Terminal</t>
  </si>
  <si>
    <t>Add call</t>
  </si>
  <si>
    <t>Add Call</t>
  </si>
  <si>
    <t>Perf. CMA</t>
  </si>
  <si>
    <t>FINAL</t>
  </si>
  <si>
    <t>TOTAL EB</t>
  </si>
  <si>
    <t>TOTAL DISCHARGE</t>
  </si>
  <si>
    <t>MST</t>
  </si>
  <si>
    <t>TRMER</t>
  </si>
  <si>
    <t>LIMAK</t>
  </si>
  <si>
    <t>TRISK</t>
  </si>
  <si>
    <t>Sat</t>
  </si>
  <si>
    <t>/</t>
  </si>
  <si>
    <t>LBBEY</t>
  </si>
  <si>
    <t>Sun</t>
  </si>
  <si>
    <t>AICT</t>
  </si>
  <si>
    <t>Eldekheila</t>
  </si>
  <si>
    <t>EGALY</t>
  </si>
  <si>
    <t>DZALD</t>
  </si>
  <si>
    <t>DZALS</t>
  </si>
  <si>
    <t>sun</t>
  </si>
  <si>
    <t>DZALS discharged MTMLA</t>
  </si>
  <si>
    <t>TOTAL WB</t>
  </si>
  <si>
    <t>Final</t>
  </si>
  <si>
    <t>DZALG discharge MTMLA</t>
  </si>
  <si>
    <t>MED SEA</t>
  </si>
  <si>
    <t>SPERO</t>
  </si>
  <si>
    <t>FRFOS</t>
  </si>
  <si>
    <t xml:space="preserve">SPERO 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</si>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</sst>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000&quot;OJE&quot;"/>
    <numFmt numFmtId="165" formatCode="000&quot;OJW&quot;"/>
    <numFmt numFmtId="166" formatCode="0.0"/>
    <numFmt numFmtId="167" formatCode="_-* #,##0\ _€_-;\-* #,##0\ _€_-;_-* &quot;-&quot;??\ _€_-;_-@_-"/>
    <numFmt numFmtId="168" formatCode="[$-40C]d\-mmm;@"/>
    <numFmt numFmtId="169" formatCode="0&quot; teus&quot;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36"/>
      <color theme="4" tint="-0.249977111117893"/>
      <name val="Arial"/>
      <family val="2"/>
    </font>
    <font>
      <b/>
      <sz val="12"/>
      <color theme="4" tint="-0.249977111117893"/>
      <name val="Arial"/>
      <family val="2"/>
    </font>
    <font>
      <sz val="10"/>
      <name val="Arial"/>
      <family val="2"/>
    </font>
    <font>
      <sz val="12"/>
      <color theme="4" tint="-0.249977111117893"/>
      <name val="Arial"/>
      <family val="2"/>
    </font>
    <font>
      <b/>
      <sz val="14"/>
      <name val="Arial"/>
      <family val="2"/>
    </font>
    <font>
      <b/>
      <sz val="16"/>
      <color theme="1"/>
      <name val="Arial"/>
      <family val="2"/>
    </font>
    <font>
      <b/>
      <sz val="16"/>
      <color theme="3"/>
      <name val="Arial"/>
      <family val="2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Arial"/>
      <family val="2"/>
    </font>
    <font>
      <b/>
      <sz val="10"/>
      <color rgb="FFFF0000"/>
      <name val="Arial"/>
      <family val="2"/>
    </font>
    <font>
      <sz val="12"/>
      <color rgb="FFFF0000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28"/>
      <color theme="0"/>
      <name val="Arial"/>
      <family val="2"/>
    </font>
    <font>
      <b/>
      <sz val="10"/>
      <name val="Arial"/>
      <family val="2"/>
    </font>
    <font>
      <b/>
      <sz val="28"/>
      <name val="Arial"/>
      <family val="2"/>
    </font>
    <font>
      <sz val="11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sz val="18"/>
      <name val="Arial"/>
      <family val="2"/>
    </font>
    <font>
      <b/>
      <sz val="12"/>
      <color rgb="FFFF0000"/>
      <name val="Arial"/>
      <family val="2"/>
    </font>
    <font>
      <b/>
      <sz val="24"/>
      <name val="Arial"/>
      <family val="2"/>
    </font>
    <font>
      <b/>
      <sz val="15"/>
      <name val="Arial"/>
      <family val="2"/>
    </font>
    <font>
      <b/>
      <sz val="15"/>
      <color theme="0"/>
      <name val="Arial"/>
      <family val="2"/>
    </font>
    <font>
      <b/>
      <sz val="15"/>
      <color theme="1"/>
      <name val="Arial"/>
      <family val="2"/>
    </font>
    <font>
      <sz val="14"/>
      <name val="Arial"/>
      <family val="2"/>
    </font>
    <font>
      <i/>
      <sz val="16"/>
      <color rgb="FFFF0000"/>
      <name val="Arial"/>
      <family val="2"/>
    </font>
    <font>
      <b/>
      <sz val="26"/>
      <name val="Arial"/>
      <family val="2"/>
    </font>
    <font>
      <b/>
      <sz val="16"/>
      <color rgb="FFFF0000"/>
      <name val="Arial"/>
      <family val="2"/>
    </font>
    <font>
      <i/>
      <sz val="16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Arial"/>
      <family val="2"/>
    </font>
    <font>
      <b/>
      <i/>
      <sz val="16"/>
      <name val="Arial"/>
      <family val="2"/>
    </font>
    <font>
      <sz val="16"/>
      <color theme="1"/>
      <name val="Arial"/>
      <family val="2"/>
    </font>
    <font>
      <b/>
      <sz val="9"/>
      <color indexed="81"/>
      <name val="Tahoma"/>
      <family val="2"/>
    </font>
    <font>
      <sz val="12"/>
      <color theme="0"/>
      <name val="Arial"/>
      <family val="2"/>
    </font>
    <font>
      <b/>
      <sz val="48"/>
      <color theme="4" tint="-0.249977111117893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499984740745262"/>
        <bgColor indexed="64"/>
      </patternFill>
    </fill>
  </fills>
  <borders count="10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medium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rgb="FFFF0000"/>
      </right>
      <top style="medium">
        <color indexed="64"/>
      </top>
      <bottom/>
      <diagonal/>
    </border>
    <border>
      <left style="thick">
        <color rgb="FFFF0000"/>
      </left>
      <right/>
      <top style="medium">
        <color indexed="64"/>
      </top>
      <bottom/>
      <diagonal/>
    </border>
    <border>
      <left/>
      <right style="thick">
        <color rgb="FFFF0000"/>
      </right>
      <top/>
      <bottom style="medium">
        <color indexed="64"/>
      </bottom>
      <diagonal/>
    </border>
    <border>
      <left style="thick">
        <color rgb="FFFF0000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/>
      <top style="medium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/>
      <top style="thin">
        <color indexed="64"/>
      </top>
      <bottom style="medium">
        <color indexed="64"/>
      </bottom>
      <diagonal/>
    </border>
    <border>
      <left/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medium">
        <color auto="1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auto="1"/>
      </top>
      <bottom style="medium">
        <color rgb="FFFF0000"/>
      </bottom>
      <diagonal/>
    </border>
    <border>
      <left style="medium">
        <color indexed="64"/>
      </left>
      <right/>
      <top style="medium">
        <color rgb="FFFF0000"/>
      </top>
      <bottom/>
      <diagonal/>
    </border>
    <border>
      <left/>
      <right style="medium">
        <color indexed="64"/>
      </right>
      <top style="medium">
        <color rgb="FFFF0000"/>
      </top>
      <bottom/>
      <diagonal/>
    </border>
    <border>
      <left/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5" fillId="0" borderId="0"/>
  </cellStyleXfs>
  <cellXfs count="770">
    <xf numFmtId="0" fontId="0" fillId="0" borderId="0" xfId="0"/>
    <xf numFmtId="0" fontId="2" fillId="0" borderId="0" xfId="0" applyFont="1"/>
    <xf numFmtId="0" fontId="2" fillId="0" borderId="0" xfId="0" applyFont="1" applyFill="1" applyBorder="1"/>
    <xf numFmtId="0" fontId="6" fillId="0" borderId="4" xfId="3" applyFont="1" applyFill="1" applyBorder="1" applyAlignment="1">
      <alignment horizontal="center" vertical="center"/>
    </xf>
    <xf numFmtId="0" fontId="6" fillId="0" borderId="5" xfId="3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vertical="center"/>
    </xf>
    <xf numFmtId="0" fontId="6" fillId="0" borderId="14" xfId="3" applyFont="1" applyFill="1" applyBorder="1" applyAlignment="1" applyProtection="1">
      <alignment horizontal="center" vertical="center"/>
      <protection locked="0"/>
    </xf>
    <xf numFmtId="0" fontId="6" fillId="0" borderId="15" xfId="3" applyFont="1" applyFill="1" applyBorder="1" applyAlignment="1" applyProtection="1">
      <alignment horizontal="center" vertical="center"/>
      <protection locked="0"/>
    </xf>
    <xf numFmtId="0" fontId="10" fillId="3" borderId="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" fontId="6" fillId="0" borderId="19" xfId="3" applyNumberFormat="1" applyFont="1" applyFill="1" applyBorder="1" applyAlignment="1" applyProtection="1">
      <alignment horizontal="center" vertical="center"/>
      <protection locked="0"/>
    </xf>
    <xf numFmtId="0" fontId="6" fillId="0" borderId="20" xfId="3" applyFont="1" applyFill="1" applyBorder="1" applyAlignment="1" applyProtection="1">
      <alignment horizontal="center" vertical="center"/>
      <protection locked="0"/>
    </xf>
    <xf numFmtId="1" fontId="11" fillId="0" borderId="9" xfId="0" applyNumberFormat="1" applyFont="1" applyBorder="1" applyAlignment="1">
      <alignment horizontal="center" vertical="center"/>
    </xf>
    <xf numFmtId="9" fontId="11" fillId="0" borderId="9" xfId="2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9" fontId="4" fillId="0" borderId="9" xfId="0" applyNumberFormat="1" applyFont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/>
    </xf>
    <xf numFmtId="1" fontId="6" fillId="0" borderId="28" xfId="3" applyNumberFormat="1" applyFont="1" applyFill="1" applyBorder="1" applyAlignment="1" applyProtection="1">
      <alignment horizontal="center" vertical="center"/>
      <protection locked="0"/>
    </xf>
    <xf numFmtId="0" fontId="6" fillId="0" borderId="29" xfId="3" applyFont="1" applyFill="1" applyBorder="1" applyAlignment="1" applyProtection="1">
      <alignment horizontal="center" vertical="center"/>
      <protection locked="0"/>
    </xf>
    <xf numFmtId="0" fontId="6" fillId="0" borderId="9" xfId="3" applyFont="1" applyFill="1" applyBorder="1" applyAlignment="1" applyProtection="1">
      <alignment horizontal="center"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5" fillId="0" borderId="0" xfId="3" applyFont="1" applyBorder="1"/>
    <xf numFmtId="0" fontId="14" fillId="0" borderId="0" xfId="3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Fill="1" applyBorder="1" applyAlignment="1">
      <alignment horizontal="center"/>
    </xf>
    <xf numFmtId="0" fontId="4" fillId="0" borderId="0" xfId="3" applyFont="1" applyFill="1" applyBorder="1" applyAlignment="1">
      <alignment vertical="center"/>
    </xf>
    <xf numFmtId="1" fontId="6" fillId="0" borderId="0" xfId="3" applyNumberFormat="1" applyFont="1" applyFill="1" applyBorder="1" applyAlignment="1">
      <alignment horizontal="center" vertical="center"/>
    </xf>
    <xf numFmtId="1" fontId="15" fillId="0" borderId="0" xfId="3" applyNumberFormat="1" applyFont="1" applyFill="1" applyBorder="1" applyAlignment="1" applyProtection="1">
      <alignment horizontal="center" vertical="center"/>
      <protection locked="0"/>
    </xf>
    <xf numFmtId="1" fontId="6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18" fillId="0" borderId="0" xfId="3" applyFont="1" applyFill="1" applyBorder="1" applyAlignment="1">
      <alignment horizontal="center" vertical="center"/>
    </xf>
    <xf numFmtId="0" fontId="18" fillId="0" borderId="0" xfId="3" applyFont="1" applyFill="1" applyBorder="1" applyAlignment="1">
      <alignment horizontal="center" vertical="center" wrapText="1"/>
    </xf>
    <xf numFmtId="0" fontId="18" fillId="0" borderId="26" xfId="3" applyFont="1" applyFill="1" applyBorder="1" applyAlignment="1">
      <alignment horizontal="center" vertical="center"/>
    </xf>
    <xf numFmtId="0" fontId="20" fillId="2" borderId="37" xfId="3" applyFont="1" applyFill="1" applyBorder="1" applyAlignment="1">
      <alignment vertical="center" textRotation="255"/>
    </xf>
    <xf numFmtId="0" fontId="21" fillId="0" borderId="0" xfId="3" applyFont="1" applyFill="1" applyBorder="1" applyAlignment="1">
      <alignment horizontal="center" vertical="center"/>
    </xf>
    <xf numFmtId="0" fontId="18" fillId="5" borderId="45" xfId="3" applyFont="1" applyFill="1" applyBorder="1" applyAlignment="1">
      <alignment horizontal="center" vertical="center"/>
    </xf>
    <xf numFmtId="0" fontId="21" fillId="0" borderId="0" xfId="3" applyFont="1" applyFill="1" applyBorder="1" applyAlignment="1">
      <alignment vertical="center"/>
    </xf>
    <xf numFmtId="0" fontId="22" fillId="0" borderId="36" xfId="3" applyFont="1" applyFill="1" applyBorder="1" applyAlignment="1">
      <alignment vertical="center" textRotation="255"/>
    </xf>
    <xf numFmtId="0" fontId="21" fillId="0" borderId="37" xfId="3" applyFont="1" applyFill="1" applyBorder="1" applyAlignment="1">
      <alignment horizontal="center" vertical="center"/>
    </xf>
    <xf numFmtId="0" fontId="21" fillId="5" borderId="45" xfId="3" applyFont="1" applyFill="1" applyBorder="1" applyAlignment="1">
      <alignment horizontal="center" vertical="center"/>
    </xf>
    <xf numFmtId="0" fontId="22" fillId="3" borderId="34" xfId="3" applyFont="1" applyFill="1" applyBorder="1" applyAlignment="1">
      <alignment vertical="center" textRotation="255"/>
    </xf>
    <xf numFmtId="0" fontId="21" fillId="7" borderId="48" xfId="3" applyFont="1" applyFill="1" applyBorder="1" applyAlignment="1">
      <alignment horizontal="center" vertical="center"/>
    </xf>
    <xf numFmtId="1" fontId="24" fillId="7" borderId="49" xfId="3" applyNumberFormat="1" applyFont="1" applyFill="1" applyBorder="1" applyAlignment="1" applyProtection="1">
      <alignment horizontal="center" vertical="center"/>
      <protection locked="0"/>
    </xf>
    <xf numFmtId="1" fontId="24" fillId="7" borderId="13" xfId="3" applyNumberFormat="1" applyFont="1" applyFill="1" applyBorder="1" applyAlignment="1" applyProtection="1">
      <alignment horizontal="center" vertical="center"/>
      <protection locked="0"/>
    </xf>
    <xf numFmtId="0" fontId="21" fillId="0" borderId="0" xfId="2" applyNumberFormat="1" applyFont="1" applyFill="1" applyBorder="1" applyAlignment="1">
      <alignment horizontal="center" vertical="center"/>
    </xf>
    <xf numFmtId="9" fontId="21" fillId="0" borderId="0" xfId="2" applyFont="1" applyFill="1" applyBorder="1" applyAlignment="1">
      <alignment horizontal="center" vertical="center"/>
    </xf>
    <xf numFmtId="0" fontId="22" fillId="3" borderId="10" xfId="3" applyFont="1" applyFill="1" applyBorder="1" applyAlignment="1">
      <alignment vertical="center" textRotation="255"/>
    </xf>
    <xf numFmtId="0" fontId="5" fillId="7" borderId="9" xfId="3" applyFont="1" applyFill="1" applyBorder="1" applyAlignment="1">
      <alignment horizontal="center" vertical="center"/>
    </xf>
    <xf numFmtId="0" fontId="21" fillId="8" borderId="9" xfId="3" applyFont="1" applyFill="1" applyBorder="1" applyAlignment="1">
      <alignment horizontal="center" vertical="center"/>
    </xf>
    <xf numFmtId="1" fontId="24" fillId="8" borderId="21" xfId="3" applyNumberFormat="1" applyFont="1" applyFill="1" applyBorder="1" applyAlignment="1" applyProtection="1">
      <alignment horizontal="center" vertical="center"/>
      <protection locked="0"/>
    </xf>
    <xf numFmtId="1" fontId="24" fillId="8" borderId="23" xfId="3" applyNumberFormat="1" applyFont="1" applyFill="1" applyBorder="1" applyAlignment="1" applyProtection="1">
      <alignment horizontal="center" vertical="center"/>
      <protection locked="0"/>
    </xf>
    <xf numFmtId="0" fontId="5" fillId="8" borderId="9" xfId="3" applyFont="1" applyFill="1" applyBorder="1" applyAlignment="1">
      <alignment horizontal="center" vertical="center"/>
    </xf>
    <xf numFmtId="1" fontId="25" fillId="3" borderId="21" xfId="3" applyNumberFormat="1" applyFont="1" applyFill="1" applyBorder="1" applyAlignment="1">
      <alignment horizontal="center" vertical="center"/>
    </xf>
    <xf numFmtId="1" fontId="25" fillId="3" borderId="22" xfId="3" applyNumberFormat="1" applyFont="1" applyFill="1" applyBorder="1" applyAlignment="1">
      <alignment horizontal="center" vertical="center"/>
    </xf>
    <xf numFmtId="1" fontId="25" fillId="3" borderId="52" xfId="3" applyNumberFormat="1" applyFont="1" applyFill="1" applyBorder="1" applyAlignment="1">
      <alignment horizontal="center" vertical="center"/>
    </xf>
    <xf numFmtId="9" fontId="25" fillId="3" borderId="9" xfId="2" applyFont="1" applyFill="1" applyBorder="1" applyAlignment="1">
      <alignment horizontal="center" vertical="center"/>
    </xf>
    <xf numFmtId="1" fontId="25" fillId="3" borderId="9" xfId="3" applyNumberFormat="1" applyFont="1" applyFill="1" applyBorder="1" applyAlignment="1">
      <alignment horizontal="center" vertical="center"/>
    </xf>
    <xf numFmtId="166" fontId="25" fillId="3" borderId="9" xfId="3" applyNumberFormat="1" applyFont="1" applyFill="1" applyBorder="1" applyAlignment="1">
      <alignment horizontal="center" vertical="center"/>
    </xf>
    <xf numFmtId="1" fontId="19" fillId="3" borderId="9" xfId="3" applyNumberFormat="1" applyFont="1" applyFill="1" applyBorder="1" applyAlignment="1">
      <alignment horizontal="center" vertical="center"/>
    </xf>
    <xf numFmtId="0" fontId="19" fillId="0" borderId="0" xfId="2" applyNumberFormat="1" applyFont="1" applyFill="1" applyBorder="1" applyAlignment="1">
      <alignment horizontal="center" vertical="center"/>
    </xf>
    <xf numFmtId="1" fontId="19" fillId="3" borderId="52" xfId="3" applyNumberFormat="1" applyFont="1" applyFill="1" applyBorder="1" applyAlignment="1">
      <alignment horizontal="center" vertical="center"/>
    </xf>
    <xf numFmtId="9" fontId="19" fillId="3" borderId="9" xfId="2" applyFont="1" applyFill="1" applyBorder="1" applyAlignment="1">
      <alignment horizontal="center" vertical="center"/>
    </xf>
    <xf numFmtId="0" fontId="19" fillId="3" borderId="9" xfId="3" applyFont="1" applyFill="1" applyBorder="1" applyAlignment="1">
      <alignment horizontal="center" vertical="center"/>
    </xf>
    <xf numFmtId="167" fontId="19" fillId="3" borderId="30" xfId="1" applyNumberFormat="1" applyFont="1" applyFill="1" applyBorder="1" applyAlignment="1">
      <alignment horizontal="center" vertical="center"/>
    </xf>
    <xf numFmtId="1" fontId="23" fillId="0" borderId="21" xfId="3" applyNumberFormat="1" applyFont="1" applyFill="1" applyBorder="1" applyAlignment="1">
      <alignment horizontal="center" vertical="center"/>
    </xf>
    <xf numFmtId="1" fontId="23" fillId="0" borderId="22" xfId="3" applyNumberFormat="1" applyFont="1" applyFill="1" applyBorder="1" applyAlignment="1">
      <alignment horizontal="center" vertical="center"/>
    </xf>
    <xf numFmtId="1" fontId="13" fillId="0" borderId="21" xfId="3" applyNumberFormat="1" applyFont="1" applyFill="1" applyBorder="1" applyAlignment="1">
      <alignment horizontal="center" vertical="center"/>
    </xf>
    <xf numFmtId="1" fontId="13" fillId="0" borderId="22" xfId="3" applyNumberFormat="1" applyFont="1" applyFill="1" applyBorder="1" applyAlignment="1">
      <alignment horizontal="center" vertical="center"/>
    </xf>
    <xf numFmtId="1" fontId="25" fillId="0" borderId="53" xfId="3" applyNumberFormat="1" applyFont="1" applyFill="1" applyBorder="1" applyAlignment="1">
      <alignment horizontal="center" vertical="center"/>
    </xf>
    <xf numFmtId="9" fontId="25" fillId="0" borderId="6" xfId="2" applyFont="1" applyFill="1" applyBorder="1" applyAlignment="1">
      <alignment horizontal="center" vertical="center"/>
    </xf>
    <xf numFmtId="1" fontId="25" fillId="0" borderId="6" xfId="3" applyNumberFormat="1" applyFont="1" applyFill="1" applyBorder="1" applyAlignment="1">
      <alignment horizontal="center" vertical="center"/>
    </xf>
    <xf numFmtId="166" fontId="25" fillId="0" borderId="6" xfId="3" applyNumberFormat="1" applyFont="1" applyFill="1" applyBorder="1" applyAlignment="1">
      <alignment horizontal="center" vertical="center"/>
    </xf>
    <xf numFmtId="0" fontId="25" fillId="0" borderId="0" xfId="2" applyNumberFormat="1" applyFont="1" applyFill="1" applyBorder="1" applyAlignment="1">
      <alignment horizontal="center" vertical="center"/>
    </xf>
    <xf numFmtId="0" fontId="25" fillId="0" borderId="53" xfId="3" applyFont="1" applyFill="1" applyBorder="1" applyAlignment="1">
      <alignment horizontal="center" vertical="center"/>
    </xf>
    <xf numFmtId="0" fontId="25" fillId="0" borderId="6" xfId="3" applyFont="1" applyFill="1" applyBorder="1" applyAlignment="1">
      <alignment horizontal="center" vertical="center"/>
    </xf>
    <xf numFmtId="0" fontId="25" fillId="0" borderId="55" xfId="3" applyFont="1" applyFill="1" applyBorder="1" applyAlignment="1">
      <alignment horizontal="center" vertical="center"/>
    </xf>
    <xf numFmtId="0" fontId="22" fillId="3" borderId="10" xfId="3" applyFont="1" applyFill="1" applyBorder="1" applyAlignment="1">
      <alignment horizontal="center" vertical="center"/>
    </xf>
    <xf numFmtId="1" fontId="13" fillId="6" borderId="57" xfId="3" applyNumberFormat="1" applyFont="1" applyFill="1" applyBorder="1" applyAlignment="1">
      <alignment horizontal="center" vertical="center"/>
    </xf>
    <xf numFmtId="1" fontId="13" fillId="6" borderId="58" xfId="3" applyNumberFormat="1" applyFont="1" applyFill="1" applyBorder="1" applyAlignment="1">
      <alignment horizontal="center" vertical="center"/>
    </xf>
    <xf numFmtId="1" fontId="25" fillId="6" borderId="57" xfId="3" applyNumberFormat="1" applyFont="1" applyFill="1" applyBorder="1" applyAlignment="1">
      <alignment horizontal="center" vertical="center"/>
    </xf>
    <xf numFmtId="1" fontId="25" fillId="6" borderId="58" xfId="3" applyNumberFormat="1" applyFont="1" applyFill="1" applyBorder="1" applyAlignment="1">
      <alignment horizontal="center" vertical="center"/>
    </xf>
    <xf numFmtId="1" fontId="19" fillId="6" borderId="59" xfId="3" applyNumberFormat="1" applyFont="1" applyFill="1" applyBorder="1" applyAlignment="1">
      <alignment horizontal="center" vertical="center"/>
    </xf>
    <xf numFmtId="9" fontId="19" fillId="6" borderId="4" xfId="2" applyFont="1" applyFill="1" applyBorder="1" applyAlignment="1">
      <alignment horizontal="center" vertical="center"/>
    </xf>
    <xf numFmtId="1" fontId="19" fillId="6" borderId="4" xfId="3" applyNumberFormat="1" applyFont="1" applyFill="1" applyBorder="1" applyAlignment="1">
      <alignment horizontal="center" vertical="center"/>
    </xf>
    <xf numFmtId="166" fontId="19" fillId="6" borderId="4" xfId="3" applyNumberFormat="1" applyFont="1" applyFill="1" applyBorder="1" applyAlignment="1">
      <alignment horizontal="center" vertical="center"/>
    </xf>
    <xf numFmtId="1" fontId="19" fillId="6" borderId="5" xfId="3" applyNumberFormat="1" applyFont="1" applyFill="1" applyBorder="1" applyAlignment="1">
      <alignment horizontal="center" vertical="center"/>
    </xf>
    <xf numFmtId="0" fontId="13" fillId="0" borderId="0" xfId="2" applyNumberFormat="1" applyFont="1" applyFill="1" applyBorder="1" applyAlignment="1">
      <alignment horizontal="center" vertical="center"/>
    </xf>
    <xf numFmtId="0" fontId="19" fillId="6" borderId="4" xfId="3" applyFont="1" applyFill="1" applyBorder="1" applyAlignment="1">
      <alignment horizontal="center" vertical="center"/>
    </xf>
    <xf numFmtId="0" fontId="19" fillId="6" borderId="5" xfId="1" applyNumberFormat="1" applyFont="1" applyFill="1" applyBorder="1" applyAlignment="1">
      <alignment horizontal="center" vertical="center"/>
    </xf>
    <xf numFmtId="9" fontId="13" fillId="0" borderId="0" xfId="2" applyFont="1" applyFill="1" applyBorder="1" applyAlignment="1">
      <alignment horizontal="center" vertical="center"/>
    </xf>
    <xf numFmtId="0" fontId="18" fillId="0" borderId="42" xfId="3" applyFont="1" applyFill="1" applyBorder="1" applyAlignment="1" applyProtection="1">
      <alignment vertical="center"/>
      <protection locked="0"/>
    </xf>
    <xf numFmtId="1" fontId="24" fillId="5" borderId="49" xfId="3" applyNumberFormat="1" applyFont="1" applyFill="1" applyBorder="1" applyAlignment="1">
      <alignment horizontal="center" vertical="center"/>
    </xf>
    <xf numFmtId="1" fontId="24" fillId="5" borderId="13" xfId="3" applyNumberFormat="1" applyFont="1" applyFill="1" applyBorder="1" applyAlignment="1">
      <alignment horizontal="center" vertical="center"/>
    </xf>
    <xf numFmtId="16" fontId="18" fillId="0" borderId="38" xfId="3" applyNumberFormat="1" applyFont="1" applyFill="1" applyBorder="1" applyAlignment="1" applyProtection="1">
      <alignment horizontal="center" vertical="center"/>
      <protection locked="0"/>
    </xf>
    <xf numFmtId="0" fontId="26" fillId="0" borderId="38" xfId="3" applyFont="1" applyFill="1" applyBorder="1" applyAlignment="1" applyProtection="1">
      <alignment horizontal="center" vertical="center"/>
      <protection locked="0"/>
    </xf>
    <xf numFmtId="1" fontId="24" fillId="5" borderId="21" xfId="3" applyNumberFormat="1" applyFont="1" applyFill="1" applyBorder="1" applyAlignment="1">
      <alignment horizontal="center" vertical="center"/>
    </xf>
    <xf numFmtId="1" fontId="24" fillId="5" borderId="23" xfId="3" applyNumberFormat="1" applyFont="1" applyFill="1" applyBorder="1" applyAlignment="1">
      <alignment horizontal="center" vertical="center"/>
    </xf>
    <xf numFmtId="0" fontId="18" fillId="0" borderId="38" xfId="3" applyFont="1" applyFill="1" applyBorder="1" applyAlignment="1" applyProtection="1">
      <alignment horizontal="center" vertical="center"/>
      <protection locked="0"/>
    </xf>
    <xf numFmtId="1" fontId="27" fillId="3" borderId="21" xfId="3" applyNumberFormat="1" applyFont="1" applyFill="1" applyBorder="1" applyAlignment="1">
      <alignment horizontal="center" vertical="center"/>
    </xf>
    <xf numFmtId="1" fontId="27" fillId="3" borderId="23" xfId="3" applyNumberFormat="1" applyFont="1" applyFill="1" applyBorder="1" applyAlignment="1">
      <alignment horizontal="center" vertical="center"/>
    </xf>
    <xf numFmtId="1" fontId="24" fillId="3" borderId="21" xfId="3" applyNumberFormat="1" applyFont="1" applyFill="1" applyBorder="1" applyAlignment="1">
      <alignment horizontal="center" vertical="center"/>
    </xf>
    <xf numFmtId="1" fontId="24" fillId="3" borderId="23" xfId="3" applyNumberFormat="1" applyFont="1" applyFill="1" applyBorder="1" applyAlignment="1">
      <alignment horizontal="center" vertical="center"/>
    </xf>
    <xf numFmtId="1" fontId="25" fillId="3" borderId="23" xfId="3" applyNumberFormat="1" applyFont="1" applyFill="1" applyBorder="1" applyAlignment="1">
      <alignment horizontal="center" vertical="center"/>
    </xf>
    <xf numFmtId="1" fontId="19" fillId="3" borderId="21" xfId="3" applyNumberFormat="1" applyFont="1" applyFill="1" applyBorder="1" applyAlignment="1">
      <alignment horizontal="center" vertical="center"/>
    </xf>
    <xf numFmtId="1" fontId="19" fillId="3" borderId="22" xfId="3" applyNumberFormat="1" applyFont="1" applyFill="1" applyBorder="1" applyAlignment="1">
      <alignment horizontal="center" vertical="center"/>
    </xf>
    <xf numFmtId="1" fontId="19" fillId="3" borderId="23" xfId="3" applyNumberFormat="1" applyFont="1" applyFill="1" applyBorder="1" applyAlignment="1">
      <alignment horizontal="center" vertical="center"/>
    </xf>
    <xf numFmtId="0" fontId="18" fillId="0" borderId="0" xfId="2" applyNumberFormat="1" applyFont="1" applyFill="1" applyBorder="1" applyAlignment="1">
      <alignment horizontal="center" vertical="center"/>
    </xf>
    <xf numFmtId="0" fontId="25" fillId="3" borderId="9" xfId="3" applyFont="1" applyFill="1" applyBorder="1" applyAlignment="1">
      <alignment horizontal="center" vertical="center"/>
    </xf>
    <xf numFmtId="1" fontId="19" fillId="3" borderId="30" xfId="1" applyNumberFormat="1" applyFont="1" applyFill="1" applyBorder="1" applyAlignment="1">
      <alignment horizontal="center" vertical="center"/>
    </xf>
    <xf numFmtId="16" fontId="26" fillId="0" borderId="38" xfId="3" applyNumberFormat="1" applyFont="1" applyFill="1" applyBorder="1" applyAlignment="1" applyProtection="1">
      <alignment horizontal="center" vertical="center"/>
      <protection locked="0"/>
    </xf>
    <xf numFmtId="1" fontId="26" fillId="0" borderId="21" xfId="3" applyNumberFormat="1" applyFont="1" applyFill="1" applyBorder="1" applyAlignment="1" applyProtection="1">
      <alignment horizontal="center" vertical="center"/>
      <protection locked="0"/>
    </xf>
    <xf numFmtId="1" fontId="26" fillId="0" borderId="23" xfId="3" applyNumberFormat="1" applyFont="1" applyFill="1" applyBorder="1" applyAlignment="1" applyProtection="1">
      <alignment horizontal="center" vertical="center"/>
      <protection locked="0"/>
    </xf>
    <xf numFmtId="1" fontId="26" fillId="0" borderId="22" xfId="3" applyNumberFormat="1" applyFont="1" applyFill="1" applyBorder="1" applyAlignment="1" applyProtection="1">
      <alignment horizontal="center" vertical="center"/>
      <protection locked="0"/>
    </xf>
    <xf numFmtId="1" fontId="24" fillId="0" borderId="21" xfId="3" applyNumberFormat="1" applyFont="1" applyFill="1" applyBorder="1" applyAlignment="1" applyProtection="1">
      <alignment horizontal="center" vertical="center"/>
      <protection locked="0"/>
    </xf>
    <xf numFmtId="1" fontId="24" fillId="0" borderId="22" xfId="3" applyNumberFormat="1" applyFont="1" applyFill="1" applyBorder="1" applyAlignment="1" applyProtection="1">
      <alignment horizontal="center" vertical="center"/>
      <protection locked="0"/>
    </xf>
    <xf numFmtId="1" fontId="25" fillId="0" borderId="55" xfId="3" applyNumberFormat="1" applyFont="1" applyFill="1" applyBorder="1" applyAlignment="1">
      <alignment horizontal="center" vertical="center"/>
    </xf>
    <xf numFmtId="168" fontId="14" fillId="2" borderId="46" xfId="4" applyNumberFormat="1" applyFont="1" applyFill="1" applyBorder="1" applyAlignment="1">
      <alignment horizontal="center" vertical="center"/>
    </xf>
    <xf numFmtId="1" fontId="19" fillId="6" borderId="57" xfId="3" applyNumberFormat="1" applyFont="1" applyFill="1" applyBorder="1" applyAlignment="1">
      <alignment horizontal="center" vertical="center"/>
    </xf>
    <xf numFmtId="1" fontId="19" fillId="6" borderId="60" xfId="3" applyNumberFormat="1" applyFont="1" applyFill="1" applyBorder="1" applyAlignment="1">
      <alignment horizontal="center" vertical="center"/>
    </xf>
    <xf numFmtId="1" fontId="19" fillId="6" borderId="58" xfId="3" applyNumberFormat="1" applyFont="1" applyFill="1" applyBorder="1" applyAlignment="1">
      <alignment horizontal="center" vertical="center"/>
    </xf>
    <xf numFmtId="0" fontId="19" fillId="6" borderId="59" xfId="3" applyFont="1" applyFill="1" applyBorder="1" applyAlignment="1">
      <alignment horizontal="center" vertical="center"/>
    </xf>
    <xf numFmtId="1" fontId="19" fillId="6" borderId="5" xfId="1" applyNumberFormat="1" applyFont="1" applyFill="1" applyBorder="1" applyAlignment="1">
      <alignment horizontal="center" vertical="center"/>
    </xf>
    <xf numFmtId="1" fontId="24" fillId="9" borderId="49" xfId="3" applyNumberFormat="1" applyFont="1" applyFill="1" applyBorder="1" applyAlignment="1">
      <alignment horizontal="center" vertical="center"/>
    </xf>
    <xf numFmtId="1" fontId="24" fillId="9" borderId="13" xfId="3" applyNumberFormat="1" applyFont="1" applyFill="1" applyBorder="1" applyAlignment="1">
      <alignment horizontal="center" vertical="center"/>
    </xf>
    <xf numFmtId="1" fontId="24" fillId="9" borderId="21" xfId="3" applyNumberFormat="1" applyFont="1" applyFill="1" applyBorder="1" applyAlignment="1">
      <alignment horizontal="center" vertical="center"/>
    </xf>
    <xf numFmtId="1" fontId="24" fillId="9" borderId="23" xfId="3" applyNumberFormat="1" applyFont="1" applyFill="1" applyBorder="1" applyAlignment="1">
      <alignment horizontal="center" vertical="center"/>
    </xf>
    <xf numFmtId="1" fontId="26" fillId="3" borderId="21" xfId="3" applyNumberFormat="1" applyFont="1" applyFill="1" applyBorder="1" applyAlignment="1">
      <alignment horizontal="center" vertical="center"/>
    </xf>
    <xf numFmtId="1" fontId="26" fillId="3" borderId="23" xfId="3" applyNumberFormat="1" applyFont="1" applyFill="1" applyBorder="1" applyAlignment="1">
      <alignment horizontal="center" vertical="center"/>
    </xf>
    <xf numFmtId="1" fontId="26" fillId="9" borderId="21" xfId="3" applyNumberFormat="1" applyFont="1" applyFill="1" applyBorder="1" applyAlignment="1">
      <alignment horizontal="center" vertical="center"/>
    </xf>
    <xf numFmtId="1" fontId="26" fillId="9" borderId="23" xfId="3" applyNumberFormat="1" applyFont="1" applyFill="1" applyBorder="1" applyAlignment="1">
      <alignment horizontal="center" vertical="center"/>
    </xf>
    <xf numFmtId="1" fontId="19" fillId="0" borderId="6" xfId="3" applyNumberFormat="1" applyFont="1" applyFill="1" applyBorder="1" applyAlignment="1">
      <alignment horizontal="center" vertical="center"/>
    </xf>
    <xf numFmtId="1" fontId="19" fillId="0" borderId="55" xfId="3" applyNumberFormat="1" applyFont="1" applyFill="1" applyBorder="1" applyAlignment="1">
      <alignment horizontal="center" vertical="center"/>
    </xf>
    <xf numFmtId="1" fontId="25" fillId="3" borderId="61" xfId="3" applyNumberFormat="1" applyFont="1" applyFill="1" applyBorder="1" applyAlignment="1">
      <alignment horizontal="center" vertical="center"/>
    </xf>
    <xf numFmtId="9" fontId="25" fillId="3" borderId="62" xfId="2" applyFont="1" applyFill="1" applyBorder="1" applyAlignment="1">
      <alignment horizontal="center" vertical="center"/>
    </xf>
    <xf numFmtId="0" fontId="25" fillId="3" borderId="62" xfId="3" applyFont="1" applyFill="1" applyBorder="1" applyAlignment="1">
      <alignment horizontal="center" vertical="center"/>
    </xf>
    <xf numFmtId="1" fontId="19" fillId="3" borderId="63" xfId="1" applyNumberFormat="1" applyFont="1" applyFill="1" applyBorder="1" applyAlignment="1">
      <alignment horizontal="center" vertical="center"/>
    </xf>
    <xf numFmtId="1" fontId="25" fillId="0" borderId="64" xfId="3" applyNumberFormat="1" applyFont="1" applyFill="1" applyBorder="1" applyAlignment="1">
      <alignment horizontal="center" vertical="center"/>
    </xf>
    <xf numFmtId="1" fontId="25" fillId="0" borderId="65" xfId="3" applyNumberFormat="1" applyFont="1" applyFill="1" applyBorder="1" applyAlignment="1">
      <alignment horizontal="center" vertical="center"/>
    </xf>
    <xf numFmtId="0" fontId="19" fillId="6" borderId="66" xfId="3" applyFont="1" applyFill="1" applyBorder="1" applyAlignment="1">
      <alignment horizontal="center" vertical="center"/>
    </xf>
    <xf numFmtId="9" fontId="19" fillId="6" borderId="67" xfId="2" applyFont="1" applyFill="1" applyBorder="1" applyAlignment="1">
      <alignment horizontal="center" vertical="center"/>
    </xf>
    <xf numFmtId="0" fontId="19" fillId="6" borderId="67" xfId="3" applyFont="1" applyFill="1" applyBorder="1" applyAlignment="1">
      <alignment horizontal="center" vertical="center"/>
    </xf>
    <xf numFmtId="1" fontId="19" fillId="6" borderId="68" xfId="1" applyNumberFormat="1" applyFont="1" applyFill="1" applyBorder="1" applyAlignment="1">
      <alignment horizontal="center" vertical="center"/>
    </xf>
    <xf numFmtId="1" fontId="25" fillId="9" borderId="49" xfId="3" applyNumberFormat="1" applyFont="1" applyFill="1" applyBorder="1" applyAlignment="1">
      <alignment horizontal="center" vertical="center"/>
    </xf>
    <xf numFmtId="1" fontId="25" fillId="9" borderId="13" xfId="3" applyNumberFormat="1" applyFont="1" applyFill="1" applyBorder="1" applyAlignment="1">
      <alignment horizontal="center" vertical="center"/>
    </xf>
    <xf numFmtId="1" fontId="25" fillId="9" borderId="21" xfId="3" applyNumberFormat="1" applyFont="1" applyFill="1" applyBorder="1" applyAlignment="1">
      <alignment horizontal="center" vertical="center"/>
    </xf>
    <xf numFmtId="1" fontId="25" fillId="9" borderId="23" xfId="3" applyNumberFormat="1" applyFont="1" applyFill="1" applyBorder="1" applyAlignment="1">
      <alignment horizontal="center" vertical="center"/>
    </xf>
    <xf numFmtId="1" fontId="25" fillId="8" borderId="21" xfId="3" applyNumberFormat="1" applyFont="1" applyFill="1" applyBorder="1" applyAlignment="1" applyProtection="1">
      <alignment horizontal="center" vertical="center"/>
      <protection locked="0"/>
    </xf>
    <xf numFmtId="1" fontId="25" fillId="8" borderId="23" xfId="3" applyNumberFormat="1" applyFont="1" applyFill="1" applyBorder="1" applyAlignment="1" applyProtection="1">
      <alignment horizontal="center" vertical="center"/>
      <protection locked="0"/>
    </xf>
    <xf numFmtId="1" fontId="24" fillId="3" borderId="22" xfId="3" applyNumberFormat="1" applyFont="1" applyFill="1" applyBorder="1" applyAlignment="1">
      <alignment horizontal="center" vertical="center"/>
    </xf>
    <xf numFmtId="168" fontId="21" fillId="2" borderId="46" xfId="4" applyNumberFormat="1" applyFont="1" applyFill="1" applyBorder="1" applyAlignment="1">
      <alignment horizontal="center" vertical="center"/>
    </xf>
    <xf numFmtId="1" fontId="18" fillId="6" borderId="57" xfId="3" applyNumberFormat="1" applyFont="1" applyFill="1" applyBorder="1" applyAlignment="1">
      <alignment horizontal="center" vertical="center"/>
    </xf>
    <xf numFmtId="1" fontId="18" fillId="6" borderId="60" xfId="3" applyNumberFormat="1" applyFont="1" applyFill="1" applyBorder="1" applyAlignment="1">
      <alignment horizontal="center" vertical="center"/>
    </xf>
    <xf numFmtId="1" fontId="25" fillId="6" borderId="60" xfId="3" applyNumberFormat="1" applyFont="1" applyFill="1" applyBorder="1" applyAlignment="1">
      <alignment horizontal="center" vertical="center"/>
    </xf>
    <xf numFmtId="0" fontId="18" fillId="0" borderId="38" xfId="3" applyFont="1" applyFill="1" applyBorder="1" applyAlignment="1" applyProtection="1">
      <alignment vertical="center"/>
      <protection locked="0"/>
    </xf>
    <xf numFmtId="0" fontId="15" fillId="0" borderId="38" xfId="3" applyFont="1" applyFill="1" applyBorder="1" applyAlignment="1" applyProtection="1">
      <alignment horizontal="center" vertical="center"/>
      <protection locked="0"/>
    </xf>
    <xf numFmtId="16" fontId="28" fillId="0" borderId="38" xfId="3" applyNumberFormat="1" applyFont="1" applyFill="1" applyBorder="1" applyAlignment="1" applyProtection="1">
      <alignment horizontal="center" vertical="center"/>
      <protection locked="0"/>
    </xf>
    <xf numFmtId="0" fontId="19" fillId="3" borderId="52" xfId="3" applyFont="1" applyFill="1" applyBorder="1" applyAlignment="1">
      <alignment horizontal="center" vertical="center"/>
    </xf>
    <xf numFmtId="166" fontId="19" fillId="3" borderId="9" xfId="3" applyNumberFormat="1" applyFont="1" applyFill="1" applyBorder="1" applyAlignment="1">
      <alignment horizontal="center" vertical="center"/>
    </xf>
    <xf numFmtId="16" fontId="15" fillId="0" borderId="38" xfId="3" applyNumberFormat="1" applyFont="1" applyFill="1" applyBorder="1" applyAlignment="1" applyProtection="1">
      <alignment horizontal="center" vertical="center"/>
      <protection locked="0"/>
    </xf>
    <xf numFmtId="0" fontId="21" fillId="10" borderId="48" xfId="3" applyFont="1" applyFill="1" applyBorder="1" applyAlignment="1">
      <alignment horizontal="center" vertical="center"/>
    </xf>
    <xf numFmtId="1" fontId="25" fillId="10" borderId="49" xfId="3" applyNumberFormat="1" applyFont="1" applyFill="1" applyBorder="1" applyAlignment="1" applyProtection="1">
      <alignment horizontal="center" vertical="center"/>
      <protection locked="0"/>
    </xf>
    <xf numFmtId="1" fontId="25" fillId="10" borderId="13" xfId="3" applyNumberFormat="1" applyFont="1" applyFill="1" applyBorder="1" applyAlignment="1" applyProtection="1">
      <alignment horizontal="center" vertical="center"/>
      <protection locked="0"/>
    </xf>
    <xf numFmtId="0" fontId="5" fillId="10" borderId="9" xfId="3" applyFont="1" applyFill="1" applyBorder="1" applyAlignment="1">
      <alignment horizontal="center" vertical="center"/>
    </xf>
    <xf numFmtId="0" fontId="21" fillId="7" borderId="9" xfId="3" applyFont="1" applyFill="1" applyBorder="1" applyAlignment="1">
      <alignment horizontal="center" vertical="center"/>
    </xf>
    <xf numFmtId="1" fontId="25" fillId="7" borderId="21" xfId="3" applyNumberFormat="1" applyFont="1" applyFill="1" applyBorder="1" applyAlignment="1" applyProtection="1">
      <alignment horizontal="center" vertical="center"/>
      <protection locked="0"/>
    </xf>
    <xf numFmtId="1" fontId="25" fillId="7" borderId="23" xfId="3" applyNumberFormat="1" applyFont="1" applyFill="1" applyBorder="1" applyAlignment="1" applyProtection="1">
      <alignment horizontal="center" vertical="center"/>
      <protection locked="0"/>
    </xf>
    <xf numFmtId="0" fontId="25" fillId="0" borderId="69" xfId="3" applyFont="1" applyFill="1" applyBorder="1" applyAlignment="1">
      <alignment horizontal="center" vertical="center"/>
    </xf>
    <xf numFmtId="9" fontId="25" fillId="0" borderId="75" xfId="2" applyFont="1" applyFill="1" applyBorder="1" applyAlignment="1">
      <alignment horizontal="center" vertical="center"/>
    </xf>
    <xf numFmtId="0" fontId="25" fillId="0" borderId="75" xfId="3" applyFont="1" applyFill="1" applyBorder="1" applyAlignment="1">
      <alignment horizontal="center" vertical="center"/>
    </xf>
    <xf numFmtId="9" fontId="25" fillId="0" borderId="71" xfId="2" applyFont="1" applyFill="1" applyBorder="1" applyAlignment="1">
      <alignment horizontal="center" vertical="center"/>
    </xf>
    <xf numFmtId="0" fontId="19" fillId="0" borderId="75" xfId="3" applyFont="1" applyFill="1" applyBorder="1" applyAlignment="1">
      <alignment horizontal="center" vertical="center"/>
    </xf>
    <xf numFmtId="1" fontId="19" fillId="6" borderId="21" xfId="3" applyNumberFormat="1" applyFont="1" applyFill="1" applyBorder="1" applyAlignment="1">
      <alignment horizontal="center" vertical="center"/>
    </xf>
    <xf numFmtId="1" fontId="19" fillId="6" borderId="23" xfId="3" applyNumberFormat="1" applyFont="1" applyFill="1" applyBorder="1" applyAlignment="1">
      <alignment horizontal="center" vertical="center"/>
    </xf>
    <xf numFmtId="0" fontId="19" fillId="6" borderId="52" xfId="3" applyFont="1" applyFill="1" applyBorder="1" applyAlignment="1">
      <alignment horizontal="center" vertical="center"/>
    </xf>
    <xf numFmtId="9" fontId="19" fillId="6" borderId="9" xfId="2" applyFont="1" applyFill="1" applyBorder="1" applyAlignment="1">
      <alignment horizontal="center" vertical="center"/>
    </xf>
    <xf numFmtId="0" fontId="19" fillId="6" borderId="9" xfId="3" applyFont="1" applyFill="1" applyBorder="1" applyAlignment="1">
      <alignment horizontal="center" vertical="center"/>
    </xf>
    <xf numFmtId="166" fontId="19" fillId="6" borderId="9" xfId="3" applyNumberFormat="1" applyFont="1" applyFill="1" applyBorder="1" applyAlignment="1">
      <alignment horizontal="center" vertical="center"/>
    </xf>
    <xf numFmtId="1" fontId="19" fillId="6" borderId="9" xfId="3" applyNumberFormat="1" applyFont="1" applyFill="1" applyBorder="1" applyAlignment="1">
      <alignment horizontal="center" vertical="center"/>
    </xf>
    <xf numFmtId="1" fontId="19" fillId="0" borderId="72" xfId="3" applyNumberFormat="1" applyFont="1" applyFill="1" applyBorder="1" applyAlignment="1">
      <alignment horizontal="center" vertical="center"/>
    </xf>
    <xf numFmtId="9" fontId="19" fillId="0" borderId="76" xfId="2" applyFont="1" applyFill="1" applyBorder="1" applyAlignment="1">
      <alignment horizontal="center" vertical="center"/>
    </xf>
    <xf numFmtId="0" fontId="19" fillId="0" borderId="76" xfId="3" applyFont="1" applyFill="1" applyBorder="1" applyAlignment="1">
      <alignment horizontal="center" vertical="center"/>
    </xf>
    <xf numFmtId="1" fontId="25" fillId="3" borderId="21" xfId="3" applyNumberFormat="1" applyFont="1" applyFill="1" applyBorder="1" applyAlignment="1" applyProtection="1">
      <alignment horizontal="center" vertical="center"/>
      <protection locked="0"/>
    </xf>
    <xf numFmtId="1" fontId="25" fillId="3" borderId="23" xfId="3" applyNumberFormat="1" applyFont="1" applyFill="1" applyBorder="1" applyAlignment="1" applyProtection="1">
      <alignment horizontal="center" vertical="center"/>
      <protection locked="0"/>
    </xf>
    <xf numFmtId="1" fontId="19" fillId="3" borderId="53" xfId="3" applyNumberFormat="1" applyFont="1" applyFill="1" applyBorder="1" applyAlignment="1">
      <alignment horizontal="center" vertical="center"/>
    </xf>
    <xf numFmtId="9" fontId="25" fillId="3" borderId="6" xfId="2" applyFont="1" applyFill="1" applyBorder="1" applyAlignment="1">
      <alignment horizontal="center" vertical="center"/>
    </xf>
    <xf numFmtId="1" fontId="19" fillId="3" borderId="6" xfId="3" applyNumberFormat="1" applyFont="1" applyFill="1" applyBorder="1" applyAlignment="1">
      <alignment horizontal="center" vertical="center"/>
    </xf>
    <xf numFmtId="166" fontId="19" fillId="3" borderId="6" xfId="3" applyNumberFormat="1" applyFont="1" applyFill="1" applyBorder="1" applyAlignment="1">
      <alignment horizontal="center" vertical="center"/>
    </xf>
    <xf numFmtId="0" fontId="19" fillId="0" borderId="26" xfId="3" applyFont="1" applyFill="1" applyBorder="1" applyAlignment="1">
      <alignment horizontal="center" vertical="center"/>
    </xf>
    <xf numFmtId="0" fontId="19" fillId="0" borderId="26" xfId="3" applyNumberFormat="1" applyFont="1" applyFill="1" applyBorder="1" applyAlignment="1">
      <alignment horizontal="center" vertical="center"/>
    </xf>
    <xf numFmtId="1" fontId="30" fillId="10" borderId="40" xfId="3" applyNumberFormat="1" applyFont="1" applyFill="1" applyBorder="1" applyAlignment="1">
      <alignment horizontal="center" vertical="center"/>
    </xf>
    <xf numFmtId="1" fontId="30" fillId="10" borderId="41" xfId="3" applyNumberFormat="1" applyFont="1" applyFill="1" applyBorder="1" applyAlignment="1">
      <alignment horizontal="center" vertical="center"/>
    </xf>
    <xf numFmtId="1" fontId="25" fillId="10" borderId="40" xfId="3" applyNumberFormat="1" applyFont="1" applyFill="1" applyBorder="1" applyAlignment="1">
      <alignment horizontal="center" vertical="center"/>
    </xf>
    <xf numFmtId="1" fontId="25" fillId="10" borderId="41" xfId="3" applyNumberFormat="1" applyFont="1" applyFill="1" applyBorder="1" applyAlignment="1">
      <alignment horizontal="center" vertical="center"/>
    </xf>
    <xf numFmtId="1" fontId="25" fillId="10" borderId="32" xfId="3" applyNumberFormat="1" applyFont="1" applyFill="1" applyBorder="1" applyAlignment="1">
      <alignment horizontal="center" vertical="center"/>
    </xf>
    <xf numFmtId="0" fontId="19" fillId="10" borderId="42" xfId="3" quotePrefix="1" applyFont="1" applyFill="1" applyBorder="1" applyAlignment="1">
      <alignment horizontal="center" vertical="center"/>
    </xf>
    <xf numFmtId="9" fontId="19" fillId="10" borderId="39" xfId="3" applyNumberFormat="1" applyFont="1" applyFill="1" applyBorder="1" applyAlignment="1">
      <alignment horizontal="center" vertical="center"/>
    </xf>
    <xf numFmtId="0" fontId="19" fillId="10" borderId="39" xfId="3" applyFont="1" applyFill="1" applyBorder="1" applyAlignment="1">
      <alignment horizontal="center" vertical="center"/>
    </xf>
    <xf numFmtId="1" fontId="19" fillId="10" borderId="43" xfId="3" applyNumberFormat="1" applyFont="1" applyFill="1" applyBorder="1" applyAlignment="1">
      <alignment horizontal="center" vertical="center"/>
    </xf>
    <xf numFmtId="9" fontId="30" fillId="0" borderId="0" xfId="3" applyNumberFormat="1" applyFont="1" applyFill="1" applyBorder="1" applyAlignment="1">
      <alignment horizontal="center" vertical="center"/>
    </xf>
    <xf numFmtId="0" fontId="31" fillId="12" borderId="59" xfId="3" applyFont="1" applyFill="1" applyBorder="1" applyAlignment="1">
      <alignment horizontal="center" vertical="center"/>
    </xf>
    <xf numFmtId="1" fontId="31" fillId="12" borderId="59" xfId="3" applyNumberFormat="1" applyFont="1" applyFill="1" applyBorder="1" applyAlignment="1">
      <alignment horizontal="center" vertical="center"/>
    </xf>
    <xf numFmtId="1" fontId="31" fillId="12" borderId="45" xfId="3" applyNumberFormat="1" applyFont="1" applyFill="1" applyBorder="1" applyAlignment="1">
      <alignment horizontal="center" vertical="center"/>
    </xf>
    <xf numFmtId="0" fontId="32" fillId="0" borderId="0" xfId="0" applyFont="1" applyFill="1"/>
    <xf numFmtId="1" fontId="25" fillId="10" borderId="77" xfId="3" applyNumberFormat="1" applyFont="1" applyFill="1" applyBorder="1" applyAlignment="1">
      <alignment horizontal="center" vertical="center"/>
    </xf>
    <xf numFmtId="1" fontId="25" fillId="10" borderId="3" xfId="3" applyNumberFormat="1" applyFont="1" applyFill="1" applyBorder="1" applyAlignment="1">
      <alignment horizontal="center" vertical="center"/>
    </xf>
    <xf numFmtId="1" fontId="30" fillId="10" borderId="3" xfId="3" applyNumberFormat="1" applyFont="1" applyFill="1" applyBorder="1" applyAlignment="1">
      <alignment horizontal="center" vertical="center"/>
    </xf>
    <xf numFmtId="1" fontId="25" fillId="10" borderId="2" xfId="3" applyNumberFormat="1" applyFont="1" applyFill="1" applyBorder="1" applyAlignment="1">
      <alignment horizontal="center" vertical="center"/>
    </xf>
    <xf numFmtId="1" fontId="25" fillId="10" borderId="5" xfId="3" applyNumberFormat="1" applyFont="1" applyFill="1" applyBorder="1" applyAlignment="1">
      <alignment horizontal="center" vertical="center"/>
    </xf>
    <xf numFmtId="1" fontId="25" fillId="10" borderId="44" xfId="3" applyNumberFormat="1" applyFont="1" applyFill="1" applyBorder="1" applyAlignment="1">
      <alignment horizontal="center" vertical="center"/>
    </xf>
    <xf numFmtId="0" fontId="19" fillId="0" borderId="32" xfId="3" quotePrefix="1" applyFont="1" applyFill="1" applyBorder="1" applyAlignment="1">
      <alignment horizontal="center" vertical="center"/>
    </xf>
    <xf numFmtId="0" fontId="30" fillId="0" borderId="0" xfId="2" applyNumberFormat="1" applyFont="1" applyFill="1" applyBorder="1" applyAlignment="1">
      <alignment horizontal="center" vertical="center"/>
    </xf>
    <xf numFmtId="9" fontId="19" fillId="0" borderId="32" xfId="3" applyNumberFormat="1" applyFont="1" applyFill="1" applyBorder="1" applyAlignment="1">
      <alignment horizontal="center" vertical="center"/>
    </xf>
    <xf numFmtId="0" fontId="19" fillId="0" borderId="32" xfId="3" applyFont="1" applyFill="1" applyBorder="1" applyAlignment="1">
      <alignment horizontal="center" vertical="center"/>
    </xf>
    <xf numFmtId="0" fontId="19" fillId="0" borderId="32" xfId="3" applyNumberFormat="1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horizontal="center" vertical="center"/>
    </xf>
    <xf numFmtId="0" fontId="30" fillId="0" borderId="0" xfId="3" applyFont="1" applyFill="1" applyBorder="1" applyAlignment="1">
      <alignment horizontal="center" vertical="center"/>
    </xf>
    <xf numFmtId="1" fontId="25" fillId="0" borderId="0" xfId="3" applyNumberFormat="1" applyFont="1" applyFill="1" applyBorder="1" applyAlignment="1">
      <alignment horizontal="center" vertical="center"/>
    </xf>
    <xf numFmtId="1" fontId="30" fillId="0" borderId="0" xfId="3" applyNumberFormat="1" applyFont="1" applyFill="1" applyBorder="1" applyAlignment="1">
      <alignment horizontal="center" vertical="center"/>
    </xf>
    <xf numFmtId="1" fontId="19" fillId="0" borderId="0" xfId="3" applyNumberFormat="1" applyFont="1" applyFill="1" applyBorder="1" applyAlignment="1">
      <alignment horizontal="center" vertical="center"/>
    </xf>
    <xf numFmtId="9" fontId="19" fillId="0" borderId="0" xfId="2" applyFont="1" applyFill="1" applyBorder="1" applyAlignment="1">
      <alignment horizontal="center" vertical="center"/>
    </xf>
    <xf numFmtId="166" fontId="19" fillId="0" borderId="0" xfId="3" applyNumberFormat="1" applyFont="1" applyFill="1" applyBorder="1" applyAlignment="1">
      <alignment horizontal="center" vertical="center"/>
    </xf>
    <xf numFmtId="0" fontId="19" fillId="0" borderId="0" xfId="3" quotePrefix="1" applyFont="1" applyFill="1" applyBorder="1" applyAlignment="1">
      <alignment horizontal="center" vertical="center"/>
    </xf>
    <xf numFmtId="9" fontId="19" fillId="0" borderId="0" xfId="3" applyNumberFormat="1" applyFont="1" applyFill="1" applyBorder="1" applyAlignment="1">
      <alignment horizontal="center" vertical="center"/>
    </xf>
    <xf numFmtId="0" fontId="19" fillId="0" borderId="0" xfId="3" applyFont="1" applyFill="1" applyBorder="1" applyAlignment="1">
      <alignment horizontal="center" vertical="center"/>
    </xf>
    <xf numFmtId="0" fontId="19" fillId="0" borderId="0" xfId="3" applyNumberFormat="1" applyFont="1" applyFill="1" applyBorder="1" applyAlignment="1">
      <alignment horizontal="center" vertical="center"/>
    </xf>
    <xf numFmtId="0" fontId="21" fillId="0" borderId="32" xfId="3" applyFont="1" applyFill="1" applyBorder="1" applyAlignment="1">
      <alignment horizontal="center" vertical="center"/>
    </xf>
    <xf numFmtId="0" fontId="31" fillId="12" borderId="0" xfId="3" applyFont="1" applyFill="1" applyBorder="1" applyAlignment="1">
      <alignment horizontal="center" vertical="center"/>
    </xf>
    <xf numFmtId="0" fontId="21" fillId="0" borderId="26" xfId="3" applyFont="1" applyFill="1" applyBorder="1" applyAlignment="1">
      <alignment horizontal="center" vertical="center"/>
    </xf>
    <xf numFmtId="0" fontId="31" fillId="0" borderId="32" xfId="3" applyFont="1" applyFill="1" applyBorder="1" applyAlignment="1">
      <alignment horizontal="center" vertical="center"/>
    </xf>
    <xf numFmtId="0" fontId="32" fillId="0" borderId="0" xfId="0" applyFont="1" applyFill="1" applyBorder="1"/>
    <xf numFmtId="0" fontId="22" fillId="3" borderId="10" xfId="3" applyFont="1" applyFill="1" applyBorder="1" applyAlignment="1">
      <alignment vertical="center"/>
    </xf>
    <xf numFmtId="0" fontId="21" fillId="7" borderId="14" xfId="3" applyFont="1" applyFill="1" applyBorder="1" applyAlignment="1">
      <alignment horizontal="center" vertical="center"/>
    </xf>
    <xf numFmtId="1" fontId="24" fillId="7" borderId="82" xfId="3" applyNumberFormat="1" applyFont="1" applyFill="1" applyBorder="1" applyAlignment="1" applyProtection="1">
      <alignment horizontal="center" vertical="center"/>
      <protection locked="0"/>
    </xf>
    <xf numFmtId="1" fontId="24" fillId="7" borderId="17" xfId="3" applyNumberFormat="1" applyFont="1" applyFill="1" applyBorder="1" applyAlignment="1" applyProtection="1">
      <alignment horizontal="center" vertical="center"/>
      <protection locked="0"/>
    </xf>
    <xf numFmtId="1" fontId="25" fillId="7" borderId="82" xfId="3" applyNumberFormat="1" applyFont="1" applyFill="1" applyBorder="1" applyAlignment="1" applyProtection="1">
      <alignment horizontal="center" vertical="center"/>
      <protection locked="0"/>
    </xf>
    <xf numFmtId="1" fontId="25" fillId="7" borderId="17" xfId="3" applyNumberFormat="1" applyFont="1" applyFill="1" applyBorder="1" applyAlignment="1" applyProtection="1">
      <alignment horizontal="center" vertical="center"/>
      <protection locked="0"/>
    </xf>
    <xf numFmtId="1" fontId="33" fillId="9" borderId="82" xfId="3" applyNumberFormat="1" applyFont="1" applyFill="1" applyBorder="1" applyAlignment="1">
      <alignment horizontal="center" vertical="center"/>
    </xf>
    <xf numFmtId="1" fontId="33" fillId="9" borderId="17" xfId="3" applyNumberFormat="1" applyFont="1" applyFill="1" applyBorder="1" applyAlignment="1">
      <alignment horizontal="center" vertical="center"/>
    </xf>
    <xf numFmtId="1" fontId="33" fillId="9" borderId="83" xfId="3" applyNumberFormat="1" applyFont="1" applyFill="1" applyBorder="1" applyAlignment="1">
      <alignment horizontal="center" vertical="center"/>
    </xf>
    <xf numFmtId="1" fontId="24" fillId="5" borderId="84" xfId="3" applyNumberFormat="1" applyFont="1" applyFill="1" applyBorder="1" applyAlignment="1">
      <alignment horizontal="center" vertical="center"/>
    </xf>
    <xf numFmtId="1" fontId="34" fillId="7" borderId="82" xfId="3" applyNumberFormat="1" applyFont="1" applyFill="1" applyBorder="1" applyAlignment="1" applyProtection="1">
      <alignment horizontal="center" vertical="center"/>
      <protection locked="0"/>
    </xf>
    <xf numFmtId="1" fontId="34" fillId="7" borderId="17" xfId="3" applyNumberFormat="1" applyFont="1" applyFill="1" applyBorder="1" applyAlignment="1" applyProtection="1">
      <alignment horizontal="center" vertical="center"/>
      <protection locked="0"/>
    </xf>
    <xf numFmtId="1" fontId="33" fillId="9" borderId="21" xfId="3" applyNumberFormat="1" applyFont="1" applyFill="1" applyBorder="1" applyAlignment="1">
      <alignment horizontal="center" vertical="center"/>
    </xf>
    <xf numFmtId="1" fontId="33" fillId="9" borderId="23" xfId="3" applyNumberFormat="1" applyFont="1" applyFill="1" applyBorder="1" applyAlignment="1">
      <alignment horizontal="center" vertical="center"/>
    </xf>
    <xf numFmtId="1" fontId="33" fillId="9" borderId="85" xfId="3" applyNumberFormat="1" applyFont="1" applyFill="1" applyBorder="1" applyAlignment="1">
      <alignment horizontal="center" vertical="center"/>
    </xf>
    <xf numFmtId="1" fontId="24" fillId="5" borderId="86" xfId="3" applyNumberFormat="1" applyFont="1" applyFill="1" applyBorder="1" applyAlignment="1">
      <alignment horizontal="center" vertical="center"/>
    </xf>
    <xf numFmtId="1" fontId="34" fillId="8" borderId="21" xfId="3" applyNumberFormat="1" applyFont="1" applyFill="1" applyBorder="1" applyAlignment="1" applyProtection="1">
      <alignment horizontal="center" vertical="center"/>
      <protection locked="0"/>
    </xf>
    <xf numFmtId="1" fontId="34" fillId="8" borderId="23" xfId="3" applyNumberFormat="1" applyFont="1" applyFill="1" applyBorder="1" applyAlignment="1" applyProtection="1">
      <alignment horizontal="center" vertical="center"/>
      <protection locked="0"/>
    </xf>
    <xf numFmtId="1" fontId="27" fillId="3" borderId="85" xfId="3" applyNumberFormat="1" applyFont="1" applyFill="1" applyBorder="1" applyAlignment="1">
      <alignment horizontal="center" vertical="center"/>
    </xf>
    <xf numFmtId="1" fontId="27" fillId="3" borderId="86" xfId="3" applyNumberFormat="1" applyFont="1" applyFill="1" applyBorder="1" applyAlignment="1">
      <alignment horizontal="center" vertical="center"/>
    </xf>
    <xf numFmtId="0" fontId="25" fillId="3" borderId="52" xfId="3" applyFont="1" applyFill="1" applyBorder="1" applyAlignment="1">
      <alignment horizontal="center" vertical="center"/>
    </xf>
    <xf numFmtId="1" fontId="24" fillId="0" borderId="23" xfId="3" applyNumberFormat="1" applyFont="1" applyFill="1" applyBorder="1" applyAlignment="1" applyProtection="1">
      <alignment horizontal="center" vertical="center"/>
      <protection locked="0"/>
    </xf>
    <xf numFmtId="1" fontId="26" fillId="9" borderId="85" xfId="3" applyNumberFormat="1" applyFont="1" applyFill="1" applyBorder="1" applyAlignment="1">
      <alignment horizontal="center" vertical="center"/>
    </xf>
    <xf numFmtId="1" fontId="25" fillId="0" borderId="21" xfId="3" applyNumberFormat="1" applyFont="1" applyFill="1" applyBorder="1" applyAlignment="1" applyProtection="1">
      <alignment horizontal="center" vertical="center"/>
      <protection locked="0"/>
    </xf>
    <xf numFmtId="1" fontId="25" fillId="0" borderId="23" xfId="3" applyNumberFormat="1" applyFont="1" applyFill="1" applyBorder="1" applyAlignment="1" applyProtection="1">
      <alignment horizontal="center" vertical="center"/>
      <protection locked="0"/>
    </xf>
    <xf numFmtId="1" fontId="34" fillId="0" borderId="21" xfId="3" applyNumberFormat="1" applyFont="1" applyFill="1" applyBorder="1" applyAlignment="1" applyProtection="1">
      <alignment horizontal="center" vertical="center"/>
      <protection locked="0"/>
    </xf>
    <xf numFmtId="1" fontId="34" fillId="0" borderId="23" xfId="3" applyNumberFormat="1" applyFont="1" applyFill="1" applyBorder="1" applyAlignment="1" applyProtection="1">
      <alignment horizontal="center" vertical="center"/>
      <protection locked="0"/>
    </xf>
    <xf numFmtId="1" fontId="19" fillId="6" borderId="87" xfId="3" applyNumberFormat="1" applyFont="1" applyFill="1" applyBorder="1" applyAlignment="1">
      <alignment horizontal="center" vertical="center"/>
    </xf>
    <xf numFmtId="1" fontId="19" fillId="6" borderId="88" xfId="3" applyNumberFormat="1" applyFont="1" applyFill="1" applyBorder="1" applyAlignment="1">
      <alignment horizontal="center" vertical="center"/>
    </xf>
    <xf numFmtId="1" fontId="24" fillId="9" borderId="89" xfId="3" applyNumberFormat="1" applyFont="1" applyFill="1" applyBorder="1" applyAlignment="1">
      <alignment horizontal="center" vertical="center"/>
    </xf>
    <xf numFmtId="1" fontId="24" fillId="9" borderId="84" xfId="3" applyNumberFormat="1" applyFont="1" applyFill="1" applyBorder="1" applyAlignment="1">
      <alignment horizontal="center" vertical="center"/>
    </xf>
    <xf numFmtId="1" fontId="25" fillId="7" borderId="49" xfId="3" applyNumberFormat="1" applyFont="1" applyFill="1" applyBorder="1" applyAlignment="1" applyProtection="1">
      <alignment horizontal="center" vertical="center"/>
      <protection locked="0"/>
    </xf>
    <xf numFmtId="1" fontId="25" fillId="7" borderId="13" xfId="3" applyNumberFormat="1" applyFont="1" applyFill="1" applyBorder="1" applyAlignment="1" applyProtection="1">
      <alignment horizontal="center" vertical="center"/>
      <protection locked="0"/>
    </xf>
    <xf numFmtId="1" fontId="24" fillId="9" borderId="85" xfId="3" applyNumberFormat="1" applyFont="1" applyFill="1" applyBorder="1" applyAlignment="1">
      <alignment horizontal="center" vertical="center"/>
    </xf>
    <xf numFmtId="1" fontId="24" fillId="9" borderId="86" xfId="3" applyNumberFormat="1" applyFont="1" applyFill="1" applyBorder="1" applyAlignment="1">
      <alignment horizontal="center" vertical="center"/>
    </xf>
    <xf numFmtId="0" fontId="28" fillId="0" borderId="0" xfId="2" applyNumberFormat="1" applyFont="1" applyFill="1" applyBorder="1" applyAlignment="1">
      <alignment horizontal="center" vertical="center"/>
    </xf>
    <xf numFmtId="0" fontId="36" fillId="0" borderId="0" xfId="2" applyNumberFormat="1" applyFont="1" applyFill="1" applyBorder="1" applyAlignment="1">
      <alignment horizontal="center" vertical="center"/>
    </xf>
    <xf numFmtId="1" fontId="25" fillId="3" borderId="62" xfId="3" applyNumberFormat="1" applyFont="1" applyFill="1" applyBorder="1" applyAlignment="1">
      <alignment horizontal="center" vertical="center"/>
    </xf>
    <xf numFmtId="1" fontId="19" fillId="6" borderId="66" xfId="3" applyNumberFormat="1" applyFont="1" applyFill="1" applyBorder="1" applyAlignment="1">
      <alignment horizontal="center" vertical="center"/>
    </xf>
    <xf numFmtId="1" fontId="19" fillId="6" borderId="67" xfId="3" applyNumberFormat="1" applyFont="1" applyFill="1" applyBorder="1" applyAlignment="1">
      <alignment horizontal="center" vertical="center"/>
    </xf>
    <xf numFmtId="0" fontId="35" fillId="3" borderId="10" xfId="3" applyFont="1" applyFill="1" applyBorder="1" applyAlignment="1">
      <alignment vertical="center" textRotation="255"/>
    </xf>
    <xf numFmtId="1" fontId="24" fillId="7" borderId="89" xfId="3" applyNumberFormat="1" applyFont="1" applyFill="1" applyBorder="1" applyAlignment="1" applyProtection="1">
      <alignment horizontal="center" vertical="center"/>
      <protection locked="0"/>
    </xf>
    <xf numFmtId="1" fontId="24" fillId="7" borderId="84" xfId="3" applyNumberFormat="1" applyFont="1" applyFill="1" applyBorder="1" applyAlignment="1" applyProtection="1">
      <alignment horizontal="center" vertical="center"/>
      <protection locked="0"/>
    </xf>
    <xf numFmtId="9" fontId="5" fillId="0" borderId="0" xfId="2" applyFont="1" applyFill="1" applyBorder="1" applyAlignment="1">
      <alignment horizontal="center" vertical="center"/>
    </xf>
    <xf numFmtId="0" fontId="35" fillId="3" borderId="10" xfId="3" applyFont="1" applyFill="1" applyBorder="1" applyAlignment="1">
      <alignment vertical="center"/>
    </xf>
    <xf numFmtId="1" fontId="24" fillId="8" borderId="85" xfId="3" applyNumberFormat="1" applyFont="1" applyFill="1" applyBorder="1" applyAlignment="1" applyProtection="1">
      <alignment horizontal="center" vertical="center"/>
      <protection locked="0"/>
    </xf>
    <xf numFmtId="1" fontId="24" fillId="8" borderId="86" xfId="3" applyNumberFormat="1" applyFont="1" applyFill="1" applyBorder="1" applyAlignment="1" applyProtection="1">
      <alignment horizontal="center" vertical="center"/>
      <protection locked="0"/>
    </xf>
    <xf numFmtId="1" fontId="19" fillId="3" borderId="85" xfId="3" applyNumberFormat="1" applyFont="1" applyFill="1" applyBorder="1" applyAlignment="1">
      <alignment horizontal="center" vertical="center"/>
    </xf>
    <xf numFmtId="1" fontId="19" fillId="3" borderId="86" xfId="3" applyNumberFormat="1" applyFont="1" applyFill="1" applyBorder="1" applyAlignment="1">
      <alignment horizontal="center" vertical="center"/>
    </xf>
    <xf numFmtId="1" fontId="24" fillId="0" borderId="21" xfId="3" applyNumberFormat="1" applyFont="1" applyFill="1" applyBorder="1" applyAlignment="1">
      <alignment horizontal="center" vertical="center"/>
    </xf>
    <xf numFmtId="1" fontId="24" fillId="0" borderId="85" xfId="3" applyNumberFormat="1" applyFont="1" applyFill="1" applyBorder="1" applyAlignment="1">
      <alignment horizontal="center" vertical="center"/>
    </xf>
    <xf numFmtId="1" fontId="37" fillId="0" borderId="86" xfId="3" applyNumberFormat="1" applyFont="1" applyFill="1" applyBorder="1" applyAlignment="1" applyProtection="1">
      <alignment horizontal="center" vertical="center"/>
      <protection locked="0"/>
    </xf>
    <xf numFmtId="1" fontId="37" fillId="0" borderId="23" xfId="3" applyNumberFormat="1" applyFont="1" applyFill="1" applyBorder="1" applyAlignment="1" applyProtection="1">
      <alignment horizontal="center" vertical="center"/>
      <protection locked="0"/>
    </xf>
    <xf numFmtId="1" fontId="24" fillId="0" borderId="23" xfId="3" applyNumberFormat="1" applyFont="1" applyFill="1" applyBorder="1" applyAlignment="1">
      <alignment horizontal="center" vertical="center"/>
    </xf>
    <xf numFmtId="1" fontId="25" fillId="6" borderId="87" xfId="3" applyNumberFormat="1" applyFont="1" applyFill="1" applyBorder="1" applyAlignment="1">
      <alignment horizontal="center" vertical="center"/>
    </xf>
    <xf numFmtId="1" fontId="25" fillId="6" borderId="88" xfId="3" applyNumberFormat="1" applyFont="1" applyFill="1" applyBorder="1" applyAlignment="1">
      <alignment horizontal="center" vertical="center"/>
    </xf>
    <xf numFmtId="1" fontId="26" fillId="0" borderId="85" xfId="3" applyNumberFormat="1" applyFont="1" applyFill="1" applyBorder="1" applyAlignment="1" applyProtection="1">
      <alignment horizontal="center" vertical="center"/>
      <protection locked="0"/>
    </xf>
    <xf numFmtId="1" fontId="26" fillId="0" borderId="86" xfId="3" applyNumberFormat="1" applyFont="1" applyFill="1" applyBorder="1" applyAlignment="1" applyProtection="1">
      <alignment horizontal="center" vertical="center"/>
      <protection locked="0"/>
    </xf>
    <xf numFmtId="0" fontId="19" fillId="6" borderId="42" xfId="3" applyFont="1" applyFill="1" applyBorder="1" applyAlignment="1">
      <alignment horizontal="center" vertical="center"/>
    </xf>
    <xf numFmtId="9" fontId="19" fillId="6" borderId="39" xfId="2" applyFont="1" applyFill="1" applyBorder="1" applyAlignment="1">
      <alignment horizontal="center" vertical="center"/>
    </xf>
    <xf numFmtId="0" fontId="19" fillId="6" borderId="39" xfId="3" applyFont="1" applyFill="1" applyBorder="1" applyAlignment="1">
      <alignment horizontal="center" vertical="center"/>
    </xf>
    <xf numFmtId="1" fontId="19" fillId="6" borderId="43" xfId="1" applyNumberFormat="1" applyFont="1" applyFill="1" applyBorder="1" applyAlignment="1">
      <alignment horizontal="center" vertical="center"/>
    </xf>
    <xf numFmtId="1" fontId="25" fillId="3" borderId="85" xfId="3" applyNumberFormat="1" applyFont="1" applyFill="1" applyBorder="1" applyAlignment="1">
      <alignment horizontal="center" vertical="center"/>
    </xf>
    <xf numFmtId="1" fontId="25" fillId="3" borderId="86" xfId="3" applyNumberFormat="1" applyFont="1" applyFill="1" applyBorder="1" applyAlignment="1">
      <alignment horizontal="center" vertical="center"/>
    </xf>
    <xf numFmtId="0" fontId="19" fillId="3" borderId="93" xfId="3" applyFont="1" applyFill="1" applyBorder="1" applyAlignment="1">
      <alignment horizontal="center" vertical="center"/>
    </xf>
    <xf numFmtId="1" fontId="19" fillId="3" borderId="94" xfId="1" applyNumberFormat="1" applyFont="1" applyFill="1" applyBorder="1" applyAlignment="1">
      <alignment horizontal="center" vertical="center"/>
    </xf>
    <xf numFmtId="1" fontId="25" fillId="0" borderId="95" xfId="3" applyNumberFormat="1" applyFont="1" applyFill="1" applyBorder="1" applyAlignment="1">
      <alignment horizontal="center" vertical="center"/>
    </xf>
    <xf numFmtId="1" fontId="25" fillId="0" borderId="96" xfId="3" applyNumberFormat="1" applyFont="1" applyFill="1" applyBorder="1" applyAlignment="1">
      <alignment horizontal="center" vertical="center"/>
    </xf>
    <xf numFmtId="1" fontId="19" fillId="6" borderId="97" xfId="3" applyNumberFormat="1" applyFont="1" applyFill="1" applyBorder="1" applyAlignment="1">
      <alignment horizontal="center" vertical="center"/>
    </xf>
    <xf numFmtId="9" fontId="19" fillId="6" borderId="98" xfId="2" applyFont="1" applyFill="1" applyBorder="1" applyAlignment="1">
      <alignment horizontal="center" vertical="center"/>
    </xf>
    <xf numFmtId="0" fontId="19" fillId="6" borderId="98" xfId="3" applyFont="1" applyFill="1" applyBorder="1" applyAlignment="1">
      <alignment horizontal="center" vertical="center"/>
    </xf>
    <xf numFmtId="1" fontId="19" fillId="6" borderId="99" xfId="1" applyNumberFormat="1" applyFont="1" applyFill="1" applyBorder="1" applyAlignment="1">
      <alignment horizontal="center" vertical="center"/>
    </xf>
    <xf numFmtId="1" fontId="25" fillId="10" borderId="89" xfId="3" applyNumberFormat="1" applyFont="1" applyFill="1" applyBorder="1" applyAlignment="1" applyProtection="1">
      <alignment horizontal="center" vertical="center"/>
      <protection locked="0"/>
    </xf>
    <xf numFmtId="1" fontId="25" fillId="10" borderId="84" xfId="3" applyNumberFormat="1" applyFont="1" applyFill="1" applyBorder="1" applyAlignment="1" applyProtection="1">
      <alignment horizontal="center" vertical="center"/>
      <protection locked="0"/>
    </xf>
    <xf numFmtId="0" fontId="18" fillId="0" borderId="20" xfId="2" applyNumberFormat="1" applyFont="1" applyFill="1" applyBorder="1" applyAlignment="1">
      <alignment horizontal="center" vertical="center"/>
    </xf>
    <xf numFmtId="0" fontId="19" fillId="0" borderId="70" xfId="3" applyFont="1" applyFill="1" applyBorder="1" applyAlignment="1">
      <alignment vertical="center"/>
    </xf>
    <xf numFmtId="0" fontId="19" fillId="0" borderId="0" xfId="3" applyFont="1" applyFill="1" applyBorder="1" applyAlignment="1">
      <alignment vertical="center"/>
    </xf>
    <xf numFmtId="1" fontId="25" fillId="7" borderId="85" xfId="3" applyNumberFormat="1" applyFont="1" applyFill="1" applyBorder="1" applyAlignment="1" applyProtection="1">
      <alignment horizontal="center" vertical="center"/>
      <protection locked="0"/>
    </xf>
    <xf numFmtId="1" fontId="25" fillId="7" borderId="86" xfId="3" applyNumberFormat="1" applyFont="1" applyFill="1" applyBorder="1" applyAlignment="1" applyProtection="1">
      <alignment horizontal="center" vertical="center"/>
      <protection locked="0"/>
    </xf>
    <xf numFmtId="1" fontId="19" fillId="6" borderId="85" xfId="3" applyNumberFormat="1" applyFont="1" applyFill="1" applyBorder="1" applyAlignment="1">
      <alignment horizontal="center" vertical="center"/>
    </xf>
    <xf numFmtId="1" fontId="19" fillId="6" borderId="86" xfId="3" applyNumberFormat="1" applyFont="1" applyFill="1" applyBorder="1" applyAlignment="1">
      <alignment horizontal="center" vertical="center"/>
    </xf>
    <xf numFmtId="1" fontId="19" fillId="6" borderId="52" xfId="3" applyNumberFormat="1" applyFont="1" applyFill="1" applyBorder="1" applyAlignment="1">
      <alignment horizontal="center" vertical="center"/>
    </xf>
    <xf numFmtId="1" fontId="25" fillId="3" borderId="85" xfId="3" applyNumberFormat="1" applyFont="1" applyFill="1" applyBorder="1" applyAlignment="1" applyProtection="1">
      <alignment horizontal="center" vertical="center"/>
      <protection locked="0"/>
    </xf>
    <xf numFmtId="1" fontId="25" fillId="3" borderId="86" xfId="3" applyNumberFormat="1" applyFont="1" applyFill="1" applyBorder="1" applyAlignment="1" applyProtection="1">
      <alignment horizontal="center" vertical="center"/>
      <protection locked="0"/>
    </xf>
    <xf numFmtId="1" fontId="19" fillId="0" borderId="53" xfId="3" applyNumberFormat="1" applyFont="1" applyFill="1" applyBorder="1" applyAlignment="1">
      <alignment horizontal="center" vertical="center"/>
    </xf>
    <xf numFmtId="166" fontId="19" fillId="0" borderId="6" xfId="3" applyNumberFormat="1" applyFont="1" applyFill="1" applyBorder="1" applyAlignment="1">
      <alignment horizontal="center" vertical="center"/>
    </xf>
    <xf numFmtId="1" fontId="19" fillId="10" borderId="77" xfId="3" applyNumberFormat="1" applyFont="1" applyFill="1" applyBorder="1" applyAlignment="1">
      <alignment horizontal="center" vertical="center"/>
    </xf>
    <xf numFmtId="1" fontId="19" fillId="10" borderId="3" xfId="3" applyNumberFormat="1" applyFont="1" applyFill="1" applyBorder="1" applyAlignment="1">
      <alignment horizontal="center" vertical="center"/>
    </xf>
    <xf numFmtId="1" fontId="19" fillId="10" borderId="102" xfId="3" applyNumberFormat="1" applyFont="1" applyFill="1" applyBorder="1" applyAlignment="1">
      <alignment horizontal="center" vertical="center"/>
    </xf>
    <xf numFmtId="1" fontId="19" fillId="10" borderId="103" xfId="3" applyNumberFormat="1" applyFont="1" applyFill="1" applyBorder="1" applyAlignment="1">
      <alignment horizontal="center" vertical="center"/>
    </xf>
    <xf numFmtId="1" fontId="25" fillId="10" borderId="102" xfId="3" applyNumberFormat="1" applyFont="1" applyFill="1" applyBorder="1" applyAlignment="1">
      <alignment horizontal="center" vertical="center"/>
    </xf>
    <xf numFmtId="1" fontId="25" fillId="10" borderId="103" xfId="3" applyNumberFormat="1" applyFont="1" applyFill="1" applyBorder="1" applyAlignment="1">
      <alignment horizontal="center" vertical="center"/>
    </xf>
    <xf numFmtId="1" fontId="25" fillId="10" borderId="1" xfId="3" applyNumberFormat="1" applyFont="1" applyFill="1" applyBorder="1" applyAlignment="1">
      <alignment horizontal="center" vertical="center"/>
    </xf>
    <xf numFmtId="0" fontId="2" fillId="0" borderId="26" xfId="0" applyFont="1" applyBorder="1"/>
    <xf numFmtId="0" fontId="2" fillId="0" borderId="26" xfId="0" applyFont="1" applyFill="1" applyBorder="1"/>
    <xf numFmtId="0" fontId="19" fillId="0" borderId="26" xfId="3" applyFont="1" applyFill="1" applyBorder="1" applyAlignment="1">
      <alignment vertical="center"/>
    </xf>
    <xf numFmtId="0" fontId="6" fillId="9" borderId="14" xfId="3" applyFont="1" applyFill="1" applyBorder="1" applyAlignment="1" applyProtection="1">
      <alignment horizontal="center" vertical="center"/>
      <protection locked="0"/>
    </xf>
    <xf numFmtId="0" fontId="6" fillId="9" borderId="15" xfId="3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6" fillId="9" borderId="9" xfId="3" applyFont="1" applyFill="1" applyBorder="1" applyAlignment="1" applyProtection="1">
      <alignment horizontal="center" vertical="center"/>
      <protection locked="0"/>
    </xf>
    <xf numFmtId="0" fontId="6" fillId="9" borderId="30" xfId="3" applyFont="1" applyFill="1" applyBorder="1" applyAlignment="1" applyProtection="1">
      <alignment horizontal="center" vertical="center"/>
      <protection locked="0"/>
    </xf>
    <xf numFmtId="0" fontId="9" fillId="0" borderId="35" xfId="0" applyFont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/>
    </xf>
    <xf numFmtId="0" fontId="2" fillId="0" borderId="0" xfId="0" applyFont="1" applyFill="1" applyBorder="1" applyAlignment="1">
      <alignment wrapText="1"/>
    </xf>
    <xf numFmtId="0" fontId="2" fillId="0" borderId="0" xfId="0" applyFont="1" applyAlignment="1">
      <alignment wrapText="1"/>
    </xf>
    <xf numFmtId="1" fontId="24" fillId="5" borderId="49" xfId="3" applyNumberFormat="1" applyFont="1" applyFill="1" applyBorder="1" applyAlignment="1" applyProtection="1">
      <alignment horizontal="center" vertical="center"/>
      <protection locked="0"/>
    </xf>
    <xf numFmtId="1" fontId="24" fillId="5" borderId="13" xfId="3" applyNumberFormat="1" applyFont="1" applyFill="1" applyBorder="1" applyAlignment="1" applyProtection="1">
      <alignment horizontal="center" vertical="center"/>
      <protection locked="0"/>
    </xf>
    <xf numFmtId="1" fontId="24" fillId="5" borderId="21" xfId="3" applyNumberFormat="1" applyFont="1" applyFill="1" applyBorder="1" applyAlignment="1" applyProtection="1">
      <alignment horizontal="center" vertical="center"/>
      <protection locked="0"/>
    </xf>
    <xf numFmtId="1" fontId="24" fillId="5" borderId="23" xfId="3" applyNumberFormat="1" applyFont="1" applyFill="1" applyBorder="1" applyAlignment="1" applyProtection="1">
      <alignment horizontal="center" vertical="center"/>
      <protection locked="0"/>
    </xf>
    <xf numFmtId="1" fontId="23" fillId="5" borderId="21" xfId="3" applyNumberFormat="1" applyFont="1" applyFill="1" applyBorder="1" applyAlignment="1">
      <alignment horizontal="center" vertical="center"/>
    </xf>
    <xf numFmtId="1" fontId="23" fillId="5" borderId="22" xfId="3" applyNumberFormat="1" applyFont="1" applyFill="1" applyBorder="1" applyAlignment="1">
      <alignment horizontal="center" vertical="center"/>
    </xf>
    <xf numFmtId="1" fontId="8" fillId="7" borderId="49" xfId="3" applyNumberFormat="1" applyFont="1" applyFill="1" applyBorder="1" applyAlignment="1" applyProtection="1">
      <alignment horizontal="center" vertical="center"/>
      <protection locked="0"/>
    </xf>
    <xf numFmtId="1" fontId="8" fillId="7" borderId="13" xfId="3" applyNumberFormat="1" applyFont="1" applyFill="1" applyBorder="1" applyAlignment="1" applyProtection="1">
      <alignment horizontal="center" vertical="center"/>
      <protection locked="0"/>
    </xf>
    <xf numFmtId="1" fontId="7" fillId="0" borderId="21" xfId="3" applyNumberFormat="1" applyFont="1" applyFill="1" applyBorder="1" applyAlignment="1" applyProtection="1">
      <alignment horizontal="center" vertical="center"/>
      <protection locked="0"/>
    </xf>
    <xf numFmtId="1" fontId="7" fillId="0" borderId="23" xfId="3" applyNumberFormat="1" applyFont="1" applyFill="1" applyBorder="1" applyAlignment="1" applyProtection="1">
      <alignment horizontal="center" vertical="center"/>
      <protection locked="0"/>
    </xf>
    <xf numFmtId="1" fontId="8" fillId="8" borderId="21" xfId="3" applyNumberFormat="1" applyFont="1" applyFill="1" applyBorder="1" applyAlignment="1" applyProtection="1">
      <alignment horizontal="center" vertical="center"/>
      <protection locked="0"/>
    </xf>
    <xf numFmtId="1" fontId="8" fillId="8" borderId="23" xfId="3" applyNumberFormat="1" applyFont="1" applyFill="1" applyBorder="1" applyAlignment="1" applyProtection="1">
      <alignment horizontal="center" vertical="center"/>
      <protection locked="0"/>
    </xf>
    <xf numFmtId="0" fontId="29" fillId="3" borderId="10" xfId="3" applyFont="1" applyFill="1" applyBorder="1" applyAlignment="1">
      <alignment horizontal="center" vertical="center"/>
    </xf>
    <xf numFmtId="0" fontId="29" fillId="11" borderId="10" xfId="3" applyFont="1" applyFill="1" applyBorder="1" applyAlignment="1">
      <alignment horizontal="center" vertical="center"/>
    </xf>
    <xf numFmtId="1" fontId="8" fillId="7" borderId="82" xfId="3" applyNumberFormat="1" applyFont="1" applyFill="1" applyBorder="1" applyAlignment="1" applyProtection="1">
      <alignment horizontal="center" vertical="center"/>
      <protection locked="0"/>
    </xf>
    <xf numFmtId="1" fontId="8" fillId="7" borderId="17" xfId="3" applyNumberFormat="1" applyFont="1" applyFill="1" applyBorder="1" applyAlignment="1" applyProtection="1">
      <alignment horizontal="center" vertical="center"/>
      <protection locked="0"/>
    </xf>
    <xf numFmtId="1" fontId="39" fillId="9" borderId="82" xfId="3" applyNumberFormat="1" applyFont="1" applyFill="1" applyBorder="1" applyAlignment="1">
      <alignment horizontal="center" vertical="center"/>
    </xf>
    <xf numFmtId="1" fontId="39" fillId="9" borderId="17" xfId="3" applyNumberFormat="1" applyFont="1" applyFill="1" applyBorder="1" applyAlignment="1">
      <alignment horizontal="center" vertical="center"/>
    </xf>
    <xf numFmtId="1" fontId="39" fillId="9" borderId="83" xfId="3" applyNumberFormat="1" applyFont="1" applyFill="1" applyBorder="1" applyAlignment="1">
      <alignment horizontal="center" vertical="center"/>
    </xf>
    <xf numFmtId="1" fontId="8" fillId="5" borderId="84" xfId="3" applyNumberFormat="1" applyFont="1" applyFill="1" applyBorder="1" applyAlignment="1">
      <alignment horizontal="center" vertical="center"/>
    </xf>
    <xf numFmtId="1" fontId="8" fillId="5" borderId="13" xfId="3" applyNumberFormat="1" applyFont="1" applyFill="1" applyBorder="1" applyAlignment="1">
      <alignment horizontal="center" vertical="center"/>
    </xf>
    <xf numFmtId="1" fontId="39" fillId="9" borderId="21" xfId="3" applyNumberFormat="1" applyFont="1" applyFill="1" applyBorder="1" applyAlignment="1">
      <alignment horizontal="center" vertical="center"/>
    </xf>
    <xf numFmtId="1" fontId="39" fillId="9" borderId="23" xfId="3" applyNumberFormat="1" applyFont="1" applyFill="1" applyBorder="1" applyAlignment="1">
      <alignment horizontal="center" vertical="center"/>
    </xf>
    <xf numFmtId="1" fontId="39" fillId="9" borderId="85" xfId="3" applyNumberFormat="1" applyFont="1" applyFill="1" applyBorder="1" applyAlignment="1">
      <alignment horizontal="center" vertical="center"/>
    </xf>
    <xf numFmtId="1" fontId="8" fillId="5" borderId="86" xfId="3" applyNumberFormat="1" applyFont="1" applyFill="1" applyBorder="1" applyAlignment="1">
      <alignment horizontal="center" vertical="center"/>
    </xf>
    <xf numFmtId="1" fontId="8" fillId="5" borderId="23" xfId="3" applyNumberFormat="1" applyFont="1" applyFill="1" applyBorder="1" applyAlignment="1">
      <alignment horizontal="center" vertical="center"/>
    </xf>
    <xf numFmtId="1" fontId="8" fillId="9" borderId="49" xfId="3" applyNumberFormat="1" applyFont="1" applyFill="1" applyBorder="1" applyAlignment="1">
      <alignment horizontal="center" vertical="center"/>
    </xf>
    <xf numFmtId="1" fontId="8" fillId="9" borderId="13" xfId="3" applyNumberFormat="1" applyFont="1" applyFill="1" applyBorder="1" applyAlignment="1">
      <alignment horizontal="center" vertical="center"/>
    </xf>
    <xf numFmtId="1" fontId="8" fillId="9" borderId="89" xfId="3" applyNumberFormat="1" applyFont="1" applyFill="1" applyBorder="1" applyAlignment="1">
      <alignment horizontal="center" vertical="center"/>
    </xf>
    <xf numFmtId="1" fontId="8" fillId="9" borderId="84" xfId="3" applyNumberFormat="1" applyFont="1" applyFill="1" applyBorder="1" applyAlignment="1">
      <alignment horizontal="center" vertical="center"/>
    </xf>
    <xf numFmtId="1" fontId="8" fillId="5" borderId="49" xfId="3" applyNumberFormat="1" applyFont="1" applyFill="1" applyBorder="1" applyAlignment="1">
      <alignment horizontal="center" vertical="center"/>
    </xf>
    <xf numFmtId="1" fontId="8" fillId="9" borderId="21" xfId="3" applyNumberFormat="1" applyFont="1" applyFill="1" applyBorder="1" applyAlignment="1">
      <alignment horizontal="center" vertical="center"/>
    </xf>
    <xf numFmtId="1" fontId="8" fillId="9" borderId="23" xfId="3" applyNumberFormat="1" applyFont="1" applyFill="1" applyBorder="1" applyAlignment="1">
      <alignment horizontal="center" vertical="center"/>
    </xf>
    <xf numFmtId="1" fontId="8" fillId="9" borderId="85" xfId="3" applyNumberFormat="1" applyFont="1" applyFill="1" applyBorder="1" applyAlignment="1">
      <alignment horizontal="center" vertical="center"/>
    </xf>
    <xf numFmtId="1" fontId="8" fillId="9" borderId="86" xfId="3" applyNumberFormat="1" applyFont="1" applyFill="1" applyBorder="1" applyAlignment="1">
      <alignment horizontal="center" vertical="center"/>
    </xf>
    <xf numFmtId="1" fontId="8" fillId="5" borderId="21" xfId="3" applyNumberFormat="1" applyFont="1" applyFill="1" applyBorder="1" applyAlignment="1">
      <alignment horizontal="center" vertical="center"/>
    </xf>
    <xf numFmtId="1" fontId="25" fillId="9" borderId="89" xfId="3" applyNumberFormat="1" applyFont="1" applyFill="1" applyBorder="1" applyAlignment="1">
      <alignment horizontal="center" vertical="center"/>
    </xf>
    <xf numFmtId="1" fontId="25" fillId="9" borderId="84" xfId="3" applyNumberFormat="1" applyFont="1" applyFill="1" applyBorder="1" applyAlignment="1">
      <alignment horizontal="center" vertical="center"/>
    </xf>
    <xf numFmtId="1" fontId="25" fillId="5" borderId="49" xfId="3" applyNumberFormat="1" applyFont="1" applyFill="1" applyBorder="1" applyAlignment="1">
      <alignment horizontal="center" vertical="center"/>
    </xf>
    <xf numFmtId="1" fontId="25" fillId="5" borderId="13" xfId="3" applyNumberFormat="1" applyFont="1" applyFill="1" applyBorder="1" applyAlignment="1">
      <alignment horizontal="center" vertical="center"/>
    </xf>
    <xf numFmtId="1" fontId="40" fillId="7" borderId="49" xfId="3" applyNumberFormat="1" applyFont="1" applyFill="1" applyBorder="1" applyAlignment="1" applyProtection="1">
      <alignment horizontal="center" vertical="center"/>
      <protection locked="0"/>
    </xf>
    <xf numFmtId="1" fontId="40" fillId="7" borderId="13" xfId="3" applyNumberFormat="1" applyFont="1" applyFill="1" applyBorder="1" applyAlignment="1" applyProtection="1">
      <alignment horizontal="center" vertical="center"/>
      <protection locked="0"/>
    </xf>
    <xf numFmtId="1" fontId="34" fillId="7" borderId="49" xfId="3" applyNumberFormat="1" applyFont="1" applyFill="1" applyBorder="1" applyAlignment="1" applyProtection="1">
      <alignment horizontal="center" vertical="center"/>
      <protection locked="0"/>
    </xf>
    <xf numFmtId="1" fontId="34" fillId="7" borderId="13" xfId="3" applyNumberFormat="1" applyFont="1" applyFill="1" applyBorder="1" applyAlignment="1" applyProtection="1">
      <alignment horizontal="center" vertical="center"/>
      <protection locked="0"/>
    </xf>
    <xf numFmtId="1" fontId="25" fillId="9" borderId="85" xfId="3" applyNumberFormat="1" applyFont="1" applyFill="1" applyBorder="1" applyAlignment="1">
      <alignment horizontal="center" vertical="center"/>
    </xf>
    <xf numFmtId="1" fontId="25" fillId="9" borderId="86" xfId="3" applyNumberFormat="1" applyFont="1" applyFill="1" applyBorder="1" applyAlignment="1">
      <alignment horizontal="center" vertical="center"/>
    </xf>
    <xf numFmtId="1" fontId="25" fillId="5" borderId="21" xfId="3" applyNumberFormat="1" applyFont="1" applyFill="1" applyBorder="1" applyAlignment="1">
      <alignment horizontal="center" vertical="center"/>
    </xf>
    <xf numFmtId="1" fontId="25" fillId="5" borderId="23" xfId="3" applyNumberFormat="1" applyFont="1" applyFill="1" applyBorder="1" applyAlignment="1">
      <alignment horizontal="center" vertical="center"/>
    </xf>
    <xf numFmtId="1" fontId="40" fillId="8" borderId="21" xfId="3" applyNumberFormat="1" applyFont="1" applyFill="1" applyBorder="1" applyAlignment="1" applyProtection="1">
      <alignment horizontal="center" vertical="center"/>
      <protection locked="0"/>
    </xf>
    <xf numFmtId="1" fontId="40" fillId="8" borderId="23" xfId="3" applyNumberFormat="1" applyFont="1" applyFill="1" applyBorder="1" applyAlignment="1" applyProtection="1">
      <alignment horizontal="center" vertical="center"/>
      <protection locked="0"/>
    </xf>
    <xf numFmtId="1" fontId="19" fillId="6" borderId="42" xfId="3" applyNumberFormat="1" applyFont="1" applyFill="1" applyBorder="1" applyAlignment="1">
      <alignment horizontal="center" vertical="center"/>
    </xf>
    <xf numFmtId="1" fontId="41" fillId="8" borderId="21" xfId="3" applyNumberFormat="1" applyFont="1" applyFill="1" applyBorder="1" applyAlignment="1" applyProtection="1">
      <alignment horizontal="center" vertical="center"/>
      <protection locked="0"/>
    </xf>
    <xf numFmtId="1" fontId="41" fillId="8" borderId="23" xfId="3" applyNumberFormat="1" applyFont="1" applyFill="1" applyBorder="1" applyAlignment="1" applyProtection="1">
      <alignment horizontal="center" vertical="center"/>
      <protection locked="0"/>
    </xf>
    <xf numFmtId="0" fontId="28" fillId="0" borderId="38" xfId="3" applyFont="1" applyFill="1" applyBorder="1" applyAlignment="1" applyProtection="1">
      <alignment horizontal="center" vertical="center"/>
      <protection locked="0"/>
    </xf>
    <xf numFmtId="1" fontId="41" fillId="7" borderId="82" xfId="3" applyNumberFormat="1" applyFont="1" applyFill="1" applyBorder="1" applyAlignment="1" applyProtection="1">
      <alignment horizontal="center" vertical="center"/>
      <protection locked="0"/>
    </xf>
    <xf numFmtId="1" fontId="41" fillId="7" borderId="17" xfId="3" applyNumberFormat="1" applyFont="1" applyFill="1" applyBorder="1" applyAlignment="1" applyProtection="1">
      <alignment horizontal="center" vertical="center"/>
      <protection locked="0"/>
    </xf>
    <xf numFmtId="1" fontId="41" fillId="7" borderId="49" xfId="3" applyNumberFormat="1" applyFont="1" applyFill="1" applyBorder="1" applyAlignment="1" applyProtection="1">
      <alignment horizontal="center" vertical="center"/>
      <protection locked="0"/>
    </xf>
    <xf numFmtId="1" fontId="41" fillId="7" borderId="13" xfId="3" applyNumberFormat="1" applyFont="1" applyFill="1" applyBorder="1" applyAlignment="1" applyProtection="1">
      <alignment horizontal="center" vertical="center"/>
      <protection locked="0"/>
    </xf>
    <xf numFmtId="0" fontId="22" fillId="3" borderId="24" xfId="3" applyFont="1" applyFill="1" applyBorder="1" applyAlignment="1">
      <alignment vertical="center" textRotation="255"/>
    </xf>
    <xf numFmtId="0" fontId="43" fillId="9" borderId="14" xfId="3" applyFont="1" applyFill="1" applyBorder="1" applyAlignment="1" applyProtection="1">
      <alignment horizontal="center" vertical="center"/>
      <protection locked="0"/>
    </xf>
    <xf numFmtId="0" fontId="43" fillId="9" borderId="15" xfId="3" applyFont="1" applyFill="1" applyBorder="1" applyAlignment="1" applyProtection="1">
      <alignment horizontal="center" vertical="center"/>
      <protection locked="0"/>
    </xf>
    <xf numFmtId="1" fontId="43" fillId="0" borderId="19" xfId="3" applyNumberFormat="1" applyFont="1" applyFill="1" applyBorder="1" applyAlignment="1" applyProtection="1">
      <alignment horizontal="center" vertical="center"/>
      <protection locked="0"/>
    </xf>
    <xf numFmtId="0" fontId="43" fillId="0" borderId="20" xfId="3" applyFont="1" applyFill="1" applyBorder="1" applyAlignment="1" applyProtection="1">
      <alignment horizontal="center" vertical="center"/>
      <protection locked="0"/>
    </xf>
    <xf numFmtId="1" fontId="43" fillId="0" borderId="28" xfId="3" applyNumberFormat="1" applyFont="1" applyFill="1" applyBorder="1" applyAlignment="1" applyProtection="1">
      <alignment horizontal="center" vertical="center"/>
      <protection locked="0"/>
    </xf>
    <xf numFmtId="0" fontId="43" fillId="0" borderId="29" xfId="3" applyFont="1" applyFill="1" applyBorder="1" applyAlignment="1" applyProtection="1">
      <alignment horizontal="center" vertical="center"/>
      <protection locked="0"/>
    </xf>
    <xf numFmtId="0" fontId="43" fillId="9" borderId="9" xfId="3" applyFont="1" applyFill="1" applyBorder="1" applyAlignment="1" applyProtection="1">
      <alignment horizontal="center" vertical="center"/>
      <protection locked="0"/>
    </xf>
    <xf numFmtId="0" fontId="43" fillId="9" borderId="30" xfId="3" applyFont="1" applyFill="1" applyBorder="1" applyAlignment="1" applyProtection="1">
      <alignment horizontal="center" vertical="center"/>
      <protection locked="0"/>
    </xf>
    <xf numFmtId="169" fontId="41" fillId="0" borderId="31" xfId="0" applyNumberFormat="1" applyFont="1" applyBorder="1" applyAlignment="1">
      <alignment horizontal="center"/>
    </xf>
    <xf numFmtId="169" fontId="41" fillId="0" borderId="33" xfId="0" applyNumberFormat="1" applyFont="1" applyBorder="1" applyAlignment="1">
      <alignment horizontal="center"/>
    </xf>
    <xf numFmtId="169" fontId="41" fillId="0" borderId="25" xfId="0" applyNumberFormat="1" applyFont="1" applyBorder="1" applyAlignment="1">
      <alignment horizontal="center"/>
    </xf>
    <xf numFmtId="169" fontId="41" fillId="0" borderId="36" xfId="0" applyNumberFormat="1" applyFont="1" applyBorder="1" applyAlignment="1">
      <alignment horizontal="center"/>
    </xf>
    <xf numFmtId="0" fontId="21" fillId="6" borderId="21" xfId="3" applyFont="1" applyFill="1" applyBorder="1" applyAlignment="1">
      <alignment horizontal="center" vertical="center"/>
    </xf>
    <xf numFmtId="0" fontId="21" fillId="6" borderId="22" xfId="3" applyFont="1" applyFill="1" applyBorder="1" applyAlignment="1">
      <alignment horizontal="center" vertical="center"/>
    </xf>
    <xf numFmtId="0" fontId="21" fillId="6" borderId="23" xfId="3" applyFont="1" applyFill="1" applyBorder="1" applyAlignment="1">
      <alignment horizontal="center" vertical="center"/>
    </xf>
    <xf numFmtId="0" fontId="21" fillId="3" borderId="9" xfId="3" applyFont="1" applyFill="1" applyBorder="1" applyAlignment="1">
      <alignment horizontal="center" vertical="center"/>
    </xf>
    <xf numFmtId="0" fontId="30" fillId="10" borderId="77" xfId="3" applyFont="1" applyFill="1" applyBorder="1" applyAlignment="1">
      <alignment horizontal="center" vertical="center"/>
    </xf>
    <xf numFmtId="0" fontId="30" fillId="10" borderId="2" xfId="3" applyFont="1" applyFill="1" applyBorder="1" applyAlignment="1">
      <alignment horizontal="center" vertical="center"/>
    </xf>
    <xf numFmtId="0" fontId="30" fillId="10" borderId="3" xfId="3" applyFont="1" applyFill="1" applyBorder="1" applyAlignment="1">
      <alignment horizontal="center" vertical="center"/>
    </xf>
    <xf numFmtId="0" fontId="30" fillId="10" borderId="1" xfId="3" applyFont="1" applyFill="1" applyBorder="1" applyAlignment="1">
      <alignment horizontal="center" vertical="center"/>
    </xf>
    <xf numFmtId="1" fontId="19" fillId="7" borderId="53" xfId="3" applyNumberFormat="1" applyFont="1" applyFill="1" applyBorder="1" applyAlignment="1">
      <alignment horizontal="center" vertical="center"/>
    </xf>
    <xf numFmtId="0" fontId="19" fillId="7" borderId="54" xfId="3" applyFont="1" applyFill="1" applyBorder="1" applyAlignment="1">
      <alignment horizontal="center" vertical="center"/>
    </xf>
    <xf numFmtId="9" fontId="19" fillId="7" borderId="9" xfId="2" applyFont="1" applyFill="1" applyBorder="1" applyAlignment="1">
      <alignment horizontal="center" vertical="center"/>
    </xf>
    <xf numFmtId="1" fontId="19" fillId="7" borderId="6" xfId="3" applyNumberFormat="1" applyFont="1" applyFill="1" applyBorder="1" applyAlignment="1">
      <alignment horizontal="center" vertical="center"/>
    </xf>
    <xf numFmtId="0" fontId="19" fillId="7" borderId="14" xfId="3" applyFont="1" applyFill="1" applyBorder="1" applyAlignment="1">
      <alignment horizontal="center" vertical="center"/>
    </xf>
    <xf numFmtId="9" fontId="19" fillId="7" borderId="6" xfId="2" applyFont="1" applyFill="1" applyBorder="1" applyAlignment="1">
      <alignment horizontal="center" vertical="center"/>
    </xf>
    <xf numFmtId="9" fontId="19" fillId="7" borderId="14" xfId="2" applyFont="1" applyFill="1" applyBorder="1" applyAlignment="1">
      <alignment horizontal="center" vertical="center"/>
    </xf>
    <xf numFmtId="166" fontId="19" fillId="7" borderId="9" xfId="3" applyNumberFormat="1" applyFont="1" applyFill="1" applyBorder="1" applyAlignment="1">
      <alignment horizontal="center" vertical="center"/>
    </xf>
    <xf numFmtId="1" fontId="19" fillId="7" borderId="9" xfId="3" applyNumberFormat="1" applyFont="1" applyFill="1" applyBorder="1" applyAlignment="1">
      <alignment horizontal="center" vertical="center"/>
    </xf>
    <xf numFmtId="1" fontId="25" fillId="10" borderId="21" xfId="3" applyNumberFormat="1" applyFont="1" applyFill="1" applyBorder="1" applyAlignment="1" applyProtection="1">
      <alignment horizontal="center" vertical="center"/>
      <protection locked="0"/>
    </xf>
    <xf numFmtId="1" fontId="25" fillId="10" borderId="23" xfId="3" applyNumberFormat="1" applyFont="1" applyFill="1" applyBorder="1" applyAlignment="1" applyProtection="1">
      <alignment horizontal="center" vertical="center"/>
      <protection locked="0"/>
    </xf>
    <xf numFmtId="9" fontId="38" fillId="0" borderId="100" xfId="2" applyFont="1" applyFill="1" applyBorder="1" applyAlignment="1">
      <alignment horizontal="center" vertical="center" wrapText="1"/>
    </xf>
    <xf numFmtId="9" fontId="38" fillId="0" borderId="101" xfId="2" applyFont="1" applyFill="1" applyBorder="1" applyAlignment="1">
      <alignment horizontal="center" vertical="center" wrapText="1"/>
    </xf>
    <xf numFmtId="9" fontId="38" fillId="0" borderId="25" xfId="2" applyFont="1" applyFill="1" applyBorder="1" applyAlignment="1">
      <alignment horizontal="center" vertical="center" wrapText="1"/>
    </xf>
    <xf numFmtId="9" fontId="38" fillId="0" borderId="36" xfId="2" applyFont="1" applyFill="1" applyBorder="1" applyAlignment="1">
      <alignment horizontal="center" vertical="center" wrapText="1"/>
    </xf>
    <xf numFmtId="1" fontId="25" fillId="10" borderId="85" xfId="3" applyNumberFormat="1" applyFont="1" applyFill="1" applyBorder="1" applyAlignment="1" applyProtection="1">
      <alignment horizontal="center" vertical="center"/>
      <protection locked="0"/>
    </xf>
    <xf numFmtId="1" fontId="25" fillId="10" borderId="86" xfId="3" applyNumberFormat="1" applyFont="1" applyFill="1" applyBorder="1" applyAlignment="1" applyProtection="1">
      <alignment horizontal="center" vertical="center"/>
      <protection locked="0"/>
    </xf>
    <xf numFmtId="1" fontId="19" fillId="10" borderId="50" xfId="3" applyNumberFormat="1" applyFont="1" applyFill="1" applyBorder="1" applyAlignment="1">
      <alignment horizontal="center" vertical="center"/>
    </xf>
    <xf numFmtId="0" fontId="19" fillId="10" borderId="52" xfId="3" applyFont="1" applyFill="1" applyBorder="1" applyAlignment="1">
      <alignment horizontal="center" vertical="center"/>
    </xf>
    <xf numFmtId="9" fontId="19" fillId="10" borderId="48" xfId="2" applyFont="1" applyFill="1" applyBorder="1" applyAlignment="1">
      <alignment horizontal="center" vertical="center"/>
    </xf>
    <xf numFmtId="9" fontId="19" fillId="10" borderId="9" xfId="2" applyFont="1" applyFill="1" applyBorder="1" applyAlignment="1">
      <alignment horizontal="center" vertical="center"/>
    </xf>
    <xf numFmtId="1" fontId="19" fillId="10" borderId="48" xfId="3" applyNumberFormat="1" applyFont="1" applyFill="1" applyBorder="1" applyAlignment="1">
      <alignment horizontal="center" vertical="center"/>
    </xf>
    <xf numFmtId="0" fontId="19" fillId="10" borderId="9" xfId="3" applyFont="1" applyFill="1" applyBorder="1" applyAlignment="1">
      <alignment horizontal="center" vertical="center"/>
    </xf>
    <xf numFmtId="9" fontId="19" fillId="10" borderId="39" xfId="2" applyFont="1" applyFill="1" applyBorder="1" applyAlignment="1">
      <alignment horizontal="center" vertical="center"/>
    </xf>
    <xf numFmtId="9" fontId="19" fillId="10" borderId="14" xfId="2" applyFont="1" applyFill="1" applyBorder="1" applyAlignment="1">
      <alignment horizontal="center" vertical="center"/>
    </xf>
    <xf numFmtId="166" fontId="19" fillId="10" borderId="48" xfId="3" applyNumberFormat="1" applyFont="1" applyFill="1" applyBorder="1" applyAlignment="1">
      <alignment horizontal="center" vertical="center"/>
    </xf>
    <xf numFmtId="166" fontId="19" fillId="10" borderId="9" xfId="3" applyNumberFormat="1" applyFont="1" applyFill="1" applyBorder="1" applyAlignment="1">
      <alignment horizontal="center" vertical="center"/>
    </xf>
    <xf numFmtId="1" fontId="19" fillId="10" borderId="9" xfId="3" applyNumberFormat="1" applyFont="1" applyFill="1" applyBorder="1" applyAlignment="1">
      <alignment horizontal="center" vertical="center"/>
    </xf>
    <xf numFmtId="0" fontId="21" fillId="0" borderId="9" xfId="3" applyFont="1" applyFill="1" applyBorder="1" applyAlignment="1">
      <alignment horizontal="center" vertical="center"/>
    </xf>
    <xf numFmtId="0" fontId="18" fillId="6" borderId="56" xfId="3" applyFont="1" applyFill="1" applyBorder="1" applyAlignment="1">
      <alignment horizontal="center" vertical="center"/>
    </xf>
    <xf numFmtId="0" fontId="18" fillId="10" borderId="42" xfId="3" applyFont="1" applyFill="1" applyBorder="1" applyAlignment="1">
      <alignment horizontal="center" vertical="center"/>
    </xf>
    <xf numFmtId="0" fontId="18" fillId="10" borderId="38" xfId="3" applyFont="1" applyFill="1" applyBorder="1" applyAlignment="1">
      <alignment horizontal="center" vertical="center"/>
    </xf>
    <xf numFmtId="0" fontId="18" fillId="10" borderId="46" xfId="3" applyFont="1" applyFill="1" applyBorder="1" applyAlignment="1">
      <alignment horizontal="center" vertical="center"/>
    </xf>
    <xf numFmtId="0" fontId="21" fillId="2" borderId="39" xfId="3" applyFont="1" applyFill="1" applyBorder="1" applyAlignment="1">
      <alignment horizontal="center" vertical="center"/>
    </xf>
    <xf numFmtId="0" fontId="21" fillId="2" borderId="19" xfId="3" applyFont="1" applyFill="1" applyBorder="1" applyAlignment="1">
      <alignment horizontal="center" vertical="center"/>
    </xf>
    <xf numFmtId="0" fontId="21" fillId="10" borderId="39" xfId="3" applyFont="1" applyFill="1" applyBorder="1" applyAlignment="1">
      <alignment horizontal="center" vertical="center"/>
    </xf>
    <xf numFmtId="0" fontId="21" fillId="10" borderId="14" xfId="3" applyFont="1" applyFill="1" applyBorder="1" applyAlignment="1">
      <alignment horizontal="center" vertical="center"/>
    </xf>
    <xf numFmtId="1" fontId="21" fillId="10" borderId="39" xfId="3" applyNumberFormat="1" applyFont="1" applyFill="1" applyBorder="1" applyAlignment="1" applyProtection="1">
      <alignment horizontal="center" vertical="center"/>
      <protection locked="0"/>
    </xf>
    <xf numFmtId="1" fontId="21" fillId="10" borderId="14" xfId="3" applyNumberFormat="1" applyFont="1" applyFill="1" applyBorder="1" applyAlignment="1" applyProtection="1">
      <alignment horizontal="center" vertical="center"/>
      <protection locked="0"/>
    </xf>
    <xf numFmtId="0" fontId="21" fillId="7" borderId="6" xfId="3" applyFont="1" applyFill="1" applyBorder="1" applyAlignment="1">
      <alignment horizontal="center" vertical="center"/>
    </xf>
    <xf numFmtId="0" fontId="21" fillId="7" borderId="14" xfId="3" applyFont="1" applyFill="1" applyBorder="1" applyAlignment="1">
      <alignment horizontal="center" vertical="center"/>
    </xf>
    <xf numFmtId="1" fontId="21" fillId="7" borderId="6" xfId="3" applyNumberFormat="1" applyFont="1" applyFill="1" applyBorder="1" applyAlignment="1" applyProtection="1">
      <alignment horizontal="center" vertical="center"/>
      <protection locked="0"/>
    </xf>
    <xf numFmtId="1" fontId="21" fillId="7" borderId="14" xfId="3" applyNumberFormat="1" applyFont="1" applyFill="1" applyBorder="1" applyAlignment="1" applyProtection="1">
      <alignment horizontal="center" vertical="center"/>
      <protection locked="0"/>
    </xf>
    <xf numFmtId="1" fontId="33" fillId="8" borderId="21" xfId="3" applyNumberFormat="1" applyFont="1" applyFill="1" applyBorder="1" applyAlignment="1" applyProtection="1">
      <alignment horizontal="center" vertical="center"/>
      <protection locked="0"/>
    </xf>
    <xf numFmtId="1" fontId="33" fillId="8" borderId="23" xfId="3" applyNumberFormat="1" applyFont="1" applyFill="1" applyBorder="1" applyAlignment="1" applyProtection="1">
      <alignment horizontal="center" vertical="center"/>
      <protection locked="0"/>
    </xf>
    <xf numFmtId="1" fontId="24" fillId="5" borderId="21" xfId="3" applyNumberFormat="1" applyFont="1" applyFill="1" applyBorder="1" applyAlignment="1">
      <alignment horizontal="center" vertical="center"/>
    </xf>
    <xf numFmtId="1" fontId="24" fillId="5" borderId="23" xfId="3" applyNumberFormat="1" applyFont="1" applyFill="1" applyBorder="1" applyAlignment="1">
      <alignment horizontal="center" vertical="center"/>
    </xf>
    <xf numFmtId="0" fontId="21" fillId="3" borderId="21" xfId="3" applyFont="1" applyFill="1" applyBorder="1" applyAlignment="1">
      <alignment horizontal="center" vertical="center"/>
    </xf>
    <xf numFmtId="0" fontId="21" fillId="3" borderId="22" xfId="3" applyFont="1" applyFill="1" applyBorder="1" applyAlignment="1">
      <alignment horizontal="center" vertical="center"/>
    </xf>
    <xf numFmtId="0" fontId="21" fillId="3" borderId="23" xfId="3" applyFont="1" applyFill="1" applyBorder="1" applyAlignment="1">
      <alignment horizontal="center" vertical="center"/>
    </xf>
    <xf numFmtId="9" fontId="19" fillId="8" borderId="9" xfId="2" applyFont="1" applyFill="1" applyBorder="1" applyAlignment="1">
      <alignment horizontal="center" vertical="center"/>
    </xf>
    <xf numFmtId="1" fontId="19" fillId="8" borderId="9" xfId="3" applyNumberFormat="1" applyFont="1" applyFill="1" applyBorder="1" applyAlignment="1">
      <alignment horizontal="center" vertical="center"/>
    </xf>
    <xf numFmtId="167" fontId="19" fillId="8" borderId="94" xfId="1" applyNumberFormat="1" applyFont="1" applyFill="1" applyBorder="1" applyAlignment="1">
      <alignment horizontal="center" vertical="center"/>
    </xf>
    <xf numFmtId="1" fontId="33" fillId="8" borderId="85" xfId="3" applyNumberFormat="1" applyFont="1" applyFill="1" applyBorder="1" applyAlignment="1" applyProtection="1">
      <alignment horizontal="center" vertical="center"/>
      <protection locked="0"/>
    </xf>
    <xf numFmtId="1" fontId="19" fillId="8" borderId="6" xfId="3" applyNumberFormat="1" applyFont="1" applyFill="1" applyBorder="1" applyAlignment="1">
      <alignment horizontal="center" vertical="center"/>
    </xf>
    <xf numFmtId="0" fontId="19" fillId="8" borderId="14" xfId="3" applyFont="1" applyFill="1" applyBorder="1" applyAlignment="1">
      <alignment horizontal="center" vertical="center"/>
    </xf>
    <xf numFmtId="9" fontId="19" fillId="8" borderId="6" xfId="2" applyFont="1" applyFill="1" applyBorder="1" applyAlignment="1">
      <alignment horizontal="center" vertical="center"/>
    </xf>
    <xf numFmtId="9" fontId="19" fillId="8" borderId="14" xfId="2" applyFont="1" applyFill="1" applyBorder="1" applyAlignment="1">
      <alignment horizontal="center" vertical="center"/>
    </xf>
    <xf numFmtId="166" fontId="19" fillId="8" borderId="9" xfId="3" applyNumberFormat="1" applyFont="1" applyFill="1" applyBorder="1" applyAlignment="1">
      <alignment horizontal="center" vertical="center"/>
    </xf>
    <xf numFmtId="0" fontId="19" fillId="8" borderId="93" xfId="3" applyFont="1" applyFill="1" applyBorder="1" applyAlignment="1">
      <alignment horizontal="center" vertical="center"/>
    </xf>
    <xf numFmtId="1" fontId="33" fillId="7" borderId="21" xfId="3" applyNumberFormat="1" applyFont="1" applyFill="1" applyBorder="1" applyAlignment="1" applyProtection="1">
      <alignment horizontal="center" vertical="center"/>
      <protection locked="0"/>
    </xf>
    <xf numFmtId="1" fontId="33" fillId="7" borderId="23" xfId="3" applyNumberFormat="1" applyFont="1" applyFill="1" applyBorder="1" applyAlignment="1" applyProtection="1">
      <alignment horizontal="center" vertical="center"/>
      <protection locked="0"/>
    </xf>
    <xf numFmtId="0" fontId="21" fillId="8" borderId="6" xfId="3" applyFont="1" applyFill="1" applyBorder="1" applyAlignment="1">
      <alignment horizontal="center" vertical="center"/>
    </xf>
    <xf numFmtId="0" fontId="21" fillId="8" borderId="14" xfId="3" applyFont="1" applyFill="1" applyBorder="1" applyAlignment="1">
      <alignment horizontal="center" vertical="center"/>
    </xf>
    <xf numFmtId="1" fontId="21" fillId="8" borderId="6" xfId="3" applyNumberFormat="1" applyFont="1" applyFill="1" applyBorder="1" applyAlignment="1" applyProtection="1">
      <alignment horizontal="center" vertical="center"/>
      <protection locked="0"/>
    </xf>
    <xf numFmtId="1" fontId="21" fillId="8" borderId="14" xfId="3" applyNumberFormat="1" applyFont="1" applyFill="1" applyBorder="1" applyAlignment="1" applyProtection="1">
      <alignment horizontal="center" vertical="center"/>
      <protection locked="0"/>
    </xf>
    <xf numFmtId="1" fontId="19" fillId="8" borderId="53" xfId="3" applyNumberFormat="1" applyFont="1" applyFill="1" applyBorder="1" applyAlignment="1">
      <alignment horizontal="center" vertical="center"/>
    </xf>
    <xf numFmtId="0" fontId="19" fillId="8" borderId="54" xfId="3" applyFont="1" applyFill="1" applyBorder="1" applyAlignment="1">
      <alignment horizontal="center" vertical="center"/>
    </xf>
    <xf numFmtId="1" fontId="33" fillId="8" borderId="86" xfId="3" applyNumberFormat="1" applyFont="1" applyFill="1" applyBorder="1" applyAlignment="1" applyProtection="1">
      <alignment horizontal="center" vertical="center"/>
      <protection locked="0"/>
    </xf>
    <xf numFmtId="9" fontId="19" fillId="7" borderId="91" xfId="2" applyFont="1" applyFill="1" applyBorder="1" applyAlignment="1">
      <alignment horizontal="center" vertical="center"/>
    </xf>
    <xf numFmtId="167" fontId="19" fillId="7" borderId="92" xfId="1" applyNumberFormat="1" applyFont="1" applyFill="1" applyBorder="1" applyAlignment="1">
      <alignment horizontal="center" vertical="center"/>
    </xf>
    <xf numFmtId="167" fontId="19" fillId="7" borderId="94" xfId="1" applyNumberFormat="1" applyFont="1" applyFill="1" applyBorder="1" applyAlignment="1">
      <alignment horizontal="center" vertical="center"/>
    </xf>
    <xf numFmtId="1" fontId="33" fillId="7" borderId="85" xfId="3" applyNumberFormat="1" applyFont="1" applyFill="1" applyBorder="1" applyAlignment="1" applyProtection="1">
      <alignment horizontal="center" vertical="center"/>
      <protection locked="0"/>
    </xf>
    <xf numFmtId="1" fontId="33" fillId="7" borderId="86" xfId="3" applyNumberFormat="1" applyFont="1" applyFill="1" applyBorder="1" applyAlignment="1" applyProtection="1">
      <alignment horizontal="center" vertical="center"/>
      <protection locked="0"/>
    </xf>
    <xf numFmtId="9" fontId="19" fillId="7" borderId="39" xfId="2" applyFont="1" applyFill="1" applyBorder="1" applyAlignment="1">
      <alignment horizontal="center" vertical="center"/>
    </xf>
    <xf numFmtId="166" fontId="19" fillId="7" borderId="48" xfId="3" applyNumberFormat="1" applyFont="1" applyFill="1" applyBorder="1" applyAlignment="1">
      <alignment horizontal="center" vertical="center"/>
    </xf>
    <xf numFmtId="1" fontId="19" fillId="7" borderId="48" xfId="3" applyNumberFormat="1" applyFont="1" applyFill="1" applyBorder="1" applyAlignment="1">
      <alignment horizontal="center" vertical="center"/>
    </xf>
    <xf numFmtId="1" fontId="19" fillId="7" borderId="90" xfId="3" applyNumberFormat="1" applyFont="1" applyFill="1" applyBorder="1" applyAlignment="1">
      <alignment horizontal="center" vertical="center"/>
    </xf>
    <xf numFmtId="0" fontId="19" fillId="7" borderId="93" xfId="3" applyFont="1" applyFill="1" applyBorder="1" applyAlignment="1">
      <alignment horizontal="center" vertical="center"/>
    </xf>
    <xf numFmtId="1" fontId="19" fillId="7" borderId="91" xfId="3" applyNumberFormat="1" applyFont="1" applyFill="1" applyBorder="1" applyAlignment="1">
      <alignment horizontal="center" vertical="center"/>
    </xf>
    <xf numFmtId="0" fontId="21" fillId="2" borderId="48" xfId="3" applyFont="1" applyFill="1" applyBorder="1" applyAlignment="1">
      <alignment horizontal="center" vertical="center"/>
    </xf>
    <xf numFmtId="0" fontId="21" fillId="2" borderId="9" xfId="3" applyFont="1" applyFill="1" applyBorder="1" applyAlignment="1">
      <alignment horizontal="center" vertical="center"/>
    </xf>
    <xf numFmtId="0" fontId="21" fillId="2" borderId="56" xfId="3" applyFont="1" applyFill="1" applyBorder="1" applyAlignment="1">
      <alignment horizontal="center" vertical="center"/>
    </xf>
    <xf numFmtId="0" fontId="21" fillId="7" borderId="39" xfId="3" applyFont="1" applyFill="1" applyBorder="1" applyAlignment="1">
      <alignment horizontal="center" vertical="center"/>
    </xf>
    <xf numFmtId="1" fontId="21" fillId="7" borderId="39" xfId="3" applyNumberFormat="1" applyFont="1" applyFill="1" applyBorder="1" applyAlignment="1" applyProtection="1">
      <alignment horizontal="center" vertical="center"/>
      <protection locked="0"/>
    </xf>
    <xf numFmtId="1" fontId="19" fillId="7" borderId="50" xfId="3" applyNumberFormat="1" applyFont="1" applyFill="1" applyBorder="1" applyAlignment="1">
      <alignment horizontal="center" vertical="center"/>
    </xf>
    <xf numFmtId="0" fontId="19" fillId="7" borderId="52" xfId="3" applyFont="1" applyFill="1" applyBorder="1" applyAlignment="1">
      <alignment horizontal="center" vertical="center"/>
    </xf>
    <xf numFmtId="9" fontId="19" fillId="7" borderId="48" xfId="2" applyFont="1" applyFill="1" applyBorder="1" applyAlignment="1">
      <alignment horizontal="center" vertical="center"/>
    </xf>
    <xf numFmtId="0" fontId="19" fillId="7" borderId="9" xfId="3" applyFont="1" applyFill="1" applyBorder="1" applyAlignment="1">
      <alignment horizontal="center" vertical="center"/>
    </xf>
    <xf numFmtId="1" fontId="24" fillId="8" borderId="21" xfId="3" applyNumberFormat="1" applyFont="1" applyFill="1" applyBorder="1" applyAlignment="1" applyProtection="1">
      <alignment horizontal="center" vertical="center"/>
      <protection locked="0"/>
    </xf>
    <xf numFmtId="1" fontId="24" fillId="8" borderId="23" xfId="3" applyNumberFormat="1" applyFont="1" applyFill="1" applyBorder="1" applyAlignment="1" applyProtection="1">
      <alignment horizontal="center" vertical="center"/>
      <protection locked="0"/>
    </xf>
    <xf numFmtId="167" fontId="19" fillId="8" borderId="30" xfId="1" applyNumberFormat="1" applyFont="1" applyFill="1" applyBorder="1" applyAlignment="1">
      <alignment horizontal="center" vertical="center"/>
    </xf>
    <xf numFmtId="1" fontId="24" fillId="8" borderId="85" xfId="3" applyNumberFormat="1" applyFont="1" applyFill="1" applyBorder="1" applyAlignment="1" applyProtection="1">
      <alignment horizontal="center" vertical="center"/>
      <protection locked="0"/>
    </xf>
    <xf numFmtId="1" fontId="24" fillId="8" borderId="86" xfId="3" applyNumberFormat="1" applyFont="1" applyFill="1" applyBorder="1" applyAlignment="1" applyProtection="1">
      <alignment horizontal="center" vertical="center"/>
      <protection locked="0"/>
    </xf>
    <xf numFmtId="0" fontId="19" fillId="8" borderId="52" xfId="3" applyFont="1" applyFill="1" applyBorder="1" applyAlignment="1">
      <alignment horizontal="center" vertical="center"/>
    </xf>
    <xf numFmtId="1" fontId="24" fillId="7" borderId="21" xfId="3" applyNumberFormat="1" applyFont="1" applyFill="1" applyBorder="1" applyAlignment="1" applyProtection="1">
      <alignment horizontal="center" vertical="center"/>
      <protection locked="0"/>
    </xf>
    <xf numFmtId="1" fontId="24" fillId="7" borderId="23" xfId="3" applyNumberFormat="1" applyFont="1" applyFill="1" applyBorder="1" applyAlignment="1" applyProtection="1">
      <alignment horizontal="center" vertical="center"/>
      <protection locked="0"/>
    </xf>
    <xf numFmtId="167" fontId="19" fillId="7" borderId="51" xfId="1" applyNumberFormat="1" applyFont="1" applyFill="1" applyBorder="1" applyAlignment="1">
      <alignment horizontal="center" vertical="center"/>
    </xf>
    <xf numFmtId="167" fontId="19" fillId="7" borderId="30" xfId="1" applyNumberFormat="1" applyFont="1" applyFill="1" applyBorder="1" applyAlignment="1">
      <alignment horizontal="center" vertical="center"/>
    </xf>
    <xf numFmtId="1" fontId="24" fillId="7" borderId="85" xfId="3" applyNumberFormat="1" applyFont="1" applyFill="1" applyBorder="1" applyAlignment="1" applyProtection="1">
      <alignment horizontal="center" vertical="center"/>
      <protection locked="0"/>
    </xf>
    <xf numFmtId="1" fontId="24" fillId="7" borderId="86" xfId="3" applyNumberFormat="1" applyFont="1" applyFill="1" applyBorder="1" applyAlignment="1" applyProtection="1">
      <alignment horizontal="center" vertical="center"/>
      <protection locked="0"/>
    </xf>
    <xf numFmtId="0" fontId="25" fillId="8" borderId="52" xfId="3" applyFont="1" applyFill="1" applyBorder="1" applyAlignment="1">
      <alignment horizontal="center" vertical="center"/>
    </xf>
    <xf numFmtId="9" fontId="25" fillId="8" borderId="9" xfId="2" applyFont="1" applyFill="1" applyBorder="1" applyAlignment="1">
      <alignment horizontal="center" vertical="center"/>
    </xf>
    <xf numFmtId="1" fontId="25" fillId="8" borderId="9" xfId="3" applyNumberFormat="1" applyFont="1" applyFill="1" applyBorder="1" applyAlignment="1">
      <alignment horizontal="center" vertical="center"/>
    </xf>
    <xf numFmtId="1" fontId="25" fillId="8" borderId="53" xfId="3" applyNumberFormat="1" applyFont="1" applyFill="1" applyBorder="1" applyAlignment="1">
      <alignment horizontal="center" vertical="center"/>
    </xf>
    <xf numFmtId="0" fontId="25" fillId="8" borderId="54" xfId="3" applyFont="1" applyFill="1" applyBorder="1" applyAlignment="1">
      <alignment horizontal="center" vertical="center"/>
    </xf>
    <xf numFmtId="1" fontId="25" fillId="8" borderId="6" xfId="3" applyNumberFormat="1" applyFont="1" applyFill="1" applyBorder="1" applyAlignment="1">
      <alignment horizontal="center" vertical="center"/>
    </xf>
    <xf numFmtId="0" fontId="25" fillId="8" borderId="14" xfId="3" applyFont="1" applyFill="1" applyBorder="1" applyAlignment="1">
      <alignment horizontal="center" vertical="center"/>
    </xf>
    <xf numFmtId="9" fontId="25" fillId="8" borderId="6" xfId="2" applyFont="1" applyFill="1" applyBorder="1" applyAlignment="1">
      <alignment horizontal="center" vertical="center"/>
    </xf>
    <xf numFmtId="9" fontId="25" fillId="8" borderId="14" xfId="2" applyFont="1" applyFill="1" applyBorder="1" applyAlignment="1">
      <alignment horizontal="center" vertical="center"/>
    </xf>
    <xf numFmtId="166" fontId="25" fillId="8" borderId="9" xfId="3" applyNumberFormat="1" applyFont="1" applyFill="1" applyBorder="1" applyAlignment="1">
      <alignment horizontal="center" vertical="center"/>
    </xf>
    <xf numFmtId="9" fontId="25" fillId="7" borderId="48" xfId="2" applyFont="1" applyFill="1" applyBorder="1" applyAlignment="1">
      <alignment horizontal="center" vertical="center"/>
    </xf>
    <xf numFmtId="9" fontId="25" fillId="7" borderId="9" xfId="2" applyFont="1" applyFill="1" applyBorder="1" applyAlignment="1">
      <alignment horizontal="center" vertical="center"/>
    </xf>
    <xf numFmtId="1" fontId="25" fillId="7" borderId="48" xfId="3" applyNumberFormat="1" applyFont="1" applyFill="1" applyBorder="1" applyAlignment="1">
      <alignment horizontal="center" vertical="center"/>
    </xf>
    <xf numFmtId="1" fontId="25" fillId="7" borderId="9" xfId="3" applyNumberFormat="1" applyFont="1" applyFill="1" applyBorder="1" applyAlignment="1">
      <alignment horizontal="center" vertical="center"/>
    </xf>
    <xf numFmtId="0" fontId="25" fillId="7" borderId="9" xfId="3" applyFont="1" applyFill="1" applyBorder="1" applyAlignment="1">
      <alignment horizontal="center" vertical="center"/>
    </xf>
    <xf numFmtId="9" fontId="25" fillId="7" borderId="39" xfId="2" applyFont="1" applyFill="1" applyBorder="1" applyAlignment="1">
      <alignment horizontal="center" vertical="center"/>
    </xf>
    <xf numFmtId="9" fontId="25" fillId="7" borderId="14" xfId="2" applyFont="1" applyFill="1" applyBorder="1" applyAlignment="1">
      <alignment horizontal="center" vertical="center"/>
    </xf>
    <xf numFmtId="166" fontId="25" fillId="7" borderId="48" xfId="3" applyNumberFormat="1" applyFont="1" applyFill="1" applyBorder="1" applyAlignment="1">
      <alignment horizontal="center" vertical="center"/>
    </xf>
    <xf numFmtId="166" fontId="25" fillId="7" borderId="9" xfId="3" applyNumberFormat="1" applyFont="1" applyFill="1" applyBorder="1" applyAlignment="1">
      <alignment horizontal="center" vertical="center"/>
    </xf>
    <xf numFmtId="1" fontId="25" fillId="7" borderId="50" xfId="3" applyNumberFormat="1" applyFont="1" applyFill="1" applyBorder="1" applyAlignment="1">
      <alignment horizontal="center" vertical="center"/>
    </xf>
    <xf numFmtId="0" fontId="25" fillId="7" borderId="52" xfId="3" applyFont="1" applyFill="1" applyBorder="1" applyAlignment="1">
      <alignment horizontal="center" vertical="center"/>
    </xf>
    <xf numFmtId="0" fontId="21" fillId="2" borderId="28" xfId="3" applyFont="1" applyFill="1" applyBorder="1" applyAlignment="1">
      <alignment horizontal="center" vertical="center"/>
    </xf>
    <xf numFmtId="1" fontId="8" fillId="8" borderId="21" xfId="3" applyNumberFormat="1" applyFont="1" applyFill="1" applyBorder="1" applyAlignment="1" applyProtection="1">
      <alignment horizontal="center" vertical="center"/>
      <protection locked="0"/>
    </xf>
    <xf numFmtId="1" fontId="8" fillId="8" borderId="23" xfId="3" applyNumberFormat="1" applyFont="1" applyFill="1" applyBorder="1" applyAlignment="1" applyProtection="1">
      <alignment horizontal="center" vertical="center"/>
      <protection locked="0"/>
    </xf>
    <xf numFmtId="9" fontId="25" fillId="11" borderId="9" xfId="2" applyFont="1" applyFill="1" applyBorder="1" applyAlignment="1">
      <alignment horizontal="center" vertical="center"/>
    </xf>
    <xf numFmtId="1" fontId="24" fillId="9" borderId="21" xfId="3" applyNumberFormat="1" applyFont="1" applyFill="1" applyBorder="1" applyAlignment="1">
      <alignment horizontal="center" vertical="center"/>
    </xf>
    <xf numFmtId="1" fontId="24" fillId="9" borderId="23" xfId="3" applyNumberFormat="1" applyFont="1" applyFill="1" applyBorder="1" applyAlignment="1">
      <alignment horizontal="center" vertical="center"/>
    </xf>
    <xf numFmtId="1" fontId="24" fillId="9" borderId="85" xfId="3" applyNumberFormat="1" applyFont="1" applyFill="1" applyBorder="1" applyAlignment="1">
      <alignment horizontal="center" vertical="center"/>
    </xf>
    <xf numFmtId="1" fontId="24" fillId="9" borderId="86" xfId="3" applyNumberFormat="1" applyFont="1" applyFill="1" applyBorder="1" applyAlignment="1">
      <alignment horizontal="center" vertical="center"/>
    </xf>
    <xf numFmtId="167" fontId="19" fillId="7" borderId="15" xfId="1" applyNumberFormat="1" applyFont="1" applyFill="1" applyBorder="1" applyAlignment="1">
      <alignment horizontal="center" vertical="center"/>
    </xf>
    <xf numFmtId="1" fontId="25" fillId="7" borderId="54" xfId="3" applyNumberFormat="1" applyFont="1" applyFill="1" applyBorder="1" applyAlignment="1">
      <alignment horizontal="center" vertical="center"/>
    </xf>
    <xf numFmtId="9" fontId="25" fillId="11" borderId="14" xfId="2" applyFont="1" applyFill="1" applyBorder="1" applyAlignment="1">
      <alignment horizontal="center" vertical="center"/>
    </xf>
    <xf numFmtId="1" fontId="25" fillId="7" borderId="14" xfId="3" applyNumberFormat="1" applyFont="1" applyFill="1" applyBorder="1" applyAlignment="1">
      <alignment horizontal="center" vertical="center"/>
    </xf>
    <xf numFmtId="0" fontId="21" fillId="0" borderId="39" xfId="3" applyFont="1" applyFill="1" applyBorder="1" applyAlignment="1">
      <alignment horizontal="center" vertical="center"/>
    </xf>
    <xf numFmtId="0" fontId="21" fillId="0" borderId="19" xfId="3" applyFont="1" applyFill="1" applyBorder="1" applyAlignment="1">
      <alignment horizontal="center" vertical="center"/>
    </xf>
    <xf numFmtId="0" fontId="21" fillId="0" borderId="28" xfId="3" applyFont="1" applyFill="1" applyBorder="1" applyAlignment="1">
      <alignment horizontal="center" vertical="center"/>
    </xf>
    <xf numFmtId="0" fontId="21" fillId="0" borderId="21" xfId="3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horizontal="center" vertical="center"/>
    </xf>
    <xf numFmtId="0" fontId="21" fillId="0" borderId="23" xfId="3" applyFont="1" applyFill="1" applyBorder="1" applyAlignment="1">
      <alignment horizontal="center" vertical="center"/>
    </xf>
    <xf numFmtId="0" fontId="18" fillId="6" borderId="57" xfId="3" applyFont="1" applyFill="1" applyBorder="1" applyAlignment="1">
      <alignment horizontal="center" vertical="center"/>
    </xf>
    <xf numFmtId="0" fontId="18" fillId="6" borderId="58" xfId="3" applyFont="1" applyFill="1" applyBorder="1" applyAlignment="1">
      <alignment horizontal="center" vertical="center"/>
    </xf>
    <xf numFmtId="0" fontId="18" fillId="6" borderId="60" xfId="3" applyFont="1" applyFill="1" applyBorder="1" applyAlignment="1">
      <alignment horizontal="center" vertical="center"/>
    </xf>
    <xf numFmtId="167" fontId="19" fillId="8" borderId="55" xfId="1" applyNumberFormat="1" applyFont="1" applyFill="1" applyBorder="1" applyAlignment="1">
      <alignment horizontal="center" vertical="center"/>
    </xf>
    <xf numFmtId="1" fontId="25" fillId="8" borderId="52" xfId="3" applyNumberFormat="1" applyFont="1" applyFill="1" applyBorder="1" applyAlignment="1">
      <alignment horizontal="center" vertical="center"/>
    </xf>
    <xf numFmtId="0" fontId="25" fillId="8" borderId="53" xfId="3" applyFont="1" applyFill="1" applyBorder="1" applyAlignment="1">
      <alignment horizontal="center" vertical="center"/>
    </xf>
    <xf numFmtId="9" fontId="25" fillId="11" borderId="6" xfId="2" applyFont="1" applyFill="1" applyBorder="1" applyAlignment="1">
      <alignment horizontal="center" vertical="center"/>
    </xf>
    <xf numFmtId="1" fontId="34" fillId="7" borderId="21" xfId="3" applyNumberFormat="1" applyFont="1" applyFill="1" applyBorder="1" applyAlignment="1" applyProtection="1">
      <alignment horizontal="center" vertical="center"/>
      <protection locked="0"/>
    </xf>
    <xf numFmtId="1" fontId="34" fillId="7" borderId="23" xfId="3" applyNumberFormat="1" applyFont="1" applyFill="1" applyBorder="1" applyAlignment="1" applyProtection="1">
      <alignment horizontal="center" vertical="center"/>
      <protection locked="0"/>
    </xf>
    <xf numFmtId="1" fontId="25" fillId="9" borderId="21" xfId="3" applyNumberFormat="1" applyFont="1" applyFill="1" applyBorder="1" applyAlignment="1">
      <alignment horizontal="center" vertical="center"/>
    </xf>
    <xf numFmtId="1" fontId="25" fillId="9" borderId="23" xfId="3" applyNumberFormat="1" applyFont="1" applyFill="1" applyBorder="1" applyAlignment="1">
      <alignment horizontal="center" vertical="center"/>
    </xf>
    <xf numFmtId="1" fontId="25" fillId="5" borderId="21" xfId="3" applyNumberFormat="1" applyFont="1" applyFill="1" applyBorder="1" applyAlignment="1">
      <alignment horizontal="center" vertical="center"/>
    </xf>
    <xf numFmtId="1" fontId="25" fillId="5" borderId="23" xfId="3" applyNumberFormat="1" applyFont="1" applyFill="1" applyBorder="1" applyAlignment="1">
      <alignment horizontal="center" vertical="center"/>
    </xf>
    <xf numFmtId="1" fontId="25" fillId="7" borderId="21" xfId="3" applyNumberFormat="1" applyFont="1" applyFill="1" applyBorder="1" applyAlignment="1" applyProtection="1">
      <alignment horizontal="center" vertical="center"/>
      <protection locked="0"/>
    </xf>
    <xf numFmtId="1" fontId="25" fillId="7" borderId="23" xfId="3" applyNumberFormat="1" applyFont="1" applyFill="1" applyBorder="1" applyAlignment="1" applyProtection="1">
      <alignment horizontal="center" vertical="center"/>
      <protection locked="0"/>
    </xf>
    <xf numFmtId="9" fontId="25" fillId="11" borderId="48" xfId="2" applyFont="1" applyFill="1" applyBorder="1" applyAlignment="1">
      <alignment horizontal="center" vertical="center"/>
    </xf>
    <xf numFmtId="1" fontId="25" fillId="9" borderId="85" xfId="3" applyNumberFormat="1" applyFont="1" applyFill="1" applyBorder="1" applyAlignment="1">
      <alignment horizontal="center" vertical="center"/>
    </xf>
    <xf numFmtId="1" fontId="25" fillId="9" borderId="86" xfId="3" applyNumberFormat="1" applyFont="1" applyFill="1" applyBorder="1" applyAlignment="1">
      <alignment horizontal="center" vertical="center"/>
    </xf>
    <xf numFmtId="1" fontId="34" fillId="8" borderId="21" xfId="3" applyNumberFormat="1" applyFont="1" applyFill="1" applyBorder="1" applyAlignment="1" applyProtection="1">
      <alignment horizontal="center" vertical="center"/>
      <protection locked="0"/>
    </xf>
    <xf numFmtId="1" fontId="34" fillId="8" borderId="23" xfId="3" applyNumberFormat="1" applyFont="1" applyFill="1" applyBorder="1" applyAlignment="1" applyProtection="1">
      <alignment horizontal="center" vertical="center"/>
      <protection locked="0"/>
    </xf>
    <xf numFmtId="0" fontId="35" fillId="3" borderId="10" xfId="3" applyFont="1" applyFill="1" applyBorder="1" applyAlignment="1">
      <alignment horizontal="center" vertical="center"/>
    </xf>
    <xf numFmtId="1" fontId="40" fillId="7" borderId="21" xfId="3" applyNumberFormat="1" applyFont="1" applyFill="1" applyBorder="1" applyAlignment="1" applyProtection="1">
      <alignment horizontal="center" vertical="center"/>
      <protection locked="0"/>
    </xf>
    <xf numFmtId="1" fontId="40" fillId="7" borderId="23" xfId="3" applyNumberFormat="1" applyFont="1" applyFill="1" applyBorder="1" applyAlignment="1" applyProtection="1">
      <alignment horizontal="center" vertical="center"/>
      <protection locked="0"/>
    </xf>
    <xf numFmtId="1" fontId="8" fillId="7" borderId="21" xfId="3" applyNumberFormat="1" applyFont="1" applyFill="1" applyBorder="1" applyAlignment="1" applyProtection="1">
      <alignment horizontal="center" vertical="center"/>
      <protection locked="0"/>
    </xf>
    <xf numFmtId="1" fontId="8" fillId="7" borderId="23" xfId="3" applyNumberFormat="1" applyFont="1" applyFill="1" applyBorder="1" applyAlignment="1" applyProtection="1">
      <alignment horizontal="center" vertical="center"/>
      <protection locked="0"/>
    </xf>
    <xf numFmtId="1" fontId="8" fillId="9" borderId="21" xfId="3" applyNumberFormat="1" applyFont="1" applyFill="1" applyBorder="1" applyAlignment="1">
      <alignment horizontal="center" vertical="center"/>
    </xf>
    <xf numFmtId="1" fontId="8" fillId="9" borderId="23" xfId="3" applyNumberFormat="1" applyFont="1" applyFill="1" applyBorder="1" applyAlignment="1">
      <alignment horizontal="center" vertical="center"/>
    </xf>
    <xf numFmtId="1" fontId="8" fillId="9" borderId="85" xfId="3" applyNumberFormat="1" applyFont="1" applyFill="1" applyBorder="1" applyAlignment="1">
      <alignment horizontal="center" vertical="center"/>
    </xf>
    <xf numFmtId="1" fontId="8" fillId="9" borderId="86" xfId="3" applyNumberFormat="1" applyFont="1" applyFill="1" applyBorder="1" applyAlignment="1">
      <alignment horizontal="center" vertical="center"/>
    </xf>
    <xf numFmtId="1" fontId="8" fillId="5" borderId="21" xfId="3" applyNumberFormat="1" applyFont="1" applyFill="1" applyBorder="1" applyAlignment="1">
      <alignment horizontal="center" vertical="center"/>
    </xf>
    <xf numFmtId="1" fontId="8" fillId="5" borderId="23" xfId="3" applyNumberFormat="1" applyFont="1" applyFill="1" applyBorder="1" applyAlignment="1">
      <alignment horizontal="center" vertical="center"/>
    </xf>
    <xf numFmtId="1" fontId="33" fillId="9" borderId="21" xfId="3" applyNumberFormat="1" applyFont="1" applyFill="1" applyBorder="1" applyAlignment="1">
      <alignment horizontal="center" vertical="center"/>
    </xf>
    <xf numFmtId="1" fontId="33" fillId="9" borderId="23" xfId="3" applyNumberFormat="1" applyFont="1" applyFill="1" applyBorder="1" applyAlignment="1">
      <alignment horizontal="center" vertical="center"/>
    </xf>
    <xf numFmtId="1" fontId="33" fillId="9" borderId="85" xfId="3" applyNumberFormat="1" applyFont="1" applyFill="1" applyBorder="1" applyAlignment="1">
      <alignment horizontal="center" vertical="center"/>
    </xf>
    <xf numFmtId="1" fontId="24" fillId="5" borderId="86" xfId="3" applyNumberFormat="1" applyFont="1" applyFill="1" applyBorder="1" applyAlignment="1">
      <alignment horizontal="center" vertical="center"/>
    </xf>
    <xf numFmtId="1" fontId="39" fillId="9" borderId="21" xfId="3" applyNumberFormat="1" applyFont="1" applyFill="1" applyBorder="1" applyAlignment="1">
      <alignment horizontal="center" vertical="center"/>
    </xf>
    <xf numFmtId="1" fontId="39" fillId="9" borderId="23" xfId="3" applyNumberFormat="1" applyFont="1" applyFill="1" applyBorder="1" applyAlignment="1">
      <alignment horizontal="center" vertical="center"/>
    </xf>
    <xf numFmtId="1" fontId="39" fillId="9" borderId="85" xfId="3" applyNumberFormat="1" applyFont="1" applyFill="1" applyBorder="1" applyAlignment="1">
      <alignment horizontal="center" vertical="center"/>
    </xf>
    <xf numFmtId="1" fontId="8" fillId="5" borderId="86" xfId="3" applyNumberFormat="1" applyFont="1" applyFill="1" applyBorder="1" applyAlignment="1">
      <alignment horizontal="center" vertical="center"/>
    </xf>
    <xf numFmtId="0" fontId="21" fillId="7" borderId="19" xfId="3" applyFont="1" applyFill="1" applyBorder="1" applyAlignment="1">
      <alignment horizontal="center" vertical="center"/>
    </xf>
    <xf numFmtId="1" fontId="21" fillId="7" borderId="19" xfId="3" applyNumberFormat="1" applyFont="1" applyFill="1" applyBorder="1" applyAlignment="1" applyProtection="1">
      <alignment horizontal="center" vertical="center"/>
      <protection locked="0"/>
    </xf>
    <xf numFmtId="16" fontId="23" fillId="6" borderId="47" xfId="3" applyNumberFormat="1" applyFont="1" applyFill="1" applyBorder="1" applyAlignment="1" applyProtection="1">
      <alignment horizontal="center" vertical="center"/>
      <protection locked="0"/>
    </xf>
    <xf numFmtId="16" fontId="23" fillId="6" borderId="27" xfId="3" applyNumberFormat="1" applyFont="1" applyFill="1" applyBorder="1" applyAlignment="1" applyProtection="1">
      <alignment horizontal="center" vertical="center"/>
      <protection locked="0"/>
    </xf>
    <xf numFmtId="16" fontId="23" fillId="6" borderId="26" xfId="3" applyNumberFormat="1" applyFont="1" applyFill="1" applyBorder="1" applyAlignment="1" applyProtection="1">
      <alignment horizontal="center" vertical="center"/>
      <protection locked="0"/>
    </xf>
    <xf numFmtId="0" fontId="19" fillId="0" borderId="39" xfId="3" applyFont="1" applyFill="1" applyBorder="1" applyAlignment="1">
      <alignment horizontal="center" vertical="center"/>
    </xf>
    <xf numFmtId="0" fontId="19" fillId="0" borderId="28" xfId="3" applyFont="1" applyFill="1" applyBorder="1" applyAlignment="1">
      <alignment horizontal="center" vertical="center"/>
    </xf>
    <xf numFmtId="0" fontId="19" fillId="0" borderId="43" xfId="3" applyFont="1" applyFill="1" applyBorder="1" applyAlignment="1">
      <alignment horizontal="center" vertical="center"/>
    </xf>
    <xf numFmtId="0" fontId="19" fillId="0" borderId="29" xfId="3" applyFont="1" applyFill="1" applyBorder="1" applyAlignment="1">
      <alignment horizontal="center" vertical="center"/>
    </xf>
    <xf numFmtId="16" fontId="2" fillId="6" borderId="47" xfId="3" applyNumberFormat="1" applyFont="1" applyFill="1" applyBorder="1" applyAlignment="1" applyProtection="1">
      <alignment horizontal="center" vertical="center"/>
      <protection locked="0"/>
    </xf>
    <xf numFmtId="16" fontId="2" fillId="6" borderId="27" xfId="3" applyNumberFormat="1" applyFont="1" applyFill="1" applyBorder="1" applyAlignment="1" applyProtection="1">
      <alignment horizontal="center" vertical="center"/>
      <protection locked="0"/>
    </xf>
    <xf numFmtId="16" fontId="23" fillId="6" borderId="80" xfId="3" applyNumberFormat="1" applyFont="1" applyFill="1" applyBorder="1" applyAlignment="1" applyProtection="1">
      <alignment horizontal="center" vertical="center"/>
      <protection locked="0"/>
    </xf>
    <xf numFmtId="16" fontId="23" fillId="6" borderId="81" xfId="3" applyNumberFormat="1" applyFont="1" applyFill="1" applyBorder="1" applyAlignment="1" applyProtection="1">
      <alignment horizontal="center" vertical="center"/>
      <protection locked="0"/>
    </xf>
    <xf numFmtId="0" fontId="18" fillId="0" borderId="39" xfId="3" applyFont="1" applyFill="1" applyBorder="1" applyAlignment="1">
      <alignment horizontal="center" vertical="center"/>
    </xf>
    <xf numFmtId="0" fontId="18" fillId="0" borderId="28" xfId="3" applyFont="1" applyFill="1" applyBorder="1" applyAlignment="1">
      <alignment horizontal="center" vertical="center"/>
    </xf>
    <xf numFmtId="0" fontId="18" fillId="0" borderId="39" xfId="3" applyFont="1" applyFill="1" applyBorder="1" applyAlignment="1">
      <alignment horizontal="center" vertical="center" wrapText="1"/>
    </xf>
    <xf numFmtId="0" fontId="18" fillId="0" borderId="28" xfId="3" applyFont="1" applyFill="1" applyBorder="1" applyAlignment="1">
      <alignment horizontal="center" vertical="center" wrapText="1"/>
    </xf>
    <xf numFmtId="0" fontId="18" fillId="0" borderId="43" xfId="3" applyFont="1" applyFill="1" applyBorder="1" applyAlignment="1">
      <alignment horizontal="center" vertical="center" wrapText="1"/>
    </xf>
    <xf numFmtId="0" fontId="18" fillId="0" borderId="29" xfId="3" applyFont="1" applyFill="1" applyBorder="1" applyAlignment="1">
      <alignment horizontal="center" vertical="center" wrapText="1"/>
    </xf>
    <xf numFmtId="0" fontId="19" fillId="0" borderId="42" xfId="3" applyFont="1" applyFill="1" applyBorder="1" applyAlignment="1">
      <alignment horizontal="center" vertical="center"/>
    </xf>
    <xf numFmtId="0" fontId="19" fillId="0" borderId="46" xfId="3" applyFont="1" applyFill="1" applyBorder="1" applyAlignment="1">
      <alignment horizontal="center" vertical="center"/>
    </xf>
    <xf numFmtId="1" fontId="19" fillId="0" borderId="39" xfId="3" applyNumberFormat="1" applyFont="1" applyFill="1" applyBorder="1" applyAlignment="1">
      <alignment horizontal="center" vertical="center"/>
    </xf>
    <xf numFmtId="1" fontId="19" fillId="0" borderId="28" xfId="3" applyNumberFormat="1" applyFont="1" applyFill="1" applyBorder="1" applyAlignment="1">
      <alignment horizontal="center" vertical="center"/>
    </xf>
    <xf numFmtId="16" fontId="18" fillId="6" borderId="40" xfId="3" applyNumberFormat="1" applyFont="1" applyFill="1" applyBorder="1" applyAlignment="1" applyProtection="1">
      <alignment horizontal="center" vertical="center"/>
      <protection locked="0"/>
    </xf>
    <xf numFmtId="0" fontId="18" fillId="6" borderId="32" xfId="3" applyFont="1" applyFill="1" applyBorder="1" applyAlignment="1" applyProtection="1">
      <alignment horizontal="center" vertical="center"/>
      <protection locked="0"/>
    </xf>
    <xf numFmtId="0" fontId="18" fillId="6" borderId="40" xfId="3" applyFont="1" applyFill="1" applyBorder="1" applyAlignment="1" applyProtection="1">
      <alignment horizontal="center" vertical="center"/>
      <protection locked="0"/>
    </xf>
    <xf numFmtId="0" fontId="18" fillId="0" borderId="42" xfId="3" applyFont="1" applyFill="1" applyBorder="1" applyAlignment="1">
      <alignment horizontal="center" vertical="center"/>
    </xf>
    <xf numFmtId="0" fontId="18" fillId="0" borderId="46" xfId="3" applyFont="1" applyFill="1" applyBorder="1" applyAlignment="1">
      <alignment horizontal="center" vertical="center"/>
    </xf>
    <xf numFmtId="0" fontId="18" fillId="6" borderId="79" xfId="3" applyFont="1" applyFill="1" applyBorder="1" applyAlignment="1" applyProtection="1">
      <alignment horizontal="center" vertical="center"/>
      <protection locked="0"/>
    </xf>
    <xf numFmtId="0" fontId="18" fillId="6" borderId="41" xfId="3" applyFont="1" applyFill="1" applyBorder="1" applyAlignment="1" applyProtection="1">
      <alignment horizontal="center" vertical="center"/>
      <protection locked="0"/>
    </xf>
    <xf numFmtId="0" fontId="18" fillId="6" borderId="78" xfId="3" applyFont="1" applyFill="1" applyBorder="1" applyAlignment="1" applyProtection="1">
      <alignment horizontal="center" vertical="center"/>
      <protection locked="0"/>
    </xf>
    <xf numFmtId="0" fontId="30" fillId="10" borderId="40" xfId="3" applyFont="1" applyFill="1" applyBorder="1" applyAlignment="1">
      <alignment horizontal="center" vertical="center"/>
    </xf>
    <xf numFmtId="0" fontId="30" fillId="10" borderId="32" xfId="3" applyFont="1" applyFill="1" applyBorder="1" applyAlignment="1">
      <alignment horizontal="center" vertical="center"/>
    </xf>
    <xf numFmtId="0" fontId="30" fillId="10" borderId="41" xfId="3" applyFont="1" applyFill="1" applyBorder="1" applyAlignment="1">
      <alignment horizontal="center" vertical="center"/>
    </xf>
    <xf numFmtId="0" fontId="16" fillId="2" borderId="31" xfId="3" applyFont="1" applyFill="1" applyBorder="1" applyAlignment="1">
      <alignment horizontal="center" vertical="center"/>
    </xf>
    <xf numFmtId="0" fontId="16" fillId="2" borderId="32" xfId="3" applyFont="1" applyFill="1" applyBorder="1" applyAlignment="1">
      <alignment horizontal="center" vertical="center"/>
    </xf>
    <xf numFmtId="0" fontId="16" fillId="4" borderId="31" xfId="3" applyFont="1" applyFill="1" applyBorder="1" applyAlignment="1">
      <alignment horizontal="center" vertical="center"/>
    </xf>
    <xf numFmtId="0" fontId="16" fillId="4" borderId="32" xfId="3" applyFont="1" applyFill="1" applyBorder="1" applyAlignment="1">
      <alignment horizontal="center" vertical="center"/>
    </xf>
    <xf numFmtId="0" fontId="16" fillId="4" borderId="25" xfId="3" applyFont="1" applyFill="1" applyBorder="1" applyAlignment="1">
      <alignment horizontal="center" vertical="center"/>
    </xf>
    <xf numFmtId="0" fontId="16" fillId="4" borderId="26" xfId="3" applyFont="1" applyFill="1" applyBorder="1" applyAlignment="1">
      <alignment horizontal="center" vertical="center"/>
    </xf>
    <xf numFmtId="165" fontId="31" fillId="4" borderId="34" xfId="3" applyNumberFormat="1" applyFont="1" applyFill="1" applyBorder="1" applyAlignment="1">
      <alignment horizontal="center" vertical="center"/>
    </xf>
    <xf numFmtId="165" fontId="31" fillId="4" borderId="24" xfId="3" applyNumberFormat="1" applyFont="1" applyFill="1" applyBorder="1" applyAlignment="1">
      <alignment horizontal="center" vertical="center"/>
    </xf>
    <xf numFmtId="0" fontId="18" fillId="6" borderId="41" xfId="3" applyFont="1" applyFill="1" applyBorder="1" applyAlignment="1">
      <alignment horizontal="center" vertical="center"/>
    </xf>
    <xf numFmtId="0" fontId="18" fillId="6" borderId="27" xfId="3" applyFont="1" applyFill="1" applyBorder="1" applyAlignment="1">
      <alignment horizontal="center" vertical="center"/>
    </xf>
    <xf numFmtId="0" fontId="19" fillId="0" borderId="69" xfId="3" applyFont="1" applyFill="1" applyBorder="1" applyAlignment="1">
      <alignment horizontal="center" vertical="center"/>
    </xf>
    <xf numFmtId="0" fontId="19" fillId="0" borderId="70" xfId="3" applyFont="1" applyFill="1" applyBorder="1" applyAlignment="1">
      <alignment horizontal="center" vertical="center"/>
    </xf>
    <xf numFmtId="0" fontId="19" fillId="0" borderId="71" xfId="3" applyFont="1" applyFill="1" applyBorder="1" applyAlignment="1">
      <alignment horizontal="center" vertical="center"/>
    </xf>
    <xf numFmtId="0" fontId="19" fillId="0" borderId="72" xfId="3" applyFont="1" applyFill="1" applyBorder="1" applyAlignment="1">
      <alignment horizontal="center" vertical="center"/>
    </xf>
    <xf numFmtId="0" fontId="19" fillId="0" borderId="73" xfId="3" applyFont="1" applyFill="1" applyBorder="1" applyAlignment="1">
      <alignment horizontal="center" vertical="center"/>
    </xf>
    <xf numFmtId="0" fontId="19" fillId="0" borderId="74" xfId="3" applyFont="1" applyFill="1" applyBorder="1" applyAlignment="1">
      <alignment horizontal="center" vertical="center"/>
    </xf>
    <xf numFmtId="1" fontId="19" fillId="8" borderId="52" xfId="3" applyNumberFormat="1" applyFont="1" applyFill="1" applyBorder="1" applyAlignment="1">
      <alignment horizontal="center" vertical="center"/>
    </xf>
    <xf numFmtId="0" fontId="19" fillId="8" borderId="9" xfId="3" applyFont="1" applyFill="1" applyBorder="1" applyAlignment="1">
      <alignment horizontal="center" vertical="center"/>
    </xf>
    <xf numFmtId="0" fontId="19" fillId="7" borderId="48" xfId="3" applyFont="1" applyFill="1" applyBorder="1" applyAlignment="1">
      <alignment horizontal="center" vertical="center"/>
    </xf>
    <xf numFmtId="0" fontId="22" fillId="3" borderId="10" xfId="3" applyFont="1" applyFill="1" applyBorder="1" applyAlignment="1">
      <alignment horizontal="center" vertical="center"/>
    </xf>
    <xf numFmtId="1" fontId="24" fillId="5" borderId="21" xfId="3" applyNumberFormat="1" applyFont="1" applyFill="1" applyBorder="1" applyAlignment="1" applyProtection="1">
      <alignment horizontal="center" vertical="center"/>
      <protection locked="0"/>
    </xf>
    <xf numFmtId="1" fontId="24" fillId="5" borderId="23" xfId="3" applyNumberFormat="1" applyFont="1" applyFill="1" applyBorder="1" applyAlignment="1" applyProtection="1">
      <alignment horizontal="center" vertical="center"/>
      <protection locked="0"/>
    </xf>
    <xf numFmtId="1" fontId="25" fillId="8" borderId="54" xfId="3" applyNumberFormat="1" applyFont="1" applyFill="1" applyBorder="1" applyAlignment="1">
      <alignment horizontal="center" vertical="center"/>
    </xf>
    <xf numFmtId="0" fontId="25" fillId="8" borderId="9" xfId="3" applyFont="1" applyFill="1" applyBorder="1" applyAlignment="1">
      <alignment horizontal="center" vertical="center"/>
    </xf>
    <xf numFmtId="0" fontId="25" fillId="7" borderId="14" xfId="3" applyFont="1" applyFill="1" applyBorder="1" applyAlignment="1">
      <alignment horizontal="center" vertical="center"/>
    </xf>
    <xf numFmtId="0" fontId="19" fillId="8" borderId="53" xfId="3" applyFont="1" applyFill="1" applyBorder="1" applyAlignment="1">
      <alignment horizontal="center" vertical="center"/>
    </xf>
    <xf numFmtId="9" fontId="19" fillId="11" borderId="9" xfId="2" applyFont="1" applyFill="1" applyBorder="1" applyAlignment="1">
      <alignment horizontal="center" vertical="center"/>
    </xf>
    <xf numFmtId="9" fontId="19" fillId="11" borderId="6" xfId="2" applyFont="1" applyFill="1" applyBorder="1" applyAlignment="1">
      <alignment horizontal="center" vertical="center"/>
    </xf>
    <xf numFmtId="0" fontId="19" fillId="8" borderId="6" xfId="3" applyFont="1" applyFill="1" applyBorder="1" applyAlignment="1">
      <alignment horizontal="center" vertical="center"/>
    </xf>
    <xf numFmtId="9" fontId="19" fillId="11" borderId="48" xfId="2" applyFont="1" applyFill="1" applyBorder="1" applyAlignment="1">
      <alignment horizontal="center" vertical="center"/>
    </xf>
    <xf numFmtId="1" fontId="8" fillId="5" borderId="21" xfId="3" applyNumberFormat="1" applyFont="1" applyFill="1" applyBorder="1" applyAlignment="1" applyProtection="1">
      <alignment horizontal="center" vertical="center"/>
      <protection locked="0"/>
    </xf>
    <xf numFmtId="1" fontId="8" fillId="5" borderId="23" xfId="3" applyNumberFormat="1" applyFont="1" applyFill="1" applyBorder="1" applyAlignment="1" applyProtection="1">
      <alignment horizontal="center" vertical="center"/>
      <protection locked="0"/>
    </xf>
    <xf numFmtId="0" fontId="13" fillId="6" borderId="56" xfId="3" applyFont="1" applyFill="1" applyBorder="1" applyAlignment="1">
      <alignment horizontal="center" vertical="center"/>
    </xf>
    <xf numFmtId="0" fontId="18" fillId="0" borderId="38" xfId="3" applyFont="1" applyFill="1" applyBorder="1" applyAlignment="1">
      <alignment horizontal="center" vertical="center"/>
    </xf>
    <xf numFmtId="0" fontId="21" fillId="0" borderId="43" xfId="3" applyFont="1" applyFill="1" applyBorder="1" applyAlignment="1">
      <alignment horizontal="center" vertical="center" wrapText="1"/>
    </xf>
    <xf numFmtId="0" fontId="21" fillId="0" borderId="29" xfId="3" applyFont="1" applyFill="1" applyBorder="1" applyAlignment="1">
      <alignment horizontal="center" vertical="center" wrapText="1"/>
    </xf>
    <xf numFmtId="0" fontId="19" fillId="0" borderId="38" xfId="3" applyFont="1" applyFill="1" applyBorder="1" applyAlignment="1">
      <alignment horizontal="center" vertical="center"/>
    </xf>
    <xf numFmtId="0" fontId="19" fillId="0" borderId="19" xfId="3" applyFont="1" applyFill="1" applyBorder="1" applyAlignment="1">
      <alignment horizontal="center" vertical="center"/>
    </xf>
    <xf numFmtId="0" fontId="21" fillId="0" borderId="42" xfId="3" applyFont="1" applyFill="1" applyBorder="1" applyAlignment="1">
      <alignment horizontal="center" vertical="center"/>
    </xf>
    <xf numFmtId="0" fontId="21" fillId="0" borderId="46" xfId="3" applyFont="1" applyFill="1" applyBorder="1" applyAlignment="1">
      <alignment horizontal="center" vertical="center"/>
    </xf>
    <xf numFmtId="0" fontId="18" fillId="0" borderId="0" xfId="3" applyFont="1" applyFill="1" applyBorder="1" applyAlignment="1">
      <alignment horizontal="center" vertical="center"/>
    </xf>
    <xf numFmtId="0" fontId="18" fillId="0" borderId="26" xfId="3" applyFont="1" applyFill="1" applyBorder="1" applyAlignment="1">
      <alignment horizontal="center" vertical="center"/>
    </xf>
    <xf numFmtId="0" fontId="18" fillId="0" borderId="31" xfId="3" applyFont="1" applyFill="1" applyBorder="1" applyAlignment="1">
      <alignment horizontal="center" vertical="center" wrapText="1"/>
    </xf>
    <xf numFmtId="0" fontId="18" fillId="0" borderId="32" xfId="3" applyFont="1" applyFill="1" applyBorder="1" applyAlignment="1">
      <alignment horizontal="center" vertical="center" wrapText="1"/>
    </xf>
    <xf numFmtId="0" fontId="18" fillId="0" borderId="33" xfId="3" applyFont="1" applyFill="1" applyBorder="1" applyAlignment="1">
      <alignment horizontal="center" vertical="center" wrapText="1"/>
    </xf>
    <xf numFmtId="0" fontId="18" fillId="0" borderId="25" xfId="3" applyFont="1" applyFill="1" applyBorder="1" applyAlignment="1">
      <alignment horizontal="center" vertical="center" wrapText="1"/>
    </xf>
    <xf numFmtId="0" fontId="18" fillId="0" borderId="26" xfId="3" applyFont="1" applyFill="1" applyBorder="1" applyAlignment="1">
      <alignment horizontal="center" vertical="center" wrapText="1"/>
    </xf>
    <xf numFmtId="0" fontId="18" fillId="0" borderId="36" xfId="3" applyFont="1" applyFill="1" applyBorder="1" applyAlignment="1">
      <alignment horizontal="center" vertical="center" wrapText="1"/>
    </xf>
    <xf numFmtId="0" fontId="19" fillId="0" borderId="31" xfId="3" applyFont="1" applyFill="1" applyBorder="1" applyAlignment="1">
      <alignment horizontal="center" vertical="center"/>
    </xf>
    <xf numFmtId="0" fontId="19" fillId="0" borderId="32" xfId="3" applyFont="1" applyFill="1" applyBorder="1" applyAlignment="1">
      <alignment horizontal="center" vertical="center"/>
    </xf>
    <xf numFmtId="0" fontId="19" fillId="0" borderId="33" xfId="3" applyFont="1" applyFill="1" applyBorder="1" applyAlignment="1">
      <alignment horizontal="center" vertical="center"/>
    </xf>
    <xf numFmtId="0" fontId="19" fillId="0" borderId="25" xfId="3" applyFont="1" applyFill="1" applyBorder="1" applyAlignment="1">
      <alignment horizontal="center" vertical="center"/>
    </xf>
    <xf numFmtId="0" fontId="19" fillId="0" borderId="26" xfId="3" applyFont="1" applyFill="1" applyBorder="1" applyAlignment="1">
      <alignment horizontal="center" vertical="center"/>
    </xf>
    <xf numFmtId="0" fontId="19" fillId="0" borderId="36" xfId="3" applyFont="1" applyFill="1" applyBorder="1" applyAlignment="1">
      <alignment horizontal="center" vertical="center"/>
    </xf>
    <xf numFmtId="0" fontId="18" fillId="6" borderId="38" xfId="3" applyFont="1" applyFill="1" applyBorder="1" applyAlignment="1">
      <alignment horizontal="center" vertical="center"/>
    </xf>
    <xf numFmtId="0" fontId="18" fillId="6" borderId="46" xfId="3" applyFont="1" applyFill="1" applyBorder="1" applyAlignment="1">
      <alignment horizontal="center" vertical="center"/>
    </xf>
    <xf numFmtId="0" fontId="18" fillId="6" borderId="19" xfId="3" applyFont="1" applyFill="1" applyBorder="1" applyAlignment="1">
      <alignment horizontal="center" vertical="center"/>
    </xf>
    <xf numFmtId="0" fontId="18" fillId="6" borderId="28" xfId="3" applyFont="1" applyFill="1" applyBorder="1" applyAlignment="1">
      <alignment horizontal="center" vertical="center"/>
    </xf>
    <xf numFmtId="0" fontId="18" fillId="6" borderId="39" xfId="3" applyFont="1" applyFill="1" applyBorder="1" applyAlignment="1">
      <alignment horizontal="center" vertical="center"/>
    </xf>
    <xf numFmtId="9" fontId="18" fillId="0" borderId="0" xfId="2" applyFont="1" applyFill="1" applyBorder="1" applyAlignment="1">
      <alignment horizontal="center" vertical="center"/>
    </xf>
    <xf numFmtId="9" fontId="18" fillId="0" borderId="26" xfId="2" applyFont="1" applyFill="1" applyBorder="1" applyAlignment="1">
      <alignment horizontal="center" vertical="center"/>
    </xf>
    <xf numFmtId="0" fontId="16" fillId="4" borderId="33" xfId="3" applyFont="1" applyFill="1" applyBorder="1" applyAlignment="1">
      <alignment horizontal="center" vertical="center"/>
    </xf>
    <xf numFmtId="0" fontId="16" fillId="4" borderId="36" xfId="3" applyFont="1" applyFill="1" applyBorder="1" applyAlignment="1">
      <alignment horizontal="center" vertical="center"/>
    </xf>
    <xf numFmtId="164" fontId="17" fillId="4" borderId="34" xfId="3" applyNumberFormat="1" applyFont="1" applyFill="1" applyBorder="1" applyAlignment="1">
      <alignment horizontal="center" vertical="center"/>
    </xf>
    <xf numFmtId="164" fontId="17" fillId="4" borderId="24" xfId="3" applyNumberFormat="1" applyFont="1" applyFill="1" applyBorder="1" applyAlignment="1">
      <alignment horizontal="center" vertical="center"/>
    </xf>
    <xf numFmtId="14" fontId="7" fillId="0" borderId="35" xfId="3" applyNumberFormat="1" applyFont="1" applyFill="1" applyBorder="1" applyAlignment="1">
      <alignment horizontal="center" vertical="center"/>
    </xf>
    <xf numFmtId="14" fontId="7" fillId="0" borderId="0" xfId="3" applyNumberFormat="1" applyFont="1" applyFill="1" applyBorder="1" applyAlignment="1">
      <alignment horizontal="center" vertical="center"/>
    </xf>
    <xf numFmtId="14" fontId="7" fillId="0" borderId="25" xfId="3" applyNumberFormat="1" applyFont="1" applyFill="1" applyBorder="1" applyAlignment="1">
      <alignment horizontal="center" vertical="center"/>
    </xf>
    <xf numFmtId="14" fontId="7" fillId="0" borderId="26" xfId="3" applyNumberFormat="1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8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25" xfId="3" applyFont="1" applyFill="1" applyBorder="1" applyAlignment="1">
      <alignment horizontal="center" vertical="center"/>
    </xf>
    <xf numFmtId="0" fontId="4" fillId="0" borderId="26" xfId="3" applyFont="1" applyFill="1" applyBorder="1" applyAlignment="1">
      <alignment horizontal="center" vertical="center"/>
    </xf>
    <xf numFmtId="0" fontId="4" fillId="0" borderId="27" xfId="3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center"/>
    </xf>
    <xf numFmtId="165" fontId="7" fillId="0" borderId="7" xfId="0" applyNumberFormat="1" applyFont="1" applyBorder="1" applyAlignment="1">
      <alignment horizontal="center" vertical="center"/>
    </xf>
    <xf numFmtId="165" fontId="7" fillId="0" borderId="8" xfId="0" applyNumberFormat="1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" fontId="25" fillId="8" borderId="21" xfId="3" applyNumberFormat="1" applyFont="1" applyFill="1" applyBorder="1" applyAlignment="1" applyProtection="1">
      <alignment horizontal="center" vertical="center"/>
      <protection locked="0"/>
    </xf>
    <xf numFmtId="1" fontId="25" fillId="8" borderId="23" xfId="3" applyNumberFormat="1" applyFont="1" applyFill="1" applyBorder="1" applyAlignment="1" applyProtection="1">
      <alignment horizontal="center" vertical="center"/>
      <protection locked="0"/>
    </xf>
    <xf numFmtId="169" fontId="8" fillId="0" borderId="31" xfId="0" applyNumberFormat="1" applyFont="1" applyBorder="1" applyAlignment="1">
      <alignment horizontal="center" vertical="center"/>
    </xf>
    <xf numFmtId="169" fontId="8" fillId="0" borderId="33" xfId="0" applyNumberFormat="1" applyFont="1" applyBorder="1" applyAlignment="1">
      <alignment horizontal="center" vertical="center"/>
    </xf>
    <xf numFmtId="169" fontId="8" fillId="0" borderId="25" xfId="0" applyNumberFormat="1" applyFont="1" applyBorder="1" applyAlignment="1">
      <alignment horizontal="center" vertical="center"/>
    </xf>
    <xf numFmtId="169" fontId="8" fillId="0" borderId="36" xfId="0" applyNumberFormat="1" applyFont="1" applyBorder="1" applyAlignment="1">
      <alignment horizontal="center" vertical="center"/>
    </xf>
    <xf numFmtId="0" fontId="29" fillId="11" borderId="10" xfId="3" applyFont="1" applyFill="1" applyBorder="1" applyAlignment="1">
      <alignment horizontal="center" vertical="center"/>
    </xf>
    <xf numFmtId="0" fontId="29" fillId="11" borderId="24" xfId="3" applyFont="1" applyFill="1" applyBorder="1" applyAlignment="1">
      <alignment horizontal="center" vertical="center"/>
    </xf>
    <xf numFmtId="0" fontId="5" fillId="5" borderId="42" xfId="3" applyFont="1" applyFill="1" applyBorder="1" applyAlignment="1">
      <alignment horizontal="center" vertical="center"/>
    </xf>
    <xf numFmtId="0" fontId="5" fillId="5" borderId="38" xfId="3" applyFont="1" applyFill="1" applyBorder="1" applyAlignment="1">
      <alignment horizontal="center" vertical="center"/>
    </xf>
    <xf numFmtId="0" fontId="5" fillId="5" borderId="46" xfId="3" applyFont="1" applyFill="1" applyBorder="1" applyAlignment="1">
      <alignment horizontal="center" vertical="center"/>
    </xf>
    <xf numFmtId="1" fontId="5" fillId="5" borderId="33" xfId="3" applyNumberFormat="1" applyFont="1" applyFill="1" applyBorder="1" applyAlignment="1">
      <alignment horizontal="center" vertical="center"/>
    </xf>
    <xf numFmtId="1" fontId="5" fillId="5" borderId="37" xfId="3" applyNumberFormat="1" applyFont="1" applyFill="1" applyBorder="1" applyAlignment="1">
      <alignment horizontal="center" vertical="center"/>
    </xf>
    <xf numFmtId="1" fontId="5" fillId="5" borderId="36" xfId="3" applyNumberFormat="1" applyFont="1" applyFill="1" applyBorder="1" applyAlignment="1">
      <alignment horizontal="center" vertical="center"/>
    </xf>
    <xf numFmtId="1" fontId="5" fillId="5" borderId="34" xfId="3" applyNumberFormat="1" applyFont="1" applyFill="1" applyBorder="1" applyAlignment="1">
      <alignment horizontal="center" vertical="center"/>
    </xf>
    <xf numFmtId="0" fontId="5" fillId="5" borderId="10" xfId="3" applyFont="1" applyFill="1" applyBorder="1" applyAlignment="1">
      <alignment horizontal="center" vertical="center"/>
    </xf>
    <xf numFmtId="0" fontId="5" fillId="5" borderId="24" xfId="3" applyFont="1" applyFill="1" applyBorder="1" applyAlignment="1">
      <alignment horizontal="center" vertical="center"/>
    </xf>
    <xf numFmtId="0" fontId="7" fillId="0" borderId="42" xfId="3" applyFont="1" applyFill="1" applyBorder="1" applyAlignment="1">
      <alignment horizontal="center" vertical="center"/>
    </xf>
    <xf numFmtId="0" fontId="7" fillId="0" borderId="46" xfId="3" applyFont="1" applyFill="1" applyBorder="1" applyAlignment="1">
      <alignment horizontal="center" vertical="center"/>
    </xf>
    <xf numFmtId="0" fontId="7" fillId="0" borderId="39" xfId="3" applyFont="1" applyFill="1" applyBorder="1" applyAlignment="1">
      <alignment horizontal="center" vertical="center"/>
    </xf>
    <xf numFmtId="0" fontId="7" fillId="0" borderId="28" xfId="3" applyFont="1" applyFill="1" applyBorder="1" applyAlignment="1">
      <alignment horizontal="center" vertical="center"/>
    </xf>
    <xf numFmtId="0" fontId="7" fillId="0" borderId="39" xfId="3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43" xfId="3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/>
    </xf>
    <xf numFmtId="0" fontId="5" fillId="5" borderId="33" xfId="3" applyFont="1" applyFill="1" applyBorder="1" applyAlignment="1">
      <alignment horizontal="center" vertical="center"/>
    </xf>
    <xf numFmtId="0" fontId="5" fillId="5" borderId="37" xfId="3" applyFont="1" applyFill="1" applyBorder="1" applyAlignment="1">
      <alignment horizontal="center" vertical="center"/>
    </xf>
    <xf numFmtId="0" fontId="5" fillId="5" borderId="36" xfId="3" applyFont="1" applyFill="1" applyBorder="1" applyAlignment="1">
      <alignment horizontal="center" vertical="center"/>
    </xf>
    <xf numFmtId="0" fontId="5" fillId="5" borderId="34" xfId="3" applyFont="1" applyFill="1" applyBorder="1" applyAlignment="1">
      <alignment horizontal="center" vertical="center"/>
    </xf>
    <xf numFmtId="0" fontId="18" fillId="5" borderId="1" xfId="3" applyFont="1" applyFill="1" applyBorder="1" applyAlignment="1">
      <alignment horizontal="center" vertical="center"/>
    </xf>
    <xf numFmtId="0" fontId="18" fillId="5" borderId="44" xfId="3" applyFont="1" applyFill="1" applyBorder="1" applyAlignment="1">
      <alignment horizontal="center" vertical="center"/>
    </xf>
    <xf numFmtId="0" fontId="18" fillId="5" borderId="31" xfId="3" applyFont="1" applyFill="1" applyBorder="1" applyAlignment="1">
      <alignment horizontal="center" vertical="center" wrapText="1"/>
    </xf>
    <xf numFmtId="0" fontId="18" fillId="5" borderId="32" xfId="3" applyFont="1" applyFill="1" applyBorder="1" applyAlignment="1">
      <alignment horizontal="center" vertical="center" wrapText="1"/>
    </xf>
    <xf numFmtId="0" fontId="18" fillId="5" borderId="33" xfId="3" applyFont="1" applyFill="1" applyBorder="1" applyAlignment="1">
      <alignment horizontal="center" vertical="center" wrapText="1"/>
    </xf>
    <xf numFmtId="0" fontId="18" fillId="5" borderId="25" xfId="3" applyFont="1" applyFill="1" applyBorder="1" applyAlignment="1">
      <alignment horizontal="center" vertical="center" wrapText="1"/>
    </xf>
    <xf numFmtId="0" fontId="18" fillId="5" borderId="26" xfId="3" applyFont="1" applyFill="1" applyBorder="1" applyAlignment="1">
      <alignment horizontal="center" vertical="center" wrapText="1"/>
    </xf>
    <xf numFmtId="0" fontId="18" fillId="5" borderId="36" xfId="3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 vertical="center"/>
    </xf>
  </cellXfs>
  <cellStyles count="5">
    <cellStyle name="3232 2 2" xfId="4"/>
    <cellStyle name="Milliers" xfId="1" builtinId="3"/>
    <cellStyle name="Normal" xfId="0" builtinId="0"/>
    <cellStyle name="Normal 3" xfId="3"/>
    <cellStyle name="Pourcentage" xfId="2" builtinId="5"/>
  </cellStyles>
  <dxfs count="5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ommun\PROJET-%20C%20REPORT\Test%20LCR%20C-%20Report\LCR%2016\Test%20lcr%20auto\WEMED\7_Projet_Dashboard%20copier-coller\Dashboard%20WEMED%2006%2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eet"/>
      <sheetName val="MDSEA SPERO"/>
      <sheetName val="CIELO DI AGADIR"/>
      <sheetName val="CORAJ 3"/>
      <sheetName val="RITSC 4"/>
      <sheetName val="ALLOC"/>
      <sheetName val="slide MM"/>
      <sheetName val="Recap"/>
      <sheetName val="Feuil1"/>
      <sheetName val="Feuil2"/>
    </sheetNames>
    <sheetDataSet>
      <sheetData sheetId="0">
        <row r="1">
          <cell r="C1" t="str">
            <v>NAVIRE</v>
          </cell>
          <cell r="D1" t="str">
            <v>CC</v>
          </cell>
          <cell r="E1" t="str">
            <v>Est. date of redelivery</v>
          </cell>
          <cell r="F1" t="str">
            <v>SERVICE</v>
          </cell>
          <cell r="G1" t="str">
            <v>IMO</v>
          </cell>
          <cell r="H1" t="str">
            <v>CRANES</v>
          </cell>
          <cell r="I1" t="str">
            <v xml:space="preserve"> NOMINAL</v>
          </cell>
          <cell r="J1" t="str">
            <v>TEUS
@14</v>
          </cell>
          <cell r="K1" t="str">
            <v>INTAKE
@ 14</v>
          </cell>
          <cell r="L1" t="str">
            <v>SUMMER
DRAFT</v>
          </cell>
          <cell r="M1" t="str">
            <v>LOA</v>
          </cell>
          <cell r="N1" t="str">
            <v>NT</v>
          </cell>
          <cell r="O1" t="str">
            <v>GT</v>
          </cell>
          <cell r="P1" t="str">
            <v>SUMMER
DEADWEIGHT</v>
          </cell>
          <cell r="Q1" t="str">
            <v>40RF CAP.</v>
          </cell>
          <cell r="R1" t="str">
            <v>CONS
@ ECO CP</v>
          </cell>
          <cell r="S1" t="str">
            <v>ECO
SPEED CP</v>
          </cell>
          <cell r="T1" t="str">
            <v>DAILY
CP GROSS RATE</v>
          </cell>
        </row>
        <row r="2">
          <cell r="C2" t="str">
            <v>OUED ZIZ</v>
          </cell>
          <cell r="D2" t="str">
            <v>Y</v>
          </cell>
          <cell r="E2" t="str">
            <v>OWNED</v>
          </cell>
          <cell r="F2" t="str">
            <v>MALTA TS</v>
          </cell>
          <cell r="G2">
            <v>9143855</v>
          </cell>
          <cell r="H2" t="str">
            <v>NO</v>
          </cell>
          <cell r="I2">
            <v>505</v>
          </cell>
          <cell r="J2">
            <v>350</v>
          </cell>
          <cell r="K2">
            <v>4900</v>
          </cell>
          <cell r="L2">
            <v>7.4</v>
          </cell>
          <cell r="M2">
            <v>114</v>
          </cell>
          <cell r="N2">
            <v>2540</v>
          </cell>
          <cell r="O2">
            <v>5638</v>
          </cell>
          <cell r="P2">
            <v>7373</v>
          </cell>
          <cell r="Q2">
            <v>40</v>
          </cell>
          <cell r="R2">
            <v>13</v>
          </cell>
          <cell r="S2">
            <v>11</v>
          </cell>
          <cell r="T2">
            <v>10287.046632124353</v>
          </cell>
        </row>
        <row r="3">
          <cell r="C3" t="str">
            <v>AVONMOOR</v>
          </cell>
          <cell r="D3" t="str">
            <v>Y</v>
          </cell>
          <cell r="E3">
            <v>42664</v>
          </cell>
          <cell r="F3" t="str">
            <v>MALTA TS</v>
          </cell>
          <cell r="G3">
            <v>9145279</v>
          </cell>
          <cell r="H3">
            <v>2</v>
          </cell>
          <cell r="I3">
            <v>737</v>
          </cell>
          <cell r="J3">
            <v>414</v>
          </cell>
          <cell r="K3">
            <v>5796</v>
          </cell>
          <cell r="L3">
            <v>7.9</v>
          </cell>
          <cell r="M3">
            <v>126.8</v>
          </cell>
          <cell r="N3">
            <v>3580</v>
          </cell>
          <cell r="O3">
            <v>7171</v>
          </cell>
          <cell r="P3">
            <v>8965</v>
          </cell>
          <cell r="Q3">
            <v>55</v>
          </cell>
          <cell r="R3">
            <v>13</v>
          </cell>
          <cell r="S3">
            <v>10</v>
          </cell>
          <cell r="T3">
            <v>6000</v>
          </cell>
        </row>
        <row r="4">
          <cell r="C4" t="str">
            <v>HH EAST</v>
          </cell>
          <cell r="D4" t="str">
            <v>Y</v>
          </cell>
          <cell r="E4">
            <v>42370</v>
          </cell>
          <cell r="F4" t="str">
            <v>MALTA TS</v>
          </cell>
          <cell r="G4">
            <v>9145267</v>
          </cell>
          <cell r="H4">
            <v>2</v>
          </cell>
          <cell r="I4">
            <v>737</v>
          </cell>
          <cell r="J4">
            <v>411</v>
          </cell>
          <cell r="K4">
            <v>5796</v>
          </cell>
          <cell r="L4">
            <v>7.9</v>
          </cell>
          <cell r="M4">
            <v>126.8</v>
          </cell>
          <cell r="N4">
            <v>3580</v>
          </cell>
          <cell r="O4">
            <v>7171</v>
          </cell>
          <cell r="P4">
            <v>8965</v>
          </cell>
          <cell r="Q4" t="str">
            <v>55 OD</v>
          </cell>
          <cell r="R4">
            <v>13.5</v>
          </cell>
          <cell r="S4">
            <v>11</v>
          </cell>
          <cell r="T4">
            <v>5274.6113989637306</v>
          </cell>
        </row>
        <row r="5">
          <cell r="C5" t="str">
            <v>HH NORTH</v>
          </cell>
          <cell r="D5" t="str">
            <v>Y</v>
          </cell>
          <cell r="E5">
            <v>42591</v>
          </cell>
          <cell r="F5" t="str">
            <v>MALTA TS</v>
          </cell>
          <cell r="G5">
            <v>9151876</v>
          </cell>
          <cell r="H5">
            <v>2</v>
          </cell>
          <cell r="I5">
            <v>737</v>
          </cell>
          <cell r="J5">
            <v>414</v>
          </cell>
          <cell r="K5">
            <v>5796</v>
          </cell>
          <cell r="L5">
            <v>7.9</v>
          </cell>
          <cell r="M5">
            <v>126.8</v>
          </cell>
          <cell r="N5">
            <v>3580</v>
          </cell>
          <cell r="O5">
            <v>7171</v>
          </cell>
          <cell r="P5">
            <v>8965</v>
          </cell>
          <cell r="Q5">
            <v>55</v>
          </cell>
          <cell r="R5">
            <v>21.5</v>
          </cell>
          <cell r="S5">
            <v>15</v>
          </cell>
          <cell r="T5">
            <v>6000</v>
          </cell>
        </row>
        <row r="6">
          <cell r="C6" t="str">
            <v>HH WEST</v>
          </cell>
          <cell r="D6" t="str">
            <v>Y</v>
          </cell>
          <cell r="E6">
            <v>42357</v>
          </cell>
          <cell r="F6" t="str">
            <v>EURO NAF SHUTTLE MRS</v>
          </cell>
          <cell r="G6">
            <v>9145255</v>
          </cell>
          <cell r="H6">
            <v>2</v>
          </cell>
          <cell r="I6">
            <v>737</v>
          </cell>
          <cell r="J6">
            <v>411</v>
          </cell>
          <cell r="K6">
            <v>5754</v>
          </cell>
          <cell r="L6">
            <v>7.9</v>
          </cell>
          <cell r="M6">
            <v>126.8</v>
          </cell>
          <cell r="N6">
            <v>3580</v>
          </cell>
          <cell r="O6">
            <v>7171</v>
          </cell>
          <cell r="P6">
            <v>8965</v>
          </cell>
          <cell r="Q6" t="str">
            <v>55 OD</v>
          </cell>
          <cell r="R6">
            <v>16.5</v>
          </cell>
          <cell r="S6">
            <v>13</v>
          </cell>
          <cell r="T6">
            <v>5284.9740932642489</v>
          </cell>
        </row>
        <row r="7">
          <cell r="C7" t="str">
            <v>JANINA</v>
          </cell>
          <cell r="D7" t="str">
            <v>Y</v>
          </cell>
          <cell r="E7">
            <v>42438</v>
          </cell>
          <cell r="F7" t="str">
            <v>MALTA TS</v>
          </cell>
          <cell r="G7">
            <v>9235385</v>
          </cell>
          <cell r="H7">
            <v>2</v>
          </cell>
          <cell r="I7">
            <v>677</v>
          </cell>
          <cell r="J7">
            <v>460</v>
          </cell>
          <cell r="K7">
            <v>6440</v>
          </cell>
          <cell r="L7">
            <v>7.1</v>
          </cell>
          <cell r="M7">
            <v>121.8</v>
          </cell>
          <cell r="N7">
            <v>3258</v>
          </cell>
          <cell r="O7">
            <v>6409</v>
          </cell>
          <cell r="P7">
            <v>8350</v>
          </cell>
          <cell r="Q7">
            <v>126</v>
          </cell>
          <cell r="R7">
            <v>20</v>
          </cell>
          <cell r="S7">
            <v>13</v>
          </cell>
          <cell r="T7">
            <v>5800</v>
          </cell>
        </row>
        <row r="8">
          <cell r="C8" t="str">
            <v>HOLANDIA</v>
          </cell>
          <cell r="D8" t="str">
            <v>Y</v>
          </cell>
          <cell r="E8" t="str">
            <v>--</v>
          </cell>
          <cell r="F8" t="str">
            <v>TUNIS TANGER XPRESS</v>
          </cell>
          <cell r="G8">
            <v>9204506</v>
          </cell>
          <cell r="H8">
            <v>2</v>
          </cell>
          <cell r="I8">
            <v>889</v>
          </cell>
          <cell r="J8">
            <v>530</v>
          </cell>
          <cell r="K8">
            <v>7420</v>
          </cell>
          <cell r="L8">
            <v>7.7</v>
          </cell>
          <cell r="M8">
            <v>133.4</v>
          </cell>
          <cell r="N8">
            <v>3427</v>
          </cell>
          <cell r="O8">
            <v>8737</v>
          </cell>
          <cell r="P8">
            <v>9113</v>
          </cell>
          <cell r="Q8">
            <v>160</v>
          </cell>
          <cell r="R8">
            <v>22</v>
          </cell>
          <cell r="S8">
            <v>14.5</v>
          </cell>
          <cell r="T8">
            <v>6352.3316062176164</v>
          </cell>
        </row>
        <row r="9">
          <cell r="C9" t="str">
            <v>FAS DAMMAM</v>
          </cell>
          <cell r="D9" t="str">
            <v>Y</v>
          </cell>
          <cell r="E9">
            <v>42431</v>
          </cell>
          <cell r="F9" t="str">
            <v>TUNIS TANGER XPRESS</v>
          </cell>
          <cell r="G9">
            <v>9160920</v>
          </cell>
          <cell r="H9">
            <v>2</v>
          </cell>
          <cell r="I9">
            <v>847</v>
          </cell>
          <cell r="J9">
            <v>554</v>
          </cell>
          <cell r="K9">
            <v>7756</v>
          </cell>
          <cell r="L9">
            <v>8.6999999999999993</v>
          </cell>
          <cell r="M9">
            <v>131.80000000000001</v>
          </cell>
          <cell r="N9">
            <v>4186</v>
          </cell>
          <cell r="O9">
            <v>9068</v>
          </cell>
          <cell r="P9">
            <v>11174</v>
          </cell>
          <cell r="Q9">
            <v>47</v>
          </cell>
          <cell r="R9">
            <v>25</v>
          </cell>
          <cell r="S9">
            <v>12</v>
          </cell>
          <cell r="T9">
            <v>6050</v>
          </cell>
        </row>
        <row r="10">
          <cell r="C10" t="str">
            <v>KARINA</v>
          </cell>
          <cell r="D10" t="str">
            <v>Y</v>
          </cell>
          <cell r="E10">
            <v>42431</v>
          </cell>
          <cell r="F10" t="str">
            <v>MALTA TS</v>
          </cell>
          <cell r="G10">
            <v>9179555</v>
          </cell>
          <cell r="H10">
            <v>2</v>
          </cell>
          <cell r="I10">
            <v>847</v>
          </cell>
          <cell r="J10">
            <v>554</v>
          </cell>
          <cell r="K10">
            <v>7756</v>
          </cell>
          <cell r="L10">
            <v>8.6999999999999993</v>
          </cell>
          <cell r="M10">
            <v>131.80000000000001</v>
          </cell>
          <cell r="N10">
            <v>4186</v>
          </cell>
          <cell r="O10">
            <v>9068</v>
          </cell>
          <cell r="P10">
            <v>11174</v>
          </cell>
          <cell r="Q10">
            <v>50</v>
          </cell>
          <cell r="R10">
            <v>25</v>
          </cell>
          <cell r="S10">
            <v>12</v>
          </cell>
          <cell r="T10">
            <v>6050</v>
          </cell>
        </row>
        <row r="11">
          <cell r="C11" t="str">
            <v>NICOLA</v>
          </cell>
          <cell r="D11" t="str">
            <v>Y</v>
          </cell>
          <cell r="E11">
            <v>42431</v>
          </cell>
          <cell r="F11" t="str">
            <v>EURO NAF SHUTTLE MRS</v>
          </cell>
          <cell r="G11">
            <v>9179567</v>
          </cell>
          <cell r="H11">
            <v>2</v>
          </cell>
          <cell r="I11">
            <v>847</v>
          </cell>
          <cell r="J11">
            <v>554</v>
          </cell>
          <cell r="K11">
            <v>7756</v>
          </cell>
          <cell r="L11">
            <v>8.6999999999999993</v>
          </cell>
          <cell r="M11">
            <v>131.80000000000001</v>
          </cell>
          <cell r="N11">
            <v>4186</v>
          </cell>
          <cell r="O11">
            <v>9068</v>
          </cell>
          <cell r="P11">
            <v>11012</v>
          </cell>
          <cell r="Q11">
            <v>50</v>
          </cell>
          <cell r="R11">
            <v>25</v>
          </cell>
          <cell r="S11">
            <v>12</v>
          </cell>
          <cell r="T11">
            <v>6050</v>
          </cell>
        </row>
        <row r="12">
          <cell r="C12" t="str">
            <v>CIELO DI CASABLANCA</v>
          </cell>
          <cell r="D12" t="str">
            <v>Y</v>
          </cell>
          <cell r="E12">
            <v>42438</v>
          </cell>
          <cell r="F12" t="str">
            <v>MORROCO SHUTTLE</v>
          </cell>
          <cell r="G12">
            <v>9143879</v>
          </cell>
          <cell r="H12">
            <v>2</v>
          </cell>
          <cell r="I12">
            <v>951</v>
          </cell>
          <cell r="J12">
            <v>585</v>
          </cell>
          <cell r="K12">
            <v>8190</v>
          </cell>
          <cell r="L12"/>
          <cell r="M12">
            <v>133.69999999999999</v>
          </cell>
          <cell r="N12">
            <v>4020</v>
          </cell>
          <cell r="O12">
            <v>9146</v>
          </cell>
          <cell r="P12">
            <v>9950</v>
          </cell>
          <cell r="Q12">
            <v>150</v>
          </cell>
          <cell r="R12">
            <v>24</v>
          </cell>
          <cell r="S12">
            <v>14</v>
          </cell>
          <cell r="T12">
            <v>7975</v>
          </cell>
        </row>
        <row r="13">
          <cell r="C13" t="str">
            <v>BF ESPERANZA</v>
          </cell>
          <cell r="D13" t="str">
            <v>Y</v>
          </cell>
          <cell r="E13">
            <v>42431</v>
          </cell>
          <cell r="F13" t="str">
            <v>AGAPOV</v>
          </cell>
          <cell r="G13">
            <v>9252785</v>
          </cell>
          <cell r="H13">
            <v>2</v>
          </cell>
          <cell r="I13">
            <v>862</v>
          </cell>
          <cell r="J13">
            <v>595</v>
          </cell>
          <cell r="K13">
            <v>8330</v>
          </cell>
          <cell r="L13">
            <v>8.7100000000000009</v>
          </cell>
          <cell r="M13">
            <v>134.4</v>
          </cell>
          <cell r="N13">
            <v>6006</v>
          </cell>
          <cell r="O13">
            <v>9990</v>
          </cell>
          <cell r="P13">
            <v>12386</v>
          </cell>
          <cell r="Q13">
            <v>180</v>
          </cell>
          <cell r="R13">
            <v>21</v>
          </cell>
          <cell r="S13">
            <v>13</v>
          </cell>
          <cell r="T13">
            <v>6500</v>
          </cell>
        </row>
        <row r="14">
          <cell r="C14" t="str">
            <v>BF CARODA</v>
          </cell>
          <cell r="D14" t="str">
            <v>Y</v>
          </cell>
          <cell r="E14">
            <v>42431</v>
          </cell>
          <cell r="F14" t="str">
            <v>AGAPOV</v>
          </cell>
          <cell r="G14">
            <v>9297618</v>
          </cell>
          <cell r="H14">
            <v>2</v>
          </cell>
          <cell r="I14">
            <v>862</v>
          </cell>
          <cell r="J14">
            <v>595</v>
          </cell>
          <cell r="K14">
            <v>8330</v>
          </cell>
          <cell r="L14">
            <v>8.7100000000000009</v>
          </cell>
          <cell r="M14">
            <v>134.4</v>
          </cell>
          <cell r="N14">
            <v>6006</v>
          </cell>
          <cell r="O14">
            <v>9990</v>
          </cell>
          <cell r="P14">
            <v>12386</v>
          </cell>
          <cell r="Q14">
            <v>180</v>
          </cell>
          <cell r="R14">
            <v>21</v>
          </cell>
          <cell r="S14">
            <v>13</v>
          </cell>
          <cell r="T14">
            <v>6500</v>
          </cell>
        </row>
        <row r="15">
          <cell r="C15" t="str">
            <v>CONESTE</v>
          </cell>
          <cell r="D15" t="str">
            <v>Y</v>
          </cell>
          <cell r="E15">
            <v>42439</v>
          </cell>
          <cell r="F15" t="str">
            <v>AGAPOV</v>
          </cell>
          <cell r="G15">
            <v>9252802</v>
          </cell>
          <cell r="H15">
            <v>2</v>
          </cell>
          <cell r="I15">
            <v>862</v>
          </cell>
          <cell r="J15">
            <v>585</v>
          </cell>
          <cell r="K15">
            <v>8190</v>
          </cell>
          <cell r="L15">
            <v>8.7100000000000009</v>
          </cell>
          <cell r="M15">
            <v>134.4</v>
          </cell>
          <cell r="N15">
            <v>6006</v>
          </cell>
          <cell r="O15">
            <v>9990</v>
          </cell>
          <cell r="P15">
            <v>11153</v>
          </cell>
          <cell r="Q15">
            <v>180</v>
          </cell>
          <cell r="R15">
            <v>24.3</v>
          </cell>
          <cell r="S15">
            <v>14.5</v>
          </cell>
          <cell r="T15">
            <v>6350</v>
          </cell>
        </row>
        <row r="16">
          <cell r="C16" t="str">
            <v>EEMSDIJK</v>
          </cell>
          <cell r="D16" t="str">
            <v>Y</v>
          </cell>
          <cell r="E16">
            <v>42346</v>
          </cell>
          <cell r="F16" t="str">
            <v>EURO NAF SHUTTLE MRS</v>
          </cell>
          <cell r="G16">
            <v>9295531</v>
          </cell>
          <cell r="H16">
            <v>2</v>
          </cell>
          <cell r="I16">
            <v>869</v>
          </cell>
          <cell r="J16">
            <v>603</v>
          </cell>
          <cell r="K16">
            <v>8442</v>
          </cell>
          <cell r="L16">
            <v>8.6999999999999993</v>
          </cell>
          <cell r="M16">
            <v>140.69999999999999</v>
          </cell>
          <cell r="N16">
            <v>5198</v>
          </cell>
          <cell r="O16">
            <v>9935</v>
          </cell>
          <cell r="P16">
            <v>12400</v>
          </cell>
          <cell r="Q16">
            <v>189</v>
          </cell>
          <cell r="R16">
            <v>27</v>
          </cell>
          <cell r="S16">
            <v>13</v>
          </cell>
          <cell r="T16">
            <v>6269.4300518134714</v>
          </cell>
        </row>
        <row r="17">
          <cell r="C17" t="str">
            <v>VEGA OMIKRON</v>
          </cell>
          <cell r="D17" t="str">
            <v>Y</v>
          </cell>
          <cell r="E17" t="str">
            <v>PI (tbc)</v>
          </cell>
          <cell r="F17" t="str">
            <v>TUNIS TANGER XPRESS</v>
          </cell>
          <cell r="G17"/>
          <cell r="H17">
            <v>2</v>
          </cell>
          <cell r="I17">
            <v>957</v>
          </cell>
          <cell r="J17">
            <v>604</v>
          </cell>
          <cell r="K17">
            <v>8456</v>
          </cell>
          <cell r="L17">
            <v>8.8000000000000007</v>
          </cell>
          <cell r="M17">
            <v>139.1</v>
          </cell>
          <cell r="N17">
            <v>4900</v>
          </cell>
          <cell r="O17">
            <v>9981</v>
          </cell>
          <cell r="P17">
            <v>11789</v>
          </cell>
          <cell r="Q17">
            <v>244</v>
          </cell>
          <cell r="R17">
            <v>37</v>
          </cell>
          <cell r="S17">
            <v>18</v>
          </cell>
          <cell r="T17"/>
        </row>
        <row r="18">
          <cell r="C18" t="str">
            <v>HANSE RELIANCE</v>
          </cell>
          <cell r="D18" t="str">
            <v>Y</v>
          </cell>
          <cell r="E18">
            <v>42322</v>
          </cell>
          <cell r="F18" t="str">
            <v>MALTA TS</v>
          </cell>
          <cell r="G18"/>
          <cell r="H18">
            <v>2</v>
          </cell>
          <cell r="I18">
            <v>966</v>
          </cell>
          <cell r="J18">
            <v>604</v>
          </cell>
          <cell r="K18">
            <v>8456</v>
          </cell>
          <cell r="L18">
            <v>8.8000000000000007</v>
          </cell>
          <cell r="M18">
            <v>139.1</v>
          </cell>
          <cell r="N18">
            <v>4900</v>
          </cell>
          <cell r="O18">
            <v>9981</v>
          </cell>
          <cell r="P18">
            <v>11810</v>
          </cell>
          <cell r="Q18">
            <v>244</v>
          </cell>
          <cell r="R18">
            <v>28</v>
          </cell>
          <cell r="S18">
            <v>14.2</v>
          </cell>
          <cell r="T18">
            <v>6800</v>
          </cell>
        </row>
        <row r="19">
          <cell r="C19" t="str">
            <v>ALEXANDER SIBUM</v>
          </cell>
          <cell r="D19" t="str">
            <v>Y</v>
          </cell>
          <cell r="E19">
            <v>42408</v>
          </cell>
          <cell r="F19" t="str">
            <v>MALTA TS</v>
          </cell>
          <cell r="G19">
            <v>9347798</v>
          </cell>
          <cell r="H19">
            <v>2</v>
          </cell>
          <cell r="I19">
            <v>966</v>
          </cell>
          <cell r="J19">
            <v>604</v>
          </cell>
          <cell r="K19">
            <v>8456</v>
          </cell>
          <cell r="L19">
            <v>8.8000000000000007</v>
          </cell>
          <cell r="M19">
            <v>139.1</v>
          </cell>
          <cell r="N19">
            <v>4900</v>
          </cell>
          <cell r="O19">
            <v>9996</v>
          </cell>
          <cell r="P19">
            <v>11500</v>
          </cell>
          <cell r="Q19">
            <v>240</v>
          </cell>
          <cell r="R19">
            <v>23</v>
          </cell>
          <cell r="S19">
            <v>11</v>
          </cell>
          <cell r="T19">
            <v>8000</v>
          </cell>
        </row>
        <row r="20">
          <cell r="C20" t="str">
            <v>CMA CGM AGADIR</v>
          </cell>
          <cell r="D20" t="str">
            <v>Y</v>
          </cell>
          <cell r="E20">
            <v>42311</v>
          </cell>
          <cell r="F20" t="str">
            <v>EURO NAF SHUTTLE MRS</v>
          </cell>
          <cell r="G20">
            <v>9362956</v>
          </cell>
          <cell r="H20">
            <v>2</v>
          </cell>
          <cell r="I20">
            <v>966</v>
          </cell>
          <cell r="J20">
            <v>604</v>
          </cell>
          <cell r="K20">
            <v>8456</v>
          </cell>
          <cell r="L20">
            <v>8.8000000000000007</v>
          </cell>
          <cell r="M20">
            <v>139.1</v>
          </cell>
          <cell r="N20">
            <v>4900</v>
          </cell>
          <cell r="O20">
            <v>9996</v>
          </cell>
          <cell r="P20">
            <v>11500</v>
          </cell>
          <cell r="Q20">
            <v>240</v>
          </cell>
          <cell r="R20">
            <v>28</v>
          </cell>
          <cell r="S20">
            <v>15</v>
          </cell>
          <cell r="T20">
            <v>6953.3678756476684</v>
          </cell>
        </row>
        <row r="21">
          <cell r="C21" t="str">
            <v>HOHEPLATE</v>
          </cell>
          <cell r="D21" t="str">
            <v>Y</v>
          </cell>
          <cell r="E21">
            <v>42323</v>
          </cell>
          <cell r="F21" t="str">
            <v>MALTA TS</v>
          </cell>
          <cell r="G21">
            <v>9366237</v>
          </cell>
          <cell r="H21">
            <v>2</v>
          </cell>
          <cell r="I21">
            <v>966</v>
          </cell>
          <cell r="J21">
            <v>604</v>
          </cell>
          <cell r="K21">
            <v>8456</v>
          </cell>
          <cell r="L21">
            <v>8.8000000000000007</v>
          </cell>
          <cell r="M21">
            <v>139.1</v>
          </cell>
          <cell r="N21">
            <v>4900</v>
          </cell>
          <cell r="O21">
            <v>9996</v>
          </cell>
          <cell r="P21">
            <v>11850</v>
          </cell>
          <cell r="Q21">
            <v>252</v>
          </cell>
          <cell r="R21">
            <v>18</v>
          </cell>
          <cell r="S21">
            <v>10</v>
          </cell>
          <cell r="T21">
            <v>6849.7409326424877</v>
          </cell>
        </row>
        <row r="22">
          <cell r="C22" t="str">
            <v>VEGA CARINA</v>
          </cell>
          <cell r="D22" t="str">
            <v>Y</v>
          </cell>
          <cell r="E22" t="str">
            <v>--</v>
          </cell>
          <cell r="F22" t="str">
            <v>TANGER ALGERIE SHUTTLE</v>
          </cell>
          <cell r="G22">
            <v>9319595</v>
          </cell>
          <cell r="H22">
            <v>2</v>
          </cell>
          <cell r="I22">
            <v>966</v>
          </cell>
          <cell r="J22">
            <v>604</v>
          </cell>
          <cell r="K22">
            <v>8456</v>
          </cell>
          <cell r="L22">
            <v>8.8000000000000007</v>
          </cell>
          <cell r="M22">
            <v>139.1</v>
          </cell>
          <cell r="N22">
            <v>4900</v>
          </cell>
          <cell r="O22">
            <v>9996</v>
          </cell>
          <cell r="P22">
            <v>11500</v>
          </cell>
          <cell r="Q22">
            <v>240</v>
          </cell>
          <cell r="R22">
            <v>26</v>
          </cell>
          <cell r="S22">
            <v>14.7</v>
          </cell>
          <cell r="T22">
            <v>6352.3316062176164</v>
          </cell>
        </row>
        <row r="23">
          <cell r="C23" t="str">
            <v>STADT BREMERHAVEN</v>
          </cell>
          <cell r="D23" t="str">
            <v>Y</v>
          </cell>
          <cell r="E23">
            <v>42323</v>
          </cell>
          <cell r="F23" t="str">
            <v>EURO NAF SHUTTLE MRS</v>
          </cell>
          <cell r="G23">
            <v>9338278</v>
          </cell>
          <cell r="H23">
            <v>2</v>
          </cell>
          <cell r="I23">
            <v>1019</v>
          </cell>
          <cell r="J23">
            <v>700</v>
          </cell>
          <cell r="K23">
            <v>9800</v>
          </cell>
          <cell r="L23">
            <v>8.5</v>
          </cell>
          <cell r="M23">
            <v>148</v>
          </cell>
          <cell r="N23">
            <v>5117</v>
          </cell>
          <cell r="O23">
            <v>9954</v>
          </cell>
          <cell r="P23">
            <v>13760</v>
          </cell>
          <cell r="Q23">
            <v>204</v>
          </cell>
          <cell r="R23">
            <v>25</v>
          </cell>
          <cell r="S23">
            <v>15</v>
          </cell>
          <cell r="T23">
            <v>7305.6994818652856</v>
          </cell>
        </row>
        <row r="24">
          <cell r="C24" t="str">
            <v>DEVON STRAIT</v>
          </cell>
          <cell r="D24" t="str">
            <v>Y</v>
          </cell>
          <cell r="E24">
            <v>42297</v>
          </cell>
          <cell r="F24" t="str">
            <v>MALTA TS</v>
          </cell>
          <cell r="G24">
            <v>9406843</v>
          </cell>
          <cell r="H24">
            <v>2</v>
          </cell>
          <cell r="I24">
            <v>1118</v>
          </cell>
          <cell r="J24">
            <v>712</v>
          </cell>
          <cell r="K24">
            <v>9968</v>
          </cell>
          <cell r="L24">
            <v>8.5</v>
          </cell>
          <cell r="M24">
            <v>148</v>
          </cell>
          <cell r="N24">
            <v>5032</v>
          </cell>
          <cell r="O24">
            <v>9957</v>
          </cell>
          <cell r="P24">
            <v>13760</v>
          </cell>
          <cell r="Q24">
            <v>187</v>
          </cell>
          <cell r="R24">
            <v>29</v>
          </cell>
          <cell r="S24">
            <v>16</v>
          </cell>
          <cell r="T24">
            <v>7202.072538860104</v>
          </cell>
        </row>
        <row r="25">
          <cell r="C25" t="str">
            <v>OPS HAMBURG</v>
          </cell>
          <cell r="D25" t="str">
            <v>Y</v>
          </cell>
          <cell r="E25">
            <v>42471</v>
          </cell>
          <cell r="F25" t="str">
            <v>EURO NAF SHUTTLE MRS</v>
          </cell>
          <cell r="G25">
            <v>9406829</v>
          </cell>
          <cell r="H25">
            <v>2</v>
          </cell>
          <cell r="I25">
            <v>1080</v>
          </cell>
          <cell r="J25">
            <v>700</v>
          </cell>
          <cell r="K25">
            <v>9800</v>
          </cell>
          <cell r="L25">
            <v>8.5</v>
          </cell>
          <cell r="M25">
            <v>147.80000000000001</v>
          </cell>
          <cell r="N25">
            <v>5032</v>
          </cell>
          <cell r="O25">
            <v>9957</v>
          </cell>
          <cell r="P25">
            <v>13760</v>
          </cell>
          <cell r="Q25">
            <v>187</v>
          </cell>
          <cell r="R25">
            <v>30.5</v>
          </cell>
          <cell r="S25">
            <v>15</v>
          </cell>
          <cell r="T25">
            <v>7600</v>
          </cell>
        </row>
        <row r="26">
          <cell r="C26" t="str">
            <v>JSP LEVANTE</v>
          </cell>
          <cell r="D26" t="str">
            <v>Y</v>
          </cell>
          <cell r="E26">
            <v>42389</v>
          </cell>
          <cell r="F26" t="str">
            <v>EURO NAF SHUTTLE MRS</v>
          </cell>
          <cell r="G26"/>
          <cell r="H26">
            <v>2</v>
          </cell>
          <cell r="I26">
            <v>1114</v>
          </cell>
          <cell r="J26">
            <v>696</v>
          </cell>
          <cell r="K26">
            <v>9744</v>
          </cell>
          <cell r="L26">
            <v>8.5</v>
          </cell>
          <cell r="M26">
            <v>148</v>
          </cell>
          <cell r="N26">
            <v>5020</v>
          </cell>
          <cell r="O26">
            <v>9957</v>
          </cell>
          <cell r="P26">
            <v>13632</v>
          </cell>
          <cell r="Q26">
            <v>220</v>
          </cell>
          <cell r="R26">
            <v>23</v>
          </cell>
          <cell r="S26">
            <v>13</v>
          </cell>
          <cell r="T26">
            <v>8000</v>
          </cell>
        </row>
        <row r="27">
          <cell r="C27" t="str">
            <v>VEGA SIGMA</v>
          </cell>
          <cell r="D27" t="str">
            <v>Y</v>
          </cell>
          <cell r="E27">
            <v>42401</v>
          </cell>
          <cell r="F27" t="str">
            <v>EURO NAF SHUTTLE MRS</v>
          </cell>
          <cell r="G27">
            <v>9330240</v>
          </cell>
          <cell r="H27">
            <v>2</v>
          </cell>
          <cell r="I27">
            <v>1118</v>
          </cell>
          <cell r="J27">
            <v>712</v>
          </cell>
          <cell r="K27">
            <v>9968</v>
          </cell>
          <cell r="L27">
            <v>8.5</v>
          </cell>
          <cell r="M27">
            <v>148</v>
          </cell>
          <cell r="N27">
            <v>5020</v>
          </cell>
          <cell r="O27">
            <v>9940</v>
          </cell>
          <cell r="P27">
            <v>13667.4</v>
          </cell>
          <cell r="Q27">
            <v>187</v>
          </cell>
          <cell r="R27">
            <v>29</v>
          </cell>
          <cell r="S27">
            <v>13.5</v>
          </cell>
          <cell r="T27">
            <v>6103.6269430051816</v>
          </cell>
        </row>
        <row r="28">
          <cell r="C28" t="str">
            <v>AHS ST GEORG</v>
          </cell>
          <cell r="D28" t="str">
            <v>Y</v>
          </cell>
          <cell r="E28">
            <v>42418</v>
          </cell>
          <cell r="F28" t="str">
            <v>EURO NAF SHUTTLE MRS</v>
          </cell>
          <cell r="G28">
            <v>9139634</v>
          </cell>
          <cell r="H28">
            <v>2</v>
          </cell>
          <cell r="I28">
            <v>1138</v>
          </cell>
          <cell r="J28">
            <v>715</v>
          </cell>
          <cell r="K28">
            <v>10010</v>
          </cell>
          <cell r="L28">
            <v>7.8</v>
          </cell>
          <cell r="M28">
            <v>149</v>
          </cell>
          <cell r="N28">
            <v>5070</v>
          </cell>
          <cell r="O28">
            <v>10384</v>
          </cell>
          <cell r="P28">
            <v>12310</v>
          </cell>
          <cell r="Q28">
            <v>240</v>
          </cell>
          <cell r="R28">
            <v>26</v>
          </cell>
          <cell r="S28">
            <v>14.5</v>
          </cell>
          <cell r="T28">
            <v>7800</v>
          </cell>
        </row>
        <row r="29">
          <cell r="C29" t="str">
            <v>CORONA J</v>
          </cell>
          <cell r="D29" t="str">
            <v>Y</v>
          </cell>
          <cell r="E29">
            <v>42415</v>
          </cell>
          <cell r="F29" t="str">
            <v>MALTA TS</v>
          </cell>
          <cell r="G29">
            <v>9238686</v>
          </cell>
          <cell r="H29">
            <v>2</v>
          </cell>
          <cell r="I29">
            <v>1209</v>
          </cell>
          <cell r="J29">
            <v>941</v>
          </cell>
          <cell r="K29">
            <v>13174</v>
          </cell>
          <cell r="L29">
            <v>9.5</v>
          </cell>
          <cell r="M29">
            <v>161.1</v>
          </cell>
          <cell r="N29">
            <v>6440</v>
          </cell>
          <cell r="O29">
            <v>16129</v>
          </cell>
          <cell r="P29">
            <v>17350</v>
          </cell>
          <cell r="Q29">
            <v>358</v>
          </cell>
          <cell r="R29">
            <v>28</v>
          </cell>
          <cell r="S29">
            <v>15</v>
          </cell>
          <cell r="T29">
            <v>10325</v>
          </cell>
        </row>
        <row r="30">
          <cell r="C30" t="str">
            <v>AS FATIMA</v>
          </cell>
          <cell r="D30" t="str">
            <v>Y</v>
          </cell>
          <cell r="E30">
            <v>42432</v>
          </cell>
          <cell r="F30" t="str">
            <v>DUNKRUS SERVICE</v>
          </cell>
          <cell r="G30">
            <v>9437191</v>
          </cell>
          <cell r="H30" t="str">
            <v>NO</v>
          </cell>
          <cell r="I30">
            <v>1296</v>
          </cell>
          <cell r="J30">
            <v>975</v>
          </cell>
          <cell r="K30">
            <v>13650</v>
          </cell>
          <cell r="L30">
            <v>9.5</v>
          </cell>
          <cell r="M30">
            <v>166.15</v>
          </cell>
          <cell r="N30">
            <v>5983</v>
          </cell>
          <cell r="O30">
            <v>15375</v>
          </cell>
          <cell r="P30">
            <v>18550</v>
          </cell>
          <cell r="Q30">
            <v>349</v>
          </cell>
          <cell r="R30">
            <v>24</v>
          </cell>
          <cell r="S30">
            <v>13</v>
          </cell>
          <cell r="T30">
            <v>10150</v>
          </cell>
        </row>
        <row r="31">
          <cell r="C31" t="str">
            <v>CMA CGM HERODOTE</v>
          </cell>
          <cell r="D31" t="str">
            <v>Y</v>
          </cell>
          <cell r="E31" t="str">
            <v>OWNED</v>
          </cell>
          <cell r="F31" t="str">
            <v>DUNKRUS SERVICE</v>
          </cell>
          <cell r="G31"/>
          <cell r="H31">
            <v>3</v>
          </cell>
          <cell r="I31">
            <v>1713</v>
          </cell>
          <cell r="J31">
            <v>1108</v>
          </cell>
          <cell r="K31">
            <v>15512</v>
          </cell>
          <cell r="L31">
            <v>9.4</v>
          </cell>
          <cell r="M31">
            <v>170</v>
          </cell>
          <cell r="N31">
            <v>7181</v>
          </cell>
          <cell r="O31">
            <v>17594</v>
          </cell>
          <cell r="P31">
            <v>18860</v>
          </cell>
          <cell r="Q31">
            <v>402</v>
          </cell>
          <cell r="R31">
            <v>53</v>
          </cell>
          <cell r="S31">
            <v>11</v>
          </cell>
          <cell r="T31">
            <v>13471.502590673575</v>
          </cell>
        </row>
        <row r="32">
          <cell r="C32" t="str">
            <v>CMA CGM ARISTOTE</v>
          </cell>
          <cell r="D32" t="str">
            <v>Y</v>
          </cell>
          <cell r="E32" t="str">
            <v>OWNED</v>
          </cell>
          <cell r="F32" t="str">
            <v>DUNKRUS SERVICE</v>
          </cell>
          <cell r="G32"/>
          <cell r="H32">
            <v>3</v>
          </cell>
          <cell r="I32">
            <v>1713</v>
          </cell>
          <cell r="J32">
            <v>1108</v>
          </cell>
          <cell r="K32">
            <v>15512</v>
          </cell>
          <cell r="L32">
            <v>9.4</v>
          </cell>
          <cell r="M32">
            <v>170</v>
          </cell>
          <cell r="N32">
            <v>7181</v>
          </cell>
          <cell r="O32">
            <v>17594</v>
          </cell>
          <cell r="P32">
            <v>18860</v>
          </cell>
          <cell r="Q32">
            <v>402</v>
          </cell>
          <cell r="R32">
            <v>53</v>
          </cell>
          <cell r="S32">
            <v>11</v>
          </cell>
          <cell r="T32">
            <v>13471.502590673575</v>
          </cell>
        </row>
        <row r="33">
          <cell r="C33" t="str">
            <v>CMA CGM PLATON</v>
          </cell>
          <cell r="D33" t="str">
            <v>N</v>
          </cell>
          <cell r="E33" t="str">
            <v>PI (tbc)</v>
          </cell>
          <cell r="F33"/>
          <cell r="G33"/>
          <cell r="H33">
            <v>3</v>
          </cell>
          <cell r="I33">
            <v>1713</v>
          </cell>
          <cell r="J33">
            <v>1108</v>
          </cell>
          <cell r="K33">
            <v>15512</v>
          </cell>
          <cell r="L33">
            <v>9.4</v>
          </cell>
          <cell r="M33">
            <v>170</v>
          </cell>
          <cell r="N33">
            <v>7181</v>
          </cell>
          <cell r="O33">
            <v>17594</v>
          </cell>
          <cell r="P33">
            <v>18860</v>
          </cell>
          <cell r="Q33"/>
          <cell r="R33"/>
          <cell r="S33"/>
          <cell r="T33"/>
        </row>
        <row r="34">
          <cell r="C34" t="str">
            <v>CIELO DI AGADIR</v>
          </cell>
          <cell r="D34"/>
          <cell r="E34"/>
          <cell r="F34" t="str">
            <v>MORROCO SHUTTLE</v>
          </cell>
          <cell r="G34"/>
          <cell r="H34"/>
          <cell r="I34">
            <v>1730</v>
          </cell>
          <cell r="J34">
            <v>1120</v>
          </cell>
          <cell r="K34">
            <v>15680</v>
          </cell>
          <cell r="L34">
            <v>9.89</v>
          </cell>
          <cell r="M34">
            <v>184</v>
          </cell>
          <cell r="N34">
            <v>8672</v>
          </cell>
          <cell r="O34">
            <v>16800</v>
          </cell>
          <cell r="P34">
            <v>22984</v>
          </cell>
          <cell r="Q34">
            <v>200</v>
          </cell>
          <cell r="R34"/>
          <cell r="S34"/>
          <cell r="T34"/>
        </row>
        <row r="35">
          <cell r="C35" t="str">
            <v>MEDITERRANEAN SEA</v>
          </cell>
          <cell r="D35"/>
          <cell r="E35"/>
          <cell r="F35" t="str">
            <v>WEMED</v>
          </cell>
          <cell r="G35"/>
          <cell r="H35"/>
          <cell r="I35">
            <v>1674</v>
          </cell>
          <cell r="J35">
            <v>1234</v>
          </cell>
          <cell r="K35">
            <v>17276</v>
          </cell>
          <cell r="L35">
            <v>9.5</v>
          </cell>
          <cell r="M35">
            <v>183</v>
          </cell>
          <cell r="N35">
            <v>8666</v>
          </cell>
          <cell r="O35">
            <v>18017</v>
          </cell>
          <cell r="P35">
            <v>23780</v>
          </cell>
          <cell r="Q35">
            <v>300</v>
          </cell>
          <cell r="R35"/>
          <cell r="S35"/>
          <cell r="T35"/>
        </row>
        <row r="36">
          <cell r="C36" t="str">
            <v>MERKUR CLOUD</v>
          </cell>
          <cell r="D36"/>
          <cell r="E36"/>
          <cell r="F36" t="str">
            <v>WEMED</v>
          </cell>
          <cell r="G36"/>
          <cell r="H36"/>
          <cell r="I36">
            <v>1674</v>
          </cell>
          <cell r="J36">
            <v>1085</v>
          </cell>
          <cell r="K36">
            <v>15190</v>
          </cell>
          <cell r="L36">
            <v>9.5</v>
          </cell>
          <cell r="M36">
            <v>183</v>
          </cell>
          <cell r="N36">
            <v>8666</v>
          </cell>
          <cell r="O36">
            <v>18017</v>
          </cell>
          <cell r="P36">
            <v>23780</v>
          </cell>
          <cell r="Q36">
            <v>300</v>
          </cell>
          <cell r="R36"/>
          <cell r="S36"/>
          <cell r="T36"/>
        </row>
        <row r="37">
          <cell r="C37" t="str">
            <v>RITA SCHEPPERS</v>
          </cell>
          <cell r="D37"/>
          <cell r="E37"/>
          <cell r="F37" t="str">
            <v>WEMED</v>
          </cell>
          <cell r="G37"/>
          <cell r="H37"/>
          <cell r="I37">
            <v>1674</v>
          </cell>
          <cell r="J37">
            <v>1100</v>
          </cell>
          <cell r="K37">
            <v>15400</v>
          </cell>
          <cell r="L37">
            <v>9.5</v>
          </cell>
          <cell r="M37">
            <v>183</v>
          </cell>
          <cell r="N37">
            <v>8666</v>
          </cell>
          <cell r="O37">
            <v>18017</v>
          </cell>
          <cell r="P37">
            <v>23780</v>
          </cell>
          <cell r="Q37">
            <v>300</v>
          </cell>
          <cell r="R37"/>
          <cell r="S37"/>
          <cell r="T37"/>
        </row>
        <row r="38">
          <cell r="C38" t="str">
            <v>SPERO</v>
          </cell>
          <cell r="D38"/>
          <cell r="E38"/>
          <cell r="F38" t="str">
            <v>WEMED</v>
          </cell>
          <cell r="G38"/>
          <cell r="H38"/>
          <cell r="I38">
            <v>1674</v>
          </cell>
          <cell r="J38">
            <v>1100</v>
          </cell>
          <cell r="K38">
            <v>15400</v>
          </cell>
          <cell r="L38">
            <v>9.5</v>
          </cell>
          <cell r="M38">
            <v>183</v>
          </cell>
          <cell r="N38">
            <v>8666</v>
          </cell>
          <cell r="O38">
            <v>18017</v>
          </cell>
          <cell r="P38">
            <v>23780</v>
          </cell>
          <cell r="Q38">
            <v>300</v>
          </cell>
          <cell r="R38"/>
          <cell r="S38"/>
          <cell r="T38"/>
        </row>
        <row r="40">
          <cell r="C40" t="str">
            <v>NAF PRESENT CAPACITY // CONTAINER VESSELS</v>
          </cell>
          <cell r="D40"/>
          <cell r="E40"/>
          <cell r="F40"/>
          <cell r="G40"/>
          <cell r="H40"/>
          <cell r="I40"/>
        </row>
        <row r="41">
          <cell r="C41" t="str">
            <v>NOMINAL *</v>
          </cell>
          <cell r="D41"/>
          <cell r="E41"/>
          <cell r="F41">
            <v>30271</v>
          </cell>
          <cell r="G41"/>
          <cell r="H41"/>
          <cell r="I41"/>
        </row>
        <row r="42">
          <cell r="C42" t="str">
            <v>INTAKE @ 14WT *</v>
          </cell>
          <cell r="D42"/>
          <cell r="E42"/>
          <cell r="F42">
            <v>19606</v>
          </cell>
          <cell r="G42"/>
          <cell r="H42"/>
          <cell r="I42"/>
          <cell r="N42"/>
          <cell r="O42"/>
          <cell r="P42"/>
          <cell r="Q42"/>
        </row>
        <row r="43">
          <cell r="C43"/>
          <cell r="D43"/>
          <cell r="E43"/>
          <cell r="F43"/>
          <cell r="G43"/>
          <cell r="H43"/>
          <cell r="I43"/>
          <cell r="N43"/>
          <cell r="O43"/>
          <cell r="P43"/>
          <cell r="Q43"/>
        </row>
        <row r="44">
          <cell r="C44" t="str">
            <v>NAF PRESENT CAPACITY // MALTA FOCUS</v>
          </cell>
          <cell r="D44"/>
          <cell r="E44"/>
          <cell r="F44"/>
          <cell r="N44"/>
          <cell r="O44"/>
          <cell r="P44"/>
          <cell r="Q44"/>
        </row>
        <row r="45">
          <cell r="C45" t="str">
            <v>NOMINAL *</v>
          </cell>
          <cell r="D45"/>
          <cell r="E45"/>
          <cell r="F45">
            <v>9465</v>
          </cell>
          <cell r="N45"/>
          <cell r="O45"/>
          <cell r="P45"/>
          <cell r="Q45"/>
        </row>
        <row r="46">
          <cell r="C46" t="str">
            <v>INTAKE @ 14WT *</v>
          </cell>
          <cell r="D46"/>
          <cell r="E46"/>
          <cell r="F46">
            <v>6068</v>
          </cell>
          <cell r="N46"/>
          <cell r="O46"/>
          <cell r="P46"/>
          <cell r="Q46"/>
        </row>
        <row r="47">
          <cell r="C47" t="str">
            <v>WEEKLY CAP. / 11 DAYS LOOPS</v>
          </cell>
          <cell r="D47"/>
          <cell r="E47"/>
          <cell r="F47">
            <v>3861.4545454545455</v>
          </cell>
          <cell r="N47"/>
          <cell r="O47"/>
          <cell r="P47"/>
          <cell r="Q47"/>
        </row>
      </sheetData>
      <sheetData sheetId="1"/>
      <sheetData sheetId="2"/>
      <sheetData sheetId="3"/>
      <sheetData sheetId="4"/>
      <sheetData sheetId="5">
        <row r="20">
          <cell r="T20">
            <v>735</v>
          </cell>
          <cell r="U20">
            <v>395</v>
          </cell>
          <cell r="V20">
            <v>1130</v>
          </cell>
        </row>
        <row r="21">
          <cell r="T21">
            <v>240</v>
          </cell>
          <cell r="U21">
            <v>1000</v>
          </cell>
          <cell r="V21">
            <v>1240</v>
          </cell>
        </row>
        <row r="22">
          <cell r="T22">
            <v>150</v>
          </cell>
          <cell r="U22">
            <v>55</v>
          </cell>
          <cell r="V22">
            <v>205</v>
          </cell>
        </row>
        <row r="23">
          <cell r="T23">
            <v>150</v>
          </cell>
          <cell r="U23">
            <v>520</v>
          </cell>
          <cell r="V23">
            <v>670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K413"/>
  <sheetViews>
    <sheetView showGridLines="0" showZeros="0" tabSelected="1" view="pageBreakPreview" zoomScale="40" zoomScaleNormal="55" zoomScaleSheetLayoutView="40" workbookViewId="0">
      <selection activeCell="N1" sqref="N1:AN3"/>
    </sheetView>
  </sheetViews>
  <sheetFormatPr baseColWidth="10" defaultColWidth="11.44140625" defaultRowHeight="13.8" outlineLevelRow="1" outlineLevelCol="1" x14ac:dyDescent="0.25"/>
  <cols>
    <col min="1" max="1" width="13.44140625" style="1" customWidth="1"/>
    <col min="2" max="2" width="12.88671875" style="1" bestFit="1" customWidth="1"/>
    <col min="3" max="3" width="5.6640625" style="1" hidden="1" customWidth="1"/>
    <col min="4" max="4" width="13.6640625" style="1" customWidth="1"/>
    <col min="5" max="5" width="15.88671875" style="1" bestFit="1" customWidth="1"/>
    <col min="6" max="6" width="17.5546875" style="1" customWidth="1"/>
    <col min="7" max="7" width="20.6640625" style="1" bestFit="1" customWidth="1"/>
    <col min="8" max="8" width="9.88671875" style="1" customWidth="1" outlineLevel="1"/>
    <col min="9" max="9" width="10.109375" style="1" customWidth="1"/>
    <col min="10" max="10" width="9.44140625" style="1" customWidth="1" outlineLevel="1"/>
    <col min="11" max="11" width="10.109375" style="1" customWidth="1"/>
    <col min="12" max="12" width="9.44140625" style="1" customWidth="1" outlineLevel="1"/>
    <col min="13" max="13" width="9.44140625" style="1" customWidth="1"/>
    <col min="14" max="14" width="9" style="1" hidden="1" customWidth="1" outlineLevel="1"/>
    <col min="15" max="15" width="8.6640625" style="1" hidden="1" customWidth="1" collapsed="1"/>
    <col min="16" max="17" width="9.44140625" style="1" hidden="1" customWidth="1"/>
    <col min="18" max="18" width="8" style="1" hidden="1" customWidth="1"/>
    <col min="19" max="19" width="10.109375" style="1" customWidth="1"/>
    <col min="20" max="20" width="9.5546875" style="1" customWidth="1" outlineLevel="1"/>
    <col min="21" max="21" width="10.109375" style="1" customWidth="1"/>
    <col min="22" max="22" width="9.44140625" style="1" customWidth="1" outlineLevel="1"/>
    <col min="23" max="23" width="9.44140625" style="1" customWidth="1"/>
    <col min="24" max="24" width="9.44140625" style="1" customWidth="1" outlineLevel="1"/>
    <col min="25" max="25" width="9.44140625" style="1" customWidth="1"/>
    <col min="26" max="26" width="9.44140625" style="1" customWidth="1" outlineLevel="1"/>
    <col min="27" max="27" width="10.109375" style="1" customWidth="1"/>
    <col min="28" max="28" width="11.33203125" style="1" customWidth="1" outlineLevel="1"/>
    <col min="29" max="29" width="10.109375" style="1" customWidth="1"/>
    <col min="30" max="30" width="11.5546875" style="1" customWidth="1" outlineLevel="1"/>
    <col min="31" max="31" width="10.109375" style="1" customWidth="1"/>
    <col min="32" max="32" width="9.44140625" style="1" hidden="1" customWidth="1" outlineLevel="1"/>
    <col min="33" max="33" width="10.109375" style="1" hidden="1" customWidth="1" collapsed="1"/>
    <col min="34" max="34" width="9.44140625" style="1" hidden="1" customWidth="1"/>
    <col min="35" max="35" width="10.109375" style="1" customWidth="1"/>
    <col min="36" max="36" width="11.88671875" style="1" customWidth="1" outlineLevel="1"/>
    <col min="37" max="37" width="9.6640625" style="1" customWidth="1"/>
    <col min="38" max="38" width="14.88671875" style="1" customWidth="1" outlineLevel="1"/>
    <col min="39" max="39" width="11.5546875" style="1" bestFit="1" customWidth="1"/>
    <col min="40" max="40" width="13" style="1" customWidth="1" outlineLevel="1"/>
    <col min="41" max="41" width="13.109375" style="1" bestFit="1" customWidth="1"/>
    <col min="42" max="42" width="12.109375" style="1" bestFit="1" customWidth="1"/>
    <col min="43" max="43" width="2.5546875" style="2" customWidth="1"/>
    <col min="44" max="44" width="11.33203125" style="1" bestFit="1" customWidth="1"/>
    <col min="45" max="45" width="14.33203125" style="1" customWidth="1"/>
    <col min="46" max="46" width="12.6640625" style="1" bestFit="1" customWidth="1"/>
    <col min="47" max="47" width="13.109375" style="1" bestFit="1" customWidth="1"/>
    <col min="48" max="48" width="12.6640625" style="1" customWidth="1"/>
    <col min="49" max="49" width="3" style="2" customWidth="1"/>
    <col min="50" max="50" width="8.88671875" style="1" hidden="1" customWidth="1" outlineLevel="1"/>
    <col min="51" max="51" width="12.44140625" style="1" hidden="1" customWidth="1" outlineLevel="1"/>
    <col min="52" max="52" width="10.88671875" style="1" hidden="1" customWidth="1" outlineLevel="1"/>
    <col min="53" max="53" width="10.109375" style="1" bestFit="1" customWidth="1" collapsed="1"/>
    <col min="54" max="54" width="8.44140625" style="1" customWidth="1"/>
    <col min="55" max="55" width="10" style="1" customWidth="1"/>
    <col min="56" max="56" width="10.5546875" style="1" bestFit="1" customWidth="1"/>
    <col min="57" max="57" width="6.33203125" style="1" bestFit="1" customWidth="1"/>
    <col min="58" max="58" width="10.5546875" style="1" bestFit="1" customWidth="1"/>
    <col min="59" max="59" width="6.33203125" style="1" bestFit="1" customWidth="1"/>
    <col min="60" max="60" width="2.88671875" style="1" hidden="1" customWidth="1" outlineLevel="1"/>
    <col min="61" max="61" width="6.33203125" style="1" bestFit="1" customWidth="1" collapsed="1"/>
    <col min="62" max="62" width="2.88671875" style="1" hidden="1" customWidth="1" outlineLevel="1"/>
    <col min="63" max="63" width="10.109375" style="1" bestFit="1" customWidth="1" collapsed="1"/>
    <col min="64" max="64" width="10.109375" style="1" bestFit="1" customWidth="1"/>
    <col min="65" max="65" width="10.88671875" style="1" bestFit="1" customWidth="1"/>
    <col min="66" max="16384" width="11.44140625" style="1"/>
  </cols>
  <sheetData>
    <row r="1" spans="1:60" x14ac:dyDescent="0.25">
      <c r="N1" s="769" t="s">
        <v>83</v>
      </c>
      <c r="O1" s="769"/>
      <c r="P1" s="769"/>
      <c r="Q1" s="769"/>
      <c r="R1" s="769"/>
      <c r="S1" s="769"/>
      <c r="T1" s="769"/>
      <c r="U1" s="769"/>
      <c r="V1" s="769"/>
      <c r="W1" s="769"/>
      <c r="X1" s="769"/>
      <c r="Y1" s="769"/>
      <c r="Z1" s="769"/>
      <c r="AA1" s="769"/>
      <c r="AB1" s="769"/>
      <c r="AC1" s="769"/>
      <c r="AD1" s="769"/>
      <c r="AE1" s="769"/>
      <c r="AF1" s="769"/>
      <c r="AG1" s="769"/>
      <c r="AH1" s="769"/>
      <c r="AI1" s="769"/>
      <c r="AJ1" s="769"/>
      <c r="AK1" s="769"/>
      <c r="AL1" s="769"/>
      <c r="AM1" s="769"/>
      <c r="AN1" s="769"/>
    </row>
    <row r="2" spans="1:60" ht="16.5" customHeight="1" x14ac:dyDescent="0.25">
      <c r="N2" s="769"/>
      <c r="O2" s="769"/>
      <c r="P2" s="769"/>
      <c r="Q2" s="769"/>
      <c r="R2" s="769"/>
      <c r="S2" s="769"/>
      <c r="T2" s="769"/>
      <c r="U2" s="769"/>
      <c r="V2" s="769"/>
      <c r="W2" s="769"/>
      <c r="X2" s="769"/>
      <c r="Y2" s="769"/>
      <c r="Z2" s="769"/>
      <c r="AA2" s="769"/>
      <c r="AB2" s="769"/>
      <c r="AC2" s="769"/>
      <c r="AD2" s="769"/>
      <c r="AE2" s="769"/>
      <c r="AF2" s="769"/>
      <c r="AG2" s="769"/>
      <c r="AH2" s="769"/>
      <c r="AI2" s="769"/>
      <c r="AJ2" s="769"/>
      <c r="AK2" s="769"/>
      <c r="AL2" s="769"/>
      <c r="AM2" s="769"/>
      <c r="AN2" s="769"/>
    </row>
    <row r="3" spans="1:60" ht="22.5" customHeight="1" x14ac:dyDescent="0.25">
      <c r="N3" s="769"/>
      <c r="O3" s="769"/>
      <c r="P3" s="769"/>
      <c r="Q3" s="769"/>
      <c r="R3" s="769"/>
      <c r="S3" s="769"/>
      <c r="T3" s="769"/>
      <c r="U3" s="769"/>
      <c r="V3" s="769"/>
      <c r="W3" s="769"/>
      <c r="X3" s="769"/>
      <c r="Y3" s="769"/>
      <c r="Z3" s="769"/>
      <c r="AA3" s="769"/>
      <c r="AB3" s="769"/>
      <c r="AC3" s="769"/>
      <c r="AD3" s="769"/>
      <c r="AE3" s="769"/>
      <c r="AF3" s="769"/>
      <c r="AG3" s="769"/>
      <c r="AH3" s="769"/>
      <c r="AI3" s="769"/>
      <c r="AJ3" s="769"/>
      <c r="AK3" s="769"/>
      <c r="AL3" s="769"/>
      <c r="AM3" s="769"/>
      <c r="AN3" s="769"/>
    </row>
    <row r="4" spans="1:60" ht="30" hidden="1" customHeight="1" thickBot="1" x14ac:dyDescent="0.3">
      <c r="A4" s="723" t="s">
        <v>0</v>
      </c>
      <c r="B4" s="724"/>
      <c r="C4" s="724"/>
      <c r="D4" s="725"/>
      <c r="E4" s="3" t="s">
        <v>1</v>
      </c>
      <c r="F4" s="3" t="s">
        <v>2</v>
      </c>
      <c r="G4" s="4" t="s">
        <v>3</v>
      </c>
      <c r="AO4" s="726">
        <f>+E12</f>
        <v>1</v>
      </c>
      <c r="AP4" s="728">
        <f>+E74</f>
        <v>1</v>
      </c>
      <c r="AQ4" s="729"/>
      <c r="AR4" s="722" t="s">
        <v>4</v>
      </c>
      <c r="AS4" s="722"/>
      <c r="AT4" s="722" t="s">
        <v>5</v>
      </c>
      <c r="AU4" s="722"/>
      <c r="AV4" s="5" t="s">
        <v>6</v>
      </c>
    </row>
    <row r="5" spans="1:60" ht="21" hidden="1" customHeight="1" x14ac:dyDescent="0.25">
      <c r="A5" s="699" t="s">
        <v>7</v>
      </c>
      <c r="B5" s="701" t="s">
        <v>8</v>
      </c>
      <c r="C5" s="702"/>
      <c r="D5" s="703"/>
      <c r="E5" s="6">
        <f>VLOOKUP($A$12,[1]Fleet!C:T,8,0)</f>
        <v>1234</v>
      </c>
      <c r="F5" s="6">
        <f>VLOOKUP($A$12,[1]Fleet!C:T,9,0)</f>
        <v>17276</v>
      </c>
      <c r="G5" s="7">
        <f>VLOOKUP($A$12,[1]Fleet!C:T,15,0)</f>
        <v>300</v>
      </c>
      <c r="AO5" s="727"/>
      <c r="AP5" s="730"/>
      <c r="AQ5" s="731"/>
      <c r="AR5" s="8" t="s">
        <v>9</v>
      </c>
      <c r="AS5" s="8" t="s">
        <v>10</v>
      </c>
      <c r="AT5" s="9" t="s">
        <v>9</v>
      </c>
      <c r="AU5" s="10" t="s">
        <v>10</v>
      </c>
      <c r="AV5" s="11" t="s">
        <v>11</v>
      </c>
    </row>
    <row r="6" spans="1:60" ht="21" hidden="1" customHeight="1" x14ac:dyDescent="0.25">
      <c r="A6" s="699"/>
      <c r="B6" s="716" t="s">
        <v>12</v>
      </c>
      <c r="C6" s="717"/>
      <c r="D6" s="718"/>
      <c r="E6" s="12">
        <f>E65</f>
        <v>125</v>
      </c>
      <c r="F6" s="12">
        <f>E6*14</f>
        <v>1750</v>
      </c>
      <c r="G6" s="13"/>
      <c r="AO6" s="713" t="s">
        <v>13</v>
      </c>
      <c r="AP6" s="714"/>
      <c r="AQ6" s="715"/>
      <c r="AR6" s="14">
        <f>+AR37</f>
        <v>0</v>
      </c>
      <c r="AS6" s="15">
        <f>+AR6/[1]ALLOC!$T$22</f>
        <v>0</v>
      </c>
      <c r="AT6" s="16">
        <f>+AR39</f>
        <v>0</v>
      </c>
      <c r="AU6" s="15">
        <f>+AT6/[1]ALLOC!$U$22</f>
        <v>0</v>
      </c>
      <c r="AV6" s="17">
        <f>+(AR6+AT6)/[1]ALLOC!$V$22</f>
        <v>0</v>
      </c>
      <c r="AW6" s="1"/>
      <c r="BE6" s="18"/>
      <c r="BF6" s="18"/>
      <c r="BG6" s="18"/>
      <c r="BH6" s="18"/>
    </row>
    <row r="7" spans="1:60" ht="21.6" hidden="1" customHeight="1" thickBot="1" x14ac:dyDescent="0.3">
      <c r="A7" s="700"/>
      <c r="B7" s="719" t="s">
        <v>14</v>
      </c>
      <c r="C7" s="720"/>
      <c r="D7" s="721"/>
      <c r="E7" s="19">
        <f>E5-E6</f>
        <v>1109</v>
      </c>
      <c r="F7" s="19">
        <f>E7*14</f>
        <v>15526</v>
      </c>
      <c r="G7" s="20"/>
      <c r="AO7" s="713" t="s">
        <v>15</v>
      </c>
      <c r="AP7" s="714"/>
      <c r="AQ7" s="715"/>
      <c r="AR7" s="14">
        <f>+AR44</f>
        <v>0</v>
      </c>
      <c r="AS7" s="15">
        <f>+AR7/[1]ALLOC!$T$23</f>
        <v>0</v>
      </c>
      <c r="AT7" s="14">
        <f>+AR46</f>
        <v>0</v>
      </c>
      <c r="AU7" s="15">
        <f>+AT7/[1]ALLOC!$U$23</f>
        <v>0</v>
      </c>
      <c r="AV7" s="17">
        <f>+(AR7+AT7)/[1]ALLOC!$V$23</f>
        <v>0</v>
      </c>
      <c r="AW7" s="1"/>
      <c r="BE7" s="18"/>
      <c r="BF7" s="18"/>
      <c r="BG7" s="18"/>
      <c r="BH7" s="18"/>
    </row>
    <row r="8" spans="1:60" ht="20.25" hidden="1" customHeight="1" x14ac:dyDescent="0.25">
      <c r="A8" s="699" t="s">
        <v>16</v>
      </c>
      <c r="B8" s="701" t="s">
        <v>17</v>
      </c>
      <c r="C8" s="702"/>
      <c r="D8" s="703"/>
      <c r="E8" s="21">
        <f>VLOOKUP($A$12,[1]Fleet!C:T,8,0)</f>
        <v>1234</v>
      </c>
      <c r="F8" s="21">
        <f>VLOOKUP($A$12,[1]Fleet!C:T,9,0)</f>
        <v>17276</v>
      </c>
      <c r="G8" s="22">
        <f>VLOOKUP($A$12,[1]Fleet!C:T,15,0)</f>
        <v>300</v>
      </c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713" t="s">
        <v>18</v>
      </c>
      <c r="AP8" s="714"/>
      <c r="AQ8" s="715"/>
      <c r="AR8" s="14">
        <f>+AR97</f>
        <v>0</v>
      </c>
      <c r="AS8" s="15">
        <f>+AR8/[1]ALLOC!$T$20</f>
        <v>0</v>
      </c>
      <c r="AT8" s="14">
        <f>+AR99</f>
        <v>0</v>
      </c>
      <c r="AU8" s="15">
        <f>+AT8/[1]ALLOC!$U$20</f>
        <v>0</v>
      </c>
      <c r="AV8" s="17">
        <f>+(AR8+AT8)/[1]ALLOC!$V$20</f>
        <v>0</v>
      </c>
      <c r="AW8" s="1"/>
      <c r="BE8" s="18"/>
      <c r="BF8" s="18"/>
      <c r="BG8" s="18"/>
      <c r="BH8" s="18"/>
    </row>
    <row r="9" spans="1:60" ht="19.5" hidden="1" customHeight="1" x14ac:dyDescent="0.25">
      <c r="A9" s="699"/>
      <c r="B9" s="716" t="s">
        <v>12</v>
      </c>
      <c r="C9" s="717"/>
      <c r="D9" s="718"/>
      <c r="E9" s="12">
        <f>E132</f>
        <v>315</v>
      </c>
      <c r="F9" s="12">
        <f>E9*14</f>
        <v>4410</v>
      </c>
      <c r="G9" s="1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713" t="s">
        <v>19</v>
      </c>
      <c r="AP9" s="714"/>
      <c r="AQ9" s="715"/>
      <c r="AR9" s="14">
        <f>+AR104</f>
        <v>0</v>
      </c>
      <c r="AS9" s="15">
        <f>+AR9/[1]ALLOC!$T$21</f>
        <v>0</v>
      </c>
      <c r="AT9" s="16">
        <f>+AR106</f>
        <v>0</v>
      </c>
      <c r="AU9" s="15">
        <f>+AT9/[1]ALLOC!$U$21</f>
        <v>0</v>
      </c>
      <c r="AV9" s="17">
        <f>+(AR9+AT9)/[1]ALLOC!$V$21</f>
        <v>0</v>
      </c>
      <c r="BE9" s="18"/>
      <c r="BF9" s="18"/>
      <c r="BG9" s="18"/>
      <c r="BH9" s="18"/>
    </row>
    <row r="10" spans="1:60" s="26" customFormat="1" ht="17.25" hidden="1" customHeight="1" thickBot="1" x14ac:dyDescent="0.3">
      <c r="A10" s="700"/>
      <c r="B10" s="719" t="s">
        <v>14</v>
      </c>
      <c r="C10" s="720"/>
      <c r="D10" s="721"/>
      <c r="E10" s="19">
        <f>E8-E9</f>
        <v>919</v>
      </c>
      <c r="F10" s="19">
        <f>E10*14</f>
        <v>12866</v>
      </c>
      <c r="G10" s="20"/>
      <c r="H10" s="24"/>
      <c r="I10" s="25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W10" s="27"/>
      <c r="AX10" s="27"/>
      <c r="AY10" s="27"/>
      <c r="AZ10" s="27"/>
    </row>
    <row r="11" spans="1:60" s="26" customFormat="1" ht="15" hidden="1" customHeight="1" thickBot="1" x14ac:dyDescent="0.3">
      <c r="A11" s="28"/>
      <c r="B11" s="28"/>
      <c r="C11" s="29"/>
      <c r="D11" s="30"/>
      <c r="E11" s="31"/>
      <c r="F11" s="32"/>
      <c r="G11" s="25">
        <v>0</v>
      </c>
      <c r="H11" s="24"/>
      <c r="I11" s="25">
        <v>0</v>
      </c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W11" s="27"/>
      <c r="AX11" s="27"/>
      <c r="AY11" s="27"/>
      <c r="AZ11" s="27"/>
    </row>
    <row r="12" spans="1:60" ht="21.75" hidden="1" customHeight="1" x14ac:dyDescent="0.25">
      <c r="A12" s="632" t="s">
        <v>20</v>
      </c>
      <c r="B12" s="633"/>
      <c r="C12" s="633"/>
      <c r="D12" s="691"/>
      <c r="E12" s="693">
        <v>1</v>
      </c>
      <c r="F12" s="695">
        <f ca="1">TODAY()</f>
        <v>42499</v>
      </c>
      <c r="G12" s="696"/>
      <c r="H12" s="696"/>
      <c r="I12" s="670"/>
      <c r="J12" s="670"/>
      <c r="K12" s="670"/>
      <c r="L12" s="670"/>
      <c r="M12" s="670"/>
      <c r="N12" s="670"/>
      <c r="O12" s="670"/>
      <c r="P12" s="670"/>
      <c r="Q12" s="670"/>
      <c r="R12" s="670"/>
      <c r="S12" s="689"/>
      <c r="T12" s="689"/>
      <c r="U12" s="670"/>
      <c r="V12" s="670"/>
      <c r="W12" s="33"/>
      <c r="X12" s="33"/>
      <c r="Y12" s="33"/>
      <c r="Z12" s="33"/>
      <c r="AA12" s="670"/>
      <c r="AB12" s="670"/>
      <c r="AC12" s="689"/>
      <c r="AD12" s="689"/>
      <c r="AE12" s="670"/>
      <c r="AF12" s="670"/>
      <c r="AG12" s="670"/>
      <c r="AH12" s="670"/>
      <c r="AI12" s="670"/>
      <c r="AJ12" s="670"/>
      <c r="AK12" s="672" t="s">
        <v>21</v>
      </c>
      <c r="AL12" s="673"/>
      <c r="AM12" s="673"/>
      <c r="AN12" s="673"/>
      <c r="AO12" s="673"/>
      <c r="AP12" s="674"/>
      <c r="AQ12" s="34"/>
      <c r="AR12" s="678" t="s">
        <v>22</v>
      </c>
      <c r="AS12" s="679"/>
      <c r="AT12" s="679"/>
      <c r="AU12" s="679"/>
      <c r="AV12" s="680"/>
      <c r="AW12" s="33"/>
      <c r="AX12" s="763" t="s">
        <v>23</v>
      </c>
      <c r="AY12" s="764"/>
      <c r="AZ12" s="765"/>
    </row>
    <row r="13" spans="1:60" ht="21" hidden="1" customHeight="1" thickBot="1" x14ac:dyDescent="0.3">
      <c r="A13" s="634"/>
      <c r="B13" s="635"/>
      <c r="C13" s="635"/>
      <c r="D13" s="692"/>
      <c r="E13" s="694"/>
      <c r="F13" s="697"/>
      <c r="G13" s="698"/>
      <c r="H13" s="698"/>
      <c r="I13" s="671"/>
      <c r="J13" s="671"/>
      <c r="K13" s="671"/>
      <c r="L13" s="671"/>
      <c r="M13" s="671"/>
      <c r="N13" s="671"/>
      <c r="O13" s="671"/>
      <c r="P13" s="671"/>
      <c r="Q13" s="671"/>
      <c r="R13" s="671"/>
      <c r="S13" s="690"/>
      <c r="T13" s="690"/>
      <c r="U13" s="671"/>
      <c r="V13" s="671"/>
      <c r="W13" s="35"/>
      <c r="X13" s="35"/>
      <c r="Y13" s="35"/>
      <c r="Z13" s="35"/>
      <c r="AA13" s="671"/>
      <c r="AB13" s="671"/>
      <c r="AC13" s="690"/>
      <c r="AD13" s="690"/>
      <c r="AE13" s="671"/>
      <c r="AF13" s="671"/>
      <c r="AG13" s="671"/>
      <c r="AH13" s="671"/>
      <c r="AI13" s="671"/>
      <c r="AJ13" s="671"/>
      <c r="AK13" s="675"/>
      <c r="AL13" s="676"/>
      <c r="AM13" s="676"/>
      <c r="AN13" s="676"/>
      <c r="AO13" s="676"/>
      <c r="AP13" s="677"/>
      <c r="AQ13" s="34"/>
      <c r="AR13" s="681"/>
      <c r="AS13" s="682"/>
      <c r="AT13" s="682"/>
      <c r="AU13" s="682"/>
      <c r="AV13" s="683"/>
      <c r="AW13" s="33"/>
      <c r="AX13" s="766"/>
      <c r="AY13" s="767"/>
      <c r="AZ13" s="768"/>
    </row>
    <row r="14" spans="1:60" ht="24.75" hidden="1" customHeight="1" thickBot="1" x14ac:dyDescent="0.3">
      <c r="A14" s="36">
        <v>2016</v>
      </c>
      <c r="B14" s="684" t="s">
        <v>24</v>
      </c>
      <c r="C14" s="686"/>
      <c r="D14" s="686" t="s">
        <v>25</v>
      </c>
      <c r="E14" s="686" t="s">
        <v>26</v>
      </c>
      <c r="F14" s="688" t="s">
        <v>27</v>
      </c>
      <c r="G14" s="619" t="str">
        <f>+B27</f>
        <v>FRMRS</v>
      </c>
      <c r="H14" s="625"/>
      <c r="I14" s="619" t="str">
        <f>+B34</f>
        <v>ESBCN</v>
      </c>
      <c r="J14" s="625"/>
      <c r="K14" s="619" t="str">
        <f>B41</f>
        <v>ESVLC</v>
      </c>
      <c r="L14" s="625"/>
      <c r="M14" s="619" t="str">
        <f>B48</f>
        <v>MTMLA</v>
      </c>
      <c r="N14" s="625"/>
      <c r="O14" s="619" t="str">
        <f>B55</f>
        <v>Add call</v>
      </c>
      <c r="P14" s="625"/>
      <c r="Q14" s="619" t="str">
        <f>B62</f>
        <v>Add Call</v>
      </c>
      <c r="R14" s="625"/>
      <c r="S14" s="621" t="str">
        <f>B80</f>
        <v>TRMER</v>
      </c>
      <c r="T14" s="625"/>
      <c r="U14" s="621" t="str">
        <f>B87</f>
        <v>TRISK</v>
      </c>
      <c r="V14" s="625"/>
      <c r="W14" s="621" t="str">
        <f>+B94</f>
        <v>LBBEY</v>
      </c>
      <c r="X14" s="625"/>
      <c r="Y14" s="621" t="str">
        <f>+B101</f>
        <v>EGALY</v>
      </c>
      <c r="Z14" s="625"/>
      <c r="AA14" s="621" t="str">
        <f>B108</f>
        <v>MTMLA</v>
      </c>
      <c r="AB14" s="620"/>
      <c r="AC14" s="619" t="str">
        <f>B115</f>
        <v>DZALD</v>
      </c>
      <c r="AD14" s="625"/>
      <c r="AE14" s="619" t="str">
        <f>B122</f>
        <v>DZALS</v>
      </c>
      <c r="AF14" s="620"/>
      <c r="AG14" s="619" t="str">
        <f>B129</f>
        <v>Add Call</v>
      </c>
      <c r="AH14" s="620"/>
      <c r="AI14" s="621" t="s">
        <v>28</v>
      </c>
      <c r="AJ14" s="620"/>
      <c r="AK14" s="668" t="s">
        <v>9</v>
      </c>
      <c r="AL14" s="551" t="s">
        <v>29</v>
      </c>
      <c r="AM14" s="551" t="s">
        <v>30</v>
      </c>
      <c r="AN14" s="551" t="s">
        <v>29</v>
      </c>
      <c r="AO14" s="611" t="s">
        <v>31</v>
      </c>
      <c r="AP14" s="664" t="s">
        <v>32</v>
      </c>
      <c r="AQ14" s="37"/>
      <c r="AR14" s="666" t="s">
        <v>9</v>
      </c>
      <c r="AS14" s="667" t="s">
        <v>29</v>
      </c>
      <c r="AT14" s="667" t="s">
        <v>30</v>
      </c>
      <c r="AU14" s="601" t="s">
        <v>29</v>
      </c>
      <c r="AV14" s="603" t="s">
        <v>33</v>
      </c>
      <c r="AW14" s="37"/>
      <c r="AX14" s="761" t="s">
        <v>6</v>
      </c>
      <c r="AY14" s="762"/>
      <c r="AZ14" s="38" t="s">
        <v>34</v>
      </c>
      <c r="BA14" s="39"/>
    </row>
    <row r="15" spans="1:60" ht="15.75" hidden="1" customHeight="1" thickBot="1" x14ac:dyDescent="0.3">
      <c r="A15" s="40"/>
      <c r="B15" s="685"/>
      <c r="C15" s="687"/>
      <c r="D15" s="687"/>
      <c r="E15" s="687"/>
      <c r="F15" s="687"/>
      <c r="G15" s="598" t="str">
        <f>B29</f>
        <v>OMIT</v>
      </c>
      <c r="H15" s="599"/>
      <c r="I15" s="598" t="str">
        <f>B36</f>
        <v>OMIT</v>
      </c>
      <c r="J15" s="599"/>
      <c r="K15" s="598" t="str">
        <f>B43</f>
        <v>OMIT</v>
      </c>
      <c r="L15" s="599"/>
      <c r="M15" s="598">
        <f>B50</f>
        <v>42436</v>
      </c>
      <c r="N15" s="599"/>
      <c r="O15" s="598">
        <f>B57</f>
        <v>42431</v>
      </c>
      <c r="P15" s="599"/>
      <c r="Q15" s="598">
        <f>B64</f>
        <v>42432</v>
      </c>
      <c r="R15" s="599"/>
      <c r="S15" s="598">
        <f>B82</f>
        <v>42440</v>
      </c>
      <c r="T15" s="599"/>
      <c r="U15" s="598">
        <f>B89</f>
        <v>42441</v>
      </c>
      <c r="V15" s="599"/>
      <c r="W15" s="598">
        <f>B96</f>
        <v>42442</v>
      </c>
      <c r="X15" s="599"/>
      <c r="Y15" s="598">
        <f>B103</f>
        <v>42445</v>
      </c>
      <c r="Z15" s="599"/>
      <c r="AA15" s="598">
        <f>B110</f>
        <v>42448</v>
      </c>
      <c r="AB15" s="600"/>
      <c r="AC15" s="598">
        <f>B117</f>
        <v>42452</v>
      </c>
      <c r="AD15" s="599"/>
      <c r="AE15" s="598">
        <f>B124</f>
        <v>42452</v>
      </c>
      <c r="AF15" s="600"/>
      <c r="AG15" s="598">
        <f>B131</f>
        <v>42442</v>
      </c>
      <c r="AH15" s="600"/>
      <c r="AI15" s="598"/>
      <c r="AJ15" s="600"/>
      <c r="AK15" s="669"/>
      <c r="AL15" s="553"/>
      <c r="AM15" s="553"/>
      <c r="AN15" s="553"/>
      <c r="AO15" s="612"/>
      <c r="AP15" s="665"/>
      <c r="AQ15" s="37"/>
      <c r="AR15" s="616"/>
      <c r="AS15" s="602"/>
      <c r="AT15" s="602"/>
      <c r="AU15" s="602"/>
      <c r="AV15" s="604"/>
      <c r="AW15" s="41"/>
      <c r="AX15" s="42" t="s">
        <v>1</v>
      </c>
      <c r="AY15" s="42" t="s">
        <v>2</v>
      </c>
      <c r="AZ15" s="42" t="s">
        <v>35</v>
      </c>
    </row>
    <row r="16" spans="1:60" ht="20.100000000000001" hidden="1" customHeight="1" outlineLevel="1" x14ac:dyDescent="0.25">
      <c r="A16" s="43"/>
      <c r="B16" s="622" t="s">
        <v>22</v>
      </c>
      <c r="C16" s="551"/>
      <c r="D16" s="500" t="str">
        <f>$B$6</f>
        <v>Trade</v>
      </c>
      <c r="E16" s="501"/>
      <c r="F16" s="44" t="s">
        <v>36</v>
      </c>
      <c r="G16" s="45"/>
      <c r="H16" s="46"/>
      <c r="I16" s="45"/>
      <c r="J16" s="46"/>
      <c r="K16" s="45"/>
      <c r="L16" s="46"/>
      <c r="M16" s="45"/>
      <c r="N16" s="46"/>
      <c r="O16" s="45"/>
      <c r="P16" s="46"/>
      <c r="Q16" s="45"/>
      <c r="R16" s="46"/>
      <c r="S16" s="45"/>
      <c r="T16" s="46"/>
      <c r="U16" s="45"/>
      <c r="V16" s="46"/>
      <c r="W16" s="45"/>
      <c r="X16" s="46"/>
      <c r="Y16" s="45"/>
      <c r="Z16" s="46"/>
      <c r="AA16" s="45"/>
      <c r="AB16" s="46"/>
      <c r="AC16" s="45"/>
      <c r="AD16" s="46"/>
      <c r="AE16" s="45"/>
      <c r="AF16" s="46"/>
      <c r="AG16" s="45"/>
      <c r="AH16" s="46"/>
      <c r="AI16" s="45"/>
      <c r="AJ16" s="46"/>
      <c r="AK16" s="502">
        <f>G16+I16+K16+M16+O16+Q16+S16+U16+W16+Y16+AA16+AC16+AE16+AG16+AI16</f>
        <v>0</v>
      </c>
      <c r="AL16" s="504">
        <f>IF(E16=0,0,AK16/E16)</f>
        <v>0</v>
      </c>
      <c r="AM16" s="493">
        <f>H16+J16+L16+N16+P16+R16+T16+V16+X16+Z16+AB16+AD16+AF16+AH16+AJ16</f>
        <v>0</v>
      </c>
      <c r="AN16" s="491">
        <f>IF(E16=0,0,AM16/($E16*14))</f>
        <v>0</v>
      </c>
      <c r="AO16" s="492" t="str">
        <f>IF(AM16=0,"",AM16/AK16)</f>
        <v/>
      </c>
      <c r="AP16" s="493">
        <f>G17+I17+K17+M17+O17+Q17+S17+U17+W17+Y17+AA17+AC17+AE17+AG17+AI17</f>
        <v>0</v>
      </c>
      <c r="AQ16" s="47"/>
      <c r="AR16" s="502">
        <f>+AK16</f>
        <v>0</v>
      </c>
      <c r="AS16" s="504">
        <f>AR16/$E$6</f>
        <v>0</v>
      </c>
      <c r="AT16" s="648">
        <f>+AM16</f>
        <v>0</v>
      </c>
      <c r="AU16" s="504">
        <f>+AT16/$F$6</f>
        <v>0</v>
      </c>
      <c r="AV16" s="514">
        <f>+AP16</f>
        <v>0</v>
      </c>
      <c r="AW16" s="48"/>
      <c r="AX16" s="740">
        <f>$E$5-AR22</f>
        <v>1234</v>
      </c>
      <c r="AY16" s="757">
        <f>$F$5-AT22</f>
        <v>17276</v>
      </c>
      <c r="AZ16" s="760">
        <f>$G$5-AV22</f>
        <v>300</v>
      </c>
    </row>
    <row r="17" spans="1:52" ht="15.75" hidden="1" customHeight="1" outlineLevel="1" x14ac:dyDescent="0.25">
      <c r="A17" s="49"/>
      <c r="B17" s="663"/>
      <c r="C17" s="552"/>
      <c r="D17" s="457"/>
      <c r="E17" s="459"/>
      <c r="F17" s="50" t="s">
        <v>37</v>
      </c>
      <c r="G17" s="512"/>
      <c r="H17" s="513"/>
      <c r="I17" s="512"/>
      <c r="J17" s="513"/>
      <c r="K17" s="512"/>
      <c r="L17" s="513"/>
      <c r="M17" s="512"/>
      <c r="N17" s="513"/>
      <c r="O17" s="512"/>
      <c r="P17" s="513"/>
      <c r="Q17" s="512"/>
      <c r="R17" s="513"/>
      <c r="S17" s="512"/>
      <c r="T17" s="513"/>
      <c r="U17" s="512"/>
      <c r="V17" s="513"/>
      <c r="W17" s="512"/>
      <c r="X17" s="513"/>
      <c r="Y17" s="512"/>
      <c r="Z17" s="513"/>
      <c r="AA17" s="512"/>
      <c r="AB17" s="513"/>
      <c r="AC17" s="512"/>
      <c r="AD17" s="513"/>
      <c r="AE17" s="512"/>
      <c r="AF17" s="513"/>
      <c r="AG17" s="512"/>
      <c r="AH17" s="513"/>
      <c r="AI17" s="512"/>
      <c r="AJ17" s="513"/>
      <c r="AK17" s="503"/>
      <c r="AL17" s="419"/>
      <c r="AM17" s="505"/>
      <c r="AN17" s="423"/>
      <c r="AO17" s="424"/>
      <c r="AP17" s="425"/>
      <c r="AQ17" s="47"/>
      <c r="AR17" s="503"/>
      <c r="AS17" s="419"/>
      <c r="AT17" s="505"/>
      <c r="AU17" s="419"/>
      <c r="AV17" s="515"/>
      <c r="AW17" s="48"/>
      <c r="AX17" s="741"/>
      <c r="AY17" s="758"/>
      <c r="AZ17" s="747"/>
    </row>
    <row r="18" spans="1:52" ht="20.100000000000001" hidden="1" customHeight="1" outlineLevel="1" x14ac:dyDescent="0.25">
      <c r="A18" s="49"/>
      <c r="B18" s="663"/>
      <c r="C18" s="552"/>
      <c r="D18" s="479" t="str">
        <f>$B$7</f>
        <v>Feeder</v>
      </c>
      <c r="E18" s="481"/>
      <c r="F18" s="51" t="s">
        <v>36</v>
      </c>
      <c r="G18" s="52"/>
      <c r="H18" s="53"/>
      <c r="I18" s="52"/>
      <c r="J18" s="53"/>
      <c r="K18" s="52"/>
      <c r="L18" s="53"/>
      <c r="M18" s="52"/>
      <c r="N18" s="53"/>
      <c r="O18" s="52"/>
      <c r="P18" s="53"/>
      <c r="Q18" s="52"/>
      <c r="R18" s="53"/>
      <c r="S18" s="52"/>
      <c r="T18" s="53"/>
      <c r="U18" s="52"/>
      <c r="V18" s="53"/>
      <c r="W18" s="52"/>
      <c r="X18" s="53"/>
      <c r="Y18" s="52"/>
      <c r="Z18" s="53"/>
      <c r="AA18" s="52"/>
      <c r="AB18" s="53"/>
      <c r="AC18" s="52"/>
      <c r="AD18" s="53"/>
      <c r="AE18" s="52"/>
      <c r="AF18" s="53"/>
      <c r="AG18" s="52"/>
      <c r="AH18" s="53"/>
      <c r="AI18" s="52"/>
      <c r="AJ18" s="53"/>
      <c r="AK18" s="483">
        <f>G18+I18+K18+M18+O18+Q18+S18+U18+W18+Y18+AA18+AC18+AE18+AG18+AI18</f>
        <v>0</v>
      </c>
      <c r="AL18" s="467">
        <f>IF(E18=0,0,AK18/E18)</f>
        <v>0</v>
      </c>
      <c r="AM18" s="471">
        <f>H18+J18+L18+N18+P18+R18+T18+V18+X18+Z18+AB18+AD18+AF18+AH18+AJ18</f>
        <v>0</v>
      </c>
      <c r="AN18" s="473">
        <f>IF(E16=0,0,AM18/($E16*14))</f>
        <v>0</v>
      </c>
      <c r="AO18" s="475" t="str">
        <f>IF(AM18=0,"",AM18/AK18)</f>
        <v/>
      </c>
      <c r="AP18" s="468">
        <f>G19+I19+K19+M19+O19+Q19+S19+U19+W19+Y19+AA19+AC19+AE19+AG19+AI19</f>
        <v>0</v>
      </c>
      <c r="AQ18" s="47"/>
      <c r="AR18" s="646">
        <f>+AK18</f>
        <v>0</v>
      </c>
      <c r="AS18" s="467">
        <f>AR18/$E$7</f>
        <v>0</v>
      </c>
      <c r="AT18" s="647">
        <f>+AM18</f>
        <v>0</v>
      </c>
      <c r="AU18" s="467">
        <f>+AT18/$F$7</f>
        <v>0</v>
      </c>
      <c r="AV18" s="508">
        <f>+AP18</f>
        <v>0</v>
      </c>
      <c r="AW18" s="48"/>
      <c r="AX18" s="741"/>
      <c r="AY18" s="758"/>
      <c r="AZ18" s="747"/>
    </row>
    <row r="19" spans="1:52" ht="15.75" hidden="1" customHeight="1" outlineLevel="1" x14ac:dyDescent="0.25">
      <c r="A19" s="49"/>
      <c r="B19" s="663"/>
      <c r="C19" s="552"/>
      <c r="D19" s="480"/>
      <c r="E19" s="482"/>
      <c r="F19" s="54" t="s">
        <v>37</v>
      </c>
      <c r="G19" s="506"/>
      <c r="H19" s="507"/>
      <c r="I19" s="506"/>
      <c r="J19" s="507"/>
      <c r="K19" s="506"/>
      <c r="L19" s="507"/>
      <c r="M19" s="506"/>
      <c r="N19" s="507"/>
      <c r="O19" s="506"/>
      <c r="P19" s="507"/>
      <c r="Q19" s="506"/>
      <c r="R19" s="507"/>
      <c r="S19" s="506"/>
      <c r="T19" s="507"/>
      <c r="U19" s="506"/>
      <c r="V19" s="507"/>
      <c r="W19" s="506"/>
      <c r="X19" s="507"/>
      <c r="Y19" s="506"/>
      <c r="Z19" s="507"/>
      <c r="AA19" s="506"/>
      <c r="AB19" s="507"/>
      <c r="AC19" s="506"/>
      <c r="AD19" s="507"/>
      <c r="AE19" s="506"/>
      <c r="AF19" s="507"/>
      <c r="AG19" s="506"/>
      <c r="AH19" s="507"/>
      <c r="AI19" s="506"/>
      <c r="AJ19" s="507"/>
      <c r="AK19" s="484"/>
      <c r="AL19" s="467"/>
      <c r="AM19" s="472"/>
      <c r="AN19" s="474"/>
      <c r="AO19" s="475"/>
      <c r="AP19" s="468"/>
      <c r="AQ19" s="47"/>
      <c r="AR19" s="511"/>
      <c r="AS19" s="467"/>
      <c r="AT19" s="647"/>
      <c r="AU19" s="467"/>
      <c r="AV19" s="508"/>
      <c r="AW19" s="48"/>
      <c r="AX19" s="741"/>
      <c r="AY19" s="758"/>
      <c r="AZ19" s="747"/>
    </row>
    <row r="20" spans="1:52" ht="24" hidden="1" customHeight="1" x14ac:dyDescent="0.25">
      <c r="A20" s="49"/>
      <c r="B20" s="663"/>
      <c r="C20" s="552"/>
      <c r="D20" s="464" t="s">
        <v>38</v>
      </c>
      <c r="E20" s="465"/>
      <c r="F20" s="466"/>
      <c r="G20" s="55"/>
      <c r="H20" s="56"/>
      <c r="I20" s="55"/>
      <c r="J20" s="56"/>
      <c r="K20" s="55"/>
      <c r="L20" s="56"/>
      <c r="M20" s="55"/>
      <c r="N20" s="56"/>
      <c r="O20" s="55"/>
      <c r="P20" s="56"/>
      <c r="Q20" s="55"/>
      <c r="R20" s="56"/>
      <c r="S20" s="55"/>
      <c r="T20" s="56"/>
      <c r="U20" s="55"/>
      <c r="V20" s="56"/>
      <c r="W20" s="55"/>
      <c r="X20" s="56"/>
      <c r="Y20" s="55"/>
      <c r="Z20" s="56"/>
      <c r="AA20" s="55"/>
      <c r="AB20" s="56"/>
      <c r="AC20" s="55"/>
      <c r="AD20" s="56"/>
      <c r="AE20" s="55"/>
      <c r="AF20" s="56"/>
      <c r="AG20" s="55"/>
      <c r="AH20" s="56"/>
      <c r="AI20" s="55"/>
      <c r="AJ20" s="56"/>
      <c r="AK20" s="57">
        <f>+AK16+AK18</f>
        <v>0</v>
      </c>
      <c r="AL20" s="58">
        <f>IF(E16+E18=0,0,AK20/(E16+E18))</f>
        <v>0</v>
      </c>
      <c r="AM20" s="59">
        <f>+SUM(AM18,AM16)</f>
        <v>0</v>
      </c>
      <c r="AN20" s="58">
        <f>IF((E16+E18)=0,0,AM20/((E16+E18)*14))</f>
        <v>0</v>
      </c>
      <c r="AO20" s="60" t="str">
        <f>IF(AM20=0,"",AM20/AK20)</f>
        <v/>
      </c>
      <c r="AP20" s="61">
        <f>+AP16+AP18</f>
        <v>0</v>
      </c>
      <c r="AQ20" s="62"/>
      <c r="AR20" s="63">
        <f>+AK20</f>
        <v>0</v>
      </c>
      <c r="AS20" s="64">
        <f>AR20/$E$5</f>
        <v>0</v>
      </c>
      <c r="AT20" s="65">
        <f>+AM20</f>
        <v>0</v>
      </c>
      <c r="AU20" s="64">
        <f>+AT20/$F$5</f>
        <v>0</v>
      </c>
      <c r="AV20" s="66">
        <f>+AV16+AV18</f>
        <v>0</v>
      </c>
      <c r="AW20" s="48"/>
      <c r="AX20" s="741"/>
      <c r="AY20" s="758"/>
      <c r="AZ20" s="747"/>
    </row>
    <row r="21" spans="1:52" ht="15.75" hidden="1" customHeight="1" thickBot="1" x14ac:dyDescent="0.3">
      <c r="A21" s="49"/>
      <c r="B21" s="663"/>
      <c r="C21" s="552"/>
      <c r="D21" s="445" t="s">
        <v>39</v>
      </c>
      <c r="E21" s="445"/>
      <c r="F21" s="445"/>
      <c r="G21" s="67"/>
      <c r="H21" s="68"/>
      <c r="I21" s="69"/>
      <c r="J21" s="70"/>
      <c r="K21" s="69"/>
      <c r="L21" s="70"/>
      <c r="M21" s="69"/>
      <c r="N21" s="70"/>
      <c r="O21" s="69"/>
      <c r="P21" s="70"/>
      <c r="Q21" s="69"/>
      <c r="R21" s="70"/>
      <c r="S21" s="69"/>
      <c r="T21" s="70"/>
      <c r="U21" s="69"/>
      <c r="V21" s="70"/>
      <c r="W21" s="69"/>
      <c r="X21" s="70"/>
      <c r="Y21" s="69"/>
      <c r="Z21" s="70"/>
      <c r="AA21" s="67"/>
      <c r="AB21" s="68"/>
      <c r="AC21" s="67"/>
      <c r="AD21" s="68"/>
      <c r="AE21" s="67"/>
      <c r="AF21" s="68"/>
      <c r="AG21" s="67"/>
      <c r="AH21" s="68"/>
      <c r="AI21" s="67"/>
      <c r="AJ21" s="68"/>
      <c r="AK21" s="71">
        <f>G21+I21+K21+M21+O21+Q21+S21+U21+W21+Y21+AA21+AC21+AE21+AG21+AI21</f>
        <v>0</v>
      </c>
      <c r="AL21" s="72"/>
      <c r="AM21" s="73">
        <f>H21+J21+L21+N21+P21+R21+T21+V21+X21+Z21+AB21+AD21+AF21+AH21+AJ21</f>
        <v>0</v>
      </c>
      <c r="AN21" s="72"/>
      <c r="AO21" s="74"/>
      <c r="AP21" s="73"/>
      <c r="AQ21" s="75"/>
      <c r="AR21" s="76">
        <f>+AK21</f>
        <v>0</v>
      </c>
      <c r="AS21" s="77"/>
      <c r="AT21" s="77">
        <f>+AM21</f>
        <v>0</v>
      </c>
      <c r="AU21" s="77"/>
      <c r="AV21" s="78"/>
      <c r="AW21" s="37"/>
      <c r="AX21" s="741"/>
      <c r="AY21" s="758"/>
      <c r="AZ21" s="747"/>
    </row>
    <row r="22" spans="1:52" ht="30.75" hidden="1" customHeight="1" thickBot="1" x14ac:dyDescent="0.3">
      <c r="A22" s="79"/>
      <c r="B22" s="623"/>
      <c r="C22" s="553"/>
      <c r="D22" s="662" t="s">
        <v>40</v>
      </c>
      <c r="E22" s="662"/>
      <c r="F22" s="662"/>
      <c r="G22" s="80"/>
      <c r="H22" s="81"/>
      <c r="I22" s="82"/>
      <c r="J22" s="83"/>
      <c r="K22" s="82"/>
      <c r="L22" s="83"/>
      <c r="M22" s="82"/>
      <c r="N22" s="83"/>
      <c r="O22" s="82"/>
      <c r="P22" s="83"/>
      <c r="Q22" s="82"/>
      <c r="R22" s="83"/>
      <c r="S22" s="82"/>
      <c r="T22" s="83"/>
      <c r="U22" s="82"/>
      <c r="V22" s="83"/>
      <c r="W22" s="82"/>
      <c r="X22" s="83"/>
      <c r="Y22" s="82"/>
      <c r="Z22" s="83"/>
      <c r="AA22" s="82"/>
      <c r="AB22" s="83"/>
      <c r="AC22" s="82"/>
      <c r="AD22" s="83"/>
      <c r="AE22" s="82"/>
      <c r="AF22" s="83"/>
      <c r="AG22" s="82"/>
      <c r="AH22" s="83"/>
      <c r="AI22" s="82"/>
      <c r="AJ22" s="83"/>
      <c r="AK22" s="84">
        <f>AK20+AK21</f>
        <v>0</v>
      </c>
      <c r="AL22" s="85">
        <f>IF(E16+E18=0,0,AK22/(E16+E18))</f>
        <v>0</v>
      </c>
      <c r="AM22" s="86">
        <f>+AM20+AM21</f>
        <v>0</v>
      </c>
      <c r="AN22" s="85">
        <f>IF((E16+E18)=0,0,AM22/((E16+E18)*14))</f>
        <v>0</v>
      </c>
      <c r="AO22" s="87" t="str">
        <f>IF(AM22=0,"",AM22/AK22)</f>
        <v/>
      </c>
      <c r="AP22" s="88">
        <f>+AP20</f>
        <v>0</v>
      </c>
      <c r="AQ22" s="89"/>
      <c r="AR22" s="84">
        <f>+AR20+AR21</f>
        <v>0</v>
      </c>
      <c r="AS22" s="85">
        <f>AR22/$E$5</f>
        <v>0</v>
      </c>
      <c r="AT22" s="90">
        <f>+AT20+AT21</f>
        <v>0</v>
      </c>
      <c r="AU22" s="85">
        <f>+AT22/$F$5</f>
        <v>0</v>
      </c>
      <c r="AV22" s="91">
        <f>AV20</f>
        <v>0</v>
      </c>
      <c r="AW22" s="92"/>
      <c r="AX22" s="742"/>
      <c r="AY22" s="759"/>
      <c r="AZ22" s="748"/>
    </row>
    <row r="23" spans="1:52" ht="20.100000000000001" hidden="1" customHeight="1" outlineLevel="1" x14ac:dyDescent="0.25">
      <c r="A23" s="49"/>
      <c r="B23" s="93"/>
      <c r="C23" s="450"/>
      <c r="D23" s="500" t="str">
        <f>$B$6</f>
        <v>Trade</v>
      </c>
      <c r="E23" s="501">
        <v>15</v>
      </c>
      <c r="F23" s="44" t="s">
        <v>36</v>
      </c>
      <c r="G23" s="94"/>
      <c r="H23" s="95"/>
      <c r="I23" s="45"/>
      <c r="J23" s="46"/>
      <c r="K23" s="45"/>
      <c r="L23" s="46"/>
      <c r="M23" s="45"/>
      <c r="N23" s="46"/>
      <c r="O23" s="45"/>
      <c r="P23" s="46"/>
      <c r="Q23" s="45"/>
      <c r="R23" s="46"/>
      <c r="S23" s="45"/>
      <c r="T23" s="46"/>
      <c r="U23" s="45"/>
      <c r="V23" s="46"/>
      <c r="W23" s="45"/>
      <c r="X23" s="46"/>
      <c r="Y23" s="45"/>
      <c r="Z23" s="46"/>
      <c r="AA23" s="45"/>
      <c r="AB23" s="46"/>
      <c r="AC23" s="45"/>
      <c r="AD23" s="46"/>
      <c r="AE23" s="45"/>
      <c r="AF23" s="46"/>
      <c r="AG23" s="45"/>
      <c r="AH23" s="46"/>
      <c r="AI23" s="45"/>
      <c r="AJ23" s="46"/>
      <c r="AK23" s="502">
        <f>G23+I23+K23+M23+O23+Q23+S23+U23+W23+Y23+AA23+AC23+AE23+AG23+AI23</f>
        <v>0</v>
      </c>
      <c r="AL23" s="504">
        <f>IF(E23=0,0,AK23/E23)</f>
        <v>0</v>
      </c>
      <c r="AM23" s="493">
        <f>H23+J23+L23+N23+P23+R23+T23+V23+X23+Z23+AB23+AD23+AF23+AH23+AJ23</f>
        <v>0</v>
      </c>
      <c r="AN23" s="491">
        <f>IF(E23=0,0,AM23/($E23*14))</f>
        <v>0</v>
      </c>
      <c r="AO23" s="492" t="str">
        <f>IF(AM23=0,"",AM23/AK23)</f>
        <v/>
      </c>
      <c r="AP23" s="493">
        <f>G24+I24+K24+M24+O24+Q24+S24+U24+W24+Y24+AA24+AC24+AE24+AG24+AI24</f>
        <v>0</v>
      </c>
      <c r="AQ23" s="47"/>
      <c r="AR23" s="502">
        <f>AR16+AK23-G16</f>
        <v>0</v>
      </c>
      <c r="AS23" s="504">
        <f>AR23/$E$6</f>
        <v>0</v>
      </c>
      <c r="AT23" s="648">
        <f>AT16+AM23-H16</f>
        <v>0</v>
      </c>
      <c r="AU23" s="504">
        <f>+AT23/$F$6</f>
        <v>0</v>
      </c>
      <c r="AV23" s="514">
        <f>AV16+AP23-G17</f>
        <v>0</v>
      </c>
      <c r="AW23" s="48"/>
      <c r="AX23" s="740">
        <f>$E$5-AR29</f>
        <v>1234</v>
      </c>
      <c r="AY23" s="757">
        <f>$F$5-AT29</f>
        <v>17276</v>
      </c>
      <c r="AZ23" s="760">
        <f>$G$5-AV29</f>
        <v>300</v>
      </c>
    </row>
    <row r="24" spans="1:52" ht="15.75" hidden="1" customHeight="1" outlineLevel="1" x14ac:dyDescent="0.25">
      <c r="A24" s="49"/>
      <c r="B24" s="96"/>
      <c r="C24" s="451"/>
      <c r="D24" s="457"/>
      <c r="E24" s="459"/>
      <c r="F24" s="50" t="s">
        <v>37</v>
      </c>
      <c r="G24" s="462"/>
      <c r="H24" s="463"/>
      <c r="I24" s="512"/>
      <c r="J24" s="513"/>
      <c r="K24" s="512"/>
      <c r="L24" s="513"/>
      <c r="M24" s="512"/>
      <c r="N24" s="513"/>
      <c r="O24" s="512"/>
      <c r="P24" s="513"/>
      <c r="Q24" s="512"/>
      <c r="R24" s="513"/>
      <c r="S24" s="512"/>
      <c r="T24" s="513"/>
      <c r="U24" s="512"/>
      <c r="V24" s="513"/>
      <c r="W24" s="512"/>
      <c r="X24" s="513"/>
      <c r="Y24" s="512"/>
      <c r="Z24" s="513"/>
      <c r="AA24" s="512"/>
      <c r="AB24" s="513"/>
      <c r="AC24" s="512"/>
      <c r="AD24" s="513"/>
      <c r="AE24" s="512"/>
      <c r="AF24" s="513"/>
      <c r="AG24" s="512"/>
      <c r="AH24" s="513"/>
      <c r="AI24" s="512"/>
      <c r="AJ24" s="513"/>
      <c r="AK24" s="503"/>
      <c r="AL24" s="419"/>
      <c r="AM24" s="505"/>
      <c r="AN24" s="423"/>
      <c r="AO24" s="424"/>
      <c r="AP24" s="425"/>
      <c r="AQ24" s="47"/>
      <c r="AR24" s="503"/>
      <c r="AS24" s="419"/>
      <c r="AT24" s="505"/>
      <c r="AU24" s="419"/>
      <c r="AV24" s="515"/>
      <c r="AW24" s="48"/>
      <c r="AX24" s="741"/>
      <c r="AY24" s="758"/>
      <c r="AZ24" s="747"/>
    </row>
    <row r="25" spans="1:52" ht="20.100000000000001" hidden="1" customHeight="1" outlineLevel="1" x14ac:dyDescent="0.25">
      <c r="A25" s="49"/>
      <c r="B25" s="97" t="s">
        <v>41</v>
      </c>
      <c r="C25" s="451"/>
      <c r="D25" s="479" t="str">
        <f>$B$7</f>
        <v>Feeder</v>
      </c>
      <c r="E25" s="481"/>
      <c r="F25" s="51" t="s">
        <v>36</v>
      </c>
      <c r="G25" s="98"/>
      <c r="H25" s="99"/>
      <c r="I25" s="52"/>
      <c r="J25" s="53"/>
      <c r="K25" s="52"/>
      <c r="L25" s="53"/>
      <c r="M25" s="52"/>
      <c r="N25" s="53"/>
      <c r="O25" s="52"/>
      <c r="P25" s="53"/>
      <c r="Q25" s="52"/>
      <c r="R25" s="53"/>
      <c r="S25" s="52"/>
      <c r="T25" s="53"/>
      <c r="U25" s="52"/>
      <c r="V25" s="53"/>
      <c r="W25" s="52"/>
      <c r="X25" s="53"/>
      <c r="Y25" s="52"/>
      <c r="Z25" s="53"/>
      <c r="AA25" s="52"/>
      <c r="AB25" s="53"/>
      <c r="AC25" s="52"/>
      <c r="AD25" s="53"/>
      <c r="AE25" s="52"/>
      <c r="AF25" s="53"/>
      <c r="AG25" s="52"/>
      <c r="AH25" s="53"/>
      <c r="AI25" s="52"/>
      <c r="AJ25" s="53"/>
      <c r="AK25" s="483">
        <f>G25+I25+K25+M25+O25+Q25+S25+U25+W25+Y25+AA25+AC25+AE25+AG25+AI25</f>
        <v>0</v>
      </c>
      <c r="AL25" s="467">
        <f>IF(E25=0,0,AK25/E25)</f>
        <v>0</v>
      </c>
      <c r="AM25" s="471">
        <f>H25+J25+L25+N25+P25+R25+T25+V25+X25+Z25+AB25+AD25+AF25+AH25+AJ25</f>
        <v>0</v>
      </c>
      <c r="AN25" s="473">
        <f>IF(E23=0,0,AM25/($E23*14))</f>
        <v>0</v>
      </c>
      <c r="AO25" s="475" t="str">
        <f>IF(AM25=0,"",AM25/AK25)</f>
        <v/>
      </c>
      <c r="AP25" s="468">
        <f>G26+I26+K26+M26+O26+Q26+S26+U26+W26+Y26+AA26+AC26+AE26+AG26+AI26</f>
        <v>0</v>
      </c>
      <c r="AQ25" s="47"/>
      <c r="AR25" s="646">
        <f>AR18+AK25-G18</f>
        <v>0</v>
      </c>
      <c r="AS25" s="467">
        <f>AR25/$E$7</f>
        <v>0</v>
      </c>
      <c r="AT25" s="647">
        <f>AT18+AM25-H18</f>
        <v>0</v>
      </c>
      <c r="AU25" s="467">
        <f>+AT25/$F$7</f>
        <v>0</v>
      </c>
      <c r="AV25" s="508">
        <f>AV18+AP25-G19</f>
        <v>0</v>
      </c>
      <c r="AW25" s="48"/>
      <c r="AX25" s="741"/>
      <c r="AY25" s="758"/>
      <c r="AZ25" s="747"/>
    </row>
    <row r="26" spans="1:52" ht="15.75" hidden="1" customHeight="1" outlineLevel="1" x14ac:dyDescent="0.25">
      <c r="A26" s="49"/>
      <c r="B26" s="100"/>
      <c r="C26" s="451"/>
      <c r="D26" s="480"/>
      <c r="E26" s="482"/>
      <c r="F26" s="54" t="s">
        <v>37</v>
      </c>
      <c r="G26" s="462"/>
      <c r="H26" s="463"/>
      <c r="I26" s="506"/>
      <c r="J26" s="507"/>
      <c r="K26" s="506"/>
      <c r="L26" s="507"/>
      <c r="M26" s="506"/>
      <c r="N26" s="507"/>
      <c r="O26" s="506"/>
      <c r="P26" s="507"/>
      <c r="Q26" s="506"/>
      <c r="R26" s="507"/>
      <c r="S26" s="506"/>
      <c r="T26" s="507"/>
      <c r="U26" s="506"/>
      <c r="V26" s="507"/>
      <c r="W26" s="506"/>
      <c r="X26" s="507"/>
      <c r="Y26" s="506"/>
      <c r="Z26" s="507"/>
      <c r="AA26" s="506"/>
      <c r="AB26" s="507"/>
      <c r="AC26" s="506"/>
      <c r="AD26" s="507"/>
      <c r="AE26" s="506"/>
      <c r="AF26" s="507"/>
      <c r="AG26" s="506"/>
      <c r="AH26" s="507"/>
      <c r="AI26" s="506"/>
      <c r="AJ26" s="507"/>
      <c r="AK26" s="484"/>
      <c r="AL26" s="467"/>
      <c r="AM26" s="472"/>
      <c r="AN26" s="474"/>
      <c r="AO26" s="475"/>
      <c r="AP26" s="468"/>
      <c r="AQ26" s="47"/>
      <c r="AR26" s="511"/>
      <c r="AS26" s="467"/>
      <c r="AT26" s="647"/>
      <c r="AU26" s="467"/>
      <c r="AV26" s="508"/>
      <c r="AW26" s="48"/>
      <c r="AX26" s="741"/>
      <c r="AY26" s="758"/>
      <c r="AZ26" s="747"/>
    </row>
    <row r="27" spans="1:52" ht="24" hidden="1" customHeight="1" x14ac:dyDescent="0.25">
      <c r="A27" s="49"/>
      <c r="B27" s="96" t="s">
        <v>42</v>
      </c>
      <c r="C27" s="451"/>
      <c r="D27" s="464" t="s">
        <v>38</v>
      </c>
      <c r="E27" s="465"/>
      <c r="F27" s="466"/>
      <c r="G27" s="101"/>
      <c r="H27" s="102"/>
      <c r="I27" s="103"/>
      <c r="J27" s="104"/>
      <c r="K27" s="103"/>
      <c r="L27" s="104"/>
      <c r="M27" s="103"/>
      <c r="N27" s="104"/>
      <c r="O27" s="103"/>
      <c r="P27" s="104"/>
      <c r="Q27" s="55"/>
      <c r="R27" s="105"/>
      <c r="S27" s="55"/>
      <c r="T27" s="105"/>
      <c r="U27" s="55"/>
      <c r="V27" s="56"/>
      <c r="W27" s="55"/>
      <c r="X27" s="56"/>
      <c r="Y27" s="55"/>
      <c r="Z27" s="56"/>
      <c r="AA27" s="106"/>
      <c r="AB27" s="107"/>
      <c r="AC27" s="106"/>
      <c r="AD27" s="108"/>
      <c r="AE27" s="106"/>
      <c r="AF27" s="107"/>
      <c r="AG27" s="106"/>
      <c r="AH27" s="107"/>
      <c r="AI27" s="55"/>
      <c r="AJ27" s="56"/>
      <c r="AK27" s="57">
        <f>+AK23+AK25</f>
        <v>0</v>
      </c>
      <c r="AL27" s="58">
        <f>IF(E23+E25=0,0,AK27/(E23+E25))</f>
        <v>0</v>
      </c>
      <c r="AM27" s="59">
        <f>+SUM(AM25,AM23)</f>
        <v>0</v>
      </c>
      <c r="AN27" s="58">
        <f>IF((E23+E25)=0,0,AM27/((E23+E25)*14))</f>
        <v>0</v>
      </c>
      <c r="AO27" s="60" t="str">
        <f>IF(AM27=0,"",AM27/AK27)</f>
        <v/>
      </c>
      <c r="AP27" s="61">
        <f>+AP23+AP25</f>
        <v>0</v>
      </c>
      <c r="AQ27" s="109"/>
      <c r="AR27" s="57">
        <f>+AR23+AR25</f>
        <v>0</v>
      </c>
      <c r="AS27" s="58">
        <f>AR27/$E$5</f>
        <v>0</v>
      </c>
      <c r="AT27" s="110">
        <f>+AT23+AT25</f>
        <v>0</v>
      </c>
      <c r="AU27" s="58">
        <f>+AT27/$F$5</f>
        <v>0</v>
      </c>
      <c r="AV27" s="111">
        <f>+AV23+AV25</f>
        <v>0</v>
      </c>
      <c r="AW27" s="48"/>
      <c r="AX27" s="741"/>
      <c r="AY27" s="758"/>
      <c r="AZ27" s="747"/>
    </row>
    <row r="28" spans="1:52" ht="15.75" hidden="1" customHeight="1" thickBot="1" x14ac:dyDescent="0.3">
      <c r="A28" s="49"/>
      <c r="B28" s="112" t="s">
        <v>43</v>
      </c>
      <c r="C28" s="451"/>
      <c r="D28" s="445" t="s">
        <v>39</v>
      </c>
      <c r="E28" s="445"/>
      <c r="F28" s="445"/>
      <c r="G28" s="98"/>
      <c r="H28" s="99"/>
      <c r="I28" s="113"/>
      <c r="J28" s="114"/>
      <c r="K28" s="113"/>
      <c r="L28" s="114"/>
      <c r="M28" s="113"/>
      <c r="N28" s="114"/>
      <c r="O28" s="113"/>
      <c r="P28" s="114"/>
      <c r="Q28" s="113"/>
      <c r="R28" s="114"/>
      <c r="S28" s="113"/>
      <c r="T28" s="114"/>
      <c r="U28" s="113"/>
      <c r="V28" s="115"/>
      <c r="W28" s="113"/>
      <c r="X28" s="115"/>
      <c r="Y28" s="113"/>
      <c r="Z28" s="115"/>
      <c r="AA28" s="113"/>
      <c r="AB28" s="115"/>
      <c r="AC28" s="113"/>
      <c r="AD28" s="114"/>
      <c r="AE28" s="113"/>
      <c r="AF28" s="115"/>
      <c r="AG28" s="116"/>
      <c r="AH28" s="117"/>
      <c r="AI28" s="113"/>
      <c r="AJ28" s="115"/>
      <c r="AK28" s="71">
        <f>G28+I28+K28+M28+O28+Q28+S28+U28+W28+Y28+AA28+AC28+AE28+AG28+AI28</f>
        <v>0</v>
      </c>
      <c r="AL28" s="72"/>
      <c r="AM28" s="73">
        <f>H28+J28+L28+N28+P28+R28+T28+V28+X28+Z28+AB28+AD28+AF28+AH28+AJ28</f>
        <v>0</v>
      </c>
      <c r="AN28" s="72"/>
      <c r="AO28" s="74"/>
      <c r="AP28" s="73"/>
      <c r="AQ28" s="75"/>
      <c r="AR28" s="71">
        <f>AR21+AK28-G21</f>
        <v>0</v>
      </c>
      <c r="AS28" s="77"/>
      <c r="AT28" s="73">
        <f>AT21+AM28-H21</f>
        <v>0</v>
      </c>
      <c r="AU28" s="77"/>
      <c r="AV28" s="118"/>
      <c r="AW28" s="37"/>
      <c r="AX28" s="741"/>
      <c r="AY28" s="758"/>
      <c r="AZ28" s="747"/>
    </row>
    <row r="29" spans="1:52" ht="30.75" hidden="1" customHeight="1" thickBot="1" x14ac:dyDescent="0.3">
      <c r="A29" s="79"/>
      <c r="B29" s="119" t="s">
        <v>44</v>
      </c>
      <c r="C29" s="539"/>
      <c r="D29" s="446" t="s">
        <v>6</v>
      </c>
      <c r="E29" s="446"/>
      <c r="F29" s="446"/>
      <c r="G29" s="120"/>
      <c r="H29" s="121"/>
      <c r="I29" s="120"/>
      <c r="J29" s="121"/>
      <c r="K29" s="120"/>
      <c r="L29" s="121"/>
      <c r="M29" s="120"/>
      <c r="N29" s="121"/>
      <c r="O29" s="120"/>
      <c r="P29" s="121"/>
      <c r="Q29" s="120"/>
      <c r="R29" s="121"/>
      <c r="S29" s="120"/>
      <c r="T29" s="121"/>
      <c r="U29" s="120"/>
      <c r="V29" s="122"/>
      <c r="W29" s="120"/>
      <c r="X29" s="122"/>
      <c r="Y29" s="120"/>
      <c r="Z29" s="122"/>
      <c r="AA29" s="120"/>
      <c r="AB29" s="122"/>
      <c r="AC29" s="120"/>
      <c r="AD29" s="121"/>
      <c r="AE29" s="120"/>
      <c r="AF29" s="122"/>
      <c r="AG29" s="120"/>
      <c r="AH29" s="122"/>
      <c r="AI29" s="120"/>
      <c r="AJ29" s="122"/>
      <c r="AK29" s="123">
        <f>AK27+AK28</f>
        <v>0</v>
      </c>
      <c r="AL29" s="85">
        <f>IF(E23+E25=0,0,AK29/(E23+E25))</f>
        <v>0</v>
      </c>
      <c r="AM29" s="90">
        <f>+AM27+AM28</f>
        <v>0</v>
      </c>
      <c r="AN29" s="85">
        <f>IF((E23+E25)=0,0,AM29/((E23+E25)*14))</f>
        <v>0</v>
      </c>
      <c r="AO29" s="87" t="str">
        <f>IF(AM29=0,"",AM29/AK29)</f>
        <v/>
      </c>
      <c r="AP29" s="88">
        <f>+AP27</f>
        <v>0</v>
      </c>
      <c r="AQ29" s="89"/>
      <c r="AR29" s="84">
        <f>+AR27+AR28</f>
        <v>0</v>
      </c>
      <c r="AS29" s="85">
        <f>AR29/$E$5</f>
        <v>0</v>
      </c>
      <c r="AT29" s="90">
        <f>+AT27+AT28</f>
        <v>0</v>
      </c>
      <c r="AU29" s="85">
        <f>+AT29/$F$5</f>
        <v>0</v>
      </c>
      <c r="AV29" s="124">
        <f>+AV27</f>
        <v>0</v>
      </c>
      <c r="AW29" s="92"/>
      <c r="AX29" s="742"/>
      <c r="AY29" s="759"/>
      <c r="AZ29" s="748"/>
    </row>
    <row r="30" spans="1:52" ht="20.100000000000001" hidden="1" customHeight="1" outlineLevel="1" x14ac:dyDescent="0.25">
      <c r="A30" s="49"/>
      <c r="B30" s="93"/>
      <c r="C30" s="450"/>
      <c r="D30" s="500" t="str">
        <f>$B$6</f>
        <v>Trade</v>
      </c>
      <c r="E30" s="501">
        <v>65</v>
      </c>
      <c r="F30" s="44" t="s">
        <v>36</v>
      </c>
      <c r="G30" s="125"/>
      <c r="H30" s="126"/>
      <c r="I30" s="94"/>
      <c r="J30" s="95"/>
      <c r="K30" s="45"/>
      <c r="L30" s="46"/>
      <c r="M30" s="45"/>
      <c r="N30" s="46"/>
      <c r="O30" s="45"/>
      <c r="P30" s="46"/>
      <c r="Q30" s="45"/>
      <c r="R30" s="46"/>
      <c r="S30" s="45"/>
      <c r="T30" s="46"/>
      <c r="U30" s="45"/>
      <c r="V30" s="46"/>
      <c r="W30" s="45"/>
      <c r="X30" s="46"/>
      <c r="Y30" s="45"/>
      <c r="Z30" s="46"/>
      <c r="AA30" s="45"/>
      <c r="AB30" s="46"/>
      <c r="AC30" s="45"/>
      <c r="AD30" s="46"/>
      <c r="AE30" s="45"/>
      <c r="AF30" s="46"/>
      <c r="AG30" s="45"/>
      <c r="AH30" s="46"/>
      <c r="AI30" s="45"/>
      <c r="AJ30" s="46"/>
      <c r="AK30" s="502">
        <f>G30+I30+K30+M30+O30+Q30+S30+U30+W30+Y30+AA30+AC30+AE30+AG30+AI30</f>
        <v>0</v>
      </c>
      <c r="AL30" s="504">
        <f>IF(E30=0,0,AK30/E30)</f>
        <v>0</v>
      </c>
      <c r="AM30" s="493">
        <f>H30+J30+L30+N30+P30+R30+T30+V30+X30+Z30+AB30+AD30+AF30+AH30+AJ30</f>
        <v>0</v>
      </c>
      <c r="AN30" s="491">
        <f>IF(E30=0,0,AM30/($E30*14))</f>
        <v>0</v>
      </c>
      <c r="AO30" s="492" t="str">
        <f>IF(AM30=0,"",AM30/AK30)</f>
        <v/>
      </c>
      <c r="AP30" s="493">
        <f>G31+I31+K31+M31+O31+Q31+S31+U31+W31+Y31+AA31+AC31+AE31+AG31+AI31</f>
        <v>0</v>
      </c>
      <c r="AQ30" s="47"/>
      <c r="AR30" s="502">
        <f>AR23+AK30-I16-I23</f>
        <v>0</v>
      </c>
      <c r="AS30" s="504">
        <f>AR30/$E$6</f>
        <v>0</v>
      </c>
      <c r="AT30" s="648">
        <f>AT23+AM30-J16-J23</f>
        <v>0</v>
      </c>
      <c r="AU30" s="504">
        <f>+AT30/$F$6</f>
        <v>0</v>
      </c>
      <c r="AV30" s="514">
        <f>AV23+AP30-I17-I24</f>
        <v>0</v>
      </c>
      <c r="AW30" s="48"/>
      <c r="AX30" s="740">
        <f>$E$5-AR36</f>
        <v>1234</v>
      </c>
      <c r="AY30" s="757">
        <f>$F$5-AT36</f>
        <v>17276</v>
      </c>
      <c r="AZ30" s="760">
        <f>$G$5-AV36</f>
        <v>300</v>
      </c>
    </row>
    <row r="31" spans="1:52" ht="15.75" hidden="1" customHeight="1" outlineLevel="1" x14ac:dyDescent="0.25">
      <c r="A31" s="649" t="s">
        <v>7</v>
      </c>
      <c r="B31" s="96"/>
      <c r="C31" s="451"/>
      <c r="D31" s="457"/>
      <c r="E31" s="459"/>
      <c r="F31" s="50" t="s">
        <v>37</v>
      </c>
      <c r="G31" s="543"/>
      <c r="H31" s="544"/>
      <c r="I31" s="462"/>
      <c r="J31" s="463"/>
      <c r="K31" s="512"/>
      <c r="L31" s="513"/>
      <c r="M31" s="512"/>
      <c r="N31" s="513"/>
      <c r="O31" s="512"/>
      <c r="P31" s="513"/>
      <c r="Q31" s="512"/>
      <c r="R31" s="513"/>
      <c r="S31" s="512"/>
      <c r="T31" s="513"/>
      <c r="U31" s="512"/>
      <c r="V31" s="513"/>
      <c r="W31" s="512"/>
      <c r="X31" s="513"/>
      <c r="Y31" s="512"/>
      <c r="Z31" s="513"/>
      <c r="AA31" s="512"/>
      <c r="AB31" s="513"/>
      <c r="AC31" s="512"/>
      <c r="AD31" s="513"/>
      <c r="AE31" s="512"/>
      <c r="AF31" s="513"/>
      <c r="AG31" s="512"/>
      <c r="AH31" s="513"/>
      <c r="AI31" s="512"/>
      <c r="AJ31" s="513"/>
      <c r="AK31" s="503"/>
      <c r="AL31" s="419"/>
      <c r="AM31" s="505"/>
      <c r="AN31" s="423"/>
      <c r="AO31" s="424"/>
      <c r="AP31" s="425"/>
      <c r="AQ31" s="47"/>
      <c r="AR31" s="503"/>
      <c r="AS31" s="419"/>
      <c r="AT31" s="505"/>
      <c r="AU31" s="419"/>
      <c r="AV31" s="515"/>
      <c r="AW31" s="48"/>
      <c r="AX31" s="741"/>
      <c r="AY31" s="758"/>
      <c r="AZ31" s="747"/>
    </row>
    <row r="32" spans="1:52" ht="20.100000000000001" hidden="1" customHeight="1" outlineLevel="1" x14ac:dyDescent="0.25">
      <c r="A32" s="649"/>
      <c r="B32" s="97" t="s">
        <v>45</v>
      </c>
      <c r="C32" s="451"/>
      <c r="D32" s="479" t="str">
        <f>$B$7</f>
        <v>Feeder</v>
      </c>
      <c r="E32" s="481"/>
      <c r="F32" s="51" t="s">
        <v>36</v>
      </c>
      <c r="G32" s="127"/>
      <c r="H32" s="128"/>
      <c r="I32" s="98"/>
      <c r="J32" s="99"/>
      <c r="K32" s="52"/>
      <c r="L32" s="53"/>
      <c r="M32" s="52"/>
      <c r="N32" s="53"/>
      <c r="O32" s="52"/>
      <c r="P32" s="53"/>
      <c r="Q32" s="52"/>
      <c r="R32" s="53"/>
      <c r="S32" s="52"/>
      <c r="T32" s="53"/>
      <c r="U32" s="52"/>
      <c r="V32" s="53"/>
      <c r="W32" s="52"/>
      <c r="X32" s="53"/>
      <c r="Y32" s="52"/>
      <c r="Z32" s="53"/>
      <c r="AA32" s="52"/>
      <c r="AB32" s="53"/>
      <c r="AC32" s="52"/>
      <c r="AD32" s="53"/>
      <c r="AE32" s="52"/>
      <c r="AF32" s="53"/>
      <c r="AG32" s="52"/>
      <c r="AH32" s="53"/>
      <c r="AI32" s="52"/>
      <c r="AJ32" s="53"/>
      <c r="AK32" s="483">
        <f>G32+I32+K32+M32+O32+Q32+S32+U32+W32+Y32+AA32+AC32+AE32+AG32+AI32</f>
        <v>0</v>
      </c>
      <c r="AL32" s="467">
        <f>IF(E32=0,0,AK32/E32)</f>
        <v>0</v>
      </c>
      <c r="AM32" s="471">
        <f>H32+J32+L32+N32+P32+R32+T32+V32+X32+Z32+AB32+AD32+AF32+AH32+AJ32</f>
        <v>0</v>
      </c>
      <c r="AN32" s="473">
        <f>IF(E30=0,0,AM32/($E30*14))</f>
        <v>0</v>
      </c>
      <c r="AO32" s="475" t="str">
        <f>IF(AM32=0,"",AM32/AK32)</f>
        <v/>
      </c>
      <c r="AP32" s="468">
        <f>G33+I33+K33+M33+O33+Q33+S33+U33+W33+Y33+AA33+AC33+AE33+AG33+AI33</f>
        <v>0</v>
      </c>
      <c r="AQ32" s="47"/>
      <c r="AR32" s="511">
        <f>AR25+AK32-I18-I25</f>
        <v>0</v>
      </c>
      <c r="AS32" s="467">
        <f>AR32/$E$7</f>
        <v>0</v>
      </c>
      <c r="AT32" s="647">
        <f>AT25+AM32-J18-J25</f>
        <v>0</v>
      </c>
      <c r="AU32" s="467">
        <f>+AT32/$F$7</f>
        <v>0</v>
      </c>
      <c r="AV32" s="508">
        <f>AV25+AP32-I19-I26</f>
        <v>0</v>
      </c>
      <c r="AW32" s="48"/>
      <c r="AX32" s="741"/>
      <c r="AY32" s="758"/>
      <c r="AZ32" s="747"/>
    </row>
    <row r="33" spans="1:52" ht="15.75" hidden="1" customHeight="1" outlineLevel="1" x14ac:dyDescent="0.25">
      <c r="A33" s="49"/>
      <c r="B33" s="100"/>
      <c r="C33" s="451"/>
      <c r="D33" s="480"/>
      <c r="E33" s="482"/>
      <c r="F33" s="54" t="s">
        <v>37</v>
      </c>
      <c r="G33" s="543"/>
      <c r="H33" s="544"/>
      <c r="I33" s="462"/>
      <c r="J33" s="463"/>
      <c r="K33" s="506"/>
      <c r="L33" s="507"/>
      <c r="M33" s="506"/>
      <c r="N33" s="507"/>
      <c r="O33" s="506"/>
      <c r="P33" s="507"/>
      <c r="Q33" s="506"/>
      <c r="R33" s="507"/>
      <c r="S33" s="506"/>
      <c r="T33" s="507"/>
      <c r="U33" s="506"/>
      <c r="V33" s="507"/>
      <c r="W33" s="506"/>
      <c r="X33" s="507"/>
      <c r="Y33" s="506"/>
      <c r="Z33" s="507"/>
      <c r="AA33" s="506"/>
      <c r="AB33" s="507"/>
      <c r="AC33" s="506"/>
      <c r="AD33" s="507"/>
      <c r="AE33" s="506"/>
      <c r="AF33" s="507"/>
      <c r="AG33" s="506"/>
      <c r="AH33" s="507"/>
      <c r="AI33" s="506"/>
      <c r="AJ33" s="507"/>
      <c r="AK33" s="484"/>
      <c r="AL33" s="467"/>
      <c r="AM33" s="472"/>
      <c r="AN33" s="474"/>
      <c r="AO33" s="475"/>
      <c r="AP33" s="468"/>
      <c r="AQ33" s="47"/>
      <c r="AR33" s="511"/>
      <c r="AS33" s="467"/>
      <c r="AT33" s="647"/>
      <c r="AU33" s="467"/>
      <c r="AV33" s="508"/>
      <c r="AW33" s="48"/>
      <c r="AX33" s="741"/>
      <c r="AY33" s="758"/>
      <c r="AZ33" s="747"/>
    </row>
    <row r="34" spans="1:52" ht="24" hidden="1" customHeight="1" x14ac:dyDescent="0.25">
      <c r="A34" s="49"/>
      <c r="B34" s="96" t="s">
        <v>46</v>
      </c>
      <c r="C34" s="451"/>
      <c r="D34" s="464" t="s">
        <v>38</v>
      </c>
      <c r="E34" s="465"/>
      <c r="F34" s="466"/>
      <c r="G34" s="129"/>
      <c r="H34" s="130"/>
      <c r="I34" s="101"/>
      <c r="J34" s="102"/>
      <c r="K34" s="103"/>
      <c r="L34" s="104"/>
      <c r="M34" s="103"/>
      <c r="N34" s="104"/>
      <c r="O34" s="103"/>
      <c r="P34" s="104"/>
      <c r="Q34" s="55"/>
      <c r="R34" s="105"/>
      <c r="S34" s="55"/>
      <c r="T34" s="105"/>
      <c r="U34" s="55"/>
      <c r="V34" s="56"/>
      <c r="W34" s="55"/>
      <c r="X34" s="56"/>
      <c r="Y34" s="55"/>
      <c r="Z34" s="56"/>
      <c r="AA34" s="106"/>
      <c r="AB34" s="107"/>
      <c r="AC34" s="106"/>
      <c r="AD34" s="108"/>
      <c r="AE34" s="106"/>
      <c r="AF34" s="107"/>
      <c r="AG34" s="106"/>
      <c r="AH34" s="107"/>
      <c r="AI34" s="55"/>
      <c r="AJ34" s="56"/>
      <c r="AK34" s="57">
        <f>+AK30+AK32</f>
        <v>0</v>
      </c>
      <c r="AL34" s="58">
        <f>IF(E30+E32=0,0,AK34/(E30+E32))</f>
        <v>0</v>
      </c>
      <c r="AM34" s="110">
        <f>+SUM(AM32,AM30)</f>
        <v>0</v>
      </c>
      <c r="AN34" s="58">
        <f>IF((E30+E32)=0,0,AM34/((E30+E32)*14))</f>
        <v>0</v>
      </c>
      <c r="AO34" s="60" t="str">
        <f>IF(AM34=0,"",AM34/AK34)</f>
        <v/>
      </c>
      <c r="AP34" s="61">
        <f>+AP30+AP32</f>
        <v>0</v>
      </c>
      <c r="AQ34" s="109"/>
      <c r="AR34" s="57">
        <f>+AR30+AR32</f>
        <v>0</v>
      </c>
      <c r="AS34" s="58">
        <f>AR34/$E$5</f>
        <v>0</v>
      </c>
      <c r="AT34" s="110">
        <f>+AT30+AT32</f>
        <v>0</v>
      </c>
      <c r="AU34" s="58">
        <f>+AT34/$F$5</f>
        <v>0</v>
      </c>
      <c r="AV34" s="111">
        <f>+AV30+AV32</f>
        <v>0</v>
      </c>
      <c r="AW34" s="48"/>
      <c r="AX34" s="741"/>
      <c r="AY34" s="758"/>
      <c r="AZ34" s="747"/>
    </row>
    <row r="35" spans="1:52" ht="15.75" hidden="1" customHeight="1" thickBot="1" x14ac:dyDescent="0.3">
      <c r="A35" s="49"/>
      <c r="B35" s="112" t="s">
        <v>47</v>
      </c>
      <c r="C35" s="451"/>
      <c r="D35" s="445" t="s">
        <v>39</v>
      </c>
      <c r="E35" s="445"/>
      <c r="F35" s="445"/>
      <c r="G35" s="131"/>
      <c r="H35" s="132"/>
      <c r="I35" s="98"/>
      <c r="J35" s="99"/>
      <c r="K35" s="113"/>
      <c r="L35" s="114"/>
      <c r="M35" s="113"/>
      <c r="N35" s="114"/>
      <c r="O35" s="113"/>
      <c r="P35" s="114"/>
      <c r="Q35" s="113"/>
      <c r="R35" s="114"/>
      <c r="S35" s="113"/>
      <c r="T35" s="114"/>
      <c r="U35" s="113"/>
      <c r="V35" s="115"/>
      <c r="W35" s="113"/>
      <c r="X35" s="115"/>
      <c r="Y35" s="113"/>
      <c r="Z35" s="115"/>
      <c r="AA35" s="113"/>
      <c r="AB35" s="115"/>
      <c r="AC35" s="113"/>
      <c r="AD35" s="114"/>
      <c r="AE35" s="113"/>
      <c r="AF35" s="115"/>
      <c r="AG35" s="116"/>
      <c r="AH35" s="117"/>
      <c r="AI35" s="113"/>
      <c r="AJ35" s="115"/>
      <c r="AK35" s="71">
        <f>G35+I35+K35+M35+O35+Q35+S35+U35+W35+Y35+AA35+AC35+AE35+AG35+AI35</f>
        <v>0</v>
      </c>
      <c r="AL35" s="72"/>
      <c r="AM35" s="73">
        <f>H35+J35+L35+N35+P35+R35+T35+V35+X35+Z35+AB35+AD35+AF35+AH35+AJ35</f>
        <v>0</v>
      </c>
      <c r="AN35" s="72"/>
      <c r="AO35" s="74"/>
      <c r="AP35" s="133"/>
      <c r="AQ35" s="109"/>
      <c r="AR35" s="71">
        <f>AR28+AK35-I21-I28</f>
        <v>0</v>
      </c>
      <c r="AS35" s="77"/>
      <c r="AT35" s="73">
        <f>AT28+AM35-J21-J28</f>
        <v>0</v>
      </c>
      <c r="AU35" s="77"/>
      <c r="AV35" s="134"/>
      <c r="AW35" s="37"/>
      <c r="AX35" s="741"/>
      <c r="AY35" s="758"/>
      <c r="AZ35" s="747"/>
    </row>
    <row r="36" spans="1:52" ht="30.75" hidden="1" customHeight="1" thickBot="1" x14ac:dyDescent="0.3">
      <c r="A36" s="79"/>
      <c r="B36" s="119" t="s">
        <v>44</v>
      </c>
      <c r="C36" s="539"/>
      <c r="D36" s="446" t="s">
        <v>6</v>
      </c>
      <c r="E36" s="446"/>
      <c r="F36" s="446"/>
      <c r="G36" s="120"/>
      <c r="H36" s="121"/>
      <c r="I36" s="120"/>
      <c r="J36" s="121"/>
      <c r="K36" s="120"/>
      <c r="L36" s="121"/>
      <c r="M36" s="120"/>
      <c r="N36" s="121"/>
      <c r="O36" s="120"/>
      <c r="P36" s="121"/>
      <c r="Q36" s="120"/>
      <c r="R36" s="121"/>
      <c r="S36" s="120"/>
      <c r="T36" s="121"/>
      <c r="U36" s="120"/>
      <c r="V36" s="122"/>
      <c r="W36" s="120"/>
      <c r="X36" s="122"/>
      <c r="Y36" s="120"/>
      <c r="Z36" s="122"/>
      <c r="AA36" s="120"/>
      <c r="AB36" s="122"/>
      <c r="AC36" s="120"/>
      <c r="AD36" s="121"/>
      <c r="AE36" s="120"/>
      <c r="AF36" s="122"/>
      <c r="AG36" s="120"/>
      <c r="AH36" s="122"/>
      <c r="AI36" s="120"/>
      <c r="AJ36" s="122"/>
      <c r="AK36" s="84">
        <f>AK34+AK35</f>
        <v>0</v>
      </c>
      <c r="AL36" s="85">
        <f>IF(E30+E32=0,0,AK36/(E30+E32))</f>
        <v>0</v>
      </c>
      <c r="AM36" s="86">
        <f>+AM34+AM35</f>
        <v>0</v>
      </c>
      <c r="AN36" s="85">
        <f>IF((E30+E32)=0,0,AM36/((E30+E32)*14))</f>
        <v>0</v>
      </c>
      <c r="AO36" s="87" t="str">
        <f>IF(AM36=0,"",AM36/AK36)</f>
        <v/>
      </c>
      <c r="AP36" s="88">
        <f>+AP34</f>
        <v>0</v>
      </c>
      <c r="AQ36" s="89"/>
      <c r="AR36" s="84">
        <f>+AR34+AR35</f>
        <v>0</v>
      </c>
      <c r="AS36" s="85">
        <f>AR36/$E$5</f>
        <v>0</v>
      </c>
      <c r="AT36" s="90">
        <f>+AT34+AT35</f>
        <v>0</v>
      </c>
      <c r="AU36" s="85">
        <f>+AT36/$F$5</f>
        <v>0</v>
      </c>
      <c r="AV36" s="124">
        <f>+AV34</f>
        <v>0</v>
      </c>
      <c r="AW36" s="92"/>
      <c r="AX36" s="742"/>
      <c r="AY36" s="759"/>
      <c r="AZ36" s="748"/>
    </row>
    <row r="37" spans="1:52" ht="20.100000000000001" hidden="1" customHeight="1" outlineLevel="1" x14ac:dyDescent="0.25">
      <c r="A37" s="49"/>
      <c r="B37" s="93"/>
      <c r="C37" s="450"/>
      <c r="D37" s="500" t="str">
        <f>$B$6</f>
        <v>Trade</v>
      </c>
      <c r="E37" s="501">
        <v>45</v>
      </c>
      <c r="F37" s="44" t="s">
        <v>36</v>
      </c>
      <c r="G37" s="125"/>
      <c r="H37" s="126"/>
      <c r="I37" s="125"/>
      <c r="J37" s="126"/>
      <c r="K37" s="94"/>
      <c r="L37" s="95"/>
      <c r="M37" s="45"/>
      <c r="N37" s="46"/>
      <c r="O37" s="45"/>
      <c r="P37" s="46"/>
      <c r="Q37" s="45"/>
      <c r="R37" s="46"/>
      <c r="S37" s="45"/>
      <c r="T37" s="46"/>
      <c r="U37" s="45"/>
      <c r="V37" s="46"/>
      <c r="W37" s="45"/>
      <c r="X37" s="46"/>
      <c r="Y37" s="45"/>
      <c r="Z37" s="46"/>
      <c r="AA37" s="45"/>
      <c r="AB37" s="46"/>
      <c r="AC37" s="45"/>
      <c r="AD37" s="46"/>
      <c r="AE37" s="45"/>
      <c r="AF37" s="46"/>
      <c r="AG37" s="45"/>
      <c r="AH37" s="46"/>
      <c r="AI37" s="45"/>
      <c r="AJ37" s="46"/>
      <c r="AK37" s="502">
        <f>G37+I37+K37+M37+O37+Q37+S37+U37+W37+Y37+AA37+AC37+AE37+AG37+AI37</f>
        <v>0</v>
      </c>
      <c r="AL37" s="504">
        <f>IF(E37=0,0,AK37/E37)</f>
        <v>0</v>
      </c>
      <c r="AM37" s="493">
        <f>H37+J37+L37+N37+P37+R37+T37+V37+X37+Z37+AB37+AD37+AF37+AH37+AJ37</f>
        <v>0</v>
      </c>
      <c r="AN37" s="491">
        <f>IF(E37=0,0,AM37/($E37*14))</f>
        <v>0</v>
      </c>
      <c r="AO37" s="492" t="str">
        <f>IF(AM37=0,"",AM37/AK37)</f>
        <v/>
      </c>
      <c r="AP37" s="493">
        <f>G38+I38+K38+M38+O38+Q38+S38+U38+W38+Y38+AA38+AC38+AE38+AG38+AI38</f>
        <v>0</v>
      </c>
      <c r="AQ37" s="47"/>
      <c r="AR37" s="502">
        <f>AR30+AK37-K16-K23-K30</f>
        <v>0</v>
      </c>
      <c r="AS37" s="504">
        <f>AR37/$E$6</f>
        <v>0</v>
      </c>
      <c r="AT37" s="648">
        <f>+AT30+AM37-L16-L23-L30</f>
        <v>0</v>
      </c>
      <c r="AU37" s="504">
        <f>+AT37/$F$6</f>
        <v>0</v>
      </c>
      <c r="AV37" s="514">
        <f>AV30+AP37-K17-K24-K31</f>
        <v>0</v>
      </c>
      <c r="AW37" s="48"/>
      <c r="AX37" s="740">
        <f>$E$5-AR43</f>
        <v>1234</v>
      </c>
      <c r="AY37" s="757">
        <f>$F$5-AT43</f>
        <v>17276</v>
      </c>
      <c r="AZ37" s="760">
        <f>$G$5-AV43</f>
        <v>300</v>
      </c>
    </row>
    <row r="38" spans="1:52" ht="15.75" hidden="1" customHeight="1" outlineLevel="1" x14ac:dyDescent="0.25">
      <c r="A38" s="49"/>
      <c r="B38" s="96"/>
      <c r="C38" s="451"/>
      <c r="D38" s="457"/>
      <c r="E38" s="459"/>
      <c r="F38" s="50" t="s">
        <v>37</v>
      </c>
      <c r="G38" s="543"/>
      <c r="H38" s="544"/>
      <c r="I38" s="543"/>
      <c r="J38" s="544"/>
      <c r="K38" s="462"/>
      <c r="L38" s="463"/>
      <c r="M38" s="512"/>
      <c r="N38" s="513"/>
      <c r="O38" s="512"/>
      <c r="P38" s="513"/>
      <c r="Q38" s="512"/>
      <c r="R38" s="513"/>
      <c r="S38" s="512"/>
      <c r="T38" s="513"/>
      <c r="U38" s="512"/>
      <c r="V38" s="513"/>
      <c r="W38" s="512"/>
      <c r="X38" s="513"/>
      <c r="Y38" s="512"/>
      <c r="Z38" s="513"/>
      <c r="AA38" s="512"/>
      <c r="AB38" s="513"/>
      <c r="AC38" s="512"/>
      <c r="AD38" s="513"/>
      <c r="AE38" s="512"/>
      <c r="AF38" s="513"/>
      <c r="AG38" s="512"/>
      <c r="AH38" s="513"/>
      <c r="AI38" s="512"/>
      <c r="AJ38" s="513"/>
      <c r="AK38" s="503"/>
      <c r="AL38" s="419"/>
      <c r="AM38" s="505"/>
      <c r="AN38" s="423"/>
      <c r="AO38" s="424"/>
      <c r="AP38" s="425"/>
      <c r="AQ38" s="47"/>
      <c r="AR38" s="503"/>
      <c r="AS38" s="419"/>
      <c r="AT38" s="505"/>
      <c r="AU38" s="419"/>
      <c r="AV38" s="515"/>
      <c r="AW38" s="48"/>
      <c r="AX38" s="741"/>
      <c r="AY38" s="758"/>
      <c r="AZ38" s="747"/>
    </row>
    <row r="39" spans="1:52" ht="20.100000000000001" hidden="1" customHeight="1" outlineLevel="1" x14ac:dyDescent="0.25">
      <c r="A39" s="49"/>
      <c r="B39" s="97" t="s">
        <v>48</v>
      </c>
      <c r="C39" s="451"/>
      <c r="D39" s="479" t="str">
        <f>$B$7</f>
        <v>Feeder</v>
      </c>
      <c r="E39" s="481"/>
      <c r="F39" s="51" t="s">
        <v>36</v>
      </c>
      <c r="G39" s="127"/>
      <c r="H39" s="128"/>
      <c r="I39" s="127"/>
      <c r="J39" s="128"/>
      <c r="K39" s="98"/>
      <c r="L39" s="99"/>
      <c r="M39" s="52"/>
      <c r="N39" s="53"/>
      <c r="O39" s="52"/>
      <c r="P39" s="53"/>
      <c r="Q39" s="52"/>
      <c r="R39" s="53"/>
      <c r="S39" s="52"/>
      <c r="T39" s="53"/>
      <c r="U39" s="52"/>
      <c r="V39" s="53"/>
      <c r="W39" s="52"/>
      <c r="X39" s="53"/>
      <c r="Y39" s="52"/>
      <c r="Z39" s="53"/>
      <c r="AA39" s="52"/>
      <c r="AB39" s="53"/>
      <c r="AC39" s="52"/>
      <c r="AD39" s="53"/>
      <c r="AE39" s="52"/>
      <c r="AF39" s="53"/>
      <c r="AG39" s="52"/>
      <c r="AH39" s="53"/>
      <c r="AI39" s="52"/>
      <c r="AJ39" s="53"/>
      <c r="AK39" s="483">
        <f>G39+I39+K39+M39+O39+Q39+S39+U39+W39+Y39+AA39+AC39+AE39+AG39+AI39</f>
        <v>0</v>
      </c>
      <c r="AL39" s="467">
        <f>IF(E39=0,0,AK39/E39)</f>
        <v>0</v>
      </c>
      <c r="AM39" s="471">
        <f>H39+J39+L39+N39+P39+R39+T39+V39+X39+Z39+AB39+AD39+AF39+AH39+AJ39</f>
        <v>0</v>
      </c>
      <c r="AN39" s="473">
        <f>IF(E37=0,0,AM39/($E37*14))</f>
        <v>0</v>
      </c>
      <c r="AO39" s="475" t="str">
        <f>IF(AM39=0,"",AM39/AK39)</f>
        <v/>
      </c>
      <c r="AP39" s="468">
        <f>G40+I40+K40+M40+O40+Q40+S40+U40+W40+Y40+AA40+AC40+AE40+AG40+AI40</f>
        <v>0</v>
      </c>
      <c r="AQ39" s="47"/>
      <c r="AR39" s="511">
        <f>AR32+AK39-K18-K25-K32</f>
        <v>0</v>
      </c>
      <c r="AS39" s="467">
        <f>AR39/$E$7</f>
        <v>0</v>
      </c>
      <c r="AT39" s="647">
        <f>+AT32+AM39-L18-L25-L32</f>
        <v>0</v>
      </c>
      <c r="AU39" s="467">
        <f>+AT39/$F$7</f>
        <v>0</v>
      </c>
      <c r="AV39" s="508">
        <f>AV32+AP39-K19-K26-K33</f>
        <v>0</v>
      </c>
      <c r="AW39" s="48"/>
      <c r="AX39" s="741"/>
      <c r="AY39" s="758"/>
      <c r="AZ39" s="747"/>
    </row>
    <row r="40" spans="1:52" ht="15.75" hidden="1" customHeight="1" outlineLevel="1" thickBot="1" x14ac:dyDescent="0.3">
      <c r="A40" s="49"/>
      <c r="B40" s="100"/>
      <c r="C40" s="451"/>
      <c r="D40" s="480"/>
      <c r="E40" s="482"/>
      <c r="F40" s="54" t="s">
        <v>37</v>
      </c>
      <c r="G40" s="543"/>
      <c r="H40" s="544"/>
      <c r="I40" s="543"/>
      <c r="J40" s="544"/>
      <c r="K40" s="462"/>
      <c r="L40" s="463"/>
      <c r="M40" s="506"/>
      <c r="N40" s="507"/>
      <c r="O40" s="506"/>
      <c r="P40" s="507"/>
      <c r="Q40" s="506"/>
      <c r="R40" s="507"/>
      <c r="S40" s="506"/>
      <c r="T40" s="507"/>
      <c r="U40" s="506"/>
      <c r="V40" s="507"/>
      <c r="W40" s="506"/>
      <c r="X40" s="507"/>
      <c r="Y40" s="506"/>
      <c r="Z40" s="507"/>
      <c r="AA40" s="506"/>
      <c r="AB40" s="507"/>
      <c r="AC40" s="506"/>
      <c r="AD40" s="507"/>
      <c r="AE40" s="506"/>
      <c r="AF40" s="507"/>
      <c r="AG40" s="506"/>
      <c r="AH40" s="507"/>
      <c r="AI40" s="506"/>
      <c r="AJ40" s="507"/>
      <c r="AK40" s="484"/>
      <c r="AL40" s="467"/>
      <c r="AM40" s="472"/>
      <c r="AN40" s="474"/>
      <c r="AO40" s="475"/>
      <c r="AP40" s="468"/>
      <c r="AQ40" s="47"/>
      <c r="AR40" s="655"/>
      <c r="AS40" s="473"/>
      <c r="AT40" s="658"/>
      <c r="AU40" s="473"/>
      <c r="AV40" s="560"/>
      <c r="AW40" s="48"/>
      <c r="AX40" s="741"/>
      <c r="AY40" s="758"/>
      <c r="AZ40" s="747"/>
    </row>
    <row r="41" spans="1:52" ht="24" hidden="1" customHeight="1" thickTop="1" x14ac:dyDescent="0.25">
      <c r="A41" s="49"/>
      <c r="B41" s="96" t="s">
        <v>49</v>
      </c>
      <c r="C41" s="451"/>
      <c r="D41" s="464" t="s">
        <v>38</v>
      </c>
      <c r="E41" s="465"/>
      <c r="F41" s="466"/>
      <c r="G41" s="129"/>
      <c r="H41" s="130"/>
      <c r="I41" s="129"/>
      <c r="J41" s="130"/>
      <c r="K41" s="101"/>
      <c r="L41" s="102"/>
      <c r="M41" s="103"/>
      <c r="N41" s="104"/>
      <c r="O41" s="55"/>
      <c r="P41" s="105"/>
      <c r="Q41" s="55"/>
      <c r="R41" s="105"/>
      <c r="S41" s="55"/>
      <c r="T41" s="105"/>
      <c r="U41" s="55"/>
      <c r="V41" s="56"/>
      <c r="W41" s="55"/>
      <c r="X41" s="56"/>
      <c r="Y41" s="55"/>
      <c r="Z41" s="56"/>
      <c r="AA41" s="106"/>
      <c r="AB41" s="107"/>
      <c r="AC41" s="106"/>
      <c r="AD41" s="108"/>
      <c r="AE41" s="106"/>
      <c r="AF41" s="107"/>
      <c r="AG41" s="106"/>
      <c r="AH41" s="107"/>
      <c r="AI41" s="55"/>
      <c r="AJ41" s="56"/>
      <c r="AK41" s="57">
        <f>+AK37+AK39</f>
        <v>0</v>
      </c>
      <c r="AL41" s="58">
        <f>IF(E37+E39=0,0,AK41/(E37+E39))</f>
        <v>0</v>
      </c>
      <c r="AM41" s="110">
        <f>+SUM(AM39,AM37)</f>
        <v>0</v>
      </c>
      <c r="AN41" s="58">
        <f>IF((E37+E39)=0,0,AM41/((E37+E39)*14))</f>
        <v>0</v>
      </c>
      <c r="AO41" s="60" t="str">
        <f>IF(AM41=0,"",AM41/AK41)</f>
        <v/>
      </c>
      <c r="AP41" s="61">
        <f>+AP37+AP39</f>
        <v>0</v>
      </c>
      <c r="AQ41" s="109"/>
      <c r="AR41" s="135">
        <f>+AR37+AR39</f>
        <v>0</v>
      </c>
      <c r="AS41" s="136">
        <f>AR41/$E$5</f>
        <v>0</v>
      </c>
      <c r="AT41" s="137">
        <f>+AT37+AT39</f>
        <v>0</v>
      </c>
      <c r="AU41" s="136">
        <f>+AT41/$F$5</f>
        <v>0</v>
      </c>
      <c r="AV41" s="138">
        <f>+AV37+AV39</f>
        <v>0</v>
      </c>
      <c r="AW41" s="48"/>
      <c r="AX41" s="741"/>
      <c r="AY41" s="758"/>
      <c r="AZ41" s="747"/>
    </row>
    <row r="42" spans="1:52" ht="15.75" hidden="1" customHeight="1" thickBot="1" x14ac:dyDescent="0.3">
      <c r="A42" s="49"/>
      <c r="B42" s="112" t="s">
        <v>50</v>
      </c>
      <c r="C42" s="451"/>
      <c r="D42" s="445" t="s">
        <v>39</v>
      </c>
      <c r="E42" s="445"/>
      <c r="F42" s="445"/>
      <c r="G42" s="131"/>
      <c r="H42" s="132"/>
      <c r="I42" s="131"/>
      <c r="J42" s="132"/>
      <c r="K42" s="98"/>
      <c r="L42" s="99"/>
      <c r="M42" s="113"/>
      <c r="N42" s="114"/>
      <c r="O42" s="113"/>
      <c r="P42" s="114"/>
      <c r="Q42" s="113"/>
      <c r="R42" s="114"/>
      <c r="S42" s="113"/>
      <c r="T42" s="114"/>
      <c r="U42" s="113"/>
      <c r="V42" s="115"/>
      <c r="W42" s="113"/>
      <c r="X42" s="115"/>
      <c r="Y42" s="113"/>
      <c r="Z42" s="115"/>
      <c r="AA42" s="113"/>
      <c r="AB42" s="115"/>
      <c r="AC42" s="113"/>
      <c r="AD42" s="114"/>
      <c r="AE42" s="113"/>
      <c r="AF42" s="115"/>
      <c r="AG42" s="116"/>
      <c r="AH42" s="117"/>
      <c r="AI42" s="113"/>
      <c r="AJ42" s="115"/>
      <c r="AK42" s="71">
        <f>G42+I42+K42+M42+O42+Q42+S42+U42+W42+Y42+AA42+AC42+AE42+AG42+AI42</f>
        <v>0</v>
      </c>
      <c r="AL42" s="72"/>
      <c r="AM42" s="73">
        <f>H42+J42+L42+N42+P42+R42+T42+V42+X42+Z42+AB42+AD42+AF42+AH42+AJ42</f>
        <v>0</v>
      </c>
      <c r="AN42" s="72"/>
      <c r="AO42" s="74"/>
      <c r="AP42" s="73"/>
      <c r="AQ42" s="75"/>
      <c r="AR42" s="139">
        <f>AR35+AK42-K21-K28-K35</f>
        <v>0</v>
      </c>
      <c r="AS42" s="77"/>
      <c r="AT42" s="73">
        <f>AT35+AM42-L21-L28-L35</f>
        <v>0</v>
      </c>
      <c r="AU42" s="77"/>
      <c r="AV42" s="140"/>
      <c r="AW42" s="37"/>
      <c r="AX42" s="741"/>
      <c r="AY42" s="758"/>
      <c r="AZ42" s="747"/>
    </row>
    <row r="43" spans="1:52" ht="30.75" hidden="1" customHeight="1" thickBot="1" x14ac:dyDescent="0.3">
      <c r="A43" s="79"/>
      <c r="B43" s="119" t="s">
        <v>44</v>
      </c>
      <c r="C43" s="539"/>
      <c r="D43" s="446" t="s">
        <v>6</v>
      </c>
      <c r="E43" s="446"/>
      <c r="F43" s="446"/>
      <c r="G43" s="120"/>
      <c r="H43" s="121"/>
      <c r="I43" s="120"/>
      <c r="J43" s="121"/>
      <c r="K43" s="120"/>
      <c r="L43" s="121"/>
      <c r="M43" s="120"/>
      <c r="N43" s="121"/>
      <c r="O43" s="120"/>
      <c r="P43" s="121"/>
      <c r="Q43" s="120"/>
      <c r="R43" s="121"/>
      <c r="S43" s="120"/>
      <c r="T43" s="121"/>
      <c r="U43" s="120"/>
      <c r="V43" s="122"/>
      <c r="W43" s="120"/>
      <c r="X43" s="122"/>
      <c r="Y43" s="120"/>
      <c r="Z43" s="122"/>
      <c r="AA43" s="120"/>
      <c r="AB43" s="122"/>
      <c r="AC43" s="120"/>
      <c r="AD43" s="121"/>
      <c r="AE43" s="120"/>
      <c r="AF43" s="122"/>
      <c r="AG43" s="120"/>
      <c r="AH43" s="122"/>
      <c r="AI43" s="120"/>
      <c r="AJ43" s="122"/>
      <c r="AK43" s="84">
        <f>AK41+AK42</f>
        <v>0</v>
      </c>
      <c r="AL43" s="85">
        <f>IF(E37+E39=0,0,AK43/(E37+E39))</f>
        <v>0</v>
      </c>
      <c r="AM43" s="86">
        <f>+AM41+AM42</f>
        <v>0</v>
      </c>
      <c r="AN43" s="85">
        <f>IF((E37+E39)=0,0,AM43/((E37+E39)*14))</f>
        <v>0</v>
      </c>
      <c r="AO43" s="87" t="str">
        <f>IF(AM43=0,"",AM43/AK43)</f>
        <v/>
      </c>
      <c r="AP43" s="88">
        <f>+AP41</f>
        <v>0</v>
      </c>
      <c r="AQ43" s="89"/>
      <c r="AR43" s="141">
        <f>+AR41+AR42</f>
        <v>0</v>
      </c>
      <c r="AS43" s="142">
        <f>AR43/$E$5</f>
        <v>0</v>
      </c>
      <c r="AT43" s="143">
        <f>+AT41+AT42</f>
        <v>0</v>
      </c>
      <c r="AU43" s="142">
        <f>+AT43/$F$5</f>
        <v>0</v>
      </c>
      <c r="AV43" s="144">
        <f>+AV41</f>
        <v>0</v>
      </c>
      <c r="AW43" s="92"/>
      <c r="AX43" s="742"/>
      <c r="AY43" s="759"/>
      <c r="AZ43" s="748"/>
    </row>
    <row r="44" spans="1:52" ht="20.100000000000001" hidden="1" customHeight="1" outlineLevel="1" x14ac:dyDescent="0.25">
      <c r="A44" s="49"/>
      <c r="B44" s="93"/>
      <c r="C44" s="450"/>
      <c r="D44" s="500" t="str">
        <f>$B$6</f>
        <v>Trade</v>
      </c>
      <c r="E44" s="501"/>
      <c r="F44" s="44" t="s">
        <v>36</v>
      </c>
      <c r="G44" s="145"/>
      <c r="H44" s="146"/>
      <c r="I44" s="125"/>
      <c r="J44" s="126"/>
      <c r="K44" s="125"/>
      <c r="L44" s="126"/>
      <c r="M44" s="94"/>
      <c r="N44" s="95"/>
      <c r="O44" s="45"/>
      <c r="P44" s="46"/>
      <c r="Q44" s="45"/>
      <c r="R44" s="46"/>
      <c r="S44" s="45"/>
      <c r="T44" s="46"/>
      <c r="U44" s="45"/>
      <c r="V44" s="46"/>
      <c r="W44" s="45"/>
      <c r="X44" s="46"/>
      <c r="Y44" s="45"/>
      <c r="Z44" s="46"/>
      <c r="AA44" s="45"/>
      <c r="AB44" s="46"/>
      <c r="AC44" s="45"/>
      <c r="AD44" s="46"/>
      <c r="AE44" s="45"/>
      <c r="AF44" s="46"/>
      <c r="AG44" s="45"/>
      <c r="AH44" s="46"/>
      <c r="AI44" s="45"/>
      <c r="AJ44" s="46"/>
      <c r="AK44" s="537">
        <f>G44+I44+K44+M44+O44+Q44+S44+U44+W44+Y44+AA44+AC44+AE44+AG44+AI44</f>
        <v>0</v>
      </c>
      <c r="AL44" s="528">
        <f>IF(E44=0,0,AK44/E44)</f>
        <v>0</v>
      </c>
      <c r="AM44" s="530">
        <f>H44+J44+L44+N44+P44+R44+T44+V44+X44+Z44+AB44+AD44+AF44+AH44+AJ44</f>
        <v>0</v>
      </c>
      <c r="AN44" s="533">
        <f>IF(E44=0,0,AM44/($E44*14))</f>
        <v>0</v>
      </c>
      <c r="AO44" s="535" t="str">
        <f>IF(AM44=0,"",AM44/AK44)</f>
        <v/>
      </c>
      <c r="AP44" s="493">
        <f>G45+I45+K45+M45+O45+Q45+S45+U45+W45+Y45+AA45+AC45+AE45+AG45+AI45</f>
        <v>0</v>
      </c>
      <c r="AQ44" s="47"/>
      <c r="AR44" s="548">
        <f>+AR37+AK44-M16-M23-M30-M37</f>
        <v>0</v>
      </c>
      <c r="AS44" s="534">
        <f>AR44/$E$6</f>
        <v>0</v>
      </c>
      <c r="AT44" s="654">
        <f>+AT37+AM44-N16-N23-N30-N37</f>
        <v>0</v>
      </c>
      <c r="AU44" s="534">
        <f>+AT44/$F$6</f>
        <v>0</v>
      </c>
      <c r="AV44" s="547">
        <f>+AV37+AP44-M17-M24-M31-M38</f>
        <v>0</v>
      </c>
      <c r="AW44" s="48"/>
      <c r="AX44" s="740">
        <f>$E$5-AR50</f>
        <v>1234</v>
      </c>
      <c r="AY44" s="757">
        <f>$F$5-AT50</f>
        <v>17276</v>
      </c>
      <c r="AZ44" s="760">
        <f>$G$5-AV50</f>
        <v>300</v>
      </c>
    </row>
    <row r="45" spans="1:52" ht="15.75" hidden="1" customHeight="1" outlineLevel="1" x14ac:dyDescent="0.25">
      <c r="A45" s="49"/>
      <c r="B45" s="96"/>
      <c r="C45" s="451"/>
      <c r="D45" s="457"/>
      <c r="E45" s="459"/>
      <c r="F45" s="50" t="s">
        <v>37</v>
      </c>
      <c r="G45" s="566"/>
      <c r="H45" s="567"/>
      <c r="I45" s="543"/>
      <c r="J45" s="544"/>
      <c r="K45" s="543"/>
      <c r="L45" s="544"/>
      <c r="M45" s="462"/>
      <c r="N45" s="463"/>
      <c r="O45" s="512"/>
      <c r="P45" s="513"/>
      <c r="Q45" s="512"/>
      <c r="R45" s="513"/>
      <c r="S45" s="512"/>
      <c r="T45" s="513"/>
      <c r="U45" s="512"/>
      <c r="V45" s="513"/>
      <c r="W45" s="512"/>
      <c r="X45" s="513"/>
      <c r="Y45" s="512"/>
      <c r="Z45" s="513"/>
      <c r="AA45" s="512"/>
      <c r="AB45" s="513"/>
      <c r="AC45" s="512"/>
      <c r="AD45" s="513"/>
      <c r="AE45" s="512"/>
      <c r="AF45" s="513"/>
      <c r="AG45" s="512"/>
      <c r="AH45" s="513"/>
      <c r="AI45" s="512"/>
      <c r="AJ45" s="513"/>
      <c r="AK45" s="538"/>
      <c r="AL45" s="529"/>
      <c r="AM45" s="532"/>
      <c r="AN45" s="534"/>
      <c r="AO45" s="536"/>
      <c r="AP45" s="425"/>
      <c r="AQ45" s="47"/>
      <c r="AR45" s="538"/>
      <c r="AS45" s="529"/>
      <c r="AT45" s="532"/>
      <c r="AU45" s="529"/>
      <c r="AV45" s="515"/>
      <c r="AW45" s="48"/>
      <c r="AX45" s="741"/>
      <c r="AY45" s="758"/>
      <c r="AZ45" s="747"/>
    </row>
    <row r="46" spans="1:52" ht="20.100000000000001" hidden="1" customHeight="1" outlineLevel="1" x14ac:dyDescent="0.25">
      <c r="A46" s="49"/>
      <c r="B46" s="97" t="s">
        <v>51</v>
      </c>
      <c r="C46" s="451"/>
      <c r="D46" s="479" t="str">
        <f>$B$7</f>
        <v>Feeder</v>
      </c>
      <c r="E46" s="481"/>
      <c r="F46" s="51" t="s">
        <v>36</v>
      </c>
      <c r="G46" s="147"/>
      <c r="H46" s="148"/>
      <c r="I46" s="127"/>
      <c r="J46" s="128"/>
      <c r="K46" s="127"/>
      <c r="L46" s="128"/>
      <c r="M46" s="98"/>
      <c r="N46" s="99"/>
      <c r="O46" s="52"/>
      <c r="P46" s="53"/>
      <c r="Q46" s="52"/>
      <c r="R46" s="53"/>
      <c r="S46" s="149"/>
      <c r="T46" s="150"/>
      <c r="U46" s="149"/>
      <c r="V46" s="150"/>
      <c r="W46" s="52"/>
      <c r="X46" s="53"/>
      <c r="Y46" s="52"/>
      <c r="Z46" s="53"/>
      <c r="AA46" s="52"/>
      <c r="AB46" s="53"/>
      <c r="AC46" s="52"/>
      <c r="AD46" s="53"/>
      <c r="AE46" s="52"/>
      <c r="AF46" s="53"/>
      <c r="AG46" s="52"/>
      <c r="AH46" s="53"/>
      <c r="AI46" s="52"/>
      <c r="AJ46" s="53"/>
      <c r="AK46" s="521">
        <f>G46+I46+K46+M46+O46+Q46+S46+U46+W46+Y46+AA46+AC46+AE46+AG46+AI46</f>
        <v>0</v>
      </c>
      <c r="AL46" s="519">
        <f>IF(E46=0,0,AK46/E46)</f>
        <v>0</v>
      </c>
      <c r="AM46" s="523">
        <f>H46+J46+L46+N46+P46+R46+T46+V46+X46+Z46+AB46+AD46+AF46+AH46+AJ46</f>
        <v>0</v>
      </c>
      <c r="AN46" s="525">
        <f>IF(E44=0,0,AM46/($E44*14))</f>
        <v>0</v>
      </c>
      <c r="AO46" s="527" t="str">
        <f>IF(AM46=0,"",AM46/AK46)</f>
        <v/>
      </c>
      <c r="AP46" s="468">
        <f>G47+I47+K47+M47+O47+Q47+S47+U47+W47+Y47+AA47+AC47+AE47+AG47+AI47</f>
        <v>0</v>
      </c>
      <c r="AQ46" s="47"/>
      <c r="AR46" s="518">
        <f>+AR39+AK46-M18-M25-M32-M39</f>
        <v>0</v>
      </c>
      <c r="AS46" s="519">
        <f>AR46/$E$7</f>
        <v>0</v>
      </c>
      <c r="AT46" s="653">
        <f>+AT39+AM46-N18-N25-N32-N39</f>
        <v>0</v>
      </c>
      <c r="AU46" s="519">
        <f>+AT46/$F$7</f>
        <v>0</v>
      </c>
      <c r="AV46" s="508">
        <f>+AV39+AP46-M19-M26-M33-M40</f>
        <v>0</v>
      </c>
      <c r="AW46" s="48"/>
      <c r="AX46" s="741"/>
      <c r="AY46" s="758"/>
      <c r="AZ46" s="747"/>
    </row>
    <row r="47" spans="1:52" ht="15.75" hidden="1" customHeight="1" outlineLevel="1" x14ac:dyDescent="0.25">
      <c r="A47" s="49"/>
      <c r="B47" s="100"/>
      <c r="C47" s="451"/>
      <c r="D47" s="480"/>
      <c r="E47" s="482"/>
      <c r="F47" s="54" t="s">
        <v>37</v>
      </c>
      <c r="G47" s="566"/>
      <c r="H47" s="567"/>
      <c r="I47" s="543"/>
      <c r="J47" s="544"/>
      <c r="K47" s="543"/>
      <c r="L47" s="544"/>
      <c r="M47" s="462"/>
      <c r="N47" s="463"/>
      <c r="O47" s="506"/>
      <c r="P47" s="507"/>
      <c r="Q47" s="506"/>
      <c r="R47" s="507"/>
      <c r="S47" s="732"/>
      <c r="T47" s="733"/>
      <c r="U47" s="732"/>
      <c r="V47" s="733"/>
      <c r="W47" s="506"/>
      <c r="X47" s="507"/>
      <c r="Y47" s="506"/>
      <c r="Z47" s="507"/>
      <c r="AA47" s="506"/>
      <c r="AB47" s="507"/>
      <c r="AC47" s="506"/>
      <c r="AD47" s="507"/>
      <c r="AE47" s="506"/>
      <c r="AF47" s="507"/>
      <c r="AG47" s="506"/>
      <c r="AH47" s="507"/>
      <c r="AI47" s="506"/>
      <c r="AJ47" s="507"/>
      <c r="AK47" s="522"/>
      <c r="AL47" s="519"/>
      <c r="AM47" s="524"/>
      <c r="AN47" s="526"/>
      <c r="AO47" s="527"/>
      <c r="AP47" s="468"/>
      <c r="AQ47" s="47"/>
      <c r="AR47" s="518"/>
      <c r="AS47" s="519"/>
      <c r="AT47" s="653"/>
      <c r="AU47" s="519"/>
      <c r="AV47" s="508"/>
      <c r="AW47" s="48"/>
      <c r="AX47" s="741"/>
      <c r="AY47" s="758"/>
      <c r="AZ47" s="747"/>
    </row>
    <row r="48" spans="1:52" ht="24" hidden="1" customHeight="1" x14ac:dyDescent="0.25">
      <c r="A48" s="649">
        <v>9</v>
      </c>
      <c r="B48" s="96" t="s">
        <v>52</v>
      </c>
      <c r="C48" s="451"/>
      <c r="D48" s="464" t="s">
        <v>38</v>
      </c>
      <c r="E48" s="465"/>
      <c r="F48" s="466"/>
      <c r="G48" s="129"/>
      <c r="H48" s="130"/>
      <c r="I48" s="129"/>
      <c r="J48" s="130"/>
      <c r="K48" s="103"/>
      <c r="L48" s="104"/>
      <c r="M48" s="101"/>
      <c r="N48" s="102"/>
      <c r="O48" s="103"/>
      <c r="P48" s="104"/>
      <c r="Q48" s="103"/>
      <c r="R48" s="104"/>
      <c r="S48" s="103"/>
      <c r="T48" s="104"/>
      <c r="U48" s="103"/>
      <c r="V48" s="151"/>
      <c r="W48" s="103"/>
      <c r="X48" s="151"/>
      <c r="Y48" s="103"/>
      <c r="Z48" s="151"/>
      <c r="AA48" s="103"/>
      <c r="AB48" s="151"/>
      <c r="AC48" s="106"/>
      <c r="AD48" s="108"/>
      <c r="AE48" s="106"/>
      <c r="AF48" s="107"/>
      <c r="AG48" s="106"/>
      <c r="AH48" s="107"/>
      <c r="AI48" s="103"/>
      <c r="AJ48" s="151"/>
      <c r="AK48" s="57">
        <f>+AK44+AK46</f>
        <v>0</v>
      </c>
      <c r="AL48" s="58">
        <f>IF(E44+E46=0,0,AK48/(E44+E46))</f>
        <v>0</v>
      </c>
      <c r="AM48" s="59">
        <f>+SUM(AM46,AM44)</f>
        <v>0</v>
      </c>
      <c r="AN48" s="58">
        <f>IF((E44+E46)=0,0,AM48/((E44+E46)*14))</f>
        <v>0</v>
      </c>
      <c r="AO48" s="60" t="str">
        <f>IF(AM48=0,"",AM48/AK48)</f>
        <v/>
      </c>
      <c r="AP48" s="61">
        <f>+AP44+AP46</f>
        <v>0</v>
      </c>
      <c r="AQ48" s="109"/>
      <c r="AR48" s="57">
        <f>+AR44+AR46</f>
        <v>0</v>
      </c>
      <c r="AS48" s="58">
        <f>AR48/$E$5</f>
        <v>0</v>
      </c>
      <c r="AT48" s="110">
        <f>+AT44+AT46</f>
        <v>0</v>
      </c>
      <c r="AU48" s="58">
        <f>+AT48/$F$5</f>
        <v>0</v>
      </c>
      <c r="AV48" s="111">
        <f>+AV44+AV46</f>
        <v>0</v>
      </c>
      <c r="AW48" s="48"/>
      <c r="AX48" s="741"/>
      <c r="AY48" s="758"/>
      <c r="AZ48" s="747"/>
    </row>
    <row r="49" spans="1:52" ht="15.75" hidden="1" customHeight="1" thickBot="1" x14ac:dyDescent="0.3">
      <c r="A49" s="649"/>
      <c r="B49" s="112" t="s">
        <v>53</v>
      </c>
      <c r="C49" s="451"/>
      <c r="D49" s="445" t="s">
        <v>39</v>
      </c>
      <c r="E49" s="445"/>
      <c r="F49" s="445"/>
      <c r="G49" s="131"/>
      <c r="H49" s="132"/>
      <c r="I49" s="131"/>
      <c r="J49" s="132"/>
      <c r="K49" s="131"/>
      <c r="L49" s="132"/>
      <c r="M49" s="98"/>
      <c r="N49" s="99"/>
      <c r="O49" s="113"/>
      <c r="P49" s="114"/>
      <c r="Q49" s="113"/>
      <c r="R49" s="114"/>
      <c r="S49" s="113"/>
      <c r="T49" s="114"/>
      <c r="U49" s="113"/>
      <c r="V49" s="115"/>
      <c r="W49" s="113"/>
      <c r="X49" s="115"/>
      <c r="Y49" s="113"/>
      <c r="Z49" s="115"/>
      <c r="AA49" s="113"/>
      <c r="AB49" s="115"/>
      <c r="AC49" s="113"/>
      <c r="AD49" s="114"/>
      <c r="AE49" s="113"/>
      <c r="AF49" s="115"/>
      <c r="AG49" s="113"/>
      <c r="AH49" s="115"/>
      <c r="AI49" s="113"/>
      <c r="AJ49" s="115"/>
      <c r="AK49" s="71">
        <f>G49+I49+K49+M49+O49+Q49+S49+U49+W49+Y49+AA49+AC49+AE49+AG49+AI49</f>
        <v>0</v>
      </c>
      <c r="AL49" s="72"/>
      <c r="AM49" s="73">
        <f>H49+J49+L49+N49+P49+R49+T49+V49+X49+Z49+AB49+AD49+AF49+AH49+AJ49</f>
        <v>0</v>
      </c>
      <c r="AN49" s="72"/>
      <c r="AO49" s="74"/>
      <c r="AP49" s="73"/>
      <c r="AQ49" s="75"/>
      <c r="AR49" s="71">
        <f>+AR42+AK49-M21-M28-M35-M42</f>
        <v>0</v>
      </c>
      <c r="AS49" s="77"/>
      <c r="AT49" s="73">
        <f>+AT42+AM49-N21-N28-N35-N42</f>
        <v>0</v>
      </c>
      <c r="AU49" s="77"/>
      <c r="AV49" s="118"/>
      <c r="AW49" s="37"/>
      <c r="AX49" s="741"/>
      <c r="AY49" s="758"/>
      <c r="AZ49" s="747"/>
    </row>
    <row r="50" spans="1:52" ht="30.75" hidden="1" customHeight="1" thickBot="1" x14ac:dyDescent="0.3">
      <c r="A50" s="49"/>
      <c r="B50" s="152">
        <f>SUM(MOD(("1/"&amp;$A$14)-{0;6},{1E+99;7})*{1;-1},$A$48*7,MATCH(MID(B49,1,2),{"Mo";"Tu";"We";"Th";"Fr";"Sa";"Su"},0)-5)+7</f>
        <v>42436</v>
      </c>
      <c r="C50" s="539"/>
      <c r="D50" s="446" t="s">
        <v>6</v>
      </c>
      <c r="E50" s="446"/>
      <c r="F50" s="446"/>
      <c r="G50" s="153"/>
      <c r="H50" s="154"/>
      <c r="I50" s="153"/>
      <c r="J50" s="154"/>
      <c r="K50" s="82"/>
      <c r="L50" s="155"/>
      <c r="M50" s="120"/>
      <c r="N50" s="121"/>
      <c r="O50" s="82"/>
      <c r="P50" s="155"/>
      <c r="Q50" s="82"/>
      <c r="R50" s="155"/>
      <c r="S50" s="82"/>
      <c r="T50" s="155"/>
      <c r="U50" s="82"/>
      <c r="V50" s="83"/>
      <c r="W50" s="82"/>
      <c r="X50" s="83"/>
      <c r="Y50" s="82"/>
      <c r="Z50" s="83"/>
      <c r="AA50" s="82"/>
      <c r="AB50" s="83"/>
      <c r="AC50" s="120"/>
      <c r="AD50" s="121"/>
      <c r="AE50" s="120"/>
      <c r="AF50" s="122"/>
      <c r="AG50" s="120"/>
      <c r="AH50" s="122"/>
      <c r="AI50" s="82"/>
      <c r="AJ50" s="83"/>
      <c r="AK50" s="123">
        <f>AK48+AK49</f>
        <v>0</v>
      </c>
      <c r="AL50" s="85">
        <f>IF(E44+E46=0,0,AK50/(E44+E46))</f>
        <v>0</v>
      </c>
      <c r="AM50" s="90">
        <f>+AM48+AM49</f>
        <v>0</v>
      </c>
      <c r="AN50" s="85">
        <f>IF((E44+E46)=0,0,AM50/((E44+E46)*14))</f>
        <v>0</v>
      </c>
      <c r="AO50" s="87" t="str">
        <f>IF(AM50=0,"",AM50/AK50)</f>
        <v/>
      </c>
      <c r="AP50" s="88">
        <f>+AP48</f>
        <v>0</v>
      </c>
      <c r="AQ50" s="89"/>
      <c r="AR50" s="123">
        <f>+AR48+AR49</f>
        <v>0</v>
      </c>
      <c r="AS50" s="85">
        <f>AR50/$E$5</f>
        <v>0</v>
      </c>
      <c r="AT50" s="90">
        <f>+AT48+AT49</f>
        <v>0</v>
      </c>
      <c r="AU50" s="85">
        <f>+AT50/$F$5</f>
        <v>0</v>
      </c>
      <c r="AV50" s="124">
        <f>+AV48</f>
        <v>0</v>
      </c>
      <c r="AW50" s="92"/>
      <c r="AX50" s="742"/>
      <c r="AY50" s="759"/>
      <c r="AZ50" s="748"/>
    </row>
    <row r="51" spans="1:52" ht="20.100000000000001" hidden="1" customHeight="1" x14ac:dyDescent="0.25">
      <c r="A51" s="49"/>
      <c r="B51" s="93"/>
      <c r="C51" s="450"/>
      <c r="D51" s="500" t="str">
        <f>$B$6</f>
        <v>Trade</v>
      </c>
      <c r="E51" s="501"/>
      <c r="F51" s="44" t="s">
        <v>36</v>
      </c>
      <c r="G51" s="125"/>
      <c r="H51" s="126"/>
      <c r="I51" s="125"/>
      <c r="J51" s="126"/>
      <c r="K51" s="125"/>
      <c r="L51" s="126"/>
      <c r="M51" s="125"/>
      <c r="N51" s="126"/>
      <c r="O51" s="94"/>
      <c r="P51" s="95"/>
      <c r="Q51" s="45"/>
      <c r="R51" s="46"/>
      <c r="S51" s="45"/>
      <c r="T51" s="46"/>
      <c r="U51" s="45"/>
      <c r="V51" s="46"/>
      <c r="W51" s="45"/>
      <c r="X51" s="46"/>
      <c r="Y51" s="45"/>
      <c r="Z51" s="46"/>
      <c r="AA51" s="45"/>
      <c r="AB51" s="46"/>
      <c r="AC51" s="45"/>
      <c r="AD51" s="46"/>
      <c r="AE51" s="45"/>
      <c r="AF51" s="46"/>
      <c r="AG51" s="45"/>
      <c r="AH51" s="46"/>
      <c r="AI51" s="45"/>
      <c r="AJ51" s="46"/>
      <c r="AK51" s="502">
        <f>G51+I51+K51+M51+O51+Q51+S51+U51+W51+Y51+AA51+AC51+AE51+AG51+AI51</f>
        <v>0</v>
      </c>
      <c r="AL51" s="504">
        <f>IF(E51=0,0,AK51/E51)</f>
        <v>0</v>
      </c>
      <c r="AM51" s="493">
        <f>H51+J51+L51+N51+P51+R51+T51+V51+X51+Z51+AB51+AD51+AF51+AH51+AJ51</f>
        <v>0</v>
      </c>
      <c r="AN51" s="491">
        <f>IF(E51=0,0,AM51/($E51*14))</f>
        <v>0</v>
      </c>
      <c r="AO51" s="492" t="str">
        <f>IF(AM51=0,"",AM51/AK51)</f>
        <v/>
      </c>
      <c r="AP51" s="493">
        <f>G52+I52+K52+M52+O52+Q52+S52+U52+W52+Y52+AA52+AC52+AE52+AG52+AI52</f>
        <v>0</v>
      </c>
      <c r="AQ51" s="47"/>
      <c r="AR51" s="502">
        <f>+AR44+AK51-O16-O23-O30-O37-O44</f>
        <v>0</v>
      </c>
      <c r="AS51" s="504">
        <f>AR51/$E$6</f>
        <v>0</v>
      </c>
      <c r="AT51" s="648">
        <f>+AT44+AM51-P16-P23+P30+P37-P44</f>
        <v>0</v>
      </c>
      <c r="AU51" s="504">
        <f>+AT51/$F$6</f>
        <v>0</v>
      </c>
      <c r="AV51" s="514">
        <f>+AV44+AP51-O17-O24-O31-O38-O45</f>
        <v>0</v>
      </c>
      <c r="AW51" s="48"/>
      <c r="AX51" s="740">
        <f>$E$5-AR57</f>
        <v>1234</v>
      </c>
      <c r="AY51" s="757">
        <f>$F$5-AT57</f>
        <v>17276</v>
      </c>
      <c r="AZ51" s="760">
        <f>$G$5-AV57</f>
        <v>300</v>
      </c>
    </row>
    <row r="52" spans="1:52" ht="15.75" hidden="1" customHeight="1" x14ac:dyDescent="0.25">
      <c r="A52" s="49"/>
      <c r="B52" s="156"/>
      <c r="C52" s="451"/>
      <c r="D52" s="457"/>
      <c r="E52" s="459"/>
      <c r="F52" s="50" t="s">
        <v>37</v>
      </c>
      <c r="G52" s="543"/>
      <c r="H52" s="544"/>
      <c r="I52" s="543"/>
      <c r="J52" s="544"/>
      <c r="K52" s="543"/>
      <c r="L52" s="544"/>
      <c r="M52" s="543"/>
      <c r="N52" s="544"/>
      <c r="O52" s="462"/>
      <c r="P52" s="463"/>
      <c r="Q52" s="512"/>
      <c r="R52" s="513"/>
      <c r="S52" s="512"/>
      <c r="T52" s="513"/>
      <c r="U52" s="512"/>
      <c r="V52" s="513"/>
      <c r="W52" s="512"/>
      <c r="X52" s="513"/>
      <c r="Y52" s="512"/>
      <c r="Z52" s="513"/>
      <c r="AA52" s="512"/>
      <c r="AB52" s="513"/>
      <c r="AC52" s="512"/>
      <c r="AD52" s="513"/>
      <c r="AE52" s="512"/>
      <c r="AF52" s="513"/>
      <c r="AG52" s="512"/>
      <c r="AH52" s="513"/>
      <c r="AI52" s="512"/>
      <c r="AJ52" s="513"/>
      <c r="AK52" s="503"/>
      <c r="AL52" s="419"/>
      <c r="AM52" s="505"/>
      <c r="AN52" s="423"/>
      <c r="AO52" s="424"/>
      <c r="AP52" s="425"/>
      <c r="AQ52" s="47"/>
      <c r="AR52" s="503"/>
      <c r="AS52" s="419"/>
      <c r="AT52" s="505"/>
      <c r="AU52" s="419"/>
      <c r="AV52" s="515"/>
      <c r="AW52" s="48"/>
      <c r="AX52" s="741"/>
      <c r="AY52" s="758"/>
      <c r="AZ52" s="747"/>
    </row>
    <row r="53" spans="1:52" ht="20.100000000000001" hidden="1" customHeight="1" x14ac:dyDescent="0.25">
      <c r="A53" s="49"/>
      <c r="B53" s="96"/>
      <c r="C53" s="451"/>
      <c r="D53" s="479" t="str">
        <f>$B$7</f>
        <v>Feeder</v>
      </c>
      <c r="E53" s="481"/>
      <c r="F53" s="51" t="s">
        <v>36</v>
      </c>
      <c r="G53" s="127"/>
      <c r="H53" s="128"/>
      <c r="I53" s="127"/>
      <c r="J53" s="128"/>
      <c r="K53" s="127"/>
      <c r="L53" s="128"/>
      <c r="M53" s="127"/>
      <c r="N53" s="128"/>
      <c r="O53" s="98"/>
      <c r="P53" s="99"/>
      <c r="Q53" s="52"/>
      <c r="R53" s="53"/>
      <c r="S53" s="52"/>
      <c r="T53" s="53"/>
      <c r="U53" s="52"/>
      <c r="V53" s="53"/>
      <c r="W53" s="52"/>
      <c r="X53" s="53"/>
      <c r="Y53" s="52"/>
      <c r="Z53" s="53"/>
      <c r="AA53" s="52"/>
      <c r="AB53" s="53"/>
      <c r="AC53" s="52"/>
      <c r="AD53" s="53"/>
      <c r="AE53" s="52"/>
      <c r="AF53" s="53"/>
      <c r="AG53" s="52"/>
      <c r="AH53" s="53"/>
      <c r="AI53" s="52"/>
      <c r="AJ53" s="53"/>
      <c r="AK53" s="483">
        <f>G53+I53+K53+M53+O53+Q53+S53+U53+W53+Y53+AA53+AC53+AE53+AG53+AI53</f>
        <v>0</v>
      </c>
      <c r="AL53" s="467">
        <f>IF(E53=0,0,AK53/E53)</f>
        <v>0</v>
      </c>
      <c r="AM53" s="471">
        <f>H53+J53+L53+N53+P53+R53+T53+V53+X53+Z53+AB53+AD53+AF53+AH53+AJ53</f>
        <v>0</v>
      </c>
      <c r="AN53" s="473">
        <f>IF(E51=0,0,AM53/($E51*14))</f>
        <v>0</v>
      </c>
      <c r="AO53" s="475" t="str">
        <f>IF(AM53=0,"",AM53/AK53)</f>
        <v/>
      </c>
      <c r="AP53" s="468">
        <f>G54+I54+K54+M54+O54+Q54+S54+U54+W54+Y54+AA54+AC54+AE54+AG54+AI54</f>
        <v>0</v>
      </c>
      <c r="AQ53" s="47"/>
      <c r="AR53" s="646">
        <f>+AR46+AK53-O18-O25-O32-O39-O46</f>
        <v>0</v>
      </c>
      <c r="AS53" s="467">
        <f>AR53/$E$7</f>
        <v>0</v>
      </c>
      <c r="AT53" s="647">
        <f>+AT46+AM53-P18-P25+P32+P39-P46</f>
        <v>0</v>
      </c>
      <c r="AU53" s="467">
        <f>+AT53/$F$7</f>
        <v>0</v>
      </c>
      <c r="AV53" s="508">
        <f>+AV46+AP53-O19-O26-O33-O40-O47</f>
        <v>0</v>
      </c>
      <c r="AW53" s="48"/>
      <c r="AX53" s="741"/>
      <c r="AY53" s="758"/>
      <c r="AZ53" s="747"/>
    </row>
    <row r="54" spans="1:52" ht="15.75" hidden="1" customHeight="1" x14ac:dyDescent="0.25">
      <c r="A54" s="49"/>
      <c r="B54" s="157" t="s">
        <v>54</v>
      </c>
      <c r="C54" s="451"/>
      <c r="D54" s="480"/>
      <c r="E54" s="482"/>
      <c r="F54" s="54" t="s">
        <v>37</v>
      </c>
      <c r="G54" s="543"/>
      <c r="H54" s="544"/>
      <c r="I54" s="543"/>
      <c r="J54" s="544"/>
      <c r="K54" s="543"/>
      <c r="L54" s="544"/>
      <c r="M54" s="543"/>
      <c r="N54" s="544"/>
      <c r="O54" s="462"/>
      <c r="P54" s="463"/>
      <c r="Q54" s="506"/>
      <c r="R54" s="507"/>
      <c r="S54" s="506"/>
      <c r="T54" s="507"/>
      <c r="U54" s="506"/>
      <c r="V54" s="507"/>
      <c r="W54" s="506"/>
      <c r="X54" s="507"/>
      <c r="Y54" s="506"/>
      <c r="Z54" s="507"/>
      <c r="AA54" s="506"/>
      <c r="AB54" s="507"/>
      <c r="AC54" s="506"/>
      <c r="AD54" s="507"/>
      <c r="AE54" s="506"/>
      <c r="AF54" s="507"/>
      <c r="AG54" s="506"/>
      <c r="AH54" s="507"/>
      <c r="AI54" s="506"/>
      <c r="AJ54" s="507"/>
      <c r="AK54" s="484"/>
      <c r="AL54" s="467"/>
      <c r="AM54" s="472"/>
      <c r="AN54" s="474"/>
      <c r="AO54" s="475"/>
      <c r="AP54" s="468"/>
      <c r="AQ54" s="47"/>
      <c r="AR54" s="511"/>
      <c r="AS54" s="467"/>
      <c r="AT54" s="647"/>
      <c r="AU54" s="467"/>
      <c r="AV54" s="508"/>
      <c r="AW54" s="48"/>
      <c r="AX54" s="741"/>
      <c r="AY54" s="758"/>
      <c r="AZ54" s="747"/>
    </row>
    <row r="55" spans="1:52" ht="24" hidden="1" customHeight="1" x14ac:dyDescent="0.25">
      <c r="A55" s="49"/>
      <c r="B55" s="158" t="s">
        <v>55</v>
      </c>
      <c r="C55" s="451"/>
      <c r="D55" s="464" t="s">
        <v>38</v>
      </c>
      <c r="E55" s="465"/>
      <c r="F55" s="466"/>
      <c r="G55" s="101"/>
      <c r="H55" s="102"/>
      <c r="I55" s="101"/>
      <c r="J55" s="102"/>
      <c r="K55" s="101"/>
      <c r="L55" s="102"/>
      <c r="M55" s="101"/>
      <c r="N55" s="102"/>
      <c r="O55" s="101"/>
      <c r="P55" s="102"/>
      <c r="Q55" s="101"/>
      <c r="R55" s="102"/>
      <c r="S55" s="106"/>
      <c r="T55" s="108"/>
      <c r="U55" s="106"/>
      <c r="V55" s="108"/>
      <c r="W55" s="106"/>
      <c r="X55" s="108"/>
      <c r="Y55" s="106"/>
      <c r="Z55" s="108"/>
      <c r="AA55" s="106"/>
      <c r="AB55" s="108"/>
      <c r="AC55" s="106"/>
      <c r="AD55" s="108"/>
      <c r="AE55" s="106"/>
      <c r="AF55" s="108"/>
      <c r="AG55" s="106"/>
      <c r="AH55" s="108"/>
      <c r="AI55" s="106"/>
      <c r="AJ55" s="108"/>
      <c r="AK55" s="159">
        <f>+AK51+AK53</f>
        <v>0</v>
      </c>
      <c r="AL55" s="64">
        <f>IF(E51+E53=0,0,AK55/(E51+E53))</f>
        <v>0</v>
      </c>
      <c r="AM55" s="65">
        <f>+SUM(AM53,AM51)</f>
        <v>0</v>
      </c>
      <c r="AN55" s="64">
        <f>IF((E51+E53)=0,0,AM55/((E51+E53)*14))</f>
        <v>0</v>
      </c>
      <c r="AO55" s="160" t="str">
        <f>IF(AM55=0,"",AM55/AK55)</f>
        <v/>
      </c>
      <c r="AP55" s="61">
        <f>+AP51+AP53</f>
        <v>0</v>
      </c>
      <c r="AQ55" s="109"/>
      <c r="AR55" s="63">
        <f>+AR51+AR53</f>
        <v>0</v>
      </c>
      <c r="AS55" s="64">
        <f>AR55/$E$5</f>
        <v>0</v>
      </c>
      <c r="AT55" s="65">
        <f>+AT51+AT53</f>
        <v>0</v>
      </c>
      <c r="AU55" s="64">
        <f>+AT55/$F$5</f>
        <v>0</v>
      </c>
      <c r="AV55" s="111">
        <f>+AV51+AV53</f>
        <v>0</v>
      </c>
      <c r="AW55" s="48"/>
      <c r="AX55" s="741"/>
      <c r="AY55" s="758"/>
      <c r="AZ55" s="747"/>
    </row>
    <row r="56" spans="1:52" ht="15.75" hidden="1" customHeight="1" thickBot="1" x14ac:dyDescent="0.3">
      <c r="A56" s="49"/>
      <c r="B56" s="161" t="s">
        <v>43</v>
      </c>
      <c r="C56" s="451"/>
      <c r="D56" s="445" t="s">
        <v>39</v>
      </c>
      <c r="E56" s="445"/>
      <c r="F56" s="445"/>
      <c r="G56" s="131"/>
      <c r="H56" s="132"/>
      <c r="I56" s="131"/>
      <c r="J56" s="132"/>
      <c r="K56" s="131"/>
      <c r="L56" s="132"/>
      <c r="M56" s="131"/>
      <c r="N56" s="132"/>
      <c r="O56" s="98"/>
      <c r="P56" s="99"/>
      <c r="Q56" s="113"/>
      <c r="R56" s="114"/>
      <c r="S56" s="113"/>
      <c r="T56" s="114"/>
      <c r="U56" s="113"/>
      <c r="V56" s="114"/>
      <c r="W56" s="113"/>
      <c r="X56" s="114"/>
      <c r="Y56" s="113"/>
      <c r="Z56" s="114"/>
      <c r="AA56" s="113"/>
      <c r="AB56" s="114"/>
      <c r="AC56" s="113"/>
      <c r="AD56" s="114"/>
      <c r="AE56" s="113"/>
      <c r="AF56" s="114"/>
      <c r="AG56" s="113"/>
      <c r="AH56" s="114"/>
      <c r="AI56" s="113"/>
      <c r="AJ56" s="114"/>
      <c r="AK56" s="71">
        <f>G56+I56+K56+M56+O56+Q56+S56+U56+W56+Y56+AA56+AC56+AE56+AG56+AI56</f>
        <v>0</v>
      </c>
      <c r="AL56" s="72"/>
      <c r="AM56" s="73">
        <f>H56+J56+L56+N56+P56+R56+T56+V56+X56+Z56+AB56+AD56+AF56+AH56+AJ56</f>
        <v>0</v>
      </c>
      <c r="AN56" s="72"/>
      <c r="AO56" s="74"/>
      <c r="AP56" s="73"/>
      <c r="AQ56" s="75"/>
      <c r="AR56" s="71">
        <f>+AR49+AK56-O21-O28+O35+O42-O49</f>
        <v>0</v>
      </c>
      <c r="AS56" s="77"/>
      <c r="AT56" s="73">
        <f>+AT49+AM56-P21-P28-P35-P42-P49</f>
        <v>0</v>
      </c>
      <c r="AU56" s="77"/>
      <c r="AV56" s="118"/>
      <c r="AW56" s="37"/>
      <c r="AX56" s="741"/>
      <c r="AY56" s="758"/>
      <c r="AZ56" s="747"/>
    </row>
    <row r="57" spans="1:52" ht="30.75" hidden="1" customHeight="1" thickBot="1" x14ac:dyDescent="0.3">
      <c r="A57" s="49"/>
      <c r="B57" s="152">
        <f>SUM(MOD(("1/"&amp;$A$14)-{0;6},{1E+99;7})*{1;-1},$A$48*7,MATCH(MID(B56,1,2),{"Mo";"Tu";"We";"Th";"Fr";"Sa";"Su"},0)-5)</f>
        <v>42431</v>
      </c>
      <c r="C57" s="539"/>
      <c r="D57" s="446" t="s">
        <v>6</v>
      </c>
      <c r="E57" s="446"/>
      <c r="F57" s="446"/>
      <c r="G57" s="120"/>
      <c r="H57" s="121"/>
      <c r="I57" s="120"/>
      <c r="J57" s="121"/>
      <c r="K57" s="120"/>
      <c r="L57" s="121"/>
      <c r="M57" s="120"/>
      <c r="N57" s="121"/>
      <c r="O57" s="120"/>
      <c r="P57" s="121"/>
      <c r="Q57" s="120"/>
      <c r="R57" s="121"/>
      <c r="S57" s="120"/>
      <c r="T57" s="121"/>
      <c r="U57" s="120"/>
      <c r="V57" s="121"/>
      <c r="W57" s="120"/>
      <c r="X57" s="121"/>
      <c r="Y57" s="120"/>
      <c r="Z57" s="121"/>
      <c r="AA57" s="120"/>
      <c r="AB57" s="121"/>
      <c r="AC57" s="120"/>
      <c r="AD57" s="121"/>
      <c r="AE57" s="120"/>
      <c r="AF57" s="121"/>
      <c r="AG57" s="120"/>
      <c r="AH57" s="121"/>
      <c r="AI57" s="120"/>
      <c r="AJ57" s="121"/>
      <c r="AK57" s="123">
        <f>AK55+AK56</f>
        <v>0</v>
      </c>
      <c r="AL57" s="85">
        <f>IF(E51+E53=0,0,AK57/(E51+E53))</f>
        <v>0</v>
      </c>
      <c r="AM57" s="90">
        <f>+AM55+AM56</f>
        <v>0</v>
      </c>
      <c r="AN57" s="85">
        <f>IF((E51+E53)=0,0,AM57/((E51+E53)*14))</f>
        <v>0</v>
      </c>
      <c r="AO57" s="87" t="str">
        <f>IF(AM57=0,"",AM57/AK57)</f>
        <v/>
      </c>
      <c r="AP57" s="88">
        <f>+AP55</f>
        <v>0</v>
      </c>
      <c r="AQ57" s="109"/>
      <c r="AR57" s="123">
        <f>+AR55+AR56</f>
        <v>0</v>
      </c>
      <c r="AS57" s="85">
        <f>AR57/$E$5</f>
        <v>0</v>
      </c>
      <c r="AT57" s="90">
        <f>+AT55+AT56</f>
        <v>0</v>
      </c>
      <c r="AU57" s="85">
        <f>+AT57/$F$5</f>
        <v>0</v>
      </c>
      <c r="AV57" s="124">
        <f>+AV55</f>
        <v>0</v>
      </c>
      <c r="AW57" s="92"/>
      <c r="AX57" s="742"/>
      <c r="AY57" s="759"/>
      <c r="AZ57" s="748"/>
    </row>
    <row r="58" spans="1:52" ht="20.100000000000001" hidden="1" customHeight="1" x14ac:dyDescent="0.25">
      <c r="A58" s="49"/>
      <c r="B58" s="93"/>
      <c r="C58" s="551"/>
      <c r="D58" s="500" t="str">
        <f>$B$6</f>
        <v>Trade</v>
      </c>
      <c r="E58" s="501"/>
      <c r="F58" s="44" t="s">
        <v>36</v>
      </c>
      <c r="G58" s="125"/>
      <c r="H58" s="126"/>
      <c r="I58" s="125"/>
      <c r="J58" s="126"/>
      <c r="K58" s="125"/>
      <c r="L58" s="126"/>
      <c r="M58" s="125"/>
      <c r="N58" s="126"/>
      <c r="O58" s="125"/>
      <c r="P58" s="126"/>
      <c r="Q58" s="94"/>
      <c r="R58" s="95"/>
      <c r="S58" s="45"/>
      <c r="T58" s="46"/>
      <c r="U58" s="45"/>
      <c r="V58" s="46"/>
      <c r="W58" s="45"/>
      <c r="X58" s="46"/>
      <c r="Y58" s="45"/>
      <c r="Z58" s="46"/>
      <c r="AA58" s="45"/>
      <c r="AB58" s="46"/>
      <c r="AC58" s="45"/>
      <c r="AD58" s="46"/>
      <c r="AE58" s="45"/>
      <c r="AF58" s="46"/>
      <c r="AG58" s="45"/>
      <c r="AH58" s="46"/>
      <c r="AI58" s="45"/>
      <c r="AJ58" s="46"/>
      <c r="AK58" s="502">
        <f>G58+I58+K58+M58+O58+Q58+S58+U58+W58+Y58+AA58+AC58+AE58+AG58+AI58</f>
        <v>0</v>
      </c>
      <c r="AL58" s="504">
        <f>IF(E58=0,0,AK58/E58)</f>
        <v>0</v>
      </c>
      <c r="AM58" s="493">
        <f>H58+J58+L58+N58+P58+R58+T58+V58+X58+Z58+AB58+AD58+AF58+AH58+AJ58</f>
        <v>0</v>
      </c>
      <c r="AN58" s="491">
        <f>IF(E58=0,0,AM58/($E58*14))</f>
        <v>0</v>
      </c>
      <c r="AO58" s="492" t="str">
        <f>IF(AM58=0,"",AM58/AK58)</f>
        <v/>
      </c>
      <c r="AP58" s="493">
        <f>G59+I59+K59+M59+O59+Q59+S59+U59+W59+Y59+AA59+AC59+AE59+AG59+AI59</f>
        <v>0</v>
      </c>
      <c r="AQ58" s="47"/>
      <c r="AR58" s="502">
        <f>+AR51+AK58-Q16-Q23-Q30-Q37-Q44-Q51</f>
        <v>0</v>
      </c>
      <c r="AS58" s="504">
        <f>AR58/$E$6</f>
        <v>0</v>
      </c>
      <c r="AT58" s="648">
        <f>+AT51+AM58-R16-R23-R30-R37-R44-R51</f>
        <v>0</v>
      </c>
      <c r="AU58" s="504">
        <f>+AT58/$F$6</f>
        <v>0</v>
      </c>
      <c r="AV58" s="514">
        <f>+AV51+AP58-Q17-Q24-Q31-Q38-Q45-Q52</f>
        <v>0</v>
      </c>
      <c r="AW58" s="48"/>
      <c r="AX58" s="740">
        <f>$E$5-AR64</f>
        <v>1234</v>
      </c>
      <c r="AY58" s="757">
        <f>$F$5-AT64</f>
        <v>17276</v>
      </c>
      <c r="AZ58" s="746">
        <f>$G$5-AV64</f>
        <v>300</v>
      </c>
    </row>
    <row r="59" spans="1:52" ht="15.75" hidden="1" customHeight="1" x14ac:dyDescent="0.25">
      <c r="A59" s="49"/>
      <c r="B59" s="96"/>
      <c r="C59" s="552"/>
      <c r="D59" s="457"/>
      <c r="E59" s="459"/>
      <c r="F59" s="50" t="s">
        <v>37</v>
      </c>
      <c r="G59" s="543"/>
      <c r="H59" s="544"/>
      <c r="I59" s="543"/>
      <c r="J59" s="544"/>
      <c r="K59" s="543"/>
      <c r="L59" s="544"/>
      <c r="M59" s="543"/>
      <c r="N59" s="544"/>
      <c r="O59" s="543"/>
      <c r="P59" s="544"/>
      <c r="Q59" s="462"/>
      <c r="R59" s="463"/>
      <c r="S59" s="512"/>
      <c r="T59" s="513"/>
      <c r="U59" s="512"/>
      <c r="V59" s="513"/>
      <c r="W59" s="512"/>
      <c r="X59" s="513"/>
      <c r="Y59" s="512"/>
      <c r="Z59" s="513"/>
      <c r="AA59" s="512"/>
      <c r="AB59" s="513"/>
      <c r="AC59" s="512"/>
      <c r="AD59" s="513"/>
      <c r="AE59" s="512"/>
      <c r="AF59" s="513"/>
      <c r="AG59" s="512"/>
      <c r="AH59" s="513"/>
      <c r="AI59" s="512"/>
      <c r="AJ59" s="513"/>
      <c r="AK59" s="503"/>
      <c r="AL59" s="419"/>
      <c r="AM59" s="505"/>
      <c r="AN59" s="423"/>
      <c r="AO59" s="424"/>
      <c r="AP59" s="425"/>
      <c r="AQ59" s="47"/>
      <c r="AR59" s="503"/>
      <c r="AS59" s="419"/>
      <c r="AT59" s="505"/>
      <c r="AU59" s="419"/>
      <c r="AV59" s="515"/>
      <c r="AW59" s="48"/>
      <c r="AX59" s="741"/>
      <c r="AY59" s="758"/>
      <c r="AZ59" s="747"/>
    </row>
    <row r="60" spans="1:52" ht="20.100000000000001" hidden="1" customHeight="1" x14ac:dyDescent="0.25">
      <c r="A60" s="49"/>
      <c r="B60" s="157" t="s">
        <v>54</v>
      </c>
      <c r="C60" s="552"/>
      <c r="D60" s="479" t="str">
        <f>$B$7</f>
        <v>Feeder</v>
      </c>
      <c r="E60" s="481"/>
      <c r="F60" s="51" t="s">
        <v>36</v>
      </c>
      <c r="G60" s="127"/>
      <c r="H60" s="128"/>
      <c r="I60" s="127"/>
      <c r="J60" s="128"/>
      <c r="K60" s="127"/>
      <c r="L60" s="128"/>
      <c r="M60" s="127"/>
      <c r="N60" s="128"/>
      <c r="O60" s="127"/>
      <c r="P60" s="128"/>
      <c r="Q60" s="98"/>
      <c r="R60" s="99"/>
      <c r="S60" s="52"/>
      <c r="T60" s="53"/>
      <c r="U60" s="52"/>
      <c r="V60" s="53"/>
      <c r="W60" s="52"/>
      <c r="X60" s="53"/>
      <c r="Y60" s="52"/>
      <c r="Z60" s="53"/>
      <c r="AA60" s="52"/>
      <c r="AB60" s="53"/>
      <c r="AC60" s="52"/>
      <c r="AD60" s="53"/>
      <c r="AE60" s="52"/>
      <c r="AF60" s="53"/>
      <c r="AG60" s="52"/>
      <c r="AH60" s="53"/>
      <c r="AI60" s="52"/>
      <c r="AJ60" s="53"/>
      <c r="AK60" s="483">
        <f>G60+I60+K60+M60+O60+Q60+S60+U60+W60+Y60+AA60+AC60+AE60+AG60+AI60</f>
        <v>0</v>
      </c>
      <c r="AL60" s="467">
        <f>IF(E60=0,0,AK60/E60)</f>
        <v>0</v>
      </c>
      <c r="AM60" s="471">
        <f>H60+J60+L60+N60+P60+R60+T60+V60+X60+Z60+AB60+AD60+AF60+AH60+AJ60</f>
        <v>0</v>
      </c>
      <c r="AN60" s="473">
        <f>IF(E58=0,0,AM60/($E58*14))</f>
        <v>0</v>
      </c>
      <c r="AO60" s="475" t="str">
        <f>IF(AM60=0,"",AM60/AK60)</f>
        <v/>
      </c>
      <c r="AP60" s="468">
        <f>G61+I61+K61+M61+O61+Q61+S61+U61+W61+Y61+AA61+AC61+AE61+AG61+AI61</f>
        <v>0</v>
      </c>
      <c r="AQ60" s="47"/>
      <c r="AR60" s="646">
        <f>+AR53+AK60-Q18-Q25-Q32-Q39-Q46-Q53</f>
        <v>0</v>
      </c>
      <c r="AS60" s="467">
        <f>AR60/$E$7</f>
        <v>0</v>
      </c>
      <c r="AT60" s="647">
        <f>+AT53+AM60-R18-R25-R32-R39-R46-R53</f>
        <v>0</v>
      </c>
      <c r="AU60" s="467">
        <f>+AT60/$F$7</f>
        <v>0</v>
      </c>
      <c r="AV60" s="508">
        <f>+AV53+AP60-Q19-Q26-Q33-Q40-Q47-Q54</f>
        <v>0</v>
      </c>
      <c r="AW60" s="48"/>
      <c r="AX60" s="741"/>
      <c r="AY60" s="758"/>
      <c r="AZ60" s="747"/>
    </row>
    <row r="61" spans="1:52" ht="15.75" hidden="1" customHeight="1" x14ac:dyDescent="0.25">
      <c r="A61" s="49"/>
      <c r="B61" s="100"/>
      <c r="C61" s="552"/>
      <c r="D61" s="480"/>
      <c r="E61" s="482"/>
      <c r="F61" s="54" t="s">
        <v>37</v>
      </c>
      <c r="G61" s="543"/>
      <c r="H61" s="544"/>
      <c r="I61" s="543"/>
      <c r="J61" s="544"/>
      <c r="K61" s="543"/>
      <c r="L61" s="544"/>
      <c r="M61" s="543"/>
      <c r="N61" s="544"/>
      <c r="O61" s="543"/>
      <c r="P61" s="544"/>
      <c r="Q61" s="462"/>
      <c r="R61" s="463"/>
      <c r="S61" s="506"/>
      <c r="T61" s="507"/>
      <c r="U61" s="506"/>
      <c r="V61" s="507"/>
      <c r="W61" s="506"/>
      <c r="X61" s="507"/>
      <c r="Y61" s="506"/>
      <c r="Z61" s="507"/>
      <c r="AA61" s="506"/>
      <c r="AB61" s="507"/>
      <c r="AC61" s="506"/>
      <c r="AD61" s="507"/>
      <c r="AE61" s="506"/>
      <c r="AF61" s="507"/>
      <c r="AG61" s="506"/>
      <c r="AH61" s="507"/>
      <c r="AI61" s="506"/>
      <c r="AJ61" s="507"/>
      <c r="AK61" s="484"/>
      <c r="AL61" s="467"/>
      <c r="AM61" s="472"/>
      <c r="AN61" s="474"/>
      <c r="AO61" s="475"/>
      <c r="AP61" s="468"/>
      <c r="AQ61" s="47"/>
      <c r="AR61" s="511"/>
      <c r="AS61" s="467"/>
      <c r="AT61" s="647"/>
      <c r="AU61" s="467"/>
      <c r="AV61" s="508"/>
      <c r="AW61" s="48"/>
      <c r="AX61" s="741"/>
      <c r="AY61" s="758"/>
      <c r="AZ61" s="747"/>
    </row>
    <row r="62" spans="1:52" ht="24" hidden="1" customHeight="1" x14ac:dyDescent="0.25">
      <c r="A62" s="49"/>
      <c r="B62" s="158" t="s">
        <v>56</v>
      </c>
      <c r="C62" s="552"/>
      <c r="D62" s="464" t="s">
        <v>38</v>
      </c>
      <c r="E62" s="465"/>
      <c r="F62" s="466"/>
      <c r="G62" s="101"/>
      <c r="H62" s="102"/>
      <c r="I62" s="101"/>
      <c r="J62" s="102"/>
      <c r="K62" s="101"/>
      <c r="L62" s="102"/>
      <c r="M62" s="101"/>
      <c r="N62" s="102"/>
      <c r="O62" s="101"/>
      <c r="P62" s="102"/>
      <c r="Q62" s="101"/>
      <c r="R62" s="102"/>
      <c r="S62" s="106"/>
      <c r="T62" s="108"/>
      <c r="U62" s="106"/>
      <c r="V62" s="108"/>
      <c r="W62" s="106"/>
      <c r="X62" s="108"/>
      <c r="Y62" s="106"/>
      <c r="Z62" s="108"/>
      <c r="AA62" s="101"/>
      <c r="AB62" s="102"/>
      <c r="AC62" s="106"/>
      <c r="AD62" s="108"/>
      <c r="AE62" s="106"/>
      <c r="AF62" s="108"/>
      <c r="AG62" s="101"/>
      <c r="AH62" s="102"/>
      <c r="AI62" s="101"/>
      <c r="AJ62" s="102"/>
      <c r="AK62" s="159">
        <f>+AK58+AK60</f>
        <v>0</v>
      </c>
      <c r="AL62" s="64">
        <f>IF(E58+E60=0,0,AK62/(E58+E60))</f>
        <v>0</v>
      </c>
      <c r="AM62" s="65">
        <f>+SUM(AM60,AM58)</f>
        <v>0</v>
      </c>
      <c r="AN62" s="64">
        <f>IF((E58+E60)=0,0,AM62/((E58+E60)*14))</f>
        <v>0</v>
      </c>
      <c r="AO62" s="160" t="str">
        <f>IF(AM62=0,"",AM62/AK62)</f>
        <v/>
      </c>
      <c r="AP62" s="61">
        <f>+AP58+AP60</f>
        <v>0</v>
      </c>
      <c r="AQ62" s="109"/>
      <c r="AR62" s="63">
        <f>+AR58+AR60</f>
        <v>0</v>
      </c>
      <c r="AS62" s="64">
        <f>AR62/$E$5</f>
        <v>0</v>
      </c>
      <c r="AT62" s="65">
        <f>+AT58+AT60</f>
        <v>0</v>
      </c>
      <c r="AU62" s="64">
        <f>+AT62/$F$5</f>
        <v>0</v>
      </c>
      <c r="AV62" s="111">
        <f>+AV58+AV60</f>
        <v>0</v>
      </c>
      <c r="AW62" s="48"/>
      <c r="AX62" s="741"/>
      <c r="AY62" s="758"/>
      <c r="AZ62" s="747"/>
    </row>
    <row r="63" spans="1:52" ht="15.75" hidden="1" customHeight="1" thickBot="1" x14ac:dyDescent="0.3">
      <c r="A63" s="49"/>
      <c r="B63" s="161" t="s">
        <v>47</v>
      </c>
      <c r="C63" s="552"/>
      <c r="D63" s="445" t="s">
        <v>39</v>
      </c>
      <c r="E63" s="445"/>
      <c r="F63" s="445"/>
      <c r="G63" s="131"/>
      <c r="H63" s="132"/>
      <c r="I63" s="131"/>
      <c r="J63" s="132"/>
      <c r="K63" s="131"/>
      <c r="L63" s="132"/>
      <c r="M63" s="131"/>
      <c r="N63" s="132"/>
      <c r="O63" s="131"/>
      <c r="P63" s="132"/>
      <c r="Q63" s="98"/>
      <c r="R63" s="99"/>
      <c r="S63" s="113"/>
      <c r="T63" s="114"/>
      <c r="U63" s="113"/>
      <c r="V63" s="114"/>
      <c r="W63" s="113"/>
      <c r="X63" s="114"/>
      <c r="Y63" s="113"/>
      <c r="Z63" s="114"/>
      <c r="AA63" s="113"/>
      <c r="AB63" s="114"/>
      <c r="AC63" s="113"/>
      <c r="AD63" s="114"/>
      <c r="AE63" s="113"/>
      <c r="AF63" s="114"/>
      <c r="AG63" s="113"/>
      <c r="AH63" s="114"/>
      <c r="AI63" s="113"/>
      <c r="AJ63" s="114"/>
      <c r="AK63" s="71">
        <f>G63+I63+K63+M63+O63+Q63+S63+U63+W63+Y63+AA63+AC63+AE63+AG63+AI63</f>
        <v>0</v>
      </c>
      <c r="AL63" s="72"/>
      <c r="AM63" s="73">
        <f>H63+J63+L63+N63+P63+R63+T63+V63+X63+Z63+AB63+AD63+AF63+AH63+AJ63</f>
        <v>0</v>
      </c>
      <c r="AN63" s="72"/>
      <c r="AO63" s="74"/>
      <c r="AP63" s="73"/>
      <c r="AQ63" s="75"/>
      <c r="AR63" s="71">
        <f>+AR56+AK63-Q21-Q28-Q35-Q42-Q49-Q56</f>
        <v>0</v>
      </c>
      <c r="AS63" s="77"/>
      <c r="AT63" s="73">
        <f>+AT56+AM63-R21-R28-R35-R42-R49-R56</f>
        <v>0</v>
      </c>
      <c r="AU63" s="77"/>
      <c r="AV63" s="118"/>
      <c r="AW63" s="37"/>
      <c r="AX63" s="741"/>
      <c r="AY63" s="758"/>
      <c r="AZ63" s="747"/>
    </row>
    <row r="64" spans="1:52" ht="30.75" hidden="1" customHeight="1" thickBot="1" x14ac:dyDescent="0.3">
      <c r="A64" s="49"/>
      <c r="B64" s="152">
        <f>SUM(MOD(("1/"&amp;$A$14)-{0;6},{1E+99;7})*{1;-1},$A$48*7,MATCH(MID(B63,1,2),{"Mo";"Tu";"We";"Th";"Fr";"Sa";"Su"},0)-5)</f>
        <v>42432</v>
      </c>
      <c r="C64" s="553"/>
      <c r="D64" s="446" t="s">
        <v>6</v>
      </c>
      <c r="E64" s="446"/>
      <c r="F64" s="446"/>
      <c r="G64" s="120"/>
      <c r="H64" s="121"/>
      <c r="I64" s="120"/>
      <c r="J64" s="121"/>
      <c r="K64" s="120"/>
      <c r="L64" s="121"/>
      <c r="M64" s="120"/>
      <c r="N64" s="121"/>
      <c r="O64" s="120"/>
      <c r="P64" s="121"/>
      <c r="Q64" s="120"/>
      <c r="R64" s="121"/>
      <c r="S64" s="120"/>
      <c r="T64" s="121"/>
      <c r="U64" s="120"/>
      <c r="V64" s="121"/>
      <c r="W64" s="120"/>
      <c r="X64" s="121"/>
      <c r="Y64" s="120"/>
      <c r="Z64" s="121"/>
      <c r="AA64" s="120"/>
      <c r="AB64" s="121"/>
      <c r="AC64" s="120"/>
      <c r="AD64" s="121"/>
      <c r="AE64" s="120"/>
      <c r="AF64" s="121"/>
      <c r="AG64" s="120"/>
      <c r="AH64" s="121"/>
      <c r="AI64" s="120"/>
      <c r="AJ64" s="121"/>
      <c r="AK64" s="123">
        <f>AK62+AK63</f>
        <v>0</v>
      </c>
      <c r="AL64" s="85">
        <f>IF(E58+E60=0,0,AK64/(E58+E60))</f>
        <v>0</v>
      </c>
      <c r="AM64" s="90">
        <f>+AM62+AM63</f>
        <v>0</v>
      </c>
      <c r="AN64" s="85">
        <f>IF((E58+E60)=0,0,AM64/((E58+E60)*14))</f>
        <v>0</v>
      </c>
      <c r="AO64" s="87" t="str">
        <f>IF(AM64=0,"",AM64/AK64)</f>
        <v/>
      </c>
      <c r="AP64" s="88">
        <f>+AP62</f>
        <v>0</v>
      </c>
      <c r="AQ64" s="109"/>
      <c r="AR64" s="123">
        <f>+AR62+AR63</f>
        <v>0</v>
      </c>
      <c r="AS64" s="85">
        <f>AR64/$E$5</f>
        <v>0</v>
      </c>
      <c r="AT64" s="90">
        <f>+AT62+AT63</f>
        <v>0</v>
      </c>
      <c r="AU64" s="85">
        <f>+AT64/$F$5</f>
        <v>0</v>
      </c>
      <c r="AV64" s="124">
        <f>+AV62</f>
        <v>0</v>
      </c>
      <c r="AW64" s="92"/>
      <c r="AX64" s="742"/>
      <c r="AY64" s="759"/>
      <c r="AZ64" s="748"/>
    </row>
    <row r="65" spans="1:52" ht="20.100000000000001" hidden="1" customHeight="1" outlineLevel="1" thickBot="1" x14ac:dyDescent="0.3">
      <c r="A65" s="49"/>
      <c r="B65" s="447" t="s">
        <v>6</v>
      </c>
      <c r="C65" s="450"/>
      <c r="D65" s="452" t="str">
        <f>$B$6</f>
        <v>Trade</v>
      </c>
      <c r="E65" s="454">
        <f>E23+E30+E37+E44+E51+E58</f>
        <v>125</v>
      </c>
      <c r="F65" s="162" t="s">
        <v>36</v>
      </c>
      <c r="G65" s="163"/>
      <c r="H65" s="164"/>
      <c r="I65" s="163"/>
      <c r="J65" s="164"/>
      <c r="K65" s="163"/>
      <c r="L65" s="164"/>
      <c r="M65" s="163"/>
      <c r="N65" s="164"/>
      <c r="O65" s="163"/>
      <c r="P65" s="164"/>
      <c r="Q65" s="163"/>
      <c r="R65" s="164"/>
      <c r="S65" s="163"/>
      <c r="T65" s="164"/>
      <c r="U65" s="163"/>
      <c r="V65" s="164"/>
      <c r="W65" s="163"/>
      <c r="X65" s="164"/>
      <c r="Y65" s="163"/>
      <c r="Z65" s="164"/>
      <c r="AA65" s="163"/>
      <c r="AB65" s="164"/>
      <c r="AC65" s="163"/>
      <c r="AD65" s="164"/>
      <c r="AE65" s="163"/>
      <c r="AF65" s="164"/>
      <c r="AG65" s="163"/>
      <c r="AH65" s="164"/>
      <c r="AI65" s="163"/>
      <c r="AJ65" s="164"/>
      <c r="AK65" s="434">
        <f>G65+I65+K65+M65+O65+Q65+S65+U65+W65+Y65+AA65+AC65+AE65+AG65+AI65</f>
        <v>0</v>
      </c>
      <c r="AL65" s="436">
        <f>IF(E65=0,0,AK65/E65)</f>
        <v>0</v>
      </c>
      <c r="AM65" s="438">
        <f>H65+J65+L65+N65+P65+R65+T65+V65+X65+Z65+AB65+AD65+AF65+AH65+AJ65</f>
        <v>0</v>
      </c>
      <c r="AN65" s="440">
        <f>IF(E65=0,0,AM65/($E65*14))</f>
        <v>0</v>
      </c>
      <c r="AO65" s="442" t="str">
        <f>IF(AM65=0,"",AM65/AK65)</f>
        <v/>
      </c>
      <c r="AP65" s="438">
        <f>G66+I66+K66+M66+O66+Q66+S66+U66+W66+Y66+AA66+AC66+AE66+AG66+AI66</f>
        <v>0</v>
      </c>
      <c r="AQ65" s="109"/>
      <c r="AW65" s="48"/>
    </row>
    <row r="66" spans="1:52" ht="15.75" hidden="1" customHeight="1" outlineLevel="1" x14ac:dyDescent="0.25">
      <c r="A66" s="49"/>
      <c r="B66" s="448"/>
      <c r="C66" s="451"/>
      <c r="D66" s="453"/>
      <c r="E66" s="455"/>
      <c r="F66" s="165" t="s">
        <v>37</v>
      </c>
      <c r="G66" s="426"/>
      <c r="H66" s="427"/>
      <c r="I66" s="426"/>
      <c r="J66" s="427"/>
      <c r="K66" s="426"/>
      <c r="L66" s="427"/>
      <c r="M66" s="426"/>
      <c r="N66" s="427"/>
      <c r="O66" s="426"/>
      <c r="P66" s="427"/>
      <c r="Q66" s="426"/>
      <c r="R66" s="427"/>
      <c r="S66" s="426"/>
      <c r="T66" s="427"/>
      <c r="U66" s="426"/>
      <c r="V66" s="427"/>
      <c r="W66" s="426"/>
      <c r="X66" s="427"/>
      <c r="Y66" s="426"/>
      <c r="Z66" s="427"/>
      <c r="AA66" s="426"/>
      <c r="AB66" s="427"/>
      <c r="AC66" s="426"/>
      <c r="AD66" s="427"/>
      <c r="AE66" s="426"/>
      <c r="AF66" s="427"/>
      <c r="AG66" s="426"/>
      <c r="AH66" s="427"/>
      <c r="AI66" s="426"/>
      <c r="AJ66" s="427"/>
      <c r="AK66" s="435"/>
      <c r="AL66" s="437"/>
      <c r="AM66" s="439"/>
      <c r="AN66" s="441"/>
      <c r="AO66" s="443"/>
      <c r="AP66" s="444"/>
      <c r="AQ66" s="109"/>
      <c r="AR66" s="640" t="s">
        <v>57</v>
      </c>
      <c r="AS66" s="641"/>
      <c r="AT66" s="641"/>
      <c r="AU66" s="641"/>
      <c r="AV66" s="642"/>
      <c r="AW66" s="48"/>
    </row>
    <row r="67" spans="1:52" ht="20.100000000000001" hidden="1" customHeight="1" outlineLevel="1" thickBot="1" x14ac:dyDescent="0.3">
      <c r="A67" s="49"/>
      <c r="B67" s="448"/>
      <c r="C67" s="451"/>
      <c r="D67" s="456" t="str">
        <f>$B$7</f>
        <v>Feeder</v>
      </c>
      <c r="E67" s="458"/>
      <c r="F67" s="166" t="s">
        <v>36</v>
      </c>
      <c r="G67" s="167"/>
      <c r="H67" s="168"/>
      <c r="I67" s="167"/>
      <c r="J67" s="168"/>
      <c r="K67" s="167"/>
      <c r="L67" s="168"/>
      <c r="M67" s="167"/>
      <c r="N67" s="168"/>
      <c r="O67" s="167"/>
      <c r="P67" s="168"/>
      <c r="Q67" s="167"/>
      <c r="R67" s="168"/>
      <c r="S67" s="167"/>
      <c r="T67" s="168"/>
      <c r="U67" s="167"/>
      <c r="V67" s="168"/>
      <c r="W67" s="167"/>
      <c r="X67" s="168"/>
      <c r="Y67" s="167"/>
      <c r="Z67" s="168"/>
      <c r="AA67" s="167"/>
      <c r="AB67" s="168"/>
      <c r="AC67" s="167"/>
      <c r="AD67" s="168"/>
      <c r="AE67" s="167"/>
      <c r="AF67" s="168"/>
      <c r="AG67" s="167"/>
      <c r="AH67" s="168"/>
      <c r="AI67" s="167"/>
      <c r="AJ67" s="168"/>
      <c r="AK67" s="417">
        <f>G67+I67+K67+M67+O67+Q67+S67+U67+W67+Y67+AA67+AC67+AE67+AG67+AI67</f>
        <v>0</v>
      </c>
      <c r="AL67" s="419">
        <f>IF(E67=0,0,AK67/E67)</f>
        <v>0</v>
      </c>
      <c r="AM67" s="420">
        <f>H67+J67+L67+N67+P67+R67+T67+V67+X67+Z67+AB67+AD67+AF67+AH67+AJ67</f>
        <v>0</v>
      </c>
      <c r="AN67" s="422">
        <f>IF(E65=0,0,AM67/($E65*14))</f>
        <v>0</v>
      </c>
      <c r="AO67" s="424" t="str">
        <f>IF(AM67=0,"",AM67/AK67)</f>
        <v/>
      </c>
      <c r="AP67" s="425">
        <f>G68+I68+K68+M68+O68+Q68+S68+U68+W68+Y68+AA68+AC68+AE68+AG68+AI68</f>
        <v>0</v>
      </c>
      <c r="AQ67" s="109"/>
      <c r="AR67" s="643"/>
      <c r="AS67" s="644"/>
      <c r="AT67" s="644"/>
      <c r="AU67" s="644"/>
      <c r="AV67" s="645"/>
      <c r="AW67" s="48"/>
    </row>
    <row r="68" spans="1:52" ht="15.75" hidden="1" customHeight="1" outlineLevel="1" x14ac:dyDescent="0.25">
      <c r="A68" s="49"/>
      <c r="B68" s="448"/>
      <c r="C68" s="451"/>
      <c r="D68" s="457"/>
      <c r="E68" s="459"/>
      <c r="F68" s="50" t="s">
        <v>37</v>
      </c>
      <c r="G68" s="167"/>
      <c r="H68" s="168"/>
      <c r="I68" s="167"/>
      <c r="J68" s="168"/>
      <c r="K68" s="167"/>
      <c r="L68" s="168"/>
      <c r="M68" s="167"/>
      <c r="N68" s="168"/>
      <c r="O68" s="167"/>
      <c r="P68" s="168"/>
      <c r="Q68" s="167"/>
      <c r="R68" s="168"/>
      <c r="S68" s="167"/>
      <c r="T68" s="168"/>
      <c r="U68" s="167"/>
      <c r="V68" s="168"/>
      <c r="W68" s="167"/>
      <c r="X68" s="168"/>
      <c r="Y68" s="167"/>
      <c r="Z68" s="168"/>
      <c r="AA68" s="167"/>
      <c r="AB68" s="168"/>
      <c r="AC68" s="167"/>
      <c r="AD68" s="168"/>
      <c r="AE68" s="167"/>
      <c r="AF68" s="168"/>
      <c r="AG68" s="167"/>
      <c r="AH68" s="168"/>
      <c r="AI68" s="167"/>
      <c r="AJ68" s="168"/>
      <c r="AK68" s="418"/>
      <c r="AL68" s="419"/>
      <c r="AM68" s="421"/>
      <c r="AN68" s="423"/>
      <c r="AO68" s="424"/>
      <c r="AP68" s="425"/>
      <c r="AQ68" s="109"/>
      <c r="AR68" s="169" t="s">
        <v>9</v>
      </c>
      <c r="AS68" s="170" t="s">
        <v>29</v>
      </c>
      <c r="AT68" s="171" t="s">
        <v>30</v>
      </c>
      <c r="AU68" s="172" t="s">
        <v>29</v>
      </c>
      <c r="AV68" s="173"/>
      <c r="AW68" s="48"/>
    </row>
    <row r="69" spans="1:52" ht="24" hidden="1" customHeight="1" thickBot="1" x14ac:dyDescent="0.3">
      <c r="A69" s="738" t="s">
        <v>58</v>
      </c>
      <c r="B69" s="448"/>
      <c r="C69" s="451"/>
      <c r="D69" s="409" t="s">
        <v>38</v>
      </c>
      <c r="E69" s="410"/>
      <c r="F69" s="411"/>
      <c r="G69" s="174"/>
      <c r="H69" s="175"/>
      <c r="I69" s="174"/>
      <c r="J69" s="175"/>
      <c r="K69" s="174"/>
      <c r="L69" s="175"/>
      <c r="M69" s="174"/>
      <c r="N69" s="175"/>
      <c r="O69" s="174"/>
      <c r="P69" s="175"/>
      <c r="Q69" s="174"/>
      <c r="R69" s="175"/>
      <c r="S69" s="174"/>
      <c r="T69" s="175"/>
      <c r="U69" s="174"/>
      <c r="V69" s="175"/>
      <c r="W69" s="174"/>
      <c r="X69" s="175"/>
      <c r="Y69" s="174"/>
      <c r="Z69" s="175"/>
      <c r="AA69" s="174"/>
      <c r="AB69" s="175"/>
      <c r="AC69" s="174"/>
      <c r="AD69" s="175"/>
      <c r="AE69" s="174"/>
      <c r="AF69" s="175"/>
      <c r="AG69" s="174"/>
      <c r="AH69" s="175"/>
      <c r="AI69" s="174"/>
      <c r="AJ69" s="175"/>
      <c r="AK69" s="176">
        <f>+AK65+AK67</f>
        <v>0</v>
      </c>
      <c r="AL69" s="177">
        <f>IF(E65+E67=0,0,AK69/(E65+E67))</f>
        <v>0</v>
      </c>
      <c r="AM69" s="178">
        <f>+SUM(AM67,AM65)</f>
        <v>0</v>
      </c>
      <c r="AN69" s="177">
        <f>IF((E65+E67)=0,0,AM69/((E65+E67)*14))</f>
        <v>0</v>
      </c>
      <c r="AO69" s="179" t="str">
        <f>IF(AM69=0,"",AM69/AK69)</f>
        <v/>
      </c>
      <c r="AP69" s="180">
        <f>+AP65+AP67</f>
        <v>0</v>
      </c>
      <c r="AQ69" s="109"/>
      <c r="AR69" s="181"/>
      <c r="AS69" s="182"/>
      <c r="AT69" s="183"/>
      <c r="AU69" s="182"/>
      <c r="AV69" s="183"/>
      <c r="AW69" s="48"/>
    </row>
    <row r="70" spans="1:52" ht="15.75" hidden="1" customHeight="1" thickBot="1" x14ac:dyDescent="0.3">
      <c r="A70" s="739"/>
      <c r="B70" s="449"/>
      <c r="C70" s="451"/>
      <c r="D70" s="412" t="s">
        <v>39</v>
      </c>
      <c r="E70" s="412"/>
      <c r="F70" s="412"/>
      <c r="G70" s="184">
        <f t="shared" ref="G70:AJ70" si="0">G28+G35+G42+G49+G56+G63</f>
        <v>0</v>
      </c>
      <c r="H70" s="185">
        <f t="shared" si="0"/>
        <v>0</v>
      </c>
      <c r="I70" s="184">
        <f t="shared" si="0"/>
        <v>0</v>
      </c>
      <c r="J70" s="185">
        <f t="shared" si="0"/>
        <v>0</v>
      </c>
      <c r="K70" s="184">
        <f t="shared" si="0"/>
        <v>0</v>
      </c>
      <c r="L70" s="185">
        <f t="shared" si="0"/>
        <v>0</v>
      </c>
      <c r="M70" s="184">
        <f t="shared" si="0"/>
        <v>0</v>
      </c>
      <c r="N70" s="185">
        <f t="shared" si="0"/>
        <v>0</v>
      </c>
      <c r="O70" s="184">
        <f t="shared" si="0"/>
        <v>0</v>
      </c>
      <c r="P70" s="185">
        <f t="shared" si="0"/>
        <v>0</v>
      </c>
      <c r="Q70" s="184">
        <f t="shared" si="0"/>
        <v>0</v>
      </c>
      <c r="R70" s="185">
        <f t="shared" si="0"/>
        <v>0</v>
      </c>
      <c r="S70" s="184">
        <f t="shared" si="0"/>
        <v>0</v>
      </c>
      <c r="T70" s="185">
        <f t="shared" si="0"/>
        <v>0</v>
      </c>
      <c r="U70" s="184">
        <f t="shared" si="0"/>
        <v>0</v>
      </c>
      <c r="V70" s="185">
        <f t="shared" si="0"/>
        <v>0</v>
      </c>
      <c r="W70" s="184">
        <f t="shared" si="0"/>
        <v>0</v>
      </c>
      <c r="X70" s="185">
        <f t="shared" si="0"/>
        <v>0</v>
      </c>
      <c r="Y70" s="184">
        <f t="shared" si="0"/>
        <v>0</v>
      </c>
      <c r="Z70" s="185">
        <f t="shared" si="0"/>
        <v>0</v>
      </c>
      <c r="AA70" s="184">
        <f t="shared" si="0"/>
        <v>0</v>
      </c>
      <c r="AB70" s="185">
        <f t="shared" si="0"/>
        <v>0</v>
      </c>
      <c r="AC70" s="184">
        <f t="shared" si="0"/>
        <v>0</v>
      </c>
      <c r="AD70" s="185">
        <f t="shared" si="0"/>
        <v>0</v>
      </c>
      <c r="AE70" s="184">
        <f t="shared" si="0"/>
        <v>0</v>
      </c>
      <c r="AF70" s="185">
        <f t="shared" si="0"/>
        <v>0</v>
      </c>
      <c r="AG70" s="184">
        <f t="shared" si="0"/>
        <v>0</v>
      </c>
      <c r="AH70" s="185">
        <f t="shared" si="0"/>
        <v>0</v>
      </c>
      <c r="AI70" s="184">
        <f t="shared" si="0"/>
        <v>0</v>
      </c>
      <c r="AJ70" s="185">
        <f t="shared" si="0"/>
        <v>0</v>
      </c>
      <c r="AK70" s="186">
        <f>G70+I70+K70+M70+O70+Q70+S70+U70+W70+Y70+AA70+AC70+AE70+AG70+AI70</f>
        <v>0</v>
      </c>
      <c r="AL70" s="187"/>
      <c r="AM70" s="188">
        <f>H70+J70+L70+N70+P70+R70+T70+V70+X70+Z70+AB70+AD70+AF70+AH70+AJ70</f>
        <v>0</v>
      </c>
      <c r="AN70" s="187"/>
      <c r="AO70" s="189"/>
      <c r="AP70" s="188"/>
      <c r="AQ70" s="109"/>
      <c r="AR70" s="190"/>
      <c r="AS70" s="190"/>
      <c r="AT70" s="190"/>
      <c r="AU70" s="190"/>
      <c r="AV70" s="191"/>
      <c r="AW70" s="37"/>
    </row>
    <row r="71" spans="1:52" s="205" customFormat="1" ht="34.5" hidden="1" customHeight="1" thickBot="1" x14ac:dyDescent="0.4">
      <c r="A71" s="627" t="s">
        <v>59</v>
      </c>
      <c r="B71" s="628"/>
      <c r="C71" s="628"/>
      <c r="D71" s="628"/>
      <c r="E71" s="628"/>
      <c r="F71" s="629"/>
      <c r="G71" s="192">
        <f>+G69+G70</f>
        <v>0</v>
      </c>
      <c r="H71" s="193">
        <f t="shared" ref="H71:AJ71" si="1">+H69+H70</f>
        <v>0</v>
      </c>
      <c r="I71" s="192">
        <f t="shared" si="1"/>
        <v>0</v>
      </c>
      <c r="J71" s="193">
        <f t="shared" si="1"/>
        <v>0</v>
      </c>
      <c r="K71" s="194">
        <f>+K69+K70</f>
        <v>0</v>
      </c>
      <c r="L71" s="195">
        <f t="shared" si="1"/>
        <v>0</v>
      </c>
      <c r="M71" s="194">
        <f t="shared" si="1"/>
        <v>0</v>
      </c>
      <c r="N71" s="195">
        <f t="shared" si="1"/>
        <v>0</v>
      </c>
      <c r="O71" s="194">
        <f t="shared" si="1"/>
        <v>0</v>
      </c>
      <c r="P71" s="195">
        <f t="shared" si="1"/>
        <v>0</v>
      </c>
      <c r="Q71" s="194">
        <f t="shared" si="1"/>
        <v>0</v>
      </c>
      <c r="R71" s="195">
        <f t="shared" si="1"/>
        <v>0</v>
      </c>
      <c r="S71" s="194">
        <f t="shared" si="1"/>
        <v>0</v>
      </c>
      <c r="T71" s="195">
        <f t="shared" si="1"/>
        <v>0</v>
      </c>
      <c r="U71" s="194">
        <f>+U69+U70</f>
        <v>0</v>
      </c>
      <c r="V71" s="195">
        <f t="shared" si="1"/>
        <v>0</v>
      </c>
      <c r="W71" s="194">
        <f t="shared" si="1"/>
        <v>0</v>
      </c>
      <c r="X71" s="195">
        <f t="shared" si="1"/>
        <v>0</v>
      </c>
      <c r="Y71" s="194">
        <f t="shared" si="1"/>
        <v>0</v>
      </c>
      <c r="Z71" s="195">
        <f t="shared" si="1"/>
        <v>0</v>
      </c>
      <c r="AA71" s="194">
        <f>+AA69+AA70</f>
        <v>0</v>
      </c>
      <c r="AB71" s="195">
        <f t="shared" si="1"/>
        <v>0</v>
      </c>
      <c r="AC71" s="194">
        <f t="shared" si="1"/>
        <v>0</v>
      </c>
      <c r="AD71" s="195">
        <f t="shared" si="1"/>
        <v>0</v>
      </c>
      <c r="AE71" s="194">
        <f t="shared" si="1"/>
        <v>0</v>
      </c>
      <c r="AF71" s="195">
        <f t="shared" si="1"/>
        <v>0</v>
      </c>
      <c r="AG71" s="194">
        <f>+AG69+AG70</f>
        <v>0</v>
      </c>
      <c r="AH71" s="196">
        <f t="shared" si="1"/>
        <v>0</v>
      </c>
      <c r="AI71" s="194">
        <f t="shared" si="1"/>
        <v>0</v>
      </c>
      <c r="AJ71" s="196">
        <f t="shared" si="1"/>
        <v>0</v>
      </c>
      <c r="AK71" s="123">
        <f>AK69+AK70</f>
        <v>0</v>
      </c>
      <c r="AL71" s="85">
        <f>IF(E65+E67=0,0,AK71/(E65+E67))</f>
        <v>0</v>
      </c>
      <c r="AM71" s="90">
        <f>+AM69+AM70</f>
        <v>0</v>
      </c>
      <c r="AN71" s="85">
        <f>IF((E65+E67)=0,0,AM71/((E65+E67)*14))</f>
        <v>0</v>
      </c>
      <c r="AO71" s="87" t="str">
        <f>IF(AM71=0,"",AM71/AK71)</f>
        <v/>
      </c>
      <c r="AP71" s="88">
        <f>+AP69</f>
        <v>0</v>
      </c>
      <c r="AQ71" s="109"/>
      <c r="AR71" s="197">
        <f>+AR64</f>
        <v>0</v>
      </c>
      <c r="AS71" s="198">
        <f>AS64</f>
        <v>0</v>
      </c>
      <c r="AT71" s="199">
        <f>+AT64</f>
        <v>0</v>
      </c>
      <c r="AU71" s="198">
        <f>+AU64</f>
        <v>0</v>
      </c>
      <c r="AV71" s="200">
        <f>+AV64</f>
        <v>0</v>
      </c>
      <c r="AW71" s="201"/>
      <c r="AX71" s="202">
        <f>+AX58</f>
        <v>1234</v>
      </c>
      <c r="AY71" s="203">
        <f>AY58</f>
        <v>17276</v>
      </c>
      <c r="AZ71" s="204">
        <f>AZ58</f>
        <v>300</v>
      </c>
    </row>
    <row r="72" spans="1:52" s="205" customFormat="1" ht="34.5" hidden="1" customHeight="1" thickBot="1" x14ac:dyDescent="0.4">
      <c r="A72" s="416" t="s">
        <v>60</v>
      </c>
      <c r="B72" s="414"/>
      <c r="C72" s="414"/>
      <c r="D72" s="414"/>
      <c r="E72" s="414"/>
      <c r="F72" s="414"/>
      <c r="G72" s="206">
        <f t="shared" ref="G72:AJ72" si="2">G71+G22</f>
        <v>0</v>
      </c>
      <c r="H72" s="207">
        <f t="shared" si="2"/>
        <v>0</v>
      </c>
      <c r="I72" s="206">
        <f t="shared" si="2"/>
        <v>0</v>
      </c>
      <c r="J72" s="208">
        <f t="shared" si="2"/>
        <v>0</v>
      </c>
      <c r="K72" s="206">
        <f t="shared" si="2"/>
        <v>0</v>
      </c>
      <c r="L72" s="207">
        <f t="shared" si="2"/>
        <v>0</v>
      </c>
      <c r="M72" s="206">
        <f t="shared" si="2"/>
        <v>0</v>
      </c>
      <c r="N72" s="207">
        <f t="shared" si="2"/>
        <v>0</v>
      </c>
      <c r="O72" s="206">
        <f t="shared" si="2"/>
        <v>0</v>
      </c>
      <c r="P72" s="207">
        <f t="shared" si="2"/>
        <v>0</v>
      </c>
      <c r="Q72" s="206">
        <f t="shared" si="2"/>
        <v>0</v>
      </c>
      <c r="R72" s="207">
        <f t="shared" si="2"/>
        <v>0</v>
      </c>
      <c r="S72" s="206">
        <f t="shared" si="2"/>
        <v>0</v>
      </c>
      <c r="T72" s="207">
        <f t="shared" si="2"/>
        <v>0</v>
      </c>
      <c r="U72" s="206">
        <f t="shared" si="2"/>
        <v>0</v>
      </c>
      <c r="V72" s="207">
        <f t="shared" si="2"/>
        <v>0</v>
      </c>
      <c r="W72" s="206">
        <f t="shared" si="2"/>
        <v>0</v>
      </c>
      <c r="X72" s="207">
        <f t="shared" si="2"/>
        <v>0</v>
      </c>
      <c r="Y72" s="206">
        <f t="shared" si="2"/>
        <v>0</v>
      </c>
      <c r="Z72" s="207">
        <f t="shared" si="2"/>
        <v>0</v>
      </c>
      <c r="AA72" s="206">
        <f t="shared" si="2"/>
        <v>0</v>
      </c>
      <c r="AB72" s="209">
        <f t="shared" si="2"/>
        <v>0</v>
      </c>
      <c r="AC72" s="206">
        <f t="shared" si="2"/>
        <v>0</v>
      </c>
      <c r="AD72" s="207">
        <f t="shared" si="2"/>
        <v>0</v>
      </c>
      <c r="AE72" s="206">
        <f t="shared" si="2"/>
        <v>0</v>
      </c>
      <c r="AF72" s="209">
        <f t="shared" si="2"/>
        <v>0</v>
      </c>
      <c r="AG72" s="206">
        <f t="shared" si="2"/>
        <v>0</v>
      </c>
      <c r="AH72" s="209">
        <f t="shared" si="2"/>
        <v>0</v>
      </c>
      <c r="AI72" s="210">
        <f t="shared" si="2"/>
        <v>0</v>
      </c>
      <c r="AJ72" s="211">
        <f t="shared" si="2"/>
        <v>0</v>
      </c>
      <c r="AK72" s="212"/>
      <c r="AL72" s="212"/>
      <c r="AM72" s="212"/>
      <c r="AN72" s="212"/>
      <c r="AO72" s="212"/>
      <c r="AP72" s="212"/>
      <c r="AQ72" s="213"/>
      <c r="AR72" s="212"/>
      <c r="AS72" s="214"/>
      <c r="AT72" s="215"/>
      <c r="AU72" s="214"/>
      <c r="AV72" s="216"/>
      <c r="AW72" s="201"/>
      <c r="AX72" s="217"/>
      <c r="AY72" s="217"/>
      <c r="AZ72" s="217"/>
    </row>
    <row r="73" spans="1:52" s="205" customFormat="1" ht="34.5" hidden="1" customHeight="1" thickBot="1" x14ac:dyDescent="0.4">
      <c r="A73" s="218"/>
      <c r="B73" s="218"/>
      <c r="C73" s="218"/>
      <c r="D73" s="218"/>
      <c r="E73" s="218"/>
      <c r="F73" s="218"/>
      <c r="G73" s="219"/>
      <c r="H73" s="219"/>
      <c r="I73" s="220"/>
      <c r="J73" s="220"/>
      <c r="K73" s="219"/>
      <c r="L73" s="219"/>
      <c r="M73" s="219"/>
      <c r="N73" s="219"/>
      <c r="O73" s="219"/>
      <c r="P73" s="219"/>
      <c r="Q73" s="219"/>
      <c r="R73" s="219"/>
      <c r="S73" s="219"/>
      <c r="T73" s="219"/>
      <c r="U73" s="219"/>
      <c r="V73" s="219"/>
      <c r="W73" s="219"/>
      <c r="X73" s="219"/>
      <c r="Y73" s="219"/>
      <c r="Z73" s="219"/>
      <c r="AA73" s="219"/>
      <c r="AB73" s="219"/>
      <c r="AC73" s="219"/>
      <c r="AD73" s="219"/>
      <c r="AE73" s="219"/>
      <c r="AF73" s="219"/>
      <c r="AG73" s="219"/>
      <c r="AH73" s="219"/>
      <c r="AI73" s="219"/>
      <c r="AJ73" s="219"/>
      <c r="AK73" s="221"/>
      <c r="AL73" s="222"/>
      <c r="AM73" s="221"/>
      <c r="AN73" s="222"/>
      <c r="AO73" s="223"/>
      <c r="AP73" s="221"/>
      <c r="AQ73" s="213"/>
      <c r="AR73" s="224"/>
      <c r="AS73" s="225"/>
      <c r="AT73" s="226"/>
      <c r="AU73" s="225"/>
      <c r="AV73" s="227"/>
      <c r="AW73" s="201"/>
      <c r="AX73" s="217"/>
      <c r="AY73" s="217"/>
      <c r="AZ73" s="217"/>
    </row>
    <row r="74" spans="1:52" s="205" customFormat="1" ht="19.8" hidden="1" customHeight="1" thickBot="1" x14ac:dyDescent="0.4">
      <c r="A74" s="632" t="str">
        <f>A12</f>
        <v>MEDITERRANEAN SEA</v>
      </c>
      <c r="B74" s="633"/>
      <c r="C74" s="633"/>
      <c r="D74" s="633"/>
      <c r="E74" s="636">
        <f>E12</f>
        <v>1</v>
      </c>
      <c r="F74" s="638" t="s">
        <v>27</v>
      </c>
      <c r="G74" s="619" t="str">
        <f>G14</f>
        <v>FRMRS</v>
      </c>
      <c r="H74" s="625"/>
      <c r="I74" s="619" t="str">
        <f>I14</f>
        <v>ESBCN</v>
      </c>
      <c r="J74" s="625"/>
      <c r="K74" s="619" t="str">
        <f>K14</f>
        <v>ESVLC</v>
      </c>
      <c r="L74" s="625"/>
      <c r="M74" s="619" t="str">
        <f>M14</f>
        <v>MTMLA</v>
      </c>
      <c r="N74" s="625"/>
      <c r="O74" s="619" t="str">
        <f>O14</f>
        <v>Add call</v>
      </c>
      <c r="P74" s="625"/>
      <c r="Q74" s="619" t="str">
        <f>Q14</f>
        <v>Add Call</v>
      </c>
      <c r="R74" s="626"/>
      <c r="S74" s="624" t="str">
        <f>S14</f>
        <v>TRMER</v>
      </c>
      <c r="T74" s="625"/>
      <c r="U74" s="621" t="str">
        <f>U14</f>
        <v>TRISK</v>
      </c>
      <c r="V74" s="625"/>
      <c r="W74" s="621" t="str">
        <f>W14</f>
        <v>LBBEY</v>
      </c>
      <c r="X74" s="625"/>
      <c r="Y74" s="621" t="str">
        <f>Y14</f>
        <v>EGALY</v>
      </c>
      <c r="Z74" s="625"/>
      <c r="AA74" s="621" t="str">
        <f>AA14</f>
        <v>MTMLA</v>
      </c>
      <c r="AB74" s="620"/>
      <c r="AC74" s="619" t="str">
        <f>AC14</f>
        <v>DZALD</v>
      </c>
      <c r="AD74" s="625"/>
      <c r="AE74" s="619" t="str">
        <f>AE14</f>
        <v>DZALS</v>
      </c>
      <c r="AF74" s="620"/>
      <c r="AG74" s="619" t="str">
        <f>AG14</f>
        <v>Add Call</v>
      </c>
      <c r="AH74" s="620"/>
      <c r="AI74" s="621" t="str">
        <f>AI14</f>
        <v>Forecast</v>
      </c>
      <c r="AJ74" s="620"/>
      <c r="AK74" s="749" t="s">
        <v>9</v>
      </c>
      <c r="AL74" s="751" t="s">
        <v>29</v>
      </c>
      <c r="AM74" s="751" t="s">
        <v>30</v>
      </c>
      <c r="AN74" s="751" t="s">
        <v>29</v>
      </c>
      <c r="AO74" s="753" t="s">
        <v>31</v>
      </c>
      <c r="AP74" s="755" t="s">
        <v>32</v>
      </c>
      <c r="AQ74" s="228"/>
      <c r="AR74" s="615" t="s">
        <v>9</v>
      </c>
      <c r="AS74" s="601" t="s">
        <v>29</v>
      </c>
      <c r="AT74" s="617" t="s">
        <v>30</v>
      </c>
      <c r="AU74" s="601" t="s">
        <v>29</v>
      </c>
      <c r="AV74" s="603" t="s">
        <v>33</v>
      </c>
      <c r="AW74" s="201"/>
      <c r="AX74" s="229"/>
      <c r="AY74" s="229"/>
      <c r="AZ74" s="229"/>
    </row>
    <row r="75" spans="1:52" s="232" customFormat="1" ht="19.8" hidden="1" customHeight="1" thickBot="1" x14ac:dyDescent="0.4">
      <c r="A75" s="634"/>
      <c r="B75" s="635"/>
      <c r="C75" s="635"/>
      <c r="D75" s="635"/>
      <c r="E75" s="637"/>
      <c r="F75" s="639"/>
      <c r="G75" s="605">
        <v>42459</v>
      </c>
      <c r="H75" s="606"/>
      <c r="I75" s="598">
        <v>42460</v>
      </c>
      <c r="J75" s="599"/>
      <c r="K75" s="598">
        <v>42461</v>
      </c>
      <c r="L75" s="599"/>
      <c r="M75" s="598">
        <f>M15+28</f>
        <v>42464</v>
      </c>
      <c r="N75" s="599"/>
      <c r="O75" s="598">
        <f>O15+28</f>
        <v>42459</v>
      </c>
      <c r="P75" s="599"/>
      <c r="Q75" s="598">
        <f>Q15+28</f>
        <v>42460</v>
      </c>
      <c r="R75" s="607"/>
      <c r="S75" s="608">
        <f>S15</f>
        <v>42440</v>
      </c>
      <c r="T75" s="599"/>
      <c r="U75" s="598">
        <f>U15</f>
        <v>42441</v>
      </c>
      <c r="V75" s="599"/>
      <c r="W75" s="598">
        <f>W15</f>
        <v>42442</v>
      </c>
      <c r="X75" s="599"/>
      <c r="Y75" s="598">
        <f>Y15</f>
        <v>42445</v>
      </c>
      <c r="Z75" s="599"/>
      <c r="AA75" s="598">
        <f>AA15</f>
        <v>42448</v>
      </c>
      <c r="AB75" s="600"/>
      <c r="AC75" s="598">
        <f>AC15</f>
        <v>42452</v>
      </c>
      <c r="AD75" s="599"/>
      <c r="AE75" s="598">
        <f>AE15+28</f>
        <v>42480</v>
      </c>
      <c r="AF75" s="600"/>
      <c r="AG75" s="598">
        <f>AG15+28</f>
        <v>42470</v>
      </c>
      <c r="AH75" s="600"/>
      <c r="AI75" s="598"/>
      <c r="AJ75" s="600"/>
      <c r="AK75" s="750"/>
      <c r="AL75" s="752"/>
      <c r="AM75" s="752"/>
      <c r="AN75" s="752"/>
      <c r="AO75" s="754"/>
      <c r="AP75" s="756"/>
      <c r="AQ75" s="230"/>
      <c r="AR75" s="616"/>
      <c r="AS75" s="602"/>
      <c r="AT75" s="618"/>
      <c r="AU75" s="602"/>
      <c r="AV75" s="604"/>
      <c r="AW75" s="201"/>
      <c r="AX75" s="231"/>
      <c r="AY75" s="231"/>
      <c r="AZ75" s="231"/>
    </row>
    <row r="76" spans="1:52" ht="20.100000000000001" hidden="1" customHeight="1" outlineLevel="1" x14ac:dyDescent="0.25">
      <c r="A76" s="233"/>
      <c r="B76" s="156"/>
      <c r="C76" s="552"/>
      <c r="D76" s="596" t="str">
        <f>$B$6</f>
        <v>Trade</v>
      </c>
      <c r="E76" s="597">
        <v>120</v>
      </c>
      <c r="F76" s="234" t="s">
        <v>36</v>
      </c>
      <c r="G76" s="235"/>
      <c r="H76" s="236"/>
      <c r="I76" s="235"/>
      <c r="J76" s="236"/>
      <c r="K76" s="237"/>
      <c r="L76" s="238"/>
      <c r="M76" s="239"/>
      <c r="N76" s="240"/>
      <c r="O76" s="239"/>
      <c r="P76" s="240"/>
      <c r="Q76" s="239"/>
      <c r="R76" s="241"/>
      <c r="S76" s="242"/>
      <c r="T76" s="95"/>
      <c r="U76" s="235"/>
      <c r="V76" s="236"/>
      <c r="W76" s="237"/>
      <c r="X76" s="238"/>
      <c r="Y76" s="243"/>
      <c r="Z76" s="244"/>
      <c r="AA76" s="237"/>
      <c r="AB76" s="238"/>
      <c r="AC76" s="237"/>
      <c r="AD76" s="238"/>
      <c r="AE76" s="237"/>
      <c r="AF76" s="238"/>
      <c r="AG76" s="235"/>
      <c r="AH76" s="236"/>
      <c r="AI76" s="235"/>
      <c r="AJ76" s="236"/>
      <c r="AK76" s="537">
        <f>G76+I76+K76+M76+O76+Q76+S76+U76+W76+Y76+AA76+AC76+AE76+AG76+AI76</f>
        <v>0</v>
      </c>
      <c r="AL76" s="528">
        <f>IF(E76=0,0,AK76/E76)</f>
        <v>0</v>
      </c>
      <c r="AM76" s="530">
        <f>H76+J76+L76+N76+P76+R76+T76+V76+X76+Z76+AB76+AD76+AF76+AH76+AJ76</f>
        <v>0</v>
      </c>
      <c r="AN76" s="533">
        <f>IF(E76=0,0,AM76/($E76*14))</f>
        <v>0</v>
      </c>
      <c r="AO76" s="535" t="str">
        <f>IF(AM76=0,"",AM76/AK76)</f>
        <v/>
      </c>
      <c r="AP76" s="493">
        <f>G77+I77+K77+M77+O77+Q77+S77+U77+W77+Y77+AA77+AC77+AE77+AG77+AI77</f>
        <v>0</v>
      </c>
      <c r="AQ76" s="109"/>
      <c r="AR76" s="537">
        <f>+AR58+AK76-S16-S23-S30-S37-S44-S51-S58</f>
        <v>0</v>
      </c>
      <c r="AS76" s="528">
        <f>AR76/$E$9</f>
        <v>0</v>
      </c>
      <c r="AT76" s="530">
        <f>+AT58+AM76-T16-T23-T30-T37-T44-T51-T58</f>
        <v>0</v>
      </c>
      <c r="AU76" s="528">
        <f>+AT76/$F$9</f>
        <v>0</v>
      </c>
      <c r="AV76" s="514">
        <f>+AV58+AP76-S17-S24-S31-S38-S45-S52-S59</f>
        <v>0</v>
      </c>
      <c r="AW76" s="48"/>
      <c r="AX76" s="740">
        <f>$E$8-AR82</f>
        <v>1234</v>
      </c>
      <c r="AY76" s="743">
        <f>$F$8-AT82</f>
        <v>17276</v>
      </c>
      <c r="AZ76" s="746">
        <f>$G$8-AV82</f>
        <v>300</v>
      </c>
    </row>
    <row r="77" spans="1:52" ht="15.75" hidden="1" customHeight="1" outlineLevel="1" x14ac:dyDescent="0.25">
      <c r="A77" s="233"/>
      <c r="B77" s="100"/>
      <c r="C77" s="552"/>
      <c r="D77" s="457"/>
      <c r="E77" s="459"/>
      <c r="F77" s="50" t="s">
        <v>37</v>
      </c>
      <c r="G77" s="512"/>
      <c r="H77" s="513"/>
      <c r="I77" s="512"/>
      <c r="J77" s="513"/>
      <c r="K77" s="512"/>
      <c r="L77" s="513"/>
      <c r="M77" s="588"/>
      <c r="N77" s="589"/>
      <c r="O77" s="588"/>
      <c r="P77" s="589"/>
      <c r="Q77" s="588"/>
      <c r="R77" s="590"/>
      <c r="S77" s="591"/>
      <c r="T77" s="463"/>
      <c r="U77" s="512"/>
      <c r="V77" s="513"/>
      <c r="W77" s="564"/>
      <c r="X77" s="565"/>
      <c r="Y77" s="564"/>
      <c r="Z77" s="565"/>
      <c r="AA77" s="570"/>
      <c r="AB77" s="571"/>
      <c r="AC77" s="564"/>
      <c r="AD77" s="565"/>
      <c r="AE77" s="564"/>
      <c r="AF77" s="565"/>
      <c r="AG77" s="512"/>
      <c r="AH77" s="513"/>
      <c r="AI77" s="512"/>
      <c r="AJ77" s="513"/>
      <c r="AK77" s="538"/>
      <c r="AL77" s="529"/>
      <c r="AM77" s="532"/>
      <c r="AN77" s="534"/>
      <c r="AO77" s="536"/>
      <c r="AP77" s="425"/>
      <c r="AQ77" s="109"/>
      <c r="AR77" s="538"/>
      <c r="AS77" s="529"/>
      <c r="AT77" s="531"/>
      <c r="AU77" s="529"/>
      <c r="AV77" s="515"/>
      <c r="AW77" s="48"/>
      <c r="AX77" s="741"/>
      <c r="AY77" s="744"/>
      <c r="AZ77" s="747"/>
    </row>
    <row r="78" spans="1:52" ht="20.100000000000001" hidden="1" customHeight="1" outlineLevel="1" x14ac:dyDescent="0.25">
      <c r="A78" s="233"/>
      <c r="B78" s="112" t="s">
        <v>61</v>
      </c>
      <c r="C78" s="552"/>
      <c r="D78" s="479" t="str">
        <f>$B$7</f>
        <v>Feeder</v>
      </c>
      <c r="E78" s="481"/>
      <c r="F78" s="51" t="s">
        <v>36</v>
      </c>
      <c r="G78" s="52"/>
      <c r="H78" s="53"/>
      <c r="I78" s="52"/>
      <c r="J78" s="53"/>
      <c r="K78" s="52"/>
      <c r="L78" s="53"/>
      <c r="M78" s="245"/>
      <c r="N78" s="246"/>
      <c r="O78" s="245"/>
      <c r="P78" s="246"/>
      <c r="Q78" s="245"/>
      <c r="R78" s="247"/>
      <c r="S78" s="248"/>
      <c r="T78" s="99"/>
      <c r="U78" s="52"/>
      <c r="V78" s="53"/>
      <c r="W78" s="249"/>
      <c r="X78" s="250"/>
      <c r="Y78" s="249"/>
      <c r="Z78" s="250"/>
      <c r="AA78" s="149"/>
      <c r="AB78" s="150"/>
      <c r="AC78" s="249"/>
      <c r="AD78" s="250"/>
      <c r="AE78" s="249"/>
      <c r="AF78" s="250"/>
      <c r="AG78" s="52"/>
      <c r="AH78" s="53"/>
      <c r="AI78" s="52"/>
      <c r="AJ78" s="53"/>
      <c r="AK78" s="521">
        <f>G78+I78+K78+M78+O78+Q78+S78+U78+W78+Y78+AA78+AC78+AE78+AG78+AI78</f>
        <v>0</v>
      </c>
      <c r="AL78" s="519">
        <f>IF(E78=0,0,AK78/E78)</f>
        <v>0</v>
      </c>
      <c r="AM78" s="523">
        <f>H78+J78+L78+N78+P78+R78+T78+V78+X78+Z78+AB78+AD78+AF78+AH78+AJ78</f>
        <v>0</v>
      </c>
      <c r="AN78" s="525">
        <f>IF(E76=0,0,AM78/($E76*14))</f>
        <v>0</v>
      </c>
      <c r="AO78" s="527" t="str">
        <f>IF(AM78=0,"",AM78/AK78)</f>
        <v/>
      </c>
      <c r="AP78" s="468">
        <f>G79+I79+K79+M79+O79+Q79+S79+U79+W79+Y79+AA79+AC79+AE79+AG79+AI79</f>
        <v>0</v>
      </c>
      <c r="AQ78" s="109"/>
      <c r="AR78" s="561">
        <f>+AR60+AK78-S18-S25-S32-S39-S46-S53-S60</f>
        <v>0</v>
      </c>
      <c r="AS78" s="519">
        <f>AR78/$E$10</f>
        <v>0</v>
      </c>
      <c r="AT78" s="520">
        <f>+AT60+AM78-T18-T25-T32-T39-T46-T53-T60</f>
        <v>0</v>
      </c>
      <c r="AU78" s="519">
        <f>+AT78/$F$10</f>
        <v>0</v>
      </c>
      <c r="AV78" s="508">
        <f>+AV60+AP78-S19--S26-S33-S40-S47-S54-S61</f>
        <v>0</v>
      </c>
      <c r="AW78" s="48"/>
      <c r="AX78" s="741"/>
      <c r="AY78" s="744"/>
      <c r="AZ78" s="747"/>
    </row>
    <row r="79" spans="1:52" ht="15.75" hidden="1" customHeight="1" outlineLevel="1" x14ac:dyDescent="0.25">
      <c r="A79" s="233"/>
      <c r="B79" s="100"/>
      <c r="C79" s="552"/>
      <c r="D79" s="480"/>
      <c r="E79" s="482"/>
      <c r="F79" s="54" t="s">
        <v>37</v>
      </c>
      <c r="G79" s="506"/>
      <c r="H79" s="507"/>
      <c r="I79" s="506"/>
      <c r="J79" s="507"/>
      <c r="K79" s="506"/>
      <c r="L79" s="507"/>
      <c r="M79" s="588"/>
      <c r="N79" s="589"/>
      <c r="O79" s="588"/>
      <c r="P79" s="589"/>
      <c r="Q79" s="588"/>
      <c r="R79" s="590"/>
      <c r="S79" s="591"/>
      <c r="T79" s="463"/>
      <c r="U79" s="506"/>
      <c r="V79" s="507"/>
      <c r="W79" s="575"/>
      <c r="X79" s="576"/>
      <c r="Y79" s="575"/>
      <c r="Z79" s="576"/>
      <c r="AA79" s="732"/>
      <c r="AB79" s="733"/>
      <c r="AC79" s="575"/>
      <c r="AD79" s="576"/>
      <c r="AE79" s="575">
        <v>0</v>
      </c>
      <c r="AF79" s="576"/>
      <c r="AG79" s="506">
        <v>0</v>
      </c>
      <c r="AH79" s="507"/>
      <c r="AI79" s="506"/>
      <c r="AJ79" s="507"/>
      <c r="AK79" s="522"/>
      <c r="AL79" s="519"/>
      <c r="AM79" s="524"/>
      <c r="AN79" s="526"/>
      <c r="AO79" s="527"/>
      <c r="AP79" s="468"/>
      <c r="AQ79" s="109"/>
      <c r="AR79" s="518"/>
      <c r="AS79" s="519"/>
      <c r="AT79" s="520"/>
      <c r="AU79" s="519"/>
      <c r="AV79" s="508"/>
      <c r="AW79" s="48"/>
      <c r="AX79" s="741"/>
      <c r="AY79" s="744"/>
      <c r="AZ79" s="747"/>
    </row>
    <row r="80" spans="1:52" ht="24" hidden="1" customHeight="1" x14ac:dyDescent="0.25">
      <c r="A80" s="577" t="s">
        <v>16</v>
      </c>
      <c r="B80" s="100" t="s">
        <v>62</v>
      </c>
      <c r="C80" s="552"/>
      <c r="D80" s="464" t="s">
        <v>38</v>
      </c>
      <c r="E80" s="465"/>
      <c r="F80" s="466"/>
      <c r="G80" s="106"/>
      <c r="H80" s="108"/>
      <c r="I80" s="106"/>
      <c r="J80" s="108"/>
      <c r="K80" s="106"/>
      <c r="L80" s="108"/>
      <c r="M80" s="101"/>
      <c r="N80" s="102"/>
      <c r="O80" s="101"/>
      <c r="P80" s="102"/>
      <c r="Q80" s="101"/>
      <c r="R80" s="251"/>
      <c r="S80" s="252"/>
      <c r="T80" s="102"/>
      <c r="U80" s="106"/>
      <c r="V80" s="108"/>
      <c r="W80" s="106"/>
      <c r="X80" s="108"/>
      <c r="Y80" s="106"/>
      <c r="Z80" s="108"/>
      <c r="AA80" s="106"/>
      <c r="AB80" s="108"/>
      <c r="AC80" s="106"/>
      <c r="AD80" s="108"/>
      <c r="AE80" s="106">
        <f t="shared" ref="I80:AJ80" si="3">+SUM(AE78,AE76)</f>
        <v>0</v>
      </c>
      <c r="AF80" s="108">
        <f t="shared" si="3"/>
        <v>0</v>
      </c>
      <c r="AG80" s="106">
        <f t="shared" si="3"/>
        <v>0</v>
      </c>
      <c r="AH80" s="108">
        <f t="shared" si="3"/>
        <v>0</v>
      </c>
      <c r="AI80" s="106">
        <f t="shared" si="3"/>
        <v>0</v>
      </c>
      <c r="AJ80" s="108">
        <f t="shared" si="3"/>
        <v>0</v>
      </c>
      <c r="AK80" s="253">
        <f>+AK76+AK78</f>
        <v>0</v>
      </c>
      <c r="AL80" s="58">
        <f>IF(E76+E78=0,0,AK80/(E76+E78))</f>
        <v>0</v>
      </c>
      <c r="AM80" s="110">
        <f>+SUM(AM78,AM76)</f>
        <v>0</v>
      </c>
      <c r="AN80" s="58">
        <f>IF((E76+E78)=0,0,AM80/((E76+E78)*14))</f>
        <v>0</v>
      </c>
      <c r="AO80" s="60" t="str">
        <f>IF(AM80=0,"",AM80/AK80)</f>
        <v/>
      </c>
      <c r="AP80" s="61">
        <f>+AP76+AP78</f>
        <v>0</v>
      </c>
      <c r="AQ80" s="109"/>
      <c r="AR80" s="63">
        <f>+AR76+AR78</f>
        <v>0</v>
      </c>
      <c r="AS80" s="64">
        <f>AR80/$E$8</f>
        <v>0</v>
      </c>
      <c r="AT80" s="61">
        <f>+AT76+AT78</f>
        <v>0</v>
      </c>
      <c r="AU80" s="64">
        <f>AT80/$F$8</f>
        <v>0</v>
      </c>
      <c r="AV80" s="111">
        <f>+AV76+AV78</f>
        <v>0</v>
      </c>
      <c r="AW80" s="48"/>
      <c r="AX80" s="741"/>
      <c r="AY80" s="744"/>
      <c r="AZ80" s="747"/>
    </row>
    <row r="81" spans="1:52" ht="15.75" hidden="1" customHeight="1" thickBot="1" x14ac:dyDescent="0.3">
      <c r="A81" s="577"/>
      <c r="B81" s="112" t="s">
        <v>50</v>
      </c>
      <c r="C81" s="552"/>
      <c r="D81" s="445" t="s">
        <v>39</v>
      </c>
      <c r="E81" s="445"/>
      <c r="F81" s="445"/>
      <c r="G81" s="116"/>
      <c r="H81" s="254"/>
      <c r="I81" s="116"/>
      <c r="J81" s="254"/>
      <c r="K81" s="116"/>
      <c r="L81" s="254"/>
      <c r="M81" s="131"/>
      <c r="N81" s="132"/>
      <c r="O81" s="131"/>
      <c r="P81" s="132"/>
      <c r="Q81" s="131"/>
      <c r="R81" s="255"/>
      <c r="S81" s="248"/>
      <c r="T81" s="99"/>
      <c r="U81" s="116"/>
      <c r="V81" s="254"/>
      <c r="W81" s="256"/>
      <c r="X81" s="257"/>
      <c r="Y81" s="258"/>
      <c r="Z81" s="259"/>
      <c r="AA81" s="258"/>
      <c r="AB81" s="259"/>
      <c r="AC81" s="116"/>
      <c r="AD81" s="254"/>
      <c r="AE81" s="116"/>
      <c r="AF81" s="254"/>
      <c r="AG81" s="116"/>
      <c r="AH81" s="254"/>
      <c r="AI81" s="116"/>
      <c r="AJ81" s="254"/>
      <c r="AK81" s="71">
        <f>G81+I81+K81+M81+O81+Q81+S81+U81+W81+Y81+AA81+AC81+AE81+AG81+AI81</f>
        <v>0</v>
      </c>
      <c r="AL81" s="72"/>
      <c r="AM81" s="73">
        <f>H81+J81+L81+N81+P81+R81+T81+V81+X81+Z81+AB81+AD81+AF81+AH81+AJ81</f>
        <v>0</v>
      </c>
      <c r="AN81" s="72"/>
      <c r="AO81" s="74"/>
      <c r="AP81" s="73"/>
      <c r="AQ81" s="75"/>
      <c r="AR81" s="71">
        <f>+AR63+AK81-S21-S28-S35-S42-S49-S56-S63</f>
        <v>0</v>
      </c>
      <c r="AS81" s="77"/>
      <c r="AT81" s="73">
        <f>+AT63+AM81-T21-T28-T35-T42-T49-T56-T63</f>
        <v>0</v>
      </c>
      <c r="AU81" s="77"/>
      <c r="AV81" s="118"/>
      <c r="AW81" s="37"/>
      <c r="AX81" s="741"/>
      <c r="AY81" s="744"/>
      <c r="AZ81" s="747"/>
    </row>
    <row r="82" spans="1:52" ht="31.5" hidden="1" customHeight="1" thickBot="1" x14ac:dyDescent="0.3">
      <c r="A82" s="233"/>
      <c r="B82" s="152">
        <f>SUM(MOD(("1/"&amp;$A$14)-{0;6},{1E+99;7})*{1;-1},$A$89*7,MATCH(MID(B81,1,2),{"Mo";"Tu";"We";"Th";"Fr";"Sa";"Su"},0)-5)</f>
        <v>42440</v>
      </c>
      <c r="C82" s="553"/>
      <c r="D82" s="446" t="s">
        <v>6</v>
      </c>
      <c r="E82" s="446"/>
      <c r="F82" s="446"/>
      <c r="G82" s="120"/>
      <c r="H82" s="121"/>
      <c r="I82" s="120"/>
      <c r="J82" s="121"/>
      <c r="K82" s="120"/>
      <c r="L82" s="121"/>
      <c r="M82" s="120"/>
      <c r="N82" s="121"/>
      <c r="O82" s="120"/>
      <c r="P82" s="121"/>
      <c r="Q82" s="120"/>
      <c r="R82" s="260"/>
      <c r="S82" s="261"/>
      <c r="T82" s="121"/>
      <c r="U82" s="120"/>
      <c r="V82" s="121"/>
      <c r="W82" s="120"/>
      <c r="X82" s="121"/>
      <c r="Y82" s="120"/>
      <c r="Z82" s="121"/>
      <c r="AA82" s="120"/>
      <c r="AB82" s="121"/>
      <c r="AC82" s="120"/>
      <c r="AD82" s="121"/>
      <c r="AE82" s="120">
        <f t="shared" ref="G82:AJ82" si="4">+AE80+AE81</f>
        <v>0</v>
      </c>
      <c r="AF82" s="121">
        <f t="shared" si="4"/>
        <v>0</v>
      </c>
      <c r="AG82" s="120">
        <f t="shared" si="4"/>
        <v>0</v>
      </c>
      <c r="AH82" s="121">
        <f t="shared" si="4"/>
        <v>0</v>
      </c>
      <c r="AI82" s="120">
        <f t="shared" si="4"/>
        <v>0</v>
      </c>
      <c r="AJ82" s="121">
        <f t="shared" si="4"/>
        <v>0</v>
      </c>
      <c r="AK82" s="123">
        <f>AK80+AK81</f>
        <v>0</v>
      </c>
      <c r="AL82" s="85">
        <f>IF(E76+E78=0,0,AK82/(E76+E78))</f>
        <v>0</v>
      </c>
      <c r="AM82" s="90">
        <f>+AM80+AM81</f>
        <v>0</v>
      </c>
      <c r="AN82" s="85">
        <f>IF((E76+E78)=0,0,AM82/((E76+E78)*14))</f>
        <v>0</v>
      </c>
      <c r="AO82" s="87" t="str">
        <f>IF(AM82=0,"",AM82/AK82)</f>
        <v/>
      </c>
      <c r="AP82" s="88">
        <f>+AP80</f>
        <v>0</v>
      </c>
      <c r="AQ82" s="109"/>
      <c r="AR82" s="123">
        <f>+AR80+AR81</f>
        <v>0</v>
      </c>
      <c r="AS82" s="85">
        <f>AR82/$E$8</f>
        <v>0</v>
      </c>
      <c r="AT82" s="86">
        <f>+AT80+AT81</f>
        <v>0</v>
      </c>
      <c r="AU82" s="85">
        <f>+AT82/$F$8</f>
        <v>0</v>
      </c>
      <c r="AV82" s="124">
        <f>+AV80</f>
        <v>0</v>
      </c>
      <c r="AW82" s="92"/>
      <c r="AX82" s="742"/>
      <c r="AY82" s="745"/>
      <c r="AZ82" s="748"/>
    </row>
    <row r="83" spans="1:52" ht="20.100000000000001" hidden="1" customHeight="1" outlineLevel="1" x14ac:dyDescent="0.25">
      <c r="A83" s="233"/>
      <c r="B83" s="93"/>
      <c r="C83" s="551"/>
      <c r="D83" s="500" t="str">
        <f>$B$6</f>
        <v>Trade</v>
      </c>
      <c r="E83" s="501">
        <v>25</v>
      </c>
      <c r="F83" s="44" t="s">
        <v>36</v>
      </c>
      <c r="G83" s="235"/>
      <c r="H83" s="236"/>
      <c r="I83" s="235"/>
      <c r="J83" s="236"/>
      <c r="K83" s="235"/>
      <c r="L83" s="236"/>
      <c r="M83" s="125"/>
      <c r="N83" s="126"/>
      <c r="O83" s="125"/>
      <c r="P83" s="126"/>
      <c r="Q83" s="125"/>
      <c r="R83" s="262"/>
      <c r="S83" s="263"/>
      <c r="T83" s="126"/>
      <c r="U83" s="94"/>
      <c r="V83" s="95"/>
      <c r="W83" s="264"/>
      <c r="X83" s="265"/>
      <c r="Y83" s="45"/>
      <c r="Z83" s="46"/>
      <c r="AA83" s="264"/>
      <c r="AB83" s="265"/>
      <c r="AC83" s="264"/>
      <c r="AD83" s="265"/>
      <c r="AE83" s="45"/>
      <c r="AF83" s="46"/>
      <c r="AG83" s="45">
        <v>0</v>
      </c>
      <c r="AH83" s="46">
        <v>0</v>
      </c>
      <c r="AI83" s="45"/>
      <c r="AJ83" s="46"/>
      <c r="AK83" s="537">
        <f>G83+I83+K83+M83+O83+Q83+S83+U83+W83+Y83+AA83+AC83+AE83+AG83+AI83</f>
        <v>0</v>
      </c>
      <c r="AL83" s="528">
        <f>IF(E83=0,0,AK83/E83)</f>
        <v>0</v>
      </c>
      <c r="AM83" s="530">
        <f>H83+J83+L83+N83+P83+R83+T83+V83+X83+Z83+AB83+AD83+AF83+AH83+AJ83</f>
        <v>0</v>
      </c>
      <c r="AN83" s="533">
        <f>IF(E83=0,0,AM83/($E83*14))</f>
        <v>0</v>
      </c>
      <c r="AO83" s="535" t="str">
        <f>IF(AM83=0,"",AM83/AK83)</f>
        <v/>
      </c>
      <c r="AP83" s="493">
        <f>G84+I84+K84+M84+O84+Q84+S84+U84+W84+Y84+AA84+AC84+AE84+AG84+AI84</f>
        <v>0</v>
      </c>
      <c r="AQ83" s="109"/>
      <c r="AR83" s="537">
        <f>+AR76+AK83-U16-U23-U30-U37-U44-U51-U58-U76</f>
        <v>0</v>
      </c>
      <c r="AS83" s="528">
        <f>AR83/$E$9</f>
        <v>0</v>
      </c>
      <c r="AT83" s="530">
        <f>+AT76+AM83-V16-V23-V30-V37-V44-V51-V58-V76</f>
        <v>0</v>
      </c>
      <c r="AU83" s="528">
        <f>+AT83/$F$9</f>
        <v>0</v>
      </c>
      <c r="AV83" s="514">
        <f>+AV76+AP83-U17-U24-U31-U38-U45-U52-U59-U77</f>
        <v>0</v>
      </c>
      <c r="AW83" s="48"/>
      <c r="AX83" s="740">
        <f>$E$8-AR89</f>
        <v>1234</v>
      </c>
      <c r="AY83" s="743">
        <f>$F$8-AT89</f>
        <v>17276</v>
      </c>
      <c r="AZ83" s="746">
        <f>$G$8-AV89</f>
        <v>300</v>
      </c>
    </row>
    <row r="84" spans="1:52" ht="15.75" hidden="1" customHeight="1" outlineLevel="1" x14ac:dyDescent="0.25">
      <c r="A84" s="233"/>
      <c r="B84" s="100"/>
      <c r="C84" s="552"/>
      <c r="D84" s="457"/>
      <c r="E84" s="459"/>
      <c r="F84" s="50" t="s">
        <v>37</v>
      </c>
      <c r="G84" s="512"/>
      <c r="H84" s="513"/>
      <c r="I84" s="512"/>
      <c r="J84" s="513"/>
      <c r="K84" s="512"/>
      <c r="L84" s="513"/>
      <c r="M84" s="543"/>
      <c r="N84" s="544"/>
      <c r="O84" s="543"/>
      <c r="P84" s="544"/>
      <c r="Q84" s="543"/>
      <c r="R84" s="545"/>
      <c r="S84" s="546"/>
      <c r="T84" s="544"/>
      <c r="U84" s="462"/>
      <c r="V84" s="463"/>
      <c r="W84" s="512"/>
      <c r="X84" s="513"/>
      <c r="Y84" s="512"/>
      <c r="Z84" s="513"/>
      <c r="AA84" s="570"/>
      <c r="AB84" s="571"/>
      <c r="AC84" s="512"/>
      <c r="AD84" s="513"/>
      <c r="AE84" s="512"/>
      <c r="AF84" s="513"/>
      <c r="AG84" s="512">
        <v>0</v>
      </c>
      <c r="AH84" s="513"/>
      <c r="AI84" s="512"/>
      <c r="AJ84" s="513"/>
      <c r="AK84" s="538"/>
      <c r="AL84" s="529"/>
      <c r="AM84" s="532"/>
      <c r="AN84" s="534"/>
      <c r="AO84" s="536"/>
      <c r="AP84" s="425"/>
      <c r="AQ84" s="109"/>
      <c r="AR84" s="538"/>
      <c r="AS84" s="529"/>
      <c r="AT84" s="531"/>
      <c r="AU84" s="529"/>
      <c r="AV84" s="515"/>
      <c r="AW84" s="48"/>
      <c r="AX84" s="741"/>
      <c r="AY84" s="744"/>
      <c r="AZ84" s="747"/>
    </row>
    <row r="85" spans="1:52" ht="20.100000000000001" hidden="1" customHeight="1" outlineLevel="1" x14ac:dyDescent="0.25">
      <c r="A85" s="49"/>
      <c r="B85" s="112" t="s">
        <v>63</v>
      </c>
      <c r="C85" s="552"/>
      <c r="D85" s="479" t="str">
        <f>$B$7</f>
        <v>Feeder</v>
      </c>
      <c r="E85" s="481"/>
      <c r="F85" s="51" t="s">
        <v>36</v>
      </c>
      <c r="G85" s="52"/>
      <c r="H85" s="53"/>
      <c r="I85" s="52"/>
      <c r="J85" s="53"/>
      <c r="K85" s="52"/>
      <c r="L85" s="53"/>
      <c r="M85" s="127"/>
      <c r="N85" s="128"/>
      <c r="O85" s="127"/>
      <c r="P85" s="128"/>
      <c r="Q85" s="127"/>
      <c r="R85" s="266"/>
      <c r="S85" s="267"/>
      <c r="T85" s="128"/>
      <c r="U85" s="98"/>
      <c r="V85" s="99"/>
      <c r="W85" s="52"/>
      <c r="X85" s="53"/>
      <c r="Y85" s="52"/>
      <c r="Z85" s="53"/>
      <c r="AA85" s="149"/>
      <c r="AB85" s="150"/>
      <c r="AC85" s="52"/>
      <c r="AD85" s="53"/>
      <c r="AE85" s="52"/>
      <c r="AF85" s="53"/>
      <c r="AG85" s="52">
        <v>0</v>
      </c>
      <c r="AH85" s="53">
        <v>0</v>
      </c>
      <c r="AI85" s="52"/>
      <c r="AJ85" s="53"/>
      <c r="AK85" s="521">
        <f>G85+I85+K85+M85+O85+Q85+S85+U85+W85+Y85+AA85+AC85+AE85+AG85+AI85</f>
        <v>0</v>
      </c>
      <c r="AL85" s="519">
        <f>IF(E85=0,0,AK85/E85)</f>
        <v>0</v>
      </c>
      <c r="AM85" s="523">
        <f>H85+J85+L85+N85+P85+R85+T85+V85+X85+Z85+AB85+AD85+AF85+AH85+AJ85</f>
        <v>0</v>
      </c>
      <c r="AN85" s="525">
        <f>IF(E83=0,0,AM85/($E83*14))</f>
        <v>0</v>
      </c>
      <c r="AO85" s="527" t="str">
        <f>IF(AM85=0,"",AM85/AK85)</f>
        <v/>
      </c>
      <c r="AP85" s="468">
        <f>G86+I86+K86+M86+O86+Q86+S86+U86+W86+Y86+AA86+AC86+AE86+AG86+AI86</f>
        <v>0</v>
      </c>
      <c r="AQ85" s="109"/>
      <c r="AR85" s="518">
        <f>+AR78+AK85-U18-U25-U32-U39-U46-U53-U60-U78</f>
        <v>0</v>
      </c>
      <c r="AS85" s="519">
        <f>AR85/$E$10</f>
        <v>0</v>
      </c>
      <c r="AT85" s="520">
        <f>+AT78+AM85-V18-V25-V32-V39-V46-V53-V60-V78</f>
        <v>0</v>
      </c>
      <c r="AU85" s="519">
        <f>+AT85/$F$10</f>
        <v>0</v>
      </c>
      <c r="AV85" s="508">
        <f>+AV78+AP85-U19-U26-U33-U40-U47-U54-U61-U79</f>
        <v>0</v>
      </c>
      <c r="AW85" s="48"/>
      <c r="AX85" s="741"/>
      <c r="AY85" s="744"/>
      <c r="AZ85" s="747"/>
    </row>
    <row r="86" spans="1:52" ht="15.75" hidden="1" customHeight="1" outlineLevel="1" x14ac:dyDescent="0.25">
      <c r="A86" s="49"/>
      <c r="B86" s="100"/>
      <c r="C86" s="552"/>
      <c r="D86" s="480"/>
      <c r="E86" s="482"/>
      <c r="F86" s="54" t="s">
        <v>37</v>
      </c>
      <c r="G86" s="506"/>
      <c r="H86" s="507"/>
      <c r="I86" s="506"/>
      <c r="J86" s="507"/>
      <c r="K86" s="506"/>
      <c r="L86" s="507"/>
      <c r="M86" s="543"/>
      <c r="N86" s="544"/>
      <c r="O86" s="543"/>
      <c r="P86" s="544"/>
      <c r="Q86" s="543"/>
      <c r="R86" s="545"/>
      <c r="S86" s="546"/>
      <c r="T86" s="544"/>
      <c r="U86" s="462"/>
      <c r="V86" s="463"/>
      <c r="W86" s="506"/>
      <c r="X86" s="507"/>
      <c r="Y86" s="506"/>
      <c r="Z86" s="507"/>
      <c r="AA86" s="506"/>
      <c r="AB86" s="507"/>
      <c r="AC86" s="506"/>
      <c r="AD86" s="507"/>
      <c r="AE86" s="506"/>
      <c r="AF86" s="507"/>
      <c r="AG86" s="506">
        <v>0</v>
      </c>
      <c r="AH86" s="507"/>
      <c r="AI86" s="506"/>
      <c r="AJ86" s="507"/>
      <c r="AK86" s="522"/>
      <c r="AL86" s="519"/>
      <c r="AM86" s="524"/>
      <c r="AN86" s="526"/>
      <c r="AO86" s="527"/>
      <c r="AP86" s="468"/>
      <c r="AQ86" s="109"/>
      <c r="AR86" s="518"/>
      <c r="AS86" s="519"/>
      <c r="AT86" s="520"/>
      <c r="AU86" s="519"/>
      <c r="AV86" s="508"/>
      <c r="AW86" s="48"/>
      <c r="AX86" s="741"/>
      <c r="AY86" s="744"/>
      <c r="AZ86" s="747"/>
    </row>
    <row r="87" spans="1:52" ht="24" hidden="1" customHeight="1" x14ac:dyDescent="0.25">
      <c r="A87" s="49"/>
      <c r="B87" s="100" t="s">
        <v>64</v>
      </c>
      <c r="C87" s="552"/>
      <c r="D87" s="464" t="s">
        <v>38</v>
      </c>
      <c r="E87" s="465"/>
      <c r="F87" s="466"/>
      <c r="G87" s="106"/>
      <c r="H87" s="108"/>
      <c r="I87" s="106"/>
      <c r="J87" s="108"/>
      <c r="K87" s="106"/>
      <c r="L87" s="108"/>
      <c r="M87" s="101"/>
      <c r="N87" s="102"/>
      <c r="O87" s="101"/>
      <c r="P87" s="102"/>
      <c r="Q87" s="101"/>
      <c r="R87" s="251"/>
      <c r="S87" s="252"/>
      <c r="T87" s="102"/>
      <c r="U87" s="101"/>
      <c r="V87" s="102"/>
      <c r="W87" s="106"/>
      <c r="X87" s="108"/>
      <c r="Y87" s="106"/>
      <c r="Z87" s="108"/>
      <c r="AA87" s="106"/>
      <c r="AB87" s="108"/>
      <c r="AC87" s="106"/>
      <c r="AD87" s="108"/>
      <c r="AE87" s="106">
        <f t="shared" ref="T87:AJ87" si="5">+SUM(AE85,AE83)</f>
        <v>0</v>
      </c>
      <c r="AF87" s="108">
        <f t="shared" si="5"/>
        <v>0</v>
      </c>
      <c r="AG87" s="106">
        <f t="shared" si="5"/>
        <v>0</v>
      </c>
      <c r="AH87" s="108">
        <f t="shared" si="5"/>
        <v>0</v>
      </c>
      <c r="AI87" s="106">
        <f t="shared" si="5"/>
        <v>0</v>
      </c>
      <c r="AJ87" s="108">
        <f t="shared" si="5"/>
        <v>0</v>
      </c>
      <c r="AK87" s="253">
        <f>+AK83+AK85</f>
        <v>0</v>
      </c>
      <c r="AL87" s="58">
        <f>IF(E83+E85=0,0,AK87/(E83+E85))</f>
        <v>0</v>
      </c>
      <c r="AM87" s="110">
        <f>+SUM(AM85,AM83)</f>
        <v>0</v>
      </c>
      <c r="AN87" s="58">
        <f>IF((E83+E85)=0,0,AM87/((E83+E85)*14))</f>
        <v>0</v>
      </c>
      <c r="AO87" s="60" t="str">
        <f>IF(AM87=0,"",AM87/AK87)</f>
        <v/>
      </c>
      <c r="AP87" s="61">
        <f>+AP83+AP85</f>
        <v>0</v>
      </c>
      <c r="AQ87" s="109"/>
      <c r="AR87" s="63">
        <f>+AR83+AR85</f>
        <v>0</v>
      </c>
      <c r="AS87" s="64">
        <f>AR87/$E$8</f>
        <v>0</v>
      </c>
      <c r="AT87" s="61">
        <f>+AT83+AT85</f>
        <v>0</v>
      </c>
      <c r="AU87" s="64">
        <f>AT87/$F$8</f>
        <v>0</v>
      </c>
      <c r="AV87" s="111">
        <f>+AV83+AV85</f>
        <v>0</v>
      </c>
      <c r="AW87" s="48"/>
      <c r="AX87" s="741"/>
      <c r="AY87" s="744"/>
      <c r="AZ87" s="747"/>
    </row>
    <row r="88" spans="1:52" ht="15.75" hidden="1" customHeight="1" thickBot="1" x14ac:dyDescent="0.3">
      <c r="A88" s="49"/>
      <c r="B88" s="112" t="s">
        <v>65</v>
      </c>
      <c r="C88" s="552"/>
      <c r="D88" s="554" t="s">
        <v>39</v>
      </c>
      <c r="E88" s="555"/>
      <c r="F88" s="556"/>
      <c r="G88" s="116"/>
      <c r="H88" s="254"/>
      <c r="I88" s="116"/>
      <c r="J88" s="254"/>
      <c r="K88" s="116"/>
      <c r="L88" s="254"/>
      <c r="M88" s="127"/>
      <c r="N88" s="128"/>
      <c r="O88" s="127"/>
      <c r="P88" s="128"/>
      <c r="Q88" s="127"/>
      <c r="R88" s="266"/>
      <c r="S88" s="267"/>
      <c r="T88" s="128"/>
      <c r="U88" s="98"/>
      <c r="V88" s="99"/>
      <c r="W88" s="116"/>
      <c r="X88" s="254"/>
      <c r="Y88" s="116"/>
      <c r="Z88" s="254"/>
      <c r="AA88" s="256"/>
      <c r="AB88" s="257"/>
      <c r="AC88" s="116"/>
      <c r="AD88" s="254"/>
      <c r="AE88" s="116"/>
      <c r="AF88" s="254"/>
      <c r="AG88" s="116"/>
      <c r="AH88" s="254"/>
      <c r="AI88" s="116"/>
      <c r="AJ88" s="254"/>
      <c r="AK88" s="71">
        <f>G88+I88+K88+M88+O88+Q88+S88+U88+W88+Y88+AA88+AC88+AE88+AG88+AI88</f>
        <v>0</v>
      </c>
      <c r="AL88" s="72"/>
      <c r="AM88" s="73">
        <f>H88+J88+L88+N88+P88+R88+T88+V88+X88+Z88+AB88+AD88+AF88+AH88+AJ88</f>
        <v>0</v>
      </c>
      <c r="AN88" s="72"/>
      <c r="AO88" s="74"/>
      <c r="AP88" s="73"/>
      <c r="AQ88" s="75"/>
      <c r="AR88" s="71">
        <f>+AR81+AK88-U21-U28-U35-U42-U49-U56-U63-U81</f>
        <v>0</v>
      </c>
      <c r="AS88" s="77"/>
      <c r="AT88" s="73">
        <f>+AT81+AM88-V21-V28-V35-V42-V49-V56-V63-V81</f>
        <v>0</v>
      </c>
      <c r="AU88" s="77"/>
      <c r="AV88" s="118"/>
      <c r="AW88" s="37"/>
      <c r="AX88" s="741"/>
      <c r="AY88" s="744"/>
      <c r="AZ88" s="747"/>
    </row>
    <row r="89" spans="1:52" ht="30.75" hidden="1" customHeight="1" thickBot="1" x14ac:dyDescent="0.3">
      <c r="A89" s="577">
        <f>A48+1</f>
        <v>10</v>
      </c>
      <c r="B89" s="152">
        <f>SUM(MOD(("1/"&amp;$A$14)-{0;6},{1E+99;7})*{1;-1},$A$89*7,MATCH(MID(B88,1,2),{"Mo";"Tu";"We";"Th";"Fr";"Sa";"Su"},0)-5)</f>
        <v>42441</v>
      </c>
      <c r="C89" s="553"/>
      <c r="D89" s="557" t="s">
        <v>6</v>
      </c>
      <c r="E89" s="558"/>
      <c r="F89" s="559"/>
      <c r="G89" s="120"/>
      <c r="H89" s="121"/>
      <c r="I89" s="120"/>
      <c r="J89" s="121"/>
      <c r="K89" s="120"/>
      <c r="L89" s="121"/>
      <c r="M89" s="120"/>
      <c r="N89" s="121"/>
      <c r="O89" s="120"/>
      <c r="P89" s="121"/>
      <c r="Q89" s="120"/>
      <c r="R89" s="260"/>
      <c r="S89" s="261"/>
      <c r="T89" s="121"/>
      <c r="U89" s="120"/>
      <c r="V89" s="121"/>
      <c r="W89" s="120"/>
      <c r="X89" s="121"/>
      <c r="Y89" s="120"/>
      <c r="Z89" s="121"/>
      <c r="AA89" s="120"/>
      <c r="AB89" s="121"/>
      <c r="AC89" s="120"/>
      <c r="AD89" s="121"/>
      <c r="AE89" s="120">
        <f t="shared" ref="G89:AJ89" si="6">+AE87+AE88</f>
        <v>0</v>
      </c>
      <c r="AF89" s="121">
        <f t="shared" si="6"/>
        <v>0</v>
      </c>
      <c r="AG89" s="120">
        <f t="shared" si="6"/>
        <v>0</v>
      </c>
      <c r="AH89" s="121">
        <f t="shared" si="6"/>
        <v>0</v>
      </c>
      <c r="AI89" s="120">
        <f t="shared" si="6"/>
        <v>0</v>
      </c>
      <c r="AJ89" s="121">
        <f t="shared" si="6"/>
        <v>0</v>
      </c>
      <c r="AK89" s="123">
        <f>AK87+AK88</f>
        <v>0</v>
      </c>
      <c r="AL89" s="85">
        <f>IF(E83+E85=0,0,AK89/(E83+E85))</f>
        <v>0</v>
      </c>
      <c r="AM89" s="90">
        <f>+AM87+AM88</f>
        <v>0</v>
      </c>
      <c r="AN89" s="85">
        <f>IF((E83+E85)=0,0,AM89/((E83+E85)*14))</f>
        <v>0</v>
      </c>
      <c r="AO89" s="87" t="str">
        <f>IF(AM89=0,"",AM89/AK89)</f>
        <v/>
      </c>
      <c r="AP89" s="88">
        <f>+AP87</f>
        <v>0</v>
      </c>
      <c r="AQ89" s="109"/>
      <c r="AR89" s="84">
        <f>+AR87+AR88</f>
        <v>0</v>
      </c>
      <c r="AS89" s="85">
        <f>AR89/$E$8</f>
        <v>0</v>
      </c>
      <c r="AT89" s="86">
        <f>+AT87+AT88</f>
        <v>0</v>
      </c>
      <c r="AU89" s="85">
        <f>+AT89/$F$8</f>
        <v>0</v>
      </c>
      <c r="AV89" s="124">
        <f>+AV87</f>
        <v>0</v>
      </c>
      <c r="AW89" s="92"/>
      <c r="AX89" s="742"/>
      <c r="AY89" s="745"/>
      <c r="AZ89" s="748"/>
    </row>
    <row r="90" spans="1:52" ht="20.100000000000001" hidden="1" customHeight="1" outlineLevel="1" x14ac:dyDescent="0.25">
      <c r="A90" s="577"/>
      <c r="B90" s="93"/>
      <c r="C90" s="551"/>
      <c r="D90" s="500" t="str">
        <f>$B$6</f>
        <v>Trade</v>
      </c>
      <c r="E90" s="501">
        <v>50</v>
      </c>
      <c r="F90" s="44" t="s">
        <v>36</v>
      </c>
      <c r="G90" s="235"/>
      <c r="H90" s="236"/>
      <c r="I90" s="235"/>
      <c r="J90" s="236"/>
      <c r="K90" s="235"/>
      <c r="L90" s="236"/>
      <c r="M90" s="125"/>
      <c r="N90" s="126"/>
      <c r="O90" s="125"/>
      <c r="P90" s="126"/>
      <c r="Q90" s="125"/>
      <c r="R90" s="262"/>
      <c r="S90" s="263"/>
      <c r="T90" s="126"/>
      <c r="U90" s="125"/>
      <c r="V90" s="126"/>
      <c r="W90" s="94"/>
      <c r="X90" s="95"/>
      <c r="Y90" s="264"/>
      <c r="Z90" s="265"/>
      <c r="AA90" s="264"/>
      <c r="AB90" s="265"/>
      <c r="AC90" s="264"/>
      <c r="AD90" s="265"/>
      <c r="AE90" s="45"/>
      <c r="AF90" s="46"/>
      <c r="AG90" s="45">
        <v>0</v>
      </c>
      <c r="AH90" s="46">
        <v>0</v>
      </c>
      <c r="AI90" s="45"/>
      <c r="AJ90" s="46"/>
      <c r="AK90" s="537">
        <f>G90+I90+K90+M90+O90+Q90+S90+U90+W90+Y90+AA90+AC90+AE90+AG90+AI90</f>
        <v>0</v>
      </c>
      <c r="AL90" s="528">
        <f>IF(E90=0,0,AK90/E90)</f>
        <v>0</v>
      </c>
      <c r="AM90" s="530">
        <f>H90+J90+L90+N90+P90+R90+T90+V90+X90+Z90+AB90+AD90+AF90+AH90+AJ90</f>
        <v>0</v>
      </c>
      <c r="AN90" s="533">
        <f>IF(E90=0,0,AM90/($E90*14))</f>
        <v>0</v>
      </c>
      <c r="AO90" s="535" t="str">
        <f>IF(AM90=0,"",AM90/AK90)</f>
        <v/>
      </c>
      <c r="AP90" s="493">
        <f>G91+I91+K91+M91+O91+Q91+S91+U91+W91+Y91+AA91+AC91+AE91+AG91+AI91</f>
        <v>0</v>
      </c>
      <c r="AQ90" s="268"/>
      <c r="AR90" s="537">
        <f>+AR83+AK90-W16-W23-W30-W37-W44-W51-W58-W76-W83</f>
        <v>0</v>
      </c>
      <c r="AS90" s="528">
        <f>AR90/$E$9</f>
        <v>0</v>
      </c>
      <c r="AT90" s="530">
        <f>+AT83+AM90-X16-X23-X30-X37-X44-X51-X58-X76-X83</f>
        <v>0</v>
      </c>
      <c r="AU90" s="528">
        <f>+AT90/$F$9</f>
        <v>0</v>
      </c>
      <c r="AV90" s="514">
        <f>+AV83+AP90-W17-W24-W31-W38-W45-W52-W59-W77-W84</f>
        <v>0</v>
      </c>
      <c r="AW90" s="48"/>
      <c r="AX90" s="740">
        <f>$E$8-AR96</f>
        <v>1234</v>
      </c>
      <c r="AY90" s="743">
        <f>$F$8-AT96</f>
        <v>17276</v>
      </c>
      <c r="AZ90" s="746">
        <f>$G$8-AV96</f>
        <v>300</v>
      </c>
    </row>
    <row r="91" spans="1:52" ht="15.75" hidden="1" customHeight="1" outlineLevel="1" x14ac:dyDescent="0.25">
      <c r="A91" s="577" t="s">
        <v>66</v>
      </c>
      <c r="B91" s="100"/>
      <c r="C91" s="552"/>
      <c r="D91" s="457"/>
      <c r="E91" s="459"/>
      <c r="F91" s="50" t="s">
        <v>37</v>
      </c>
      <c r="G91" s="512"/>
      <c r="H91" s="513"/>
      <c r="I91" s="512"/>
      <c r="J91" s="513"/>
      <c r="K91" s="512"/>
      <c r="L91" s="513"/>
      <c r="M91" s="543"/>
      <c r="N91" s="544"/>
      <c r="O91" s="543"/>
      <c r="P91" s="544"/>
      <c r="Q91" s="543"/>
      <c r="R91" s="545"/>
      <c r="S91" s="546"/>
      <c r="T91" s="544"/>
      <c r="U91" s="543"/>
      <c r="V91" s="544"/>
      <c r="W91" s="462"/>
      <c r="X91" s="463"/>
      <c r="Y91" s="512"/>
      <c r="Z91" s="513"/>
      <c r="AA91" s="512"/>
      <c r="AB91" s="513"/>
      <c r="AC91" s="512"/>
      <c r="AD91" s="513"/>
      <c r="AE91" s="512"/>
      <c r="AF91" s="513"/>
      <c r="AG91" s="512">
        <v>0</v>
      </c>
      <c r="AH91" s="513"/>
      <c r="AI91" s="512"/>
      <c r="AJ91" s="513"/>
      <c r="AK91" s="538"/>
      <c r="AL91" s="529"/>
      <c r="AM91" s="532"/>
      <c r="AN91" s="534"/>
      <c r="AO91" s="536"/>
      <c r="AP91" s="425"/>
      <c r="AQ91" s="268"/>
      <c r="AR91" s="538"/>
      <c r="AS91" s="529"/>
      <c r="AT91" s="531"/>
      <c r="AU91" s="529"/>
      <c r="AV91" s="515"/>
      <c r="AW91" s="48"/>
      <c r="AX91" s="741"/>
      <c r="AY91" s="744"/>
      <c r="AZ91" s="747"/>
    </row>
    <row r="92" spans="1:52" ht="20.100000000000001" hidden="1" customHeight="1" outlineLevel="1" x14ac:dyDescent="0.25">
      <c r="A92" s="577"/>
      <c r="B92" s="112"/>
      <c r="C92" s="552"/>
      <c r="D92" s="479" t="str">
        <f>$B$7</f>
        <v>Feeder</v>
      </c>
      <c r="E92" s="481"/>
      <c r="F92" s="51" t="s">
        <v>36</v>
      </c>
      <c r="G92" s="52"/>
      <c r="H92" s="53"/>
      <c r="I92" s="52"/>
      <c r="J92" s="53"/>
      <c r="K92" s="52"/>
      <c r="L92" s="53"/>
      <c r="M92" s="127"/>
      <c r="N92" s="128"/>
      <c r="O92" s="127"/>
      <c r="P92" s="128"/>
      <c r="Q92" s="127"/>
      <c r="R92" s="266"/>
      <c r="S92" s="267"/>
      <c r="T92" s="128"/>
      <c r="U92" s="127"/>
      <c r="V92" s="128"/>
      <c r="W92" s="98"/>
      <c r="X92" s="99"/>
      <c r="Y92" s="52"/>
      <c r="Z92" s="53"/>
      <c r="AA92" s="149"/>
      <c r="AB92" s="150"/>
      <c r="AC92" s="52"/>
      <c r="AD92" s="53"/>
      <c r="AE92" s="52"/>
      <c r="AF92" s="53"/>
      <c r="AG92" s="52">
        <v>0</v>
      </c>
      <c r="AH92" s="53">
        <v>0</v>
      </c>
      <c r="AI92" s="52"/>
      <c r="AJ92" s="53"/>
      <c r="AK92" s="521">
        <f>G92+I92+K92+M92+O92+Q92+S92+U92+W92+Y92+AA92+AC92+AE92+AG92+AI92</f>
        <v>0</v>
      </c>
      <c r="AL92" s="519">
        <f>IF(E92=0,0,AK92/E92)</f>
        <v>0</v>
      </c>
      <c r="AM92" s="523">
        <f>H92+J92+L92+N92+P92+R92+T92+V92+X92+Z92+AB92+AD92+AF92+AH92+AJ92</f>
        <v>0</v>
      </c>
      <c r="AN92" s="525">
        <f>IF(E90=0,0,AM92/($E90*14))</f>
        <v>0</v>
      </c>
      <c r="AO92" s="527" t="str">
        <f>IF(AM92=0,"",AM92/AK92)</f>
        <v/>
      </c>
      <c r="AP92" s="468">
        <f>G93+I93+K93+M93+O93+Q93+S93+U93+W93+Y93+AA93+AC93+AE93+AG93+AI93</f>
        <v>0</v>
      </c>
      <c r="AQ92" s="268"/>
      <c r="AR92" s="518">
        <f>+AR85+AK92-W18-W25-W32-W39-W46-W53-W60-W78-W85</f>
        <v>0</v>
      </c>
      <c r="AS92" s="519">
        <f>AR92/$E$10</f>
        <v>0</v>
      </c>
      <c r="AT92" s="520">
        <f>+AT85+AM92-X18-X25-X32-X39-X46-X53-X60-X78-X85</f>
        <v>0</v>
      </c>
      <c r="AU92" s="519">
        <f>+AT92/$F$10</f>
        <v>0</v>
      </c>
      <c r="AV92" s="508">
        <f>+AV85+AP92-W19-W26-W33-W40-W47-W54-W61-W79-W86</f>
        <v>0</v>
      </c>
      <c r="AW92" s="48"/>
      <c r="AX92" s="741"/>
      <c r="AY92" s="744"/>
      <c r="AZ92" s="747"/>
    </row>
    <row r="93" spans="1:52" ht="15.75" hidden="1" customHeight="1" outlineLevel="1" x14ac:dyDescent="0.25">
      <c r="A93" s="577">
        <f>A89+1</f>
        <v>11</v>
      </c>
      <c r="B93" s="100"/>
      <c r="C93" s="552"/>
      <c r="D93" s="480"/>
      <c r="E93" s="482"/>
      <c r="F93" s="54" t="s">
        <v>37</v>
      </c>
      <c r="G93" s="506"/>
      <c r="H93" s="507"/>
      <c r="I93" s="506"/>
      <c r="J93" s="507"/>
      <c r="K93" s="506"/>
      <c r="L93" s="507"/>
      <c r="M93" s="543"/>
      <c r="N93" s="544"/>
      <c r="O93" s="543"/>
      <c r="P93" s="544"/>
      <c r="Q93" s="543"/>
      <c r="R93" s="545"/>
      <c r="S93" s="546"/>
      <c r="T93" s="544"/>
      <c r="U93" s="543"/>
      <c r="V93" s="544"/>
      <c r="W93" s="462"/>
      <c r="X93" s="463"/>
      <c r="Y93" s="506"/>
      <c r="Z93" s="507"/>
      <c r="AA93" s="575"/>
      <c r="AB93" s="576"/>
      <c r="AC93" s="506"/>
      <c r="AD93" s="507"/>
      <c r="AE93" s="506"/>
      <c r="AF93" s="507"/>
      <c r="AG93" s="506">
        <v>0</v>
      </c>
      <c r="AH93" s="507"/>
      <c r="AI93" s="506"/>
      <c r="AJ93" s="507"/>
      <c r="AK93" s="522"/>
      <c r="AL93" s="519"/>
      <c r="AM93" s="524"/>
      <c r="AN93" s="526"/>
      <c r="AO93" s="527"/>
      <c r="AP93" s="468"/>
      <c r="AQ93" s="268"/>
      <c r="AR93" s="518"/>
      <c r="AS93" s="519"/>
      <c r="AT93" s="520"/>
      <c r="AU93" s="519"/>
      <c r="AV93" s="508"/>
      <c r="AW93" s="48"/>
      <c r="AX93" s="741"/>
      <c r="AY93" s="744"/>
      <c r="AZ93" s="747"/>
    </row>
    <row r="94" spans="1:52" ht="24" hidden="1" customHeight="1" x14ac:dyDescent="0.25">
      <c r="A94" s="577"/>
      <c r="B94" s="100" t="s">
        <v>67</v>
      </c>
      <c r="C94" s="552"/>
      <c r="D94" s="464" t="s">
        <v>38</v>
      </c>
      <c r="E94" s="465"/>
      <c r="F94" s="466"/>
      <c r="G94" s="106"/>
      <c r="H94" s="108"/>
      <c r="I94" s="106"/>
      <c r="J94" s="108"/>
      <c r="K94" s="106"/>
      <c r="L94" s="108"/>
      <c r="M94" s="101"/>
      <c r="N94" s="102"/>
      <c r="O94" s="101"/>
      <c r="P94" s="102"/>
      <c r="Q94" s="101"/>
      <c r="R94" s="251"/>
      <c r="S94" s="252"/>
      <c r="T94" s="102"/>
      <c r="U94" s="101"/>
      <c r="V94" s="102"/>
      <c r="W94" s="101"/>
      <c r="X94" s="102"/>
      <c r="Y94" s="106"/>
      <c r="Z94" s="108"/>
      <c r="AA94" s="106"/>
      <c r="AB94" s="108"/>
      <c r="AC94" s="106"/>
      <c r="AD94" s="108"/>
      <c r="AE94" s="106">
        <f t="shared" ref="T94:AJ94" si="7">+SUM(AE92,AE90)</f>
        <v>0</v>
      </c>
      <c r="AF94" s="108">
        <f t="shared" si="7"/>
        <v>0</v>
      </c>
      <c r="AG94" s="106">
        <f t="shared" si="7"/>
        <v>0</v>
      </c>
      <c r="AH94" s="108">
        <f t="shared" si="7"/>
        <v>0</v>
      </c>
      <c r="AI94" s="106">
        <f t="shared" si="7"/>
        <v>0</v>
      </c>
      <c r="AJ94" s="108">
        <f t="shared" si="7"/>
        <v>0</v>
      </c>
      <c r="AK94" s="253">
        <f>+AK90+AK92</f>
        <v>0</v>
      </c>
      <c r="AL94" s="58">
        <f>IF(E90+E92=0,0,AK94/(E90+E92))</f>
        <v>0</v>
      </c>
      <c r="AM94" s="110">
        <f>+SUM(AM92,AM90)</f>
        <v>0</v>
      </c>
      <c r="AN94" s="58">
        <f>IF((E90+E92)=0,0,AM94/((E90+E92)*14))</f>
        <v>0</v>
      </c>
      <c r="AO94" s="60" t="str">
        <f>IF(AM94=0,"",AM94/AK94)</f>
        <v/>
      </c>
      <c r="AP94" s="61">
        <f>+AP90+AP92</f>
        <v>0</v>
      </c>
      <c r="AQ94" s="268"/>
      <c r="AR94" s="63">
        <f>+AR90+AR92</f>
        <v>0</v>
      </c>
      <c r="AS94" s="64">
        <f>AR94/$E$8</f>
        <v>0</v>
      </c>
      <c r="AT94" s="61">
        <f>+AT90+AT92</f>
        <v>0</v>
      </c>
      <c r="AU94" s="64">
        <f>AT94/$F$8</f>
        <v>0</v>
      </c>
      <c r="AV94" s="111">
        <f>+AV90+AV92</f>
        <v>0</v>
      </c>
      <c r="AW94" s="48"/>
      <c r="AX94" s="741"/>
      <c r="AY94" s="744"/>
      <c r="AZ94" s="747"/>
    </row>
    <row r="95" spans="1:52" ht="15.75" hidden="1" customHeight="1" thickBot="1" x14ac:dyDescent="0.3">
      <c r="A95" s="49"/>
      <c r="B95" s="112" t="s">
        <v>68</v>
      </c>
      <c r="C95" s="552"/>
      <c r="D95" s="554" t="s">
        <v>39</v>
      </c>
      <c r="E95" s="555"/>
      <c r="F95" s="556"/>
      <c r="G95" s="116"/>
      <c r="H95" s="254"/>
      <c r="I95" s="116"/>
      <c r="J95" s="254"/>
      <c r="K95" s="116"/>
      <c r="L95" s="254"/>
      <c r="M95" s="127"/>
      <c r="N95" s="128"/>
      <c r="O95" s="127"/>
      <c r="P95" s="128"/>
      <c r="Q95" s="127"/>
      <c r="R95" s="266"/>
      <c r="S95" s="267"/>
      <c r="T95" s="128"/>
      <c r="U95" s="127"/>
      <c r="V95" s="128"/>
      <c r="W95" s="98"/>
      <c r="X95" s="99"/>
      <c r="Y95" s="116"/>
      <c r="Z95" s="254"/>
      <c r="AA95" s="116"/>
      <c r="AB95" s="254"/>
      <c r="AC95" s="116"/>
      <c r="AD95" s="254"/>
      <c r="AE95" s="116"/>
      <c r="AF95" s="254"/>
      <c r="AG95" s="116"/>
      <c r="AH95" s="254"/>
      <c r="AI95" s="116"/>
      <c r="AJ95" s="254"/>
      <c r="AK95" s="71">
        <f>G95+I95+K95+M95+O95+Q95+S95+U95+W95+Y95+AA95+AC95+AE95+AG95+AI95</f>
        <v>0</v>
      </c>
      <c r="AL95" s="72"/>
      <c r="AM95" s="73">
        <f>H95+J95+L95+N95+P95+R95+T95+V95+X95+Z95+AB95+AD95+AF95+AH95+AJ95</f>
        <v>0</v>
      </c>
      <c r="AN95" s="72"/>
      <c r="AO95" s="74"/>
      <c r="AP95" s="73"/>
      <c r="AQ95" s="269"/>
      <c r="AR95" s="71">
        <f>+AR88+AK95-W28-W35-W42-W49-U56-U63-W81</f>
        <v>0</v>
      </c>
      <c r="AS95" s="77"/>
      <c r="AT95" s="73">
        <f>+AT88+AM95-X28-X35-X42-X49-V56-V63-X81-X88</f>
        <v>0</v>
      </c>
      <c r="AU95" s="77"/>
      <c r="AV95" s="118"/>
      <c r="AW95" s="37"/>
      <c r="AX95" s="741"/>
      <c r="AY95" s="744"/>
      <c r="AZ95" s="747"/>
    </row>
    <row r="96" spans="1:52" ht="30.75" hidden="1" customHeight="1" thickBot="1" x14ac:dyDescent="0.3">
      <c r="A96" s="49"/>
      <c r="B96" s="152">
        <f>SUM(MOD(("1/"&amp;$A$14)-{0;6},{1E+99;7})*{1;-1},$A$89*7,MATCH(MID(B95,1,2),{"Mo";"Tu";"We";"Th";"Fr";"Sa";"Su"},0)-5)</f>
        <v>42442</v>
      </c>
      <c r="C96" s="553"/>
      <c r="D96" s="557" t="s">
        <v>6</v>
      </c>
      <c r="E96" s="558"/>
      <c r="F96" s="559"/>
      <c r="G96" s="120"/>
      <c r="H96" s="121"/>
      <c r="I96" s="120"/>
      <c r="J96" s="121"/>
      <c r="K96" s="120"/>
      <c r="L96" s="121"/>
      <c r="M96" s="120"/>
      <c r="N96" s="121"/>
      <c r="O96" s="120"/>
      <c r="P96" s="121"/>
      <c r="Q96" s="120"/>
      <c r="R96" s="260"/>
      <c r="S96" s="261"/>
      <c r="T96" s="121"/>
      <c r="U96" s="120"/>
      <c r="V96" s="121"/>
      <c r="W96" s="120"/>
      <c r="X96" s="121"/>
      <c r="Y96" s="120"/>
      <c r="Z96" s="121"/>
      <c r="AA96" s="120"/>
      <c r="AB96" s="121"/>
      <c r="AC96" s="120"/>
      <c r="AD96" s="121"/>
      <c r="AE96" s="120">
        <f t="shared" ref="G96:AJ96" si="8">+AE94+AE95</f>
        <v>0</v>
      </c>
      <c r="AF96" s="121">
        <f t="shared" si="8"/>
        <v>0</v>
      </c>
      <c r="AG96" s="120">
        <f t="shared" si="8"/>
        <v>0</v>
      </c>
      <c r="AH96" s="121">
        <f t="shared" si="8"/>
        <v>0</v>
      </c>
      <c r="AI96" s="120">
        <f t="shared" si="8"/>
        <v>0</v>
      </c>
      <c r="AJ96" s="121">
        <f t="shared" si="8"/>
        <v>0</v>
      </c>
      <c r="AK96" s="123">
        <f>AK94+AK95</f>
        <v>0</v>
      </c>
      <c r="AL96" s="85">
        <f>IF(E90+E92=0,0,AK96/(E90+E92))</f>
        <v>0</v>
      </c>
      <c r="AM96" s="90">
        <f>+AM94+AM95</f>
        <v>0</v>
      </c>
      <c r="AN96" s="85">
        <f>IF((E90+E92)=0,0,AM96/((E90+E92)*14))</f>
        <v>0</v>
      </c>
      <c r="AO96" s="87" t="str">
        <f>IF(AM96=0,"",AM96/AK96)</f>
        <v/>
      </c>
      <c r="AP96" s="88">
        <f>+AP94</f>
        <v>0</v>
      </c>
      <c r="AQ96" s="268"/>
      <c r="AR96" s="123">
        <f>+AR94+AR95</f>
        <v>0</v>
      </c>
      <c r="AS96" s="85">
        <f>AR96/$E$8</f>
        <v>0</v>
      </c>
      <c r="AT96" s="86">
        <f>+AT94+AT95</f>
        <v>0</v>
      </c>
      <c r="AU96" s="85">
        <f>+AT96/$F$8</f>
        <v>0</v>
      </c>
      <c r="AV96" s="124">
        <f>+AV94</f>
        <v>0</v>
      </c>
      <c r="AW96" s="92"/>
      <c r="AX96" s="742"/>
      <c r="AY96" s="745"/>
      <c r="AZ96" s="748"/>
    </row>
    <row r="97" spans="1:52" ht="20.100000000000001" hidden="1" customHeight="1" outlineLevel="1" x14ac:dyDescent="0.25">
      <c r="A97" s="49"/>
      <c r="B97" s="93"/>
      <c r="C97" s="551"/>
      <c r="D97" s="500" t="str">
        <f>$B$6</f>
        <v>Trade</v>
      </c>
      <c r="E97" s="501">
        <v>110</v>
      </c>
      <c r="F97" s="44" t="s">
        <v>36</v>
      </c>
      <c r="G97" s="235"/>
      <c r="H97" s="236"/>
      <c r="I97" s="237"/>
      <c r="J97" s="238"/>
      <c r="K97" s="235"/>
      <c r="L97" s="236"/>
      <c r="M97" s="125"/>
      <c r="N97" s="126"/>
      <c r="O97" s="125"/>
      <c r="P97" s="126"/>
      <c r="Q97" s="125"/>
      <c r="R97" s="262"/>
      <c r="S97" s="263"/>
      <c r="T97" s="126"/>
      <c r="U97" s="125"/>
      <c r="V97" s="126"/>
      <c r="W97" s="125"/>
      <c r="X97" s="126"/>
      <c r="Y97" s="94"/>
      <c r="Z97" s="95"/>
      <c r="AA97" s="264"/>
      <c r="AB97" s="265"/>
      <c r="AC97" s="264"/>
      <c r="AD97" s="265"/>
      <c r="AE97" s="264"/>
      <c r="AF97" s="265"/>
      <c r="AG97" s="45">
        <v>0</v>
      </c>
      <c r="AH97" s="46">
        <v>0</v>
      </c>
      <c r="AI97" s="45"/>
      <c r="AJ97" s="46"/>
      <c r="AK97" s="537">
        <f>G97+I97+K97+M97+O97+Q97+S97+U97+W97+Y97+AA97+AC97+AE97+AG97+AI97</f>
        <v>0</v>
      </c>
      <c r="AL97" s="528">
        <f>IF(E97=0,0,AK97/E97)</f>
        <v>0</v>
      </c>
      <c r="AM97" s="530">
        <f>H97+J97+L97+N97+P97+R97+T97+V97+X97+Z97+AB97+AD97+AF97+AH97+AJ97</f>
        <v>0</v>
      </c>
      <c r="AN97" s="533">
        <f>IF(E97=0,0,AM97/($E97*14))</f>
        <v>0</v>
      </c>
      <c r="AO97" s="535" t="str">
        <f>IF(AM97=0,"",AM97/AK97)</f>
        <v/>
      </c>
      <c r="AP97" s="493">
        <f>G98+I98+K98+M98+O98+Q98+S98+U98+W98+Y98+AA98+AC98+AE98+AG98+AI98</f>
        <v>0</v>
      </c>
      <c r="AQ97" s="268"/>
      <c r="AR97" s="537">
        <f>AR90+AK97-Y16-Y23-Y30-Y37-Y44-Y51-Y58-Y76-Y83-Y90</f>
        <v>0</v>
      </c>
      <c r="AS97" s="528">
        <f>AR97/$E$9</f>
        <v>0</v>
      </c>
      <c r="AT97" s="530">
        <f>+AT90+AM97-Z16-Z23-Z30-Z37-Z44-Z51-Z58-Z76-Z83-Z90</f>
        <v>0</v>
      </c>
      <c r="AU97" s="528">
        <f>+AT97/$F$9</f>
        <v>0</v>
      </c>
      <c r="AV97" s="514">
        <f>+AV90+AP97-Y17-Y24-Y31-Y38-Y45-Y52-Y59-Y77-Y84-Y91</f>
        <v>0</v>
      </c>
      <c r="AW97" s="48"/>
      <c r="AX97" s="740">
        <f>$E$8-AR103</f>
        <v>1234</v>
      </c>
      <c r="AY97" s="743">
        <f>$F$8-AT103</f>
        <v>17276</v>
      </c>
      <c r="AZ97" s="746">
        <f>$G$8-AV103</f>
        <v>300</v>
      </c>
    </row>
    <row r="98" spans="1:52" ht="15.75" hidden="1" customHeight="1" outlineLevel="1" x14ac:dyDescent="0.25">
      <c r="A98" s="49"/>
      <c r="B98" s="97" t="s">
        <v>69</v>
      </c>
      <c r="C98" s="552"/>
      <c r="D98" s="457"/>
      <c r="E98" s="459"/>
      <c r="F98" s="50" t="s">
        <v>37</v>
      </c>
      <c r="G98" s="512"/>
      <c r="H98" s="513"/>
      <c r="I98" s="512"/>
      <c r="J98" s="513"/>
      <c r="K98" s="512"/>
      <c r="L98" s="513"/>
      <c r="M98" s="543"/>
      <c r="N98" s="544"/>
      <c r="O98" s="543"/>
      <c r="P98" s="544"/>
      <c r="Q98" s="543"/>
      <c r="R98" s="545"/>
      <c r="S98" s="546"/>
      <c r="T98" s="544"/>
      <c r="U98" s="543"/>
      <c r="V98" s="544"/>
      <c r="W98" s="543"/>
      <c r="X98" s="544"/>
      <c r="Y98" s="462"/>
      <c r="Z98" s="463"/>
      <c r="AA98" s="570"/>
      <c r="AB98" s="571"/>
      <c r="AC98" s="570"/>
      <c r="AD98" s="571"/>
      <c r="AE98" s="570"/>
      <c r="AF98" s="571"/>
      <c r="AG98" s="512">
        <v>0</v>
      </c>
      <c r="AH98" s="513"/>
      <c r="AI98" s="512"/>
      <c r="AJ98" s="513"/>
      <c r="AK98" s="538"/>
      <c r="AL98" s="529"/>
      <c r="AM98" s="532"/>
      <c r="AN98" s="534"/>
      <c r="AO98" s="536"/>
      <c r="AP98" s="425"/>
      <c r="AQ98" s="268"/>
      <c r="AR98" s="538"/>
      <c r="AS98" s="529"/>
      <c r="AT98" s="531"/>
      <c r="AU98" s="529"/>
      <c r="AV98" s="515"/>
      <c r="AW98" s="48"/>
      <c r="AX98" s="741"/>
      <c r="AY98" s="744"/>
      <c r="AZ98" s="747"/>
    </row>
    <row r="99" spans="1:52" ht="20.100000000000001" hidden="1" customHeight="1" outlineLevel="1" x14ac:dyDescent="0.25">
      <c r="A99" s="49"/>
      <c r="B99" s="112" t="s">
        <v>70</v>
      </c>
      <c r="C99" s="552"/>
      <c r="D99" s="479" t="str">
        <f>$B$7</f>
        <v>Feeder</v>
      </c>
      <c r="E99" s="481"/>
      <c r="F99" s="51" t="s">
        <v>36</v>
      </c>
      <c r="G99" s="52"/>
      <c r="H99" s="53"/>
      <c r="I99" s="52"/>
      <c r="J99" s="53"/>
      <c r="K99" s="52"/>
      <c r="L99" s="53"/>
      <c r="M99" s="127"/>
      <c r="N99" s="128"/>
      <c r="O99" s="127"/>
      <c r="P99" s="128"/>
      <c r="Q99" s="127"/>
      <c r="R99" s="266"/>
      <c r="S99" s="267"/>
      <c r="T99" s="128"/>
      <c r="U99" s="127"/>
      <c r="V99" s="128"/>
      <c r="W99" s="127"/>
      <c r="X99" s="128"/>
      <c r="Y99" s="98"/>
      <c r="Z99" s="99"/>
      <c r="AA99" s="149"/>
      <c r="AB99" s="150"/>
      <c r="AC99" s="149"/>
      <c r="AD99" s="150"/>
      <c r="AE99" s="149"/>
      <c r="AF99" s="150"/>
      <c r="AG99" s="52">
        <v>0</v>
      </c>
      <c r="AH99" s="53">
        <v>0</v>
      </c>
      <c r="AI99" s="52"/>
      <c r="AJ99" s="53"/>
      <c r="AK99" s="521">
        <f>G99+I99+K99+M99+O99+Q99+S99+U99+W99+Y99+AA99+AC99+AE99+AG99+AI99</f>
        <v>0</v>
      </c>
      <c r="AL99" s="519">
        <f>IF(E99=0,0,AK99/E99)</f>
        <v>0</v>
      </c>
      <c r="AM99" s="523">
        <f>H99+J99+L99+N99+P99+R99+T99+V99+X99+Z99+AB99+AD99+AF99+AH99+AJ99</f>
        <v>0</v>
      </c>
      <c r="AN99" s="525">
        <f>IF(E97=0,0,AM99/($E97*14))</f>
        <v>0</v>
      </c>
      <c r="AO99" s="527" t="str">
        <f>IF(AM99=0,"",AM99/AK99)</f>
        <v/>
      </c>
      <c r="AP99" s="468">
        <f>G100+I100+K100+M100+O100+Q100+S100+U100+W100+Y100+AA100+AC100+AE100+AG100+AI100</f>
        <v>0</v>
      </c>
      <c r="AQ99" s="268"/>
      <c r="AR99" s="561">
        <f>AR92+AK99-Y18-Y25-Y32-Y39-Y46-Y53-Y60-Y78-Y85-Y92</f>
        <v>0</v>
      </c>
      <c r="AS99" s="519">
        <f>AR99/$E$10</f>
        <v>0</v>
      </c>
      <c r="AT99" s="520">
        <f>+AT92+AM99-Z18-Z25-Z32-Z39-Z46-Z53-Z60-Z78-Z85-Z92</f>
        <v>0</v>
      </c>
      <c r="AU99" s="519">
        <f>+AT99/$F$10</f>
        <v>0</v>
      </c>
      <c r="AV99" s="508">
        <f>+AV92+AP99-Y19-Y26-Y33-Y40-Y47-Y54-Y61-Y79-Y86-Y93</f>
        <v>0</v>
      </c>
      <c r="AW99" s="48"/>
      <c r="AX99" s="741"/>
      <c r="AY99" s="744"/>
      <c r="AZ99" s="747"/>
    </row>
    <row r="100" spans="1:52" ht="15.75" hidden="1" customHeight="1" outlineLevel="1" thickBot="1" x14ac:dyDescent="0.3">
      <c r="A100" s="49"/>
      <c r="B100" s="100"/>
      <c r="C100" s="552"/>
      <c r="D100" s="480"/>
      <c r="E100" s="482"/>
      <c r="F100" s="54" t="s">
        <v>37</v>
      </c>
      <c r="G100" s="506"/>
      <c r="H100" s="507"/>
      <c r="I100" s="506"/>
      <c r="J100" s="507"/>
      <c r="K100" s="506"/>
      <c r="L100" s="507"/>
      <c r="M100" s="543"/>
      <c r="N100" s="544"/>
      <c r="O100" s="543"/>
      <c r="P100" s="544"/>
      <c r="Q100" s="543"/>
      <c r="R100" s="545"/>
      <c r="S100" s="546"/>
      <c r="T100" s="544"/>
      <c r="U100" s="543"/>
      <c r="V100" s="544"/>
      <c r="W100" s="127"/>
      <c r="X100" s="128"/>
      <c r="Y100" s="462"/>
      <c r="Z100" s="463"/>
      <c r="AA100" s="506"/>
      <c r="AB100" s="507"/>
      <c r="AC100" s="506"/>
      <c r="AD100" s="507"/>
      <c r="AE100" s="506"/>
      <c r="AF100" s="507"/>
      <c r="AG100" s="506">
        <v>0</v>
      </c>
      <c r="AH100" s="507"/>
      <c r="AI100" s="506"/>
      <c r="AJ100" s="507"/>
      <c r="AK100" s="522"/>
      <c r="AL100" s="519"/>
      <c r="AM100" s="524"/>
      <c r="AN100" s="526"/>
      <c r="AO100" s="527"/>
      <c r="AP100" s="468"/>
      <c r="AQ100" s="268"/>
      <c r="AR100" s="562"/>
      <c r="AS100" s="525"/>
      <c r="AT100" s="523"/>
      <c r="AU100" s="525"/>
      <c r="AV100" s="560"/>
      <c r="AW100" s="48"/>
      <c r="AX100" s="741"/>
      <c r="AY100" s="744"/>
      <c r="AZ100" s="747"/>
    </row>
    <row r="101" spans="1:52" ht="24" hidden="1" customHeight="1" thickTop="1" x14ac:dyDescent="0.25">
      <c r="A101" s="49"/>
      <c r="B101" s="100" t="s">
        <v>71</v>
      </c>
      <c r="C101" s="552"/>
      <c r="D101" s="464" t="s">
        <v>38</v>
      </c>
      <c r="E101" s="465"/>
      <c r="F101" s="466"/>
      <c r="G101" s="106"/>
      <c r="H101" s="108"/>
      <c r="I101" s="106"/>
      <c r="J101" s="108"/>
      <c r="K101" s="106"/>
      <c r="L101" s="108"/>
      <c r="M101" s="101"/>
      <c r="N101" s="102"/>
      <c r="O101" s="101"/>
      <c r="P101" s="102"/>
      <c r="Q101" s="101"/>
      <c r="R101" s="251"/>
      <c r="S101" s="252"/>
      <c r="T101" s="102"/>
      <c r="U101" s="101"/>
      <c r="V101" s="102"/>
      <c r="W101" s="101"/>
      <c r="X101" s="102"/>
      <c r="Y101" s="101"/>
      <c r="Z101" s="102"/>
      <c r="AA101" s="106"/>
      <c r="AB101" s="108"/>
      <c r="AC101" s="106"/>
      <c r="AD101" s="108"/>
      <c r="AE101" s="106">
        <f t="shared" ref="T101:AJ101" si="9">+SUM(AE99,AE97)</f>
        <v>0</v>
      </c>
      <c r="AF101" s="108">
        <f t="shared" si="9"/>
        <v>0</v>
      </c>
      <c r="AG101" s="106">
        <f t="shared" si="9"/>
        <v>0</v>
      </c>
      <c r="AH101" s="108">
        <f t="shared" si="9"/>
        <v>0</v>
      </c>
      <c r="AI101" s="106">
        <f t="shared" si="9"/>
        <v>0</v>
      </c>
      <c r="AJ101" s="108">
        <f t="shared" si="9"/>
        <v>0</v>
      </c>
      <c r="AK101" s="253">
        <f>+AK97+AK99</f>
        <v>0</v>
      </c>
      <c r="AL101" s="58">
        <f>IF(E97+E99=0,0,AK101/(E97+E99))</f>
        <v>0</v>
      </c>
      <c r="AM101" s="110">
        <f>+SUM(AM99,AM97)</f>
        <v>0</v>
      </c>
      <c r="AN101" s="58">
        <f>IF((E97+E99)=0,0,AM101/((E97+E99)*14))</f>
        <v>0</v>
      </c>
      <c r="AO101" s="60" t="str">
        <f>IF(AM101=0,"",AM101/AK101)</f>
        <v/>
      </c>
      <c r="AP101" s="61">
        <f>+AP97+AP99</f>
        <v>0</v>
      </c>
      <c r="AQ101" s="268"/>
      <c r="AR101" s="135">
        <f>+AR97+AR99</f>
        <v>0</v>
      </c>
      <c r="AS101" s="136">
        <f>AR101/$E$8</f>
        <v>0</v>
      </c>
      <c r="AT101" s="270">
        <f>+AT97+AT99</f>
        <v>0</v>
      </c>
      <c r="AU101" s="136">
        <f>AT101/$F$8</f>
        <v>0</v>
      </c>
      <c r="AV101" s="138">
        <f>+AV97+AV99</f>
        <v>0</v>
      </c>
      <c r="AW101" s="48"/>
      <c r="AX101" s="741"/>
      <c r="AY101" s="744"/>
      <c r="AZ101" s="747"/>
    </row>
    <row r="102" spans="1:52" ht="15.75" hidden="1" customHeight="1" thickBot="1" x14ac:dyDescent="0.3">
      <c r="A102" s="49"/>
      <c r="B102" s="112" t="s">
        <v>43</v>
      </c>
      <c r="C102" s="552"/>
      <c r="D102" s="554" t="s">
        <v>39</v>
      </c>
      <c r="E102" s="555"/>
      <c r="F102" s="556"/>
      <c r="G102" s="116"/>
      <c r="H102" s="254"/>
      <c r="I102" s="116"/>
      <c r="J102" s="254"/>
      <c r="K102" s="116"/>
      <c r="L102" s="254"/>
      <c r="M102" s="127"/>
      <c r="N102" s="128"/>
      <c r="O102" s="127"/>
      <c r="P102" s="128"/>
      <c r="Q102" s="127"/>
      <c r="R102" s="266"/>
      <c r="S102" s="267"/>
      <c r="T102" s="128"/>
      <c r="U102" s="127"/>
      <c r="V102" s="128"/>
      <c r="W102" s="127"/>
      <c r="X102" s="128"/>
      <c r="Y102" s="98"/>
      <c r="Z102" s="99"/>
      <c r="AA102" s="256"/>
      <c r="AB102" s="257"/>
      <c r="AC102" s="116"/>
      <c r="AD102" s="254"/>
      <c r="AE102" s="116"/>
      <c r="AF102" s="254"/>
      <c r="AG102" s="116"/>
      <c r="AH102" s="254"/>
      <c r="AI102" s="116"/>
      <c r="AJ102" s="254"/>
      <c r="AK102" s="71">
        <f>G102+I102+K102+M102+O102+Q102+S102+U102+W102+Y102+AA102+AC102+AE102+AG102+AI102</f>
        <v>0</v>
      </c>
      <c r="AL102" s="72"/>
      <c r="AM102" s="73">
        <f>H102+J102+L102+N102+P102+R102+T102+V102+X102+Z102+AB102+AD102+AF102+AH102+AJ102</f>
        <v>0</v>
      </c>
      <c r="AN102" s="72"/>
      <c r="AO102" s="74"/>
      <c r="AP102" s="73"/>
      <c r="AQ102" s="269"/>
      <c r="AR102" s="139">
        <f>+AR95+AK102-Y35-Y42-Y49-U56-U63-Y81-Y88-Y95-Y28</f>
        <v>0</v>
      </c>
      <c r="AS102" s="77"/>
      <c r="AT102" s="73">
        <f>+AT95+AM102-Z35-Z42-Z49-V56-V63-Z81-Z88-Z95-Z28</f>
        <v>0</v>
      </c>
      <c r="AU102" s="77"/>
      <c r="AV102" s="140"/>
      <c r="AW102" s="37"/>
      <c r="AX102" s="741"/>
      <c r="AY102" s="744"/>
      <c r="AZ102" s="747"/>
    </row>
    <row r="103" spans="1:52" ht="30.75" hidden="1" customHeight="1" thickBot="1" x14ac:dyDescent="0.3">
      <c r="A103" s="49"/>
      <c r="B103" s="152">
        <f>SUM(MOD(("1/"&amp;$A$14)-{0;6},{1E+99;7})*{1;-1},$A$89*7,MATCH(MID(B102,1,2),{"Mo";"Tu";"We";"Th";"Fr";"Sa";"Su"},0)-5)+7</f>
        <v>42445</v>
      </c>
      <c r="C103" s="553"/>
      <c r="D103" s="557" t="s">
        <v>6</v>
      </c>
      <c r="E103" s="558"/>
      <c r="F103" s="559"/>
      <c r="G103" s="120"/>
      <c r="H103" s="121"/>
      <c r="I103" s="120"/>
      <c r="J103" s="121"/>
      <c r="K103" s="120"/>
      <c r="L103" s="121"/>
      <c r="M103" s="120"/>
      <c r="N103" s="121"/>
      <c r="O103" s="120"/>
      <c r="P103" s="121"/>
      <c r="Q103" s="120"/>
      <c r="R103" s="260"/>
      <c r="S103" s="261"/>
      <c r="T103" s="121"/>
      <c r="U103" s="120"/>
      <c r="V103" s="121"/>
      <c r="W103" s="120"/>
      <c r="X103" s="121"/>
      <c r="Y103" s="120"/>
      <c r="Z103" s="121"/>
      <c r="AA103" s="120"/>
      <c r="AB103" s="121"/>
      <c r="AC103" s="120"/>
      <c r="AD103" s="121"/>
      <c r="AE103" s="120">
        <f t="shared" ref="G103:AJ103" si="10">+AE101+AE102</f>
        <v>0</v>
      </c>
      <c r="AF103" s="121">
        <f t="shared" si="10"/>
        <v>0</v>
      </c>
      <c r="AG103" s="120">
        <f t="shared" si="10"/>
        <v>0</v>
      </c>
      <c r="AH103" s="121">
        <f t="shared" si="10"/>
        <v>0</v>
      </c>
      <c r="AI103" s="120">
        <f t="shared" si="10"/>
        <v>0</v>
      </c>
      <c r="AJ103" s="121">
        <f t="shared" si="10"/>
        <v>0</v>
      </c>
      <c r="AK103" s="84">
        <f>AK101+AK102</f>
        <v>0</v>
      </c>
      <c r="AL103" s="85">
        <f>IF(E97+E99=0,0,AK103/(E97+E99))</f>
        <v>0</v>
      </c>
      <c r="AM103" s="90">
        <f>+AM101+AM102</f>
        <v>0</v>
      </c>
      <c r="AN103" s="85">
        <f>IF((E97+E99)=0,0,AM103/((E97+E99)*14))</f>
        <v>0</v>
      </c>
      <c r="AO103" s="87" t="str">
        <f>IF(AM103=0,"",AM103/AK103)</f>
        <v/>
      </c>
      <c r="AP103" s="88">
        <f>+AP101</f>
        <v>0</v>
      </c>
      <c r="AQ103" s="268"/>
      <c r="AR103" s="271">
        <f>+AR101+AR102</f>
        <v>0</v>
      </c>
      <c r="AS103" s="142">
        <f>AR103/$E$8</f>
        <v>0</v>
      </c>
      <c r="AT103" s="272">
        <f>+AT101+AT102</f>
        <v>0</v>
      </c>
      <c r="AU103" s="142">
        <f>+AT103/$F$8</f>
        <v>0</v>
      </c>
      <c r="AV103" s="144">
        <f>+AV101</f>
        <v>0</v>
      </c>
      <c r="AW103" s="92"/>
      <c r="AX103" s="742"/>
      <c r="AY103" s="745"/>
      <c r="AZ103" s="748"/>
    </row>
    <row r="104" spans="1:52" ht="20.100000000000001" hidden="1" customHeight="1" outlineLevel="1" x14ac:dyDescent="0.25">
      <c r="A104" s="49"/>
      <c r="B104" s="93"/>
      <c r="C104" s="551"/>
      <c r="D104" s="500" t="str">
        <f>$B$6</f>
        <v>Trade</v>
      </c>
      <c r="E104" s="501"/>
      <c r="F104" s="44" t="s">
        <v>36</v>
      </c>
      <c r="G104" s="235"/>
      <c r="H104" s="236"/>
      <c r="I104" s="235"/>
      <c r="J104" s="236"/>
      <c r="K104" s="235"/>
      <c r="L104" s="236"/>
      <c r="M104" s="125"/>
      <c r="N104" s="126"/>
      <c r="O104" s="125"/>
      <c r="P104" s="126"/>
      <c r="Q104" s="125"/>
      <c r="R104" s="262"/>
      <c r="S104" s="263"/>
      <c r="T104" s="126"/>
      <c r="U104" s="125"/>
      <c r="V104" s="126"/>
      <c r="W104" s="125"/>
      <c r="X104" s="126"/>
      <c r="Y104" s="125"/>
      <c r="Z104" s="126"/>
      <c r="AA104" s="94"/>
      <c r="AB104" s="95"/>
      <c r="AC104" s="264"/>
      <c r="AD104" s="265"/>
      <c r="AE104" s="45"/>
      <c r="AF104" s="46"/>
      <c r="AG104" s="45"/>
      <c r="AH104" s="46"/>
      <c r="AI104" s="45"/>
      <c r="AJ104" s="46"/>
      <c r="AK104" s="537">
        <f>G104+I104+K104+M104+O104+Q104+S104+U104+W104+Y104+AA104+AC104+AE104+AG104+AI104</f>
        <v>0</v>
      </c>
      <c r="AL104" s="528">
        <f>IF(E104=0,0,AK104/E104)</f>
        <v>0</v>
      </c>
      <c r="AM104" s="530">
        <f>H104+J104+L104+N104+P104+R104+T104+V104+X104+Z104+AB104+AD104+AF104+AH104+AJ104</f>
        <v>0</v>
      </c>
      <c r="AN104" s="533">
        <f>IF(E104=0,0,AM104/($E104*14))</f>
        <v>0</v>
      </c>
      <c r="AO104" s="535" t="str">
        <f>IF(AM104=0,"",AM104/AK104)</f>
        <v/>
      </c>
      <c r="AP104" s="493">
        <f>G105+I105+K105+M105+O105+Q105+S105+U105+W105+Y105+AA105+AC105+AE105+AG105+AI105</f>
        <v>0</v>
      </c>
      <c r="AQ104" s="268"/>
      <c r="AR104" s="548">
        <f>+AR97+AK104-AA16-AA23-AA30-AA37-AA44-AA51-AA58-AA76-AA83-AA90-AA97-AE97-AE90-AE83-AE76</f>
        <v>0</v>
      </c>
      <c r="AS104" s="534">
        <f>AR104/$E$9</f>
        <v>0</v>
      </c>
      <c r="AT104" s="550">
        <f>+AT97+AM104-AB16-AB23-AB30-AB37-AB44-AB51-AB58-AB76-AB83-AB90-AB97-AF97-AF76-AF83-AF90</f>
        <v>0</v>
      </c>
      <c r="AU104" s="534">
        <f>+AT104/$F$9</f>
        <v>0</v>
      </c>
      <c r="AV104" s="547">
        <f>+AV97+AP104-AA17-AA24-AA31-AA38-AA45-AA52-AA59-AA77-AA84-AA91-AA98</f>
        <v>0</v>
      </c>
      <c r="AW104" s="48"/>
      <c r="AX104" s="740">
        <f>$E$8-AR110</f>
        <v>1234</v>
      </c>
      <c r="AY104" s="743">
        <f>$F$8-AT110</f>
        <v>17276</v>
      </c>
      <c r="AZ104" s="746">
        <f>$G$8-AV110</f>
        <v>300</v>
      </c>
    </row>
    <row r="105" spans="1:52" ht="15.75" hidden="1" customHeight="1" outlineLevel="1" x14ac:dyDescent="0.25">
      <c r="A105" s="49"/>
      <c r="B105" s="100"/>
      <c r="C105" s="552"/>
      <c r="D105" s="457"/>
      <c r="E105" s="459"/>
      <c r="F105" s="50" t="s">
        <v>37</v>
      </c>
      <c r="G105" s="512"/>
      <c r="H105" s="513"/>
      <c r="I105" s="512"/>
      <c r="J105" s="513"/>
      <c r="K105" s="512"/>
      <c r="L105" s="513"/>
      <c r="M105" s="543"/>
      <c r="N105" s="544"/>
      <c r="O105" s="543"/>
      <c r="P105" s="544"/>
      <c r="Q105" s="543"/>
      <c r="R105" s="545"/>
      <c r="S105" s="546"/>
      <c r="T105" s="544"/>
      <c r="U105" s="543"/>
      <c r="V105" s="544"/>
      <c r="W105" s="543"/>
      <c r="X105" s="544"/>
      <c r="Y105" s="543"/>
      <c r="Z105" s="544"/>
      <c r="AA105" s="462"/>
      <c r="AB105" s="463"/>
      <c r="AC105" s="570"/>
      <c r="AD105" s="571"/>
      <c r="AE105" s="512"/>
      <c r="AF105" s="513"/>
      <c r="AG105" s="512">
        <v>0</v>
      </c>
      <c r="AH105" s="513"/>
      <c r="AI105" s="512"/>
      <c r="AJ105" s="513"/>
      <c r="AK105" s="538"/>
      <c r="AL105" s="529"/>
      <c r="AM105" s="532"/>
      <c r="AN105" s="534"/>
      <c r="AO105" s="536"/>
      <c r="AP105" s="425"/>
      <c r="AQ105" s="268"/>
      <c r="AR105" s="538"/>
      <c r="AS105" s="529"/>
      <c r="AT105" s="531"/>
      <c r="AU105" s="529"/>
      <c r="AV105" s="515"/>
      <c r="AW105" s="48"/>
      <c r="AX105" s="741"/>
      <c r="AY105" s="744"/>
      <c r="AZ105" s="747"/>
    </row>
    <row r="106" spans="1:52" ht="20.100000000000001" hidden="1" customHeight="1" outlineLevel="1" x14ac:dyDescent="0.25">
      <c r="A106" s="49"/>
      <c r="B106" s="112" t="s">
        <v>51</v>
      </c>
      <c r="C106" s="552"/>
      <c r="D106" s="479" t="str">
        <f>$B$7</f>
        <v>Feeder</v>
      </c>
      <c r="E106" s="481"/>
      <c r="F106" s="51" t="s">
        <v>36</v>
      </c>
      <c r="G106" s="52"/>
      <c r="H106" s="53"/>
      <c r="I106" s="52"/>
      <c r="J106" s="53"/>
      <c r="K106" s="52"/>
      <c r="L106" s="53"/>
      <c r="M106" s="127"/>
      <c r="N106" s="128"/>
      <c r="O106" s="127"/>
      <c r="P106" s="128"/>
      <c r="Q106" s="127"/>
      <c r="R106" s="266"/>
      <c r="S106" s="267"/>
      <c r="T106" s="128"/>
      <c r="U106" s="127"/>
      <c r="V106" s="128"/>
      <c r="W106" s="127"/>
      <c r="X106" s="128"/>
      <c r="Y106" s="127"/>
      <c r="Z106" s="128"/>
      <c r="AA106" s="98"/>
      <c r="AB106" s="99"/>
      <c r="AC106" s="52"/>
      <c r="AD106" s="53"/>
      <c r="AE106" s="52"/>
      <c r="AF106" s="53"/>
      <c r="AG106" s="52">
        <v>0</v>
      </c>
      <c r="AH106" s="53">
        <v>0</v>
      </c>
      <c r="AI106" s="52"/>
      <c r="AJ106" s="53"/>
      <c r="AK106" s="521">
        <f>G106+I106+K106+M106+O106+Q106+S106+U106+W106+Y106+AA106+AC106+AE106+AG106+AI106</f>
        <v>0</v>
      </c>
      <c r="AL106" s="519">
        <f>IF(E106=0,0,AK106/E106)</f>
        <v>0</v>
      </c>
      <c r="AM106" s="523">
        <f>H106+J106+L106+N106+P106+R106+T106+V106+X106+Z106+AB106+AD106+AF106+AH106+AJ106</f>
        <v>0</v>
      </c>
      <c r="AN106" s="525">
        <f>IF(E104=0,0,AM106/($E104*14))</f>
        <v>0</v>
      </c>
      <c r="AO106" s="527" t="str">
        <f>IF(AM106=0,"",AM106/AK106)</f>
        <v/>
      </c>
      <c r="AP106" s="468">
        <f>G107+I107+K107+M107+O107+Q107+S107+U107+W107+Y107+AA107+AC107+AE107+AG107+AI107</f>
        <v>0</v>
      </c>
      <c r="AQ106" s="268"/>
      <c r="AR106" s="518">
        <f>+AR99+AK106-AA18-AA25-AA32-AA39-AA46-AA53-AA60-AA78-AA85-AA92-AA99</f>
        <v>0</v>
      </c>
      <c r="AS106" s="519">
        <f>AR106/$E$10</f>
        <v>0</v>
      </c>
      <c r="AT106" s="520">
        <f>+AT99+AM106-AB18-AB25-AB32-AB39-AB46-AB53-AB60-AB78-AB85-AB92-AB99</f>
        <v>0</v>
      </c>
      <c r="AU106" s="519">
        <f>+AT106/$F$10</f>
        <v>0</v>
      </c>
      <c r="AV106" s="508">
        <f>+AV99+AP106-AA19-AA26-AA33-AA40-AA47-AA54-AA61-AA79-AA86-AA93-AA100</f>
        <v>0</v>
      </c>
      <c r="AW106" s="48"/>
      <c r="AX106" s="741"/>
      <c r="AY106" s="744"/>
      <c r="AZ106" s="747"/>
    </row>
    <row r="107" spans="1:52" ht="15.75" hidden="1" customHeight="1" outlineLevel="1" x14ac:dyDescent="0.25">
      <c r="A107" s="49"/>
      <c r="B107" s="100"/>
      <c r="C107" s="552"/>
      <c r="D107" s="480"/>
      <c r="E107" s="482"/>
      <c r="F107" s="54" t="s">
        <v>37</v>
      </c>
      <c r="G107" s="506"/>
      <c r="H107" s="507"/>
      <c r="I107" s="506"/>
      <c r="J107" s="507"/>
      <c r="K107" s="506"/>
      <c r="L107" s="507"/>
      <c r="M107" s="543"/>
      <c r="N107" s="544"/>
      <c r="O107" s="543"/>
      <c r="P107" s="544"/>
      <c r="Q107" s="543"/>
      <c r="R107" s="545"/>
      <c r="S107" s="546"/>
      <c r="T107" s="544"/>
      <c r="U107" s="543"/>
      <c r="V107" s="544"/>
      <c r="W107" s="543"/>
      <c r="X107" s="544"/>
      <c r="Y107" s="543"/>
      <c r="Z107" s="544"/>
      <c r="AA107" s="462"/>
      <c r="AB107" s="463"/>
      <c r="AC107" s="506"/>
      <c r="AD107" s="507"/>
      <c r="AE107" s="506"/>
      <c r="AF107" s="507"/>
      <c r="AG107" s="506">
        <v>0</v>
      </c>
      <c r="AH107" s="507"/>
      <c r="AI107" s="506"/>
      <c r="AJ107" s="507"/>
      <c r="AK107" s="522"/>
      <c r="AL107" s="519"/>
      <c r="AM107" s="524"/>
      <c r="AN107" s="526"/>
      <c r="AO107" s="527"/>
      <c r="AP107" s="468"/>
      <c r="AQ107" s="268"/>
      <c r="AR107" s="518"/>
      <c r="AS107" s="519"/>
      <c r="AT107" s="520"/>
      <c r="AU107" s="519"/>
      <c r="AV107" s="508"/>
      <c r="AW107" s="48"/>
      <c r="AX107" s="741"/>
      <c r="AY107" s="744"/>
      <c r="AZ107" s="747"/>
    </row>
    <row r="108" spans="1:52" ht="24" hidden="1" customHeight="1" x14ac:dyDescent="0.25">
      <c r="A108" s="49"/>
      <c r="B108" s="100" t="s">
        <v>52</v>
      </c>
      <c r="C108" s="552"/>
      <c r="D108" s="464" t="s">
        <v>38</v>
      </c>
      <c r="E108" s="465"/>
      <c r="F108" s="466"/>
      <c r="G108" s="106"/>
      <c r="H108" s="108"/>
      <c r="I108" s="106"/>
      <c r="J108" s="108"/>
      <c r="K108" s="106"/>
      <c r="L108" s="108"/>
      <c r="M108" s="101"/>
      <c r="N108" s="102"/>
      <c r="O108" s="101"/>
      <c r="P108" s="102"/>
      <c r="Q108" s="101"/>
      <c r="R108" s="251"/>
      <c r="S108" s="252"/>
      <c r="T108" s="102"/>
      <c r="U108" s="101"/>
      <c r="V108" s="102"/>
      <c r="W108" s="101"/>
      <c r="X108" s="102"/>
      <c r="Y108" s="101"/>
      <c r="Z108" s="102"/>
      <c r="AA108" s="101"/>
      <c r="AB108" s="102"/>
      <c r="AC108" s="106"/>
      <c r="AD108" s="108"/>
      <c r="AE108" s="106">
        <f t="shared" ref="T108:AJ108" si="11">+SUM(AE106,AE104)</f>
        <v>0</v>
      </c>
      <c r="AF108" s="108">
        <f t="shared" si="11"/>
        <v>0</v>
      </c>
      <c r="AG108" s="106">
        <f t="shared" si="11"/>
        <v>0</v>
      </c>
      <c r="AH108" s="108">
        <f t="shared" si="11"/>
        <v>0</v>
      </c>
      <c r="AI108" s="106">
        <f t="shared" si="11"/>
        <v>0</v>
      </c>
      <c r="AJ108" s="108">
        <f t="shared" si="11"/>
        <v>0</v>
      </c>
      <c r="AK108" s="253">
        <f>+AK104+AK106</f>
        <v>0</v>
      </c>
      <c r="AL108" s="58">
        <f>IF(E104+E106=0,0,AK108/(E104+E106))</f>
        <v>0</v>
      </c>
      <c r="AM108" s="110">
        <f>+SUM(AM106,AM104)</f>
        <v>0</v>
      </c>
      <c r="AN108" s="58">
        <f>IF((E104+E106)=0,0,AM108/((E104+E106)*14))</f>
        <v>0</v>
      </c>
      <c r="AO108" s="60" t="str">
        <f>IF(AM108=0,"",AM108/AK108)</f>
        <v/>
      </c>
      <c r="AP108" s="61">
        <f>+AP104+AP106</f>
        <v>0</v>
      </c>
      <c r="AQ108" s="268"/>
      <c r="AR108" s="57">
        <f>+AR104+AR106</f>
        <v>0</v>
      </c>
      <c r="AS108" s="58">
        <f>AR108/$E$8</f>
        <v>0</v>
      </c>
      <c r="AT108" s="59">
        <f>+AT104+AT106</f>
        <v>0</v>
      </c>
      <c r="AU108" s="58">
        <f>AT108/$F$8</f>
        <v>0</v>
      </c>
      <c r="AV108" s="111">
        <f>+AV104+AV106</f>
        <v>0</v>
      </c>
      <c r="AW108" s="48"/>
      <c r="AX108" s="741"/>
      <c r="AY108" s="744"/>
      <c r="AZ108" s="747"/>
    </row>
    <row r="109" spans="1:52" ht="15.75" hidden="1" customHeight="1" thickBot="1" x14ac:dyDescent="0.3">
      <c r="A109" s="49"/>
      <c r="B109" s="112" t="s">
        <v>65</v>
      </c>
      <c r="C109" s="552"/>
      <c r="D109" s="445" t="s">
        <v>39</v>
      </c>
      <c r="E109" s="445"/>
      <c r="F109" s="445"/>
      <c r="G109" s="116"/>
      <c r="H109" s="254"/>
      <c r="I109" s="116"/>
      <c r="J109" s="254"/>
      <c r="K109" s="116"/>
      <c r="L109" s="254"/>
      <c r="M109" s="127"/>
      <c r="N109" s="128"/>
      <c r="O109" s="127"/>
      <c r="P109" s="128"/>
      <c r="Q109" s="127"/>
      <c r="R109" s="266"/>
      <c r="S109" s="267"/>
      <c r="T109" s="128"/>
      <c r="U109" s="127"/>
      <c r="V109" s="128"/>
      <c r="W109" s="127"/>
      <c r="X109" s="128"/>
      <c r="Y109" s="127"/>
      <c r="Z109" s="128"/>
      <c r="AA109" s="98"/>
      <c r="AB109" s="99"/>
      <c r="AC109" s="113"/>
      <c r="AD109" s="114"/>
      <c r="AE109" s="113"/>
      <c r="AF109" s="114"/>
      <c r="AG109" s="113"/>
      <c r="AH109" s="114"/>
      <c r="AI109" s="113"/>
      <c r="AJ109" s="114"/>
      <c r="AK109" s="71">
        <f>G109+I109+K109+M109+O109+Q109+S109+U109+W109+Y109+AA109+AC109+AE109+AG109+AI109</f>
        <v>0</v>
      </c>
      <c r="AL109" s="72"/>
      <c r="AM109" s="73">
        <f>H109+J109+L109+N109+P109+R109+T109+V109+X109+Z109+AB109+AD109+AF109+AH109+AJ109</f>
        <v>0</v>
      </c>
      <c r="AN109" s="72"/>
      <c r="AO109" s="74"/>
      <c r="AP109" s="73"/>
      <c r="AQ109" s="269"/>
      <c r="AR109" s="71">
        <f>+AR102+AK109-AA21-AA28-AA35-AA42-AA49-AA56-AA63-AA81-AA88-AA95-AA102</f>
        <v>0</v>
      </c>
      <c r="AS109" s="77"/>
      <c r="AT109" s="73">
        <f>+AT102+AM109-AB21-AB28-AB35-AB42-AB49-AB56-AB63-AB81-AB88-AB95-AB102</f>
        <v>0</v>
      </c>
      <c r="AU109" s="77"/>
      <c r="AV109" s="118"/>
      <c r="AW109" s="37"/>
      <c r="AX109" s="741"/>
      <c r="AY109" s="744"/>
      <c r="AZ109" s="747"/>
    </row>
    <row r="110" spans="1:52" ht="24" hidden="1" customHeight="1" thickBot="1" x14ac:dyDescent="0.3">
      <c r="A110" s="49"/>
      <c r="B110" s="152">
        <f>SUM(MOD(("1/"&amp;$A$14)-{0;6},{1E+99;7})*{1;-1},$A$89*7,MATCH(MID(B109,1,2),{"Mo";"Tu";"We";"Th";"Fr";"Sa";"Su"},0)-5)+7</f>
        <v>42448</v>
      </c>
      <c r="C110" s="553"/>
      <c r="D110" s="446" t="s">
        <v>6</v>
      </c>
      <c r="E110" s="446"/>
      <c r="F110" s="446"/>
      <c r="G110" s="120"/>
      <c r="H110" s="121"/>
      <c r="I110" s="120"/>
      <c r="J110" s="121"/>
      <c r="K110" s="120"/>
      <c r="L110" s="121"/>
      <c r="M110" s="120"/>
      <c r="N110" s="121"/>
      <c r="O110" s="120"/>
      <c r="P110" s="121"/>
      <c r="Q110" s="120"/>
      <c r="R110" s="260"/>
      <c r="S110" s="261"/>
      <c r="T110" s="121"/>
      <c r="U110" s="120"/>
      <c r="V110" s="121"/>
      <c r="W110" s="120"/>
      <c r="X110" s="121"/>
      <c r="Y110" s="120"/>
      <c r="Z110" s="121"/>
      <c r="AA110" s="120"/>
      <c r="AB110" s="121"/>
      <c r="AC110" s="120"/>
      <c r="AD110" s="121"/>
      <c r="AE110" s="120">
        <f t="shared" ref="G110:AJ110" si="12">+AE108+AE109</f>
        <v>0</v>
      </c>
      <c r="AF110" s="121">
        <f t="shared" si="12"/>
        <v>0</v>
      </c>
      <c r="AG110" s="120">
        <f t="shared" si="12"/>
        <v>0</v>
      </c>
      <c r="AH110" s="121">
        <f t="shared" si="12"/>
        <v>0</v>
      </c>
      <c r="AI110" s="120">
        <f t="shared" si="12"/>
        <v>0</v>
      </c>
      <c r="AJ110" s="121">
        <f t="shared" si="12"/>
        <v>0</v>
      </c>
      <c r="AK110" s="123">
        <f>AK108+AK109</f>
        <v>0</v>
      </c>
      <c r="AL110" s="85">
        <f>IF(E104+E106=0,0,AK110/(E104+E106))</f>
        <v>0</v>
      </c>
      <c r="AM110" s="90">
        <f>+AM108+AM109</f>
        <v>0</v>
      </c>
      <c r="AN110" s="85">
        <f>IF((E104+E106)=0,0,AM110/((E104+E106)*14))</f>
        <v>0</v>
      </c>
      <c r="AO110" s="87" t="str">
        <f>IF(AM110=0,"",AM110/AK110)</f>
        <v/>
      </c>
      <c r="AP110" s="88">
        <f>+AP108</f>
        <v>0</v>
      </c>
      <c r="AQ110" s="268"/>
      <c r="AR110" s="84">
        <f>+AR108+AR109</f>
        <v>0</v>
      </c>
      <c r="AS110" s="85">
        <f>AR110/$E$8</f>
        <v>0</v>
      </c>
      <c r="AT110" s="86">
        <f>+AT108+AT109</f>
        <v>0</v>
      </c>
      <c r="AU110" s="85">
        <f>+AT110/$F$8</f>
        <v>0</v>
      </c>
      <c r="AV110" s="124">
        <f>+AV108</f>
        <v>0</v>
      </c>
      <c r="AW110" s="92"/>
      <c r="AX110" s="742"/>
      <c r="AY110" s="745"/>
      <c r="AZ110" s="748"/>
    </row>
    <row r="111" spans="1:52" ht="20.100000000000001" hidden="1" customHeight="1" outlineLevel="1" x14ac:dyDescent="0.25">
      <c r="A111" s="273"/>
      <c r="B111" s="156"/>
      <c r="C111" s="451"/>
      <c r="D111" s="500" t="str">
        <f>$B$6</f>
        <v>Trade</v>
      </c>
      <c r="E111" s="501">
        <v>10</v>
      </c>
      <c r="F111" s="44" t="s">
        <v>36</v>
      </c>
      <c r="G111" s="264"/>
      <c r="H111" s="265"/>
      <c r="I111" s="264"/>
      <c r="J111" s="265"/>
      <c r="K111" s="264"/>
      <c r="L111" s="265"/>
      <c r="M111" s="45"/>
      <c r="N111" s="46"/>
      <c r="O111" s="45"/>
      <c r="P111" s="46"/>
      <c r="Q111" s="45"/>
      <c r="R111" s="274"/>
      <c r="S111" s="275"/>
      <c r="T111" s="46"/>
      <c r="U111" s="45"/>
      <c r="V111" s="46"/>
      <c r="W111" s="45"/>
      <c r="X111" s="46"/>
      <c r="Y111" s="45"/>
      <c r="Z111" s="46"/>
      <c r="AA111" s="94"/>
      <c r="AB111" s="95"/>
      <c r="AC111" s="94"/>
      <c r="AD111" s="95"/>
      <c r="AE111" s="45"/>
      <c r="AF111" s="46"/>
      <c r="AG111" s="45"/>
      <c r="AH111" s="46"/>
      <c r="AI111" s="45"/>
      <c r="AJ111" s="46"/>
      <c r="AK111" s="537">
        <f>G111+I111+K111+M111+O111+Q111+S111+U111+W111+Y111+AA111+AC111+AE111+AG111+AI111</f>
        <v>0</v>
      </c>
      <c r="AL111" s="528">
        <f>IF(E111=0,0,AK111/E111)</f>
        <v>0</v>
      </c>
      <c r="AM111" s="530">
        <f>H111+J111+L111+N111+P111+R111+T111+V111+X111+Z111+AB111+AD111+AF111+AH111+AJ111</f>
        <v>0</v>
      </c>
      <c r="AN111" s="533">
        <f>IF(E111=0,0,AM111/($E111*14))</f>
        <v>0</v>
      </c>
      <c r="AO111" s="535" t="str">
        <f>IF(AM111=0,"",AM111/AK111)</f>
        <v/>
      </c>
      <c r="AP111" s="493">
        <f>G112+I112+K112+M112+O112+Q112+S112+U112+W112+Y112+AA112+AC112+AE112+AG112+AI112</f>
        <v>0</v>
      </c>
      <c r="AQ111" s="109"/>
      <c r="AR111" s="537">
        <f>AR104+AK111-AC65-AC97-AC90-AC83-AC76-AC104</f>
        <v>0</v>
      </c>
      <c r="AS111" s="528">
        <f>AR111/$E$9</f>
        <v>0</v>
      </c>
      <c r="AT111" s="530">
        <f>AT104+AM111-AD76-AD83-AD90-AD97-AD104</f>
        <v>0</v>
      </c>
      <c r="AU111" s="528">
        <f>+AT111/$F$9</f>
        <v>0</v>
      </c>
      <c r="AV111" s="514">
        <f>AV104+AP111-AC66-AC77-AC84-AC91-AC98-AC105</f>
        <v>0</v>
      </c>
      <c r="AW111" s="276"/>
      <c r="AX111" s="740">
        <f>$E$8-AR117</f>
        <v>1234</v>
      </c>
      <c r="AY111" s="743">
        <f>$F$8-AT117</f>
        <v>17276</v>
      </c>
      <c r="AZ111" s="746">
        <f>$G$8-AV117</f>
        <v>300</v>
      </c>
    </row>
    <row r="112" spans="1:52" ht="15.75" hidden="1" customHeight="1" outlineLevel="1" x14ac:dyDescent="0.25">
      <c r="A112" s="273"/>
      <c r="B112" s="156"/>
      <c r="C112" s="451"/>
      <c r="D112" s="457"/>
      <c r="E112" s="459"/>
      <c r="F112" s="50" t="s">
        <v>37</v>
      </c>
      <c r="G112" s="512"/>
      <c r="H112" s="513"/>
      <c r="I112" s="512"/>
      <c r="J112" s="513"/>
      <c r="K112" s="512"/>
      <c r="L112" s="513"/>
      <c r="M112" s="512"/>
      <c r="N112" s="513"/>
      <c r="O112" s="512"/>
      <c r="P112" s="513"/>
      <c r="Q112" s="512"/>
      <c r="R112" s="516"/>
      <c r="S112" s="517"/>
      <c r="T112" s="513"/>
      <c r="U112" s="512"/>
      <c r="V112" s="513"/>
      <c r="W112" s="512"/>
      <c r="X112" s="513"/>
      <c r="Y112" s="512"/>
      <c r="Z112" s="513"/>
      <c r="AA112" s="462"/>
      <c r="AB112" s="463"/>
      <c r="AC112" s="462"/>
      <c r="AD112" s="463"/>
      <c r="AE112" s="512"/>
      <c r="AF112" s="513"/>
      <c r="AG112" s="512"/>
      <c r="AH112" s="513"/>
      <c r="AI112" s="512"/>
      <c r="AJ112" s="513"/>
      <c r="AK112" s="538"/>
      <c r="AL112" s="529"/>
      <c r="AM112" s="532"/>
      <c r="AN112" s="534"/>
      <c r="AO112" s="536"/>
      <c r="AP112" s="425"/>
      <c r="AQ112" s="109"/>
      <c r="AR112" s="538"/>
      <c r="AS112" s="529"/>
      <c r="AT112" s="531"/>
      <c r="AU112" s="529"/>
      <c r="AV112" s="515"/>
      <c r="AW112" s="276"/>
      <c r="AX112" s="741"/>
      <c r="AY112" s="744"/>
      <c r="AZ112" s="747"/>
    </row>
    <row r="113" spans="1:52" ht="20.100000000000001" hidden="1" customHeight="1" outlineLevel="1" x14ac:dyDescent="0.25">
      <c r="A113" s="277"/>
      <c r="B113" s="96"/>
      <c r="C113" s="451"/>
      <c r="D113" s="479" t="str">
        <f>$B$7</f>
        <v>Feeder</v>
      </c>
      <c r="E113" s="481"/>
      <c r="F113" s="51" t="s">
        <v>36</v>
      </c>
      <c r="G113" s="52"/>
      <c r="H113" s="53"/>
      <c r="I113" s="52"/>
      <c r="J113" s="53"/>
      <c r="K113" s="52"/>
      <c r="L113" s="53"/>
      <c r="M113" s="52"/>
      <c r="N113" s="53"/>
      <c r="O113" s="52"/>
      <c r="P113" s="53"/>
      <c r="Q113" s="52"/>
      <c r="R113" s="278"/>
      <c r="S113" s="279"/>
      <c r="T113" s="53"/>
      <c r="U113" s="52"/>
      <c r="V113" s="53"/>
      <c r="W113" s="52"/>
      <c r="X113" s="53"/>
      <c r="Y113" s="52"/>
      <c r="Z113" s="53"/>
      <c r="AA113" s="98"/>
      <c r="AB113" s="99"/>
      <c r="AC113" s="98"/>
      <c r="AD113" s="99"/>
      <c r="AE113" s="52"/>
      <c r="AF113" s="53"/>
      <c r="AG113" s="52"/>
      <c r="AH113" s="53"/>
      <c r="AI113" s="52"/>
      <c r="AJ113" s="53"/>
      <c r="AK113" s="521">
        <f>G113+I113+K113+M113+O113+Q113+S113+U113+W113+Y113+AA113+AC113+AE113+AG113+AI113</f>
        <v>0</v>
      </c>
      <c r="AL113" s="519">
        <f>IF(E111=0,0,AK113/E111)</f>
        <v>0</v>
      </c>
      <c r="AM113" s="523">
        <f>H113+J113+L113+N113+P113+R113+T113+V113+X113+Z113+AB113+AD113+AF113+AH113+AJ113</f>
        <v>0</v>
      </c>
      <c r="AN113" s="525">
        <f>IF(E111=0,0,AM113/($E111*14))</f>
        <v>0</v>
      </c>
      <c r="AO113" s="527" t="str">
        <f>IF(AM113=0,"",AM113/AK113)</f>
        <v/>
      </c>
      <c r="AP113" s="468">
        <f>G114+I114+K114+M114+O114+Q114+S114+U114+W114+Y114+AA114+AC114+AE114+AG114+AI114</f>
        <v>0</v>
      </c>
      <c r="AQ113" s="109"/>
      <c r="AR113" s="518">
        <f>+AR106+AK113-AC67</f>
        <v>0</v>
      </c>
      <c r="AS113" s="519">
        <f>AR113/$E$10</f>
        <v>0</v>
      </c>
      <c r="AT113" s="520">
        <f>+AT106+AM113-AD67</f>
        <v>0</v>
      </c>
      <c r="AU113" s="519">
        <f>+AT113/$F$10</f>
        <v>0</v>
      </c>
      <c r="AV113" s="508">
        <f>AV106+AP113-AC68</f>
        <v>0</v>
      </c>
      <c r="AW113" s="276"/>
      <c r="AX113" s="741"/>
      <c r="AY113" s="744"/>
      <c r="AZ113" s="747"/>
    </row>
    <row r="114" spans="1:52" ht="15.75" hidden="1" customHeight="1" outlineLevel="1" x14ac:dyDescent="0.25">
      <c r="A114" s="277"/>
      <c r="B114" s="97"/>
      <c r="C114" s="451"/>
      <c r="D114" s="480"/>
      <c r="E114" s="482"/>
      <c r="F114" s="54" t="s">
        <v>37</v>
      </c>
      <c r="G114" s="506"/>
      <c r="H114" s="507"/>
      <c r="I114" s="506"/>
      <c r="J114" s="507"/>
      <c r="K114" s="506"/>
      <c r="L114" s="507"/>
      <c r="M114" s="506"/>
      <c r="N114" s="507"/>
      <c r="O114" s="506"/>
      <c r="P114" s="507"/>
      <c r="Q114" s="506"/>
      <c r="R114" s="509"/>
      <c r="S114" s="510"/>
      <c r="T114" s="507"/>
      <c r="U114" s="506"/>
      <c r="V114" s="507"/>
      <c r="W114" s="506"/>
      <c r="X114" s="507"/>
      <c r="Y114" s="506"/>
      <c r="Z114" s="507"/>
      <c r="AA114" s="462"/>
      <c r="AB114" s="463"/>
      <c r="AC114" s="462"/>
      <c r="AD114" s="463"/>
      <c r="AE114" s="506"/>
      <c r="AF114" s="507"/>
      <c r="AG114" s="506"/>
      <c r="AH114" s="507"/>
      <c r="AI114" s="506"/>
      <c r="AJ114" s="507"/>
      <c r="AK114" s="522"/>
      <c r="AL114" s="519"/>
      <c r="AM114" s="524"/>
      <c r="AN114" s="526"/>
      <c r="AO114" s="527"/>
      <c r="AP114" s="468"/>
      <c r="AQ114" s="109"/>
      <c r="AR114" s="518"/>
      <c r="AS114" s="519"/>
      <c r="AT114" s="520"/>
      <c r="AU114" s="519"/>
      <c r="AV114" s="508"/>
      <c r="AW114" s="276"/>
      <c r="AX114" s="741"/>
      <c r="AY114" s="744"/>
      <c r="AZ114" s="747"/>
    </row>
    <row r="115" spans="1:52" ht="15.75" hidden="1" customHeight="1" x14ac:dyDescent="0.25">
      <c r="A115" s="277"/>
      <c r="B115" s="100" t="s">
        <v>72</v>
      </c>
      <c r="C115" s="451"/>
      <c r="D115" s="464" t="s">
        <v>38</v>
      </c>
      <c r="E115" s="465"/>
      <c r="F115" s="466"/>
      <c r="G115" s="106"/>
      <c r="H115" s="108"/>
      <c r="I115" s="101"/>
      <c r="J115" s="102"/>
      <c r="K115" s="106"/>
      <c r="L115" s="108"/>
      <c r="M115" s="106"/>
      <c r="N115" s="108"/>
      <c r="O115" s="106"/>
      <c r="P115" s="108"/>
      <c r="Q115" s="106"/>
      <c r="R115" s="280"/>
      <c r="S115" s="281"/>
      <c r="T115" s="108"/>
      <c r="U115" s="106"/>
      <c r="V115" s="108"/>
      <c r="W115" s="106"/>
      <c r="X115" s="108"/>
      <c r="Y115" s="106"/>
      <c r="Z115" s="108"/>
      <c r="AA115" s="101"/>
      <c r="AB115" s="102"/>
      <c r="AC115" s="101"/>
      <c r="AD115" s="102"/>
      <c r="AE115" s="101">
        <f t="shared" ref="T115:AJ115" si="13">+SUM(AE113,AE111)</f>
        <v>0</v>
      </c>
      <c r="AF115" s="102">
        <f t="shared" si="13"/>
        <v>0</v>
      </c>
      <c r="AG115" s="101">
        <f t="shared" si="13"/>
        <v>0</v>
      </c>
      <c r="AH115" s="102">
        <f t="shared" si="13"/>
        <v>0</v>
      </c>
      <c r="AI115" s="101">
        <f t="shared" si="13"/>
        <v>0</v>
      </c>
      <c r="AJ115" s="102">
        <f t="shared" si="13"/>
        <v>0</v>
      </c>
      <c r="AK115" s="253">
        <f>+AK111+AK113</f>
        <v>0</v>
      </c>
      <c r="AL115" s="58">
        <f>IF(E111+E113=0,0,AK115/(E111+E113))</f>
        <v>0</v>
      </c>
      <c r="AM115" s="110">
        <f>+SUM(AM113,AM111)</f>
        <v>0</v>
      </c>
      <c r="AN115" s="58">
        <f>IF((E111+E113)=0,0,AM115/((E111+E113)*14))</f>
        <v>0</v>
      </c>
      <c r="AO115" s="60" t="str">
        <f>IF(AM115=0,"",AM115/AK115)</f>
        <v/>
      </c>
      <c r="AP115" s="61">
        <f>+AP111+AP113</f>
        <v>0</v>
      </c>
      <c r="AQ115" s="109"/>
      <c r="AR115" s="253">
        <f>+AR111+AR113</f>
        <v>0</v>
      </c>
      <c r="AS115" s="58">
        <f>AR115/$E$8</f>
        <v>0</v>
      </c>
      <c r="AT115" s="59">
        <f>+AT111+AT113</f>
        <v>0</v>
      </c>
      <c r="AU115" s="58">
        <f>AT115/$F$8</f>
        <v>0</v>
      </c>
      <c r="AV115" s="111">
        <f>+AV111+AV113</f>
        <v>0</v>
      </c>
      <c r="AW115" s="276"/>
      <c r="AX115" s="741"/>
      <c r="AY115" s="744"/>
      <c r="AZ115" s="747"/>
    </row>
    <row r="116" spans="1:52" ht="15.75" hidden="1" customHeight="1" thickBot="1" x14ac:dyDescent="0.3">
      <c r="A116" s="277"/>
      <c r="B116" s="112" t="s">
        <v>43</v>
      </c>
      <c r="C116" s="451"/>
      <c r="D116" s="445" t="s">
        <v>39</v>
      </c>
      <c r="E116" s="445"/>
      <c r="F116" s="445"/>
      <c r="G116" s="258"/>
      <c r="H116" s="259"/>
      <c r="I116" s="116"/>
      <c r="J116" s="254"/>
      <c r="K116" s="258"/>
      <c r="L116" s="259"/>
      <c r="M116" s="116"/>
      <c r="N116" s="254"/>
      <c r="O116" s="116"/>
      <c r="P116" s="254"/>
      <c r="Q116" s="282"/>
      <c r="R116" s="283"/>
      <c r="S116" s="284"/>
      <c r="T116" s="285"/>
      <c r="U116" s="116"/>
      <c r="V116" s="254"/>
      <c r="W116" s="116"/>
      <c r="X116" s="254"/>
      <c r="Y116" s="116"/>
      <c r="Z116" s="254"/>
      <c r="AA116" s="98"/>
      <c r="AB116" s="99"/>
      <c r="AC116" s="98"/>
      <c r="AD116" s="99"/>
      <c r="AE116" s="282"/>
      <c r="AF116" s="286"/>
      <c r="AG116" s="282"/>
      <c r="AH116" s="286"/>
      <c r="AI116" s="282"/>
      <c r="AJ116" s="286"/>
      <c r="AK116" s="71">
        <f>G116+I116+K116+M116+O116+Q116+S116+U116+W116+Y116+AA116+AC116+AE116+AG116+AI116</f>
        <v>0</v>
      </c>
      <c r="AL116" s="72"/>
      <c r="AM116" s="73">
        <f>H116+J116+L116+N116+P116+R116+T116+V116+X116+Z116+AB116+AD116+AF116+AH116+AJ116</f>
        <v>0</v>
      </c>
      <c r="AN116" s="72"/>
      <c r="AO116" s="74"/>
      <c r="AP116" s="73"/>
      <c r="AQ116" s="75"/>
      <c r="AR116" s="71">
        <f>AR109+AK116-AC70</f>
        <v>0</v>
      </c>
      <c r="AS116" s="77"/>
      <c r="AT116" s="73">
        <f>+AT109+AM116-AD70</f>
        <v>0</v>
      </c>
      <c r="AU116" s="77"/>
      <c r="AV116" s="118"/>
      <c r="AW116" s="276"/>
      <c r="AX116" s="741"/>
      <c r="AY116" s="744"/>
      <c r="AZ116" s="747"/>
    </row>
    <row r="117" spans="1:52" ht="30.75" hidden="1" customHeight="1" thickBot="1" x14ac:dyDescent="0.3">
      <c r="A117" s="277"/>
      <c r="B117" s="152">
        <f>SUM(MOD(("1/"&amp;$A$14)-{0;6},{1E+99;7})*{1;-1},$A$89*7,MATCH(MID(B116,1,2),{"Mo";"Tu";"We";"Th";"Fr";"Sa";"Su"},0)-5)+14</f>
        <v>42452</v>
      </c>
      <c r="C117" s="539"/>
      <c r="D117" s="446" t="s">
        <v>6</v>
      </c>
      <c r="E117" s="446"/>
      <c r="F117" s="446"/>
      <c r="G117" s="153"/>
      <c r="H117" s="154"/>
      <c r="I117" s="153"/>
      <c r="J117" s="154"/>
      <c r="K117" s="82"/>
      <c r="L117" s="155"/>
      <c r="M117" s="82"/>
      <c r="N117" s="155"/>
      <c r="O117" s="82"/>
      <c r="P117" s="155"/>
      <c r="Q117" s="82"/>
      <c r="R117" s="287"/>
      <c r="S117" s="288"/>
      <c r="T117" s="155"/>
      <c r="U117" s="82"/>
      <c r="V117" s="155"/>
      <c r="W117" s="82"/>
      <c r="X117" s="155"/>
      <c r="Y117" s="82"/>
      <c r="Z117" s="155"/>
      <c r="AA117" s="82"/>
      <c r="AB117" s="155"/>
      <c r="AC117" s="120"/>
      <c r="AD117" s="121"/>
      <c r="AE117" s="82">
        <f t="shared" ref="G117:AJ117" si="14">+AE115+AE116</f>
        <v>0</v>
      </c>
      <c r="AF117" s="155">
        <f t="shared" si="14"/>
        <v>0</v>
      </c>
      <c r="AG117" s="82">
        <f t="shared" si="14"/>
        <v>0</v>
      </c>
      <c r="AH117" s="155">
        <f t="shared" si="14"/>
        <v>0</v>
      </c>
      <c r="AI117" s="82">
        <f t="shared" si="14"/>
        <v>0</v>
      </c>
      <c r="AJ117" s="155">
        <f t="shared" si="14"/>
        <v>0</v>
      </c>
      <c r="AK117" s="123">
        <f>AK115+AK116</f>
        <v>0</v>
      </c>
      <c r="AL117" s="85">
        <f>IF(E111+E113=0,0,AK117/(E111+E113))</f>
        <v>0</v>
      </c>
      <c r="AM117" s="90">
        <f>+AM115+AM116</f>
        <v>0</v>
      </c>
      <c r="AN117" s="85">
        <f>IF((E111+E113)=0,0,AM117/((E111+E113)*14))</f>
        <v>0</v>
      </c>
      <c r="AO117" s="87" t="str">
        <f>IF(AM117=0,"",AM117/AK117)</f>
        <v/>
      </c>
      <c r="AP117" s="88">
        <f>+AP115</f>
        <v>0</v>
      </c>
      <c r="AQ117" s="109"/>
      <c r="AR117" s="84">
        <f>+AR115+AR116</f>
        <v>0</v>
      </c>
      <c r="AS117" s="85">
        <f>AR117/$E$8</f>
        <v>0</v>
      </c>
      <c r="AT117" s="86">
        <f>+AT115+AT116</f>
        <v>0</v>
      </c>
      <c r="AU117" s="85">
        <f>+AT117/$F$8</f>
        <v>0</v>
      </c>
      <c r="AV117" s="124">
        <f>+AV115</f>
        <v>0</v>
      </c>
      <c r="AW117" s="276"/>
      <c r="AX117" s="742"/>
      <c r="AY117" s="745"/>
      <c r="AZ117" s="748"/>
    </row>
    <row r="118" spans="1:52" ht="20.100000000000001" hidden="1" customHeight="1" x14ac:dyDescent="0.25">
      <c r="A118" s="277"/>
      <c r="B118" s="93"/>
      <c r="C118" s="497"/>
      <c r="D118" s="500" t="str">
        <f>$B$6</f>
        <v>Trade</v>
      </c>
      <c r="E118" s="501"/>
      <c r="F118" s="44" t="s">
        <v>36</v>
      </c>
      <c r="G118" s="45"/>
      <c r="H118" s="46"/>
      <c r="I118" s="45"/>
      <c r="J118" s="46"/>
      <c r="K118" s="45"/>
      <c r="L118" s="46"/>
      <c r="M118" s="45"/>
      <c r="N118" s="46"/>
      <c r="O118" s="45"/>
      <c r="P118" s="46"/>
      <c r="Q118" s="45"/>
      <c r="R118" s="274"/>
      <c r="S118" s="275"/>
      <c r="T118" s="46"/>
      <c r="U118" s="45"/>
      <c r="V118" s="46"/>
      <c r="W118" s="45"/>
      <c r="X118" s="46"/>
      <c r="Y118" s="45"/>
      <c r="Z118" s="46"/>
      <c r="AA118" s="45"/>
      <c r="AB118" s="46"/>
      <c r="AC118" s="45"/>
      <c r="AD118" s="46"/>
      <c r="AE118" s="94"/>
      <c r="AF118" s="95"/>
      <c r="AG118" s="45"/>
      <c r="AH118" s="46"/>
      <c r="AI118" s="45"/>
      <c r="AJ118" s="46"/>
      <c r="AK118" s="502">
        <f>G118+I118+K118+M118+O118+Q118+S118+U118+W118+Y118+AA118+AC118+AE118+AG118+AI118</f>
        <v>0</v>
      </c>
      <c r="AL118" s="504">
        <f>IF(E118=0,0,AK118/E118)</f>
        <v>0</v>
      </c>
      <c r="AM118" s="493">
        <f>H118+J118+L118+N118+P118+R118+T118+V118+X118+Z118+AB118+AD118+AF118+AH118+AJ118</f>
        <v>0</v>
      </c>
      <c r="AN118" s="491">
        <f>IF(E118=0,0,AM118/($E118*14))</f>
        <v>0</v>
      </c>
      <c r="AO118" s="492" t="str">
        <f>IF(AM118=0,"",AM118/AK118)</f>
        <v/>
      </c>
      <c r="AP118" s="493">
        <f>G119+I119+K119+M119+O119+Q119+S119+U119+W119+Y119+AA119+AC119+AE119+AG119+AI119</f>
        <v>0</v>
      </c>
      <c r="AQ118" s="109"/>
      <c r="AR118" s="502">
        <f>+AR111+AK118-AE65-AE111</f>
        <v>0</v>
      </c>
      <c r="AS118" s="504">
        <f>AR118/$E$9</f>
        <v>0</v>
      </c>
      <c r="AT118" s="493">
        <f>+AT111+AM118-AF65-AF111</f>
        <v>0</v>
      </c>
      <c r="AU118" s="504">
        <f>+AT118/$F$9</f>
        <v>0</v>
      </c>
      <c r="AV118" s="514">
        <f>+AV111+AP118-AE66-AE112</f>
        <v>0</v>
      </c>
      <c r="AW118" s="276"/>
      <c r="AX118" s="740">
        <f>$E$8-AR124</f>
        <v>1234</v>
      </c>
      <c r="AY118" s="743">
        <f>$F$8-AT124</f>
        <v>17276</v>
      </c>
      <c r="AZ118" s="746">
        <f>$G$8-AV124</f>
        <v>300</v>
      </c>
    </row>
    <row r="119" spans="1:52" ht="15.75" hidden="1" customHeight="1" x14ac:dyDescent="0.25">
      <c r="A119" s="277"/>
      <c r="B119" s="96"/>
      <c r="C119" s="498"/>
      <c r="D119" s="457"/>
      <c r="E119" s="459"/>
      <c r="F119" s="50" t="s">
        <v>37</v>
      </c>
      <c r="G119" s="512"/>
      <c r="H119" s="513"/>
      <c r="I119" s="512"/>
      <c r="J119" s="513"/>
      <c r="K119" s="512"/>
      <c r="L119" s="513"/>
      <c r="M119" s="512"/>
      <c r="N119" s="513"/>
      <c r="O119" s="512"/>
      <c r="P119" s="513"/>
      <c r="Q119" s="512"/>
      <c r="R119" s="516"/>
      <c r="S119" s="517"/>
      <c r="T119" s="513"/>
      <c r="U119" s="512"/>
      <c r="V119" s="513"/>
      <c r="W119" s="512"/>
      <c r="X119" s="513"/>
      <c r="Y119" s="512"/>
      <c r="Z119" s="513"/>
      <c r="AA119" s="512"/>
      <c r="AB119" s="513"/>
      <c r="AC119" s="512"/>
      <c r="AD119" s="513"/>
      <c r="AE119" s="462"/>
      <c r="AF119" s="463"/>
      <c r="AG119" s="512"/>
      <c r="AH119" s="513"/>
      <c r="AI119" s="512"/>
      <c r="AJ119" s="513"/>
      <c r="AK119" s="503"/>
      <c r="AL119" s="419"/>
      <c r="AM119" s="505"/>
      <c r="AN119" s="423"/>
      <c r="AO119" s="424"/>
      <c r="AP119" s="425"/>
      <c r="AQ119" s="109"/>
      <c r="AR119" s="503"/>
      <c r="AS119" s="419"/>
      <c r="AT119" s="425"/>
      <c r="AU119" s="419"/>
      <c r="AV119" s="515"/>
      <c r="AW119" s="276"/>
      <c r="AX119" s="741"/>
      <c r="AY119" s="744"/>
      <c r="AZ119" s="747"/>
    </row>
    <row r="120" spans="1:52" ht="20.100000000000001" hidden="1" customHeight="1" x14ac:dyDescent="0.25">
      <c r="A120" s="277"/>
      <c r="B120" s="157"/>
      <c r="C120" s="498"/>
      <c r="D120" s="479" t="str">
        <f>$B$7</f>
        <v>Feeder</v>
      </c>
      <c r="E120" s="481"/>
      <c r="F120" s="51" t="s">
        <v>36</v>
      </c>
      <c r="G120" s="52"/>
      <c r="H120" s="53"/>
      <c r="I120" s="52"/>
      <c r="J120" s="53"/>
      <c r="K120" s="52"/>
      <c r="L120" s="53"/>
      <c r="M120" s="52"/>
      <c r="N120" s="53"/>
      <c r="O120" s="52"/>
      <c r="P120" s="53"/>
      <c r="Q120" s="52"/>
      <c r="R120" s="278"/>
      <c r="S120" s="279"/>
      <c r="T120" s="53"/>
      <c r="U120" s="52"/>
      <c r="V120" s="53"/>
      <c r="W120" s="52"/>
      <c r="X120" s="53"/>
      <c r="Y120" s="52"/>
      <c r="Z120" s="53"/>
      <c r="AA120" s="52"/>
      <c r="AB120" s="53"/>
      <c r="AC120" s="52"/>
      <c r="AD120" s="53"/>
      <c r="AE120" s="98"/>
      <c r="AF120" s="99"/>
      <c r="AG120" s="52"/>
      <c r="AH120" s="53"/>
      <c r="AI120" s="52"/>
      <c r="AJ120" s="53"/>
      <c r="AK120" s="483">
        <f>G120+I120+K120+M120+O120+Q120+S120+U120+W120+Y120+AA120+AC120+AE120+AG120+AI120</f>
        <v>0</v>
      </c>
      <c r="AL120" s="467">
        <f>IF(E118=0,0,AK120/E118)</f>
        <v>0</v>
      </c>
      <c r="AM120" s="471">
        <f>H120+J120+L120+N120+P120+R120+T120+V120+X120+Z120+AB120+AD120+AF120+AH120+AJ120</f>
        <v>0</v>
      </c>
      <c r="AN120" s="473">
        <f>IF(E118=0,0,AM120/($E118*14))</f>
        <v>0</v>
      </c>
      <c r="AO120" s="475" t="str">
        <f>IF(AM120=0,"",AM120/AK120)</f>
        <v/>
      </c>
      <c r="AP120" s="468">
        <f>G121+I121+K121+M121+O121+Q121+S121+U121+W121+Y121+AA121+AC121+AE121+AG121+AI121</f>
        <v>0</v>
      </c>
      <c r="AQ120" s="109"/>
      <c r="AR120" s="511">
        <f>+AR113+AK120-AE67-AE113</f>
        <v>0</v>
      </c>
      <c r="AS120" s="467">
        <f>AR120/$E$10</f>
        <v>0</v>
      </c>
      <c r="AT120" s="468">
        <f>+AT113+AM120-AF67-AF113</f>
        <v>0</v>
      </c>
      <c r="AU120" s="467">
        <f>+AT120/$F$10</f>
        <v>0</v>
      </c>
      <c r="AV120" s="508">
        <f>+AV113+AP120-AE68-AE114</f>
        <v>0</v>
      </c>
      <c r="AW120" s="276"/>
      <c r="AX120" s="741"/>
      <c r="AY120" s="744"/>
      <c r="AZ120" s="747"/>
    </row>
    <row r="121" spans="1:52" ht="15.75" hidden="1" customHeight="1" x14ac:dyDescent="0.25">
      <c r="A121" s="277"/>
      <c r="B121" s="100"/>
      <c r="C121" s="498"/>
      <c r="D121" s="480"/>
      <c r="E121" s="482"/>
      <c r="F121" s="54" t="s">
        <v>37</v>
      </c>
      <c r="G121" s="506"/>
      <c r="H121" s="507"/>
      <c r="I121" s="506"/>
      <c r="J121" s="507"/>
      <c r="K121" s="506"/>
      <c r="L121" s="507"/>
      <c r="M121" s="506"/>
      <c r="N121" s="507"/>
      <c r="O121" s="506"/>
      <c r="P121" s="507"/>
      <c r="Q121" s="506"/>
      <c r="R121" s="509"/>
      <c r="S121" s="510"/>
      <c r="T121" s="507"/>
      <c r="U121" s="506"/>
      <c r="V121" s="507"/>
      <c r="W121" s="506"/>
      <c r="X121" s="507"/>
      <c r="Y121" s="506"/>
      <c r="Z121" s="507"/>
      <c r="AA121" s="506"/>
      <c r="AB121" s="507"/>
      <c r="AC121" s="506"/>
      <c r="AD121" s="507"/>
      <c r="AE121" s="462"/>
      <c r="AF121" s="463"/>
      <c r="AG121" s="506"/>
      <c r="AH121" s="507"/>
      <c r="AI121" s="506"/>
      <c r="AJ121" s="507"/>
      <c r="AK121" s="484"/>
      <c r="AL121" s="467"/>
      <c r="AM121" s="472"/>
      <c r="AN121" s="474"/>
      <c r="AO121" s="475"/>
      <c r="AP121" s="468"/>
      <c r="AQ121" s="109"/>
      <c r="AR121" s="511"/>
      <c r="AS121" s="467"/>
      <c r="AT121" s="468"/>
      <c r="AU121" s="467"/>
      <c r="AV121" s="508"/>
      <c r="AW121" s="276"/>
      <c r="AX121" s="741"/>
      <c r="AY121" s="744"/>
      <c r="AZ121" s="747"/>
    </row>
    <row r="122" spans="1:52" ht="15.75" hidden="1" customHeight="1" x14ac:dyDescent="0.25">
      <c r="A122" s="277"/>
      <c r="B122" s="96" t="s">
        <v>73</v>
      </c>
      <c r="C122" s="498"/>
      <c r="D122" s="464" t="s">
        <v>38</v>
      </c>
      <c r="E122" s="465"/>
      <c r="F122" s="466"/>
      <c r="G122" s="106"/>
      <c r="H122" s="108"/>
      <c r="I122" s="106"/>
      <c r="J122" s="108"/>
      <c r="K122" s="106"/>
      <c r="L122" s="108"/>
      <c r="M122" s="106"/>
      <c r="N122" s="108"/>
      <c r="O122" s="106"/>
      <c r="P122" s="108"/>
      <c r="Q122" s="106"/>
      <c r="R122" s="280"/>
      <c r="S122" s="281"/>
      <c r="T122" s="108"/>
      <c r="U122" s="106"/>
      <c r="V122" s="108"/>
      <c r="W122" s="106"/>
      <c r="X122" s="108"/>
      <c r="Y122" s="106"/>
      <c r="Z122" s="108"/>
      <c r="AA122" s="106"/>
      <c r="AB122" s="108"/>
      <c r="AC122" s="106"/>
      <c r="AD122" s="108"/>
      <c r="AE122" s="101">
        <f t="shared" ref="T122:AJ122" si="15">+SUM(AE120,AE118)</f>
        <v>0</v>
      </c>
      <c r="AF122" s="102">
        <f t="shared" si="15"/>
        <v>0</v>
      </c>
      <c r="AG122" s="106">
        <f t="shared" si="15"/>
        <v>0</v>
      </c>
      <c r="AH122" s="108">
        <f t="shared" si="15"/>
        <v>0</v>
      </c>
      <c r="AI122" s="106">
        <f t="shared" si="15"/>
        <v>0</v>
      </c>
      <c r="AJ122" s="108">
        <f t="shared" si="15"/>
        <v>0</v>
      </c>
      <c r="AK122" s="159">
        <f>+AK118+AK120</f>
        <v>0</v>
      </c>
      <c r="AL122" s="64">
        <f>IF(E118+E120=0,0,AK122/(E118+E120))</f>
        <v>0</v>
      </c>
      <c r="AM122" s="65">
        <f>+SUM(AM120,AM118)</f>
        <v>0</v>
      </c>
      <c r="AN122" s="64">
        <f>IF((E118+E120)=0,0,AM122/((E118+E120)*14))</f>
        <v>0</v>
      </c>
      <c r="AO122" s="160" t="str">
        <f>IF(AM122=0,"",AM122/AK122)</f>
        <v/>
      </c>
      <c r="AP122" s="61">
        <f>+AP118+AP120</f>
        <v>0</v>
      </c>
      <c r="AQ122" s="109"/>
      <c r="AR122" s="159">
        <f>+AR118+AR120</f>
        <v>0</v>
      </c>
      <c r="AS122" s="64">
        <f>AR122/$E$8</f>
        <v>0</v>
      </c>
      <c r="AT122" s="65">
        <f>+AT118+AT120</f>
        <v>0</v>
      </c>
      <c r="AU122" s="64">
        <f>AT122/$F$8</f>
        <v>0</v>
      </c>
      <c r="AV122" s="111">
        <f>+AV118+AV120</f>
        <v>0</v>
      </c>
      <c r="AW122" s="276"/>
      <c r="AX122" s="741"/>
      <c r="AY122" s="744"/>
      <c r="AZ122" s="747"/>
    </row>
    <row r="123" spans="1:52" ht="15.75" hidden="1" customHeight="1" thickBot="1" x14ac:dyDescent="0.3">
      <c r="A123" s="277"/>
      <c r="B123" s="112" t="s">
        <v>43</v>
      </c>
      <c r="C123" s="498"/>
      <c r="D123" s="445" t="s">
        <v>39</v>
      </c>
      <c r="E123" s="445"/>
      <c r="F123" s="445"/>
      <c r="G123" s="113"/>
      <c r="H123" s="114"/>
      <c r="I123" s="113"/>
      <c r="J123" s="114"/>
      <c r="K123" s="113"/>
      <c r="L123" s="114"/>
      <c r="M123" s="113"/>
      <c r="N123" s="114"/>
      <c r="O123" s="113"/>
      <c r="P123" s="114"/>
      <c r="Q123" s="113"/>
      <c r="R123" s="289"/>
      <c r="S123" s="290"/>
      <c r="T123" s="114"/>
      <c r="U123" s="113"/>
      <c r="V123" s="114"/>
      <c r="W123" s="113"/>
      <c r="X123" s="114"/>
      <c r="Y123" s="113"/>
      <c r="Z123" s="114"/>
      <c r="AA123" s="113"/>
      <c r="AB123" s="114"/>
      <c r="AC123" s="113"/>
      <c r="AD123" s="114"/>
      <c r="AE123" s="98"/>
      <c r="AF123" s="99"/>
      <c r="AG123" s="113"/>
      <c r="AH123" s="114"/>
      <c r="AI123" s="113"/>
      <c r="AJ123" s="114"/>
      <c r="AK123" s="71">
        <f>G123+I123+K123+M123+O123+Q123+S123+U123+W123+Y123+AA123+AC123+AE123+AG123+AI123</f>
        <v>0</v>
      </c>
      <c r="AL123" s="72"/>
      <c r="AM123" s="73">
        <f>H123+J123+L123+N123+P123+R123+T123+V123+X123+Z123+AB123+AD123+AF123+AH123+AJ123</f>
        <v>0</v>
      </c>
      <c r="AN123" s="72"/>
      <c r="AO123" s="74"/>
      <c r="AP123" s="73"/>
      <c r="AQ123" s="75"/>
      <c r="AR123" s="71">
        <f>+AR116+AK123-AE70-AE116</f>
        <v>0</v>
      </c>
      <c r="AS123" s="77"/>
      <c r="AT123" s="73">
        <f>+AT116+AM123-AF70-AF116</f>
        <v>0</v>
      </c>
      <c r="AU123" s="77"/>
      <c r="AV123" s="118"/>
      <c r="AW123" s="276"/>
      <c r="AX123" s="741"/>
      <c r="AY123" s="744"/>
      <c r="AZ123" s="747"/>
    </row>
    <row r="124" spans="1:52" ht="30.75" hidden="1" customHeight="1" thickBot="1" x14ac:dyDescent="0.3">
      <c r="A124" s="277"/>
      <c r="B124" s="152">
        <f>B117</f>
        <v>42452</v>
      </c>
      <c r="C124" s="499"/>
      <c r="D124" s="446" t="s">
        <v>6</v>
      </c>
      <c r="E124" s="446"/>
      <c r="F124" s="446"/>
      <c r="G124" s="120"/>
      <c r="H124" s="121"/>
      <c r="I124" s="120"/>
      <c r="J124" s="121"/>
      <c r="K124" s="120"/>
      <c r="L124" s="121"/>
      <c r="M124" s="120"/>
      <c r="N124" s="121"/>
      <c r="O124" s="120"/>
      <c r="P124" s="121"/>
      <c r="Q124" s="120"/>
      <c r="R124" s="260"/>
      <c r="S124" s="261"/>
      <c r="T124" s="121"/>
      <c r="U124" s="120"/>
      <c r="V124" s="121"/>
      <c r="W124" s="120"/>
      <c r="X124" s="121"/>
      <c r="Y124" s="120"/>
      <c r="Z124" s="121"/>
      <c r="AA124" s="120"/>
      <c r="AB124" s="121"/>
      <c r="AC124" s="120"/>
      <c r="AD124" s="121"/>
      <c r="AE124" s="120">
        <f t="shared" ref="G124:AJ124" si="16">+AE122+AE123</f>
        <v>0</v>
      </c>
      <c r="AF124" s="121">
        <f t="shared" si="16"/>
        <v>0</v>
      </c>
      <c r="AG124" s="120">
        <f t="shared" si="16"/>
        <v>0</v>
      </c>
      <c r="AH124" s="121">
        <f t="shared" si="16"/>
        <v>0</v>
      </c>
      <c r="AI124" s="120">
        <f t="shared" si="16"/>
        <v>0</v>
      </c>
      <c r="AJ124" s="121">
        <f t="shared" si="16"/>
        <v>0</v>
      </c>
      <c r="AK124" s="123">
        <f>AK122+AK123</f>
        <v>0</v>
      </c>
      <c r="AL124" s="85">
        <f>IF(E118+E120=0,0,AK124/(E118+E120))</f>
        <v>0</v>
      </c>
      <c r="AM124" s="90">
        <f>+AM122+AM123</f>
        <v>0</v>
      </c>
      <c r="AN124" s="85">
        <f>IF((E118+E120)=0,0,AM124/((E118+E120)*14))</f>
        <v>0</v>
      </c>
      <c r="AO124" s="87" t="str">
        <f>IF(AM124=0,"",AM124/AK124)</f>
        <v/>
      </c>
      <c r="AP124" s="88">
        <f>+AP122</f>
        <v>0</v>
      </c>
      <c r="AQ124" s="109"/>
      <c r="AR124" s="291">
        <f>+AR122+AR123</f>
        <v>0</v>
      </c>
      <c r="AS124" s="292">
        <f>AR124/$E$8</f>
        <v>0</v>
      </c>
      <c r="AT124" s="293">
        <f>+AT122+AT123</f>
        <v>0</v>
      </c>
      <c r="AU124" s="292">
        <f>+AT124/$F$8</f>
        <v>0</v>
      </c>
      <c r="AV124" s="294">
        <f>+AV122</f>
        <v>0</v>
      </c>
      <c r="AW124" s="276"/>
      <c r="AX124" s="742"/>
      <c r="AY124" s="745"/>
      <c r="AZ124" s="748"/>
    </row>
    <row r="125" spans="1:52" ht="20.100000000000001" hidden="1" customHeight="1" x14ac:dyDescent="0.25">
      <c r="A125" s="277"/>
      <c r="B125" s="93"/>
      <c r="C125" s="497"/>
      <c r="D125" s="500" t="str">
        <f>$B$6</f>
        <v>Trade</v>
      </c>
      <c r="E125" s="501"/>
      <c r="F125" s="44" t="s">
        <v>36</v>
      </c>
      <c r="G125" s="45"/>
      <c r="H125" s="46"/>
      <c r="I125" s="45"/>
      <c r="J125" s="46"/>
      <c r="K125" s="45"/>
      <c r="L125" s="46"/>
      <c r="M125" s="45"/>
      <c r="N125" s="46"/>
      <c r="O125" s="45"/>
      <c r="P125" s="46"/>
      <c r="Q125" s="45"/>
      <c r="R125" s="274"/>
      <c r="S125" s="275"/>
      <c r="T125" s="46"/>
      <c r="U125" s="45"/>
      <c r="V125" s="46"/>
      <c r="W125" s="45"/>
      <c r="X125" s="46"/>
      <c r="Y125" s="45"/>
      <c r="Z125" s="46"/>
      <c r="AA125" s="45"/>
      <c r="AB125" s="46"/>
      <c r="AC125" s="45"/>
      <c r="AD125" s="46"/>
      <c r="AE125" s="45"/>
      <c r="AF125" s="46"/>
      <c r="AG125" s="94"/>
      <c r="AH125" s="95"/>
      <c r="AI125" s="45"/>
      <c r="AJ125" s="46"/>
      <c r="AK125" s="502">
        <f>G125+I125+K125+M125+O125+Q125+S125+U125+W125+Y125+AA125+AC125+AE125+AG125+AI125</f>
        <v>0</v>
      </c>
      <c r="AL125" s="504">
        <f>IF(E125=0,0,AK125/E125)</f>
        <v>0</v>
      </c>
      <c r="AM125" s="493">
        <f>H125+J125+L125+N125+P125+R125+T125+V125+X125+Z125+AB125+AD125+AF125+AH125+AJ125</f>
        <v>0</v>
      </c>
      <c r="AN125" s="491">
        <f>IF(E125=0,0,AM125/($E125*14))</f>
        <v>0</v>
      </c>
      <c r="AO125" s="492" t="str">
        <f>IF(AM125=0,"",AM125/AK125)</f>
        <v/>
      </c>
      <c r="AP125" s="493">
        <f>G126+I126+K126+M126+O126+Q126+S126+U126+W126+Y126+AA126+AC126+AE126+AG126+AI126</f>
        <v>0</v>
      </c>
      <c r="AQ125" s="109"/>
      <c r="AR125" s="494">
        <f>+AR118+AK125-AG65-AG111-AG118</f>
        <v>0</v>
      </c>
      <c r="AS125" s="486">
        <f>AR125/$E$9</f>
        <v>0</v>
      </c>
      <c r="AT125" s="496">
        <f>+AT118+AM125-AH65-AH111-AH118</f>
        <v>0</v>
      </c>
      <c r="AU125" s="486">
        <f>+AT125/$F$9</f>
        <v>0</v>
      </c>
      <c r="AV125" s="487">
        <f>+AV118+AP125-AG66-AG112-AG119</f>
        <v>0</v>
      </c>
      <c r="AW125" s="276"/>
      <c r="AX125" s="740">
        <f>$E$8-AR131</f>
        <v>1234</v>
      </c>
      <c r="AY125" s="743">
        <f>$F$8-AT131</f>
        <v>17276</v>
      </c>
      <c r="AZ125" s="746">
        <f>$G$8-AV131</f>
        <v>300</v>
      </c>
    </row>
    <row r="126" spans="1:52" ht="15.75" hidden="1" customHeight="1" x14ac:dyDescent="0.25">
      <c r="A126" s="277"/>
      <c r="B126" s="96"/>
      <c r="C126" s="498"/>
      <c r="D126" s="457"/>
      <c r="E126" s="459"/>
      <c r="F126" s="50" t="s">
        <v>37</v>
      </c>
      <c r="G126" s="477"/>
      <c r="H126" s="478"/>
      <c r="I126" s="477"/>
      <c r="J126" s="478"/>
      <c r="K126" s="477"/>
      <c r="L126" s="478"/>
      <c r="M126" s="477"/>
      <c r="N126" s="478"/>
      <c r="O126" s="477"/>
      <c r="P126" s="478"/>
      <c r="Q126" s="477"/>
      <c r="R126" s="489"/>
      <c r="S126" s="490"/>
      <c r="T126" s="478"/>
      <c r="U126" s="477"/>
      <c r="V126" s="478"/>
      <c r="W126" s="477"/>
      <c r="X126" s="478"/>
      <c r="Y126" s="477"/>
      <c r="Z126" s="478"/>
      <c r="AA126" s="477"/>
      <c r="AB126" s="478"/>
      <c r="AC126" s="477"/>
      <c r="AD126" s="478"/>
      <c r="AE126" s="477"/>
      <c r="AF126" s="478"/>
      <c r="AG126" s="462"/>
      <c r="AH126" s="463"/>
      <c r="AI126" s="477"/>
      <c r="AJ126" s="478"/>
      <c r="AK126" s="503"/>
      <c r="AL126" s="419"/>
      <c r="AM126" s="505"/>
      <c r="AN126" s="423"/>
      <c r="AO126" s="424"/>
      <c r="AP126" s="425"/>
      <c r="AQ126" s="109"/>
      <c r="AR126" s="495"/>
      <c r="AS126" s="419"/>
      <c r="AT126" s="425"/>
      <c r="AU126" s="419"/>
      <c r="AV126" s="488"/>
      <c r="AW126" s="276"/>
      <c r="AX126" s="741"/>
      <c r="AY126" s="744"/>
      <c r="AZ126" s="747"/>
    </row>
    <row r="127" spans="1:52" ht="20.100000000000001" hidden="1" customHeight="1" x14ac:dyDescent="0.25">
      <c r="A127" s="277"/>
      <c r="B127" s="157" t="s">
        <v>54</v>
      </c>
      <c r="C127" s="498"/>
      <c r="D127" s="479" t="str">
        <f>$B$7</f>
        <v>Feeder</v>
      </c>
      <c r="E127" s="481"/>
      <c r="F127" s="51" t="s">
        <v>36</v>
      </c>
      <c r="G127" s="52"/>
      <c r="H127" s="53"/>
      <c r="I127" s="52"/>
      <c r="J127" s="53"/>
      <c r="K127" s="52"/>
      <c r="L127" s="53"/>
      <c r="M127" s="52"/>
      <c r="N127" s="53"/>
      <c r="O127" s="52"/>
      <c r="P127" s="53"/>
      <c r="Q127" s="52"/>
      <c r="R127" s="278"/>
      <c r="S127" s="279"/>
      <c r="T127" s="53"/>
      <c r="U127" s="52"/>
      <c r="V127" s="53"/>
      <c r="W127" s="52"/>
      <c r="X127" s="53"/>
      <c r="Y127" s="52"/>
      <c r="Z127" s="53"/>
      <c r="AA127" s="52"/>
      <c r="AB127" s="53"/>
      <c r="AC127" s="52"/>
      <c r="AD127" s="53"/>
      <c r="AE127" s="52"/>
      <c r="AF127" s="53"/>
      <c r="AG127" s="98"/>
      <c r="AH127" s="99"/>
      <c r="AI127" s="52"/>
      <c r="AJ127" s="53"/>
      <c r="AK127" s="483">
        <f>G127+I127+K127+M127+O127+Q127+S127+U127+W127+Y127+AA127+AC127+AE127+AG127+AI127</f>
        <v>0</v>
      </c>
      <c r="AL127" s="467">
        <f>IF(E125=0,0,AK127/E125)</f>
        <v>0</v>
      </c>
      <c r="AM127" s="471">
        <f>H127+J127+L127+N127+P127+R127+T127+V127+X127+Z127+AB127+AD127+AF127+AH127+AJ127</f>
        <v>0</v>
      </c>
      <c r="AN127" s="473">
        <f>IF(E125=0,0,AM127/($E125*14))</f>
        <v>0</v>
      </c>
      <c r="AO127" s="475" t="str">
        <f>IF(AM127=0,"",AM127/AK127)</f>
        <v/>
      </c>
      <c r="AP127" s="468">
        <f>G128+I128+K128+M128+O128+Q128+S128+U128+W128+Y128+AA128+AC128+AE128+AG128+AI128</f>
        <v>0</v>
      </c>
      <c r="AQ127" s="109"/>
      <c r="AR127" s="476">
        <f>+AR120+AK127-AG67-AG113-AG120</f>
        <v>0</v>
      </c>
      <c r="AS127" s="467">
        <f>AR127/$E$10</f>
        <v>0</v>
      </c>
      <c r="AT127" s="468">
        <f>+AT120+AM127-AH67-AH113-AH120</f>
        <v>0</v>
      </c>
      <c r="AU127" s="467">
        <f>+AT127/$F$10</f>
        <v>0</v>
      </c>
      <c r="AV127" s="469">
        <f>+AV120+AP127-AG68-AG114-AG121</f>
        <v>0</v>
      </c>
      <c r="AW127" s="276"/>
      <c r="AX127" s="741"/>
      <c r="AY127" s="744"/>
      <c r="AZ127" s="747"/>
    </row>
    <row r="128" spans="1:52" ht="15.75" hidden="1" customHeight="1" x14ac:dyDescent="0.25">
      <c r="A128" s="277"/>
      <c r="B128" s="100"/>
      <c r="C128" s="498"/>
      <c r="D128" s="480"/>
      <c r="E128" s="482"/>
      <c r="F128" s="54" t="s">
        <v>37</v>
      </c>
      <c r="G128" s="460"/>
      <c r="H128" s="461"/>
      <c r="I128" s="460"/>
      <c r="J128" s="461"/>
      <c r="K128" s="460"/>
      <c r="L128" s="461"/>
      <c r="M128" s="460"/>
      <c r="N128" s="461"/>
      <c r="O128" s="460"/>
      <c r="P128" s="461"/>
      <c r="Q128" s="460"/>
      <c r="R128" s="470"/>
      <c r="S128" s="485"/>
      <c r="T128" s="461"/>
      <c r="U128" s="460"/>
      <c r="V128" s="461"/>
      <c r="W128" s="460"/>
      <c r="X128" s="461"/>
      <c r="Y128" s="460"/>
      <c r="Z128" s="461"/>
      <c r="AA128" s="460"/>
      <c r="AB128" s="461"/>
      <c r="AC128" s="460"/>
      <c r="AD128" s="461"/>
      <c r="AE128" s="460"/>
      <c r="AF128" s="461"/>
      <c r="AG128" s="462"/>
      <c r="AH128" s="463"/>
      <c r="AI128" s="460"/>
      <c r="AJ128" s="461"/>
      <c r="AK128" s="484"/>
      <c r="AL128" s="467"/>
      <c r="AM128" s="472"/>
      <c r="AN128" s="474"/>
      <c r="AO128" s="475"/>
      <c r="AP128" s="468"/>
      <c r="AQ128" s="109"/>
      <c r="AR128" s="476"/>
      <c r="AS128" s="467"/>
      <c r="AT128" s="468"/>
      <c r="AU128" s="467"/>
      <c r="AV128" s="469"/>
      <c r="AW128" s="276"/>
      <c r="AX128" s="741"/>
      <c r="AY128" s="744"/>
      <c r="AZ128" s="747"/>
    </row>
    <row r="129" spans="1:60" ht="15.75" hidden="1" customHeight="1" x14ac:dyDescent="0.25">
      <c r="A129" s="277"/>
      <c r="B129" s="158" t="s">
        <v>56</v>
      </c>
      <c r="C129" s="498"/>
      <c r="D129" s="464" t="s">
        <v>38</v>
      </c>
      <c r="E129" s="465"/>
      <c r="F129" s="466"/>
      <c r="G129" s="55"/>
      <c r="H129" s="105"/>
      <c r="I129" s="55"/>
      <c r="J129" s="105"/>
      <c r="K129" s="55"/>
      <c r="L129" s="105"/>
      <c r="M129" s="55"/>
      <c r="N129" s="105"/>
      <c r="O129" s="55"/>
      <c r="P129" s="105"/>
      <c r="Q129" s="55"/>
      <c r="R129" s="295"/>
      <c r="S129" s="296"/>
      <c r="T129" s="105"/>
      <c r="U129" s="106"/>
      <c r="V129" s="108"/>
      <c r="W129" s="106"/>
      <c r="X129" s="108"/>
      <c r="Y129" s="106"/>
      <c r="Z129" s="108"/>
      <c r="AA129" s="106"/>
      <c r="AB129" s="108"/>
      <c r="AC129" s="106"/>
      <c r="AD129" s="108"/>
      <c r="AE129" s="106">
        <f t="shared" ref="T129:AJ129" si="17">+SUM(AE127,AE125)</f>
        <v>0</v>
      </c>
      <c r="AF129" s="108">
        <f t="shared" si="17"/>
        <v>0</v>
      </c>
      <c r="AG129" s="101">
        <f t="shared" si="17"/>
        <v>0</v>
      </c>
      <c r="AH129" s="102">
        <f t="shared" si="17"/>
        <v>0</v>
      </c>
      <c r="AI129" s="106">
        <f t="shared" si="17"/>
        <v>0</v>
      </c>
      <c r="AJ129" s="108">
        <f t="shared" si="17"/>
        <v>0</v>
      </c>
      <c r="AK129" s="159">
        <f>+AK125+AK127</f>
        <v>0</v>
      </c>
      <c r="AL129" s="64">
        <f>IF(E125+E127=0,0,AK129/(E125+E127))</f>
        <v>0</v>
      </c>
      <c r="AM129" s="65">
        <f>+SUM(AM127,AM125)</f>
        <v>0</v>
      </c>
      <c r="AN129" s="64">
        <f>IF((E125+E127)=0,0,AM129/((E125+E127)*14))</f>
        <v>0</v>
      </c>
      <c r="AO129" s="160" t="str">
        <f>IF(AM129=0,"",AM129/AK129)</f>
        <v/>
      </c>
      <c r="AP129" s="61">
        <f>+AP125+AP127</f>
        <v>0</v>
      </c>
      <c r="AQ129" s="109"/>
      <c r="AR129" s="297">
        <f>+AR125+AR127</f>
        <v>0</v>
      </c>
      <c r="AS129" s="64">
        <f>AR129/$E$8</f>
        <v>0</v>
      </c>
      <c r="AT129" s="65">
        <f>+AT125+AT127</f>
        <v>0</v>
      </c>
      <c r="AU129" s="64">
        <f>AT129/$F$8</f>
        <v>0</v>
      </c>
      <c r="AV129" s="298">
        <f>+AV125+AV127</f>
        <v>0</v>
      </c>
      <c r="AW129" s="276"/>
      <c r="AX129" s="741"/>
      <c r="AY129" s="744"/>
      <c r="AZ129" s="747"/>
    </row>
    <row r="130" spans="1:60" ht="15.75" hidden="1" customHeight="1" thickBot="1" x14ac:dyDescent="0.3">
      <c r="A130" s="277"/>
      <c r="B130" s="161" t="s">
        <v>74</v>
      </c>
      <c r="C130" s="498"/>
      <c r="D130" s="445" t="s">
        <v>39</v>
      </c>
      <c r="E130" s="445"/>
      <c r="F130" s="445"/>
      <c r="G130" s="113"/>
      <c r="H130" s="114"/>
      <c r="I130" s="116"/>
      <c r="J130" s="254"/>
      <c r="K130" s="116"/>
      <c r="L130" s="254"/>
      <c r="M130" s="116"/>
      <c r="N130" s="254"/>
      <c r="O130" s="116"/>
      <c r="P130" s="254"/>
      <c r="Q130" s="113"/>
      <c r="R130" s="289"/>
      <c r="S130" s="290"/>
      <c r="T130" s="114"/>
      <c r="U130" s="113"/>
      <c r="V130" s="114"/>
      <c r="W130" s="113"/>
      <c r="X130" s="114"/>
      <c r="Y130" s="113"/>
      <c r="Z130" s="114"/>
      <c r="AA130" s="113"/>
      <c r="AB130" s="114"/>
      <c r="AC130" s="113"/>
      <c r="AD130" s="114"/>
      <c r="AE130" s="113"/>
      <c r="AF130" s="114"/>
      <c r="AG130" s="98"/>
      <c r="AH130" s="99"/>
      <c r="AI130" s="113"/>
      <c r="AJ130" s="114"/>
      <c r="AK130" s="71">
        <f>G130+I130+K130+M130+O130+Q130+S130+U130+W130+Y130+AA130+AC130+AE130+AG130+AI130</f>
        <v>0</v>
      </c>
      <c r="AL130" s="72"/>
      <c r="AM130" s="73">
        <f>H130+J130+L130+N130+P130+R130+T130+V130+X130+Z130+AB130+AD130+AF130+AH130+AJ130</f>
        <v>0</v>
      </c>
      <c r="AN130" s="72"/>
      <c r="AO130" s="74"/>
      <c r="AP130" s="73"/>
      <c r="AQ130" s="75"/>
      <c r="AR130" s="299">
        <f>+AR123+AK130-AG70-AG116-AG123</f>
        <v>0</v>
      </c>
      <c r="AS130" s="77"/>
      <c r="AT130" s="73">
        <f>+AT123+AM130-AH70-AH116-AH123</f>
        <v>0</v>
      </c>
      <c r="AU130" s="77"/>
      <c r="AV130" s="300"/>
      <c r="AW130" s="276"/>
      <c r="AX130" s="741"/>
      <c r="AY130" s="744"/>
      <c r="AZ130" s="747"/>
    </row>
    <row r="131" spans="1:60" ht="30.75" hidden="1" customHeight="1" thickBot="1" x14ac:dyDescent="0.3">
      <c r="A131" s="277"/>
      <c r="B131" s="152">
        <f>SUM(MOD(("1/"&amp;$A$14)-{0;6},{1E+99;7})*{1;-1},$A$89*7,MATCH(MID(B130,1,2),{"Mo";"Tu";"We";"Th";"Fr";"Sa";"Su"},0)-5)</f>
        <v>42442</v>
      </c>
      <c r="C131" s="499"/>
      <c r="D131" s="446" t="s">
        <v>6</v>
      </c>
      <c r="E131" s="446"/>
      <c r="F131" s="446"/>
      <c r="G131" s="120"/>
      <c r="H131" s="121"/>
      <c r="I131" s="120"/>
      <c r="J131" s="121"/>
      <c r="K131" s="120"/>
      <c r="L131" s="121"/>
      <c r="M131" s="120"/>
      <c r="N131" s="121"/>
      <c r="O131" s="120"/>
      <c r="P131" s="121"/>
      <c r="Q131" s="120"/>
      <c r="R131" s="260"/>
      <c r="S131" s="261"/>
      <c r="T131" s="121"/>
      <c r="U131" s="120"/>
      <c r="V131" s="121"/>
      <c r="W131" s="120"/>
      <c r="X131" s="121"/>
      <c r="Y131" s="120"/>
      <c r="Z131" s="121"/>
      <c r="AA131" s="120"/>
      <c r="AB131" s="121"/>
      <c r="AC131" s="120"/>
      <c r="AD131" s="121"/>
      <c r="AE131" s="120">
        <f t="shared" ref="G131:AJ131" si="18">+AE129+AE130</f>
        <v>0</v>
      </c>
      <c r="AF131" s="121">
        <f t="shared" si="18"/>
        <v>0</v>
      </c>
      <c r="AG131" s="120">
        <f t="shared" si="18"/>
        <v>0</v>
      </c>
      <c r="AH131" s="121">
        <f t="shared" si="18"/>
        <v>0</v>
      </c>
      <c r="AI131" s="120">
        <f t="shared" si="18"/>
        <v>0</v>
      </c>
      <c r="AJ131" s="121">
        <f t="shared" si="18"/>
        <v>0</v>
      </c>
      <c r="AK131" s="123">
        <f>AK129+AK130</f>
        <v>0</v>
      </c>
      <c r="AL131" s="85">
        <f>IF(E125+E127=0,0,AK131/(E125+E127))</f>
        <v>0</v>
      </c>
      <c r="AM131" s="90">
        <f>+AM129+AM130</f>
        <v>0</v>
      </c>
      <c r="AN131" s="85">
        <f>IF((E125+E127)=0,0,AM131/((E125+E127)*14))</f>
        <v>0</v>
      </c>
      <c r="AO131" s="87" t="str">
        <f>IF(AM131=0,"",AM131/AK131)</f>
        <v/>
      </c>
      <c r="AP131" s="88">
        <f>+AP129</f>
        <v>0</v>
      </c>
      <c r="AQ131" s="109"/>
      <c r="AR131" s="301">
        <f>+AR129+AR130</f>
        <v>0</v>
      </c>
      <c r="AS131" s="302">
        <f>AR131/$E$8</f>
        <v>0</v>
      </c>
      <c r="AT131" s="303">
        <f>+AT129+AT130</f>
        <v>0</v>
      </c>
      <c r="AU131" s="302">
        <f>+AT131/$F$8</f>
        <v>0</v>
      </c>
      <c r="AV131" s="304">
        <f>+AV129</f>
        <v>0</v>
      </c>
      <c r="AW131" s="276"/>
      <c r="AX131" s="742"/>
      <c r="AY131" s="745"/>
      <c r="AZ131" s="748"/>
    </row>
    <row r="132" spans="1:60" ht="20.100000000000001" hidden="1" customHeight="1" outlineLevel="1" x14ac:dyDescent="0.25">
      <c r="A132" s="277"/>
      <c r="B132" s="447" t="s">
        <v>6</v>
      </c>
      <c r="C132" s="450"/>
      <c r="D132" s="452" t="str">
        <f>$B$6</f>
        <v>Trade</v>
      </c>
      <c r="E132" s="454">
        <f>E76+E83+E90+E97+E104+E111+E125</f>
        <v>315</v>
      </c>
      <c r="F132" s="162" t="s">
        <v>36</v>
      </c>
      <c r="G132" s="163">
        <f t="shared" ref="G132:AJ132" si="19">G76+G83+G90+G97+G104+G111+G118+G125</f>
        <v>0</v>
      </c>
      <c r="H132" s="164">
        <f t="shared" si="19"/>
        <v>0</v>
      </c>
      <c r="I132" s="163">
        <f t="shared" si="19"/>
        <v>0</v>
      </c>
      <c r="J132" s="164">
        <f t="shared" si="19"/>
        <v>0</v>
      </c>
      <c r="K132" s="163">
        <f t="shared" si="19"/>
        <v>0</v>
      </c>
      <c r="L132" s="164">
        <f t="shared" si="19"/>
        <v>0</v>
      </c>
      <c r="M132" s="163">
        <f t="shared" si="19"/>
        <v>0</v>
      </c>
      <c r="N132" s="164">
        <f t="shared" si="19"/>
        <v>0</v>
      </c>
      <c r="O132" s="163">
        <f t="shared" si="19"/>
        <v>0</v>
      </c>
      <c r="P132" s="164">
        <f t="shared" si="19"/>
        <v>0</v>
      </c>
      <c r="Q132" s="163">
        <f t="shared" si="19"/>
        <v>0</v>
      </c>
      <c r="R132" s="305">
        <f t="shared" si="19"/>
        <v>0</v>
      </c>
      <c r="S132" s="306">
        <f t="shared" si="19"/>
        <v>0</v>
      </c>
      <c r="T132" s="164">
        <f t="shared" si="19"/>
        <v>0</v>
      </c>
      <c r="U132" s="163">
        <f t="shared" si="19"/>
        <v>0</v>
      </c>
      <c r="V132" s="164">
        <f t="shared" si="19"/>
        <v>0</v>
      </c>
      <c r="W132" s="163">
        <f t="shared" si="19"/>
        <v>0</v>
      </c>
      <c r="X132" s="164">
        <f t="shared" si="19"/>
        <v>0</v>
      </c>
      <c r="Y132" s="163">
        <f t="shared" si="19"/>
        <v>0</v>
      </c>
      <c r="Z132" s="164">
        <f t="shared" si="19"/>
        <v>0</v>
      </c>
      <c r="AA132" s="163">
        <f t="shared" si="19"/>
        <v>0</v>
      </c>
      <c r="AB132" s="164">
        <f t="shared" si="19"/>
        <v>0</v>
      </c>
      <c r="AC132" s="163">
        <f t="shared" si="19"/>
        <v>0</v>
      </c>
      <c r="AD132" s="164">
        <f t="shared" si="19"/>
        <v>0</v>
      </c>
      <c r="AE132" s="163">
        <f t="shared" si="19"/>
        <v>0</v>
      </c>
      <c r="AF132" s="164">
        <f t="shared" si="19"/>
        <v>0</v>
      </c>
      <c r="AG132" s="163">
        <f t="shared" si="19"/>
        <v>0</v>
      </c>
      <c r="AH132" s="164">
        <f t="shared" si="19"/>
        <v>0</v>
      </c>
      <c r="AI132" s="163">
        <f t="shared" si="19"/>
        <v>0</v>
      </c>
      <c r="AJ132" s="164">
        <f t="shared" si="19"/>
        <v>0</v>
      </c>
      <c r="AK132" s="434">
        <f>G132+I132+K132+M132+O132+Q132+S132+U132+W132+Y132+AA132+AC132+AE132+AG132+AI132</f>
        <v>0</v>
      </c>
      <c r="AL132" s="436">
        <f>IF(E132=0,0,AK132/E132)</f>
        <v>0</v>
      </c>
      <c r="AM132" s="438">
        <f>H132+J132+L132+N132+P132+R132+T132+V132+X132+Z132+AB132+AD132+AF132+AH132+AJ132</f>
        <v>0</v>
      </c>
      <c r="AN132" s="440">
        <f>IF(E132=0,0,AM132/($E132*14))</f>
        <v>0</v>
      </c>
      <c r="AO132" s="442" t="str">
        <f>IF(AM132=0,"",AM132/AK132)</f>
        <v/>
      </c>
      <c r="AP132" s="438">
        <f>G133+I133+K133+M133+O133+Q133+S133+U133+W133+Y133+AA133+AC133+AE133+AG133+AI133</f>
        <v>0</v>
      </c>
      <c r="AQ132" s="307"/>
      <c r="AR132" s="428" t="s">
        <v>75</v>
      </c>
      <c r="AS132" s="429"/>
      <c r="AT132" s="308"/>
      <c r="AU132" s="308"/>
      <c r="AV132" s="308"/>
      <c r="AW132" s="48"/>
    </row>
    <row r="133" spans="1:60" ht="15.75" hidden="1" customHeight="1" outlineLevel="1" thickBot="1" x14ac:dyDescent="0.3">
      <c r="A133" s="277"/>
      <c r="B133" s="448"/>
      <c r="C133" s="451"/>
      <c r="D133" s="453"/>
      <c r="E133" s="455"/>
      <c r="F133" s="165" t="s">
        <v>37</v>
      </c>
      <c r="G133" s="426">
        <f>G77+G84+G91+G98+G105+G112+G119+G126</f>
        <v>0</v>
      </c>
      <c r="H133" s="427"/>
      <c r="I133" s="426">
        <f>I77+I84+I91+I98+I105+I112+I119+I126</f>
        <v>0</v>
      </c>
      <c r="J133" s="427"/>
      <c r="K133" s="426">
        <f>K77+K84+K91+K98+K105+K112+K119+K126</f>
        <v>0</v>
      </c>
      <c r="L133" s="427"/>
      <c r="M133" s="426">
        <f>M77+M84+M91+M98+M105+M112+M119+M126</f>
        <v>0</v>
      </c>
      <c r="N133" s="427"/>
      <c r="O133" s="426">
        <f>O77+O84+O91+O98+O105+O112+O119+O126</f>
        <v>0</v>
      </c>
      <c r="P133" s="427"/>
      <c r="Q133" s="426">
        <f>Q77+Q84+Q91+Q98+Q105+Q112+Q119+Q126</f>
        <v>0</v>
      </c>
      <c r="R133" s="432"/>
      <c r="S133" s="433">
        <f>S77+S84+S91+S98+S105+S112+S119+S126</f>
        <v>0</v>
      </c>
      <c r="T133" s="427"/>
      <c r="U133" s="426">
        <f>U77+U84+U91+U98+U105+U112+U119+U126</f>
        <v>0</v>
      </c>
      <c r="V133" s="427"/>
      <c r="W133" s="426">
        <f>W77+W84+W91+W98+W105+W112+W119+W126</f>
        <v>0</v>
      </c>
      <c r="X133" s="427"/>
      <c r="Y133" s="426">
        <f>Y77+Y84+Y91+Y98+Y105+Y112+Y119+Y126</f>
        <v>0</v>
      </c>
      <c r="Z133" s="427"/>
      <c r="AA133" s="426">
        <f>AA77+AA84+AA91+AA98+AA105+AA112+AA119+AA126</f>
        <v>0</v>
      </c>
      <c r="AB133" s="427"/>
      <c r="AC133" s="426">
        <f>AC77+AC84+AC91+AC98+AC105+AC112+AC119+AC126</f>
        <v>0</v>
      </c>
      <c r="AD133" s="427"/>
      <c r="AE133" s="426">
        <f>AE77+AE84+AE91+AE98+AE105+AE112+AE119+AE126</f>
        <v>0</v>
      </c>
      <c r="AF133" s="427"/>
      <c r="AG133" s="426">
        <f>AG77+AG84+AG91+AG98+AG105+AG112+AG119+AG126</f>
        <v>0</v>
      </c>
      <c r="AH133" s="427"/>
      <c r="AI133" s="426">
        <f>AI77+AI84+AI91+AI98+AI105+AI112+AI119+AI126</f>
        <v>0</v>
      </c>
      <c r="AJ133" s="427"/>
      <c r="AK133" s="435"/>
      <c r="AL133" s="437"/>
      <c r="AM133" s="439"/>
      <c r="AN133" s="441"/>
      <c r="AO133" s="443"/>
      <c r="AP133" s="444"/>
      <c r="AQ133" s="307"/>
      <c r="AR133" s="430"/>
      <c r="AS133" s="431"/>
      <c r="AU133" s="309"/>
      <c r="AV133" s="309"/>
      <c r="AW133" s="48"/>
    </row>
    <row r="134" spans="1:60" ht="20.100000000000001" hidden="1" customHeight="1" outlineLevel="1" x14ac:dyDescent="0.25">
      <c r="A134" s="277"/>
      <c r="B134" s="448"/>
      <c r="C134" s="451"/>
      <c r="D134" s="456" t="str">
        <f>$B$7</f>
        <v>Feeder</v>
      </c>
      <c r="E134" s="458"/>
      <c r="F134" s="166" t="s">
        <v>36</v>
      </c>
      <c r="G134" s="167">
        <f>G78+G85+G92+G99+G106+G113+G120+G127</f>
        <v>0</v>
      </c>
      <c r="H134" s="168">
        <f>H78+H85+H92+H99+H106+H113+H120+H127</f>
        <v>0</v>
      </c>
      <c r="I134" s="167">
        <f>I78+I85+I92+I99+I106+I113+I120+I127</f>
        <v>0</v>
      </c>
      <c r="J134" s="168">
        <f>J78+J85+J92+J99+J106+J113+J120+J127</f>
        <v>0</v>
      </c>
      <c r="K134" s="167">
        <f>K78+K85+K92+K99+K106+K113+K120+K127</f>
        <v>0</v>
      </c>
      <c r="L134" s="168">
        <f>L78+L85+L92+L99+L106+L113+L120+L127</f>
        <v>0</v>
      </c>
      <c r="M134" s="167">
        <f>M78+M85+M92+M99+M106+M113+M120+M127</f>
        <v>0</v>
      </c>
      <c r="N134" s="168">
        <f>N78+N85+N92+N99+N106+N113+N120+N127</f>
        <v>0</v>
      </c>
      <c r="O134" s="167">
        <f>O78+O85+O92+O99+O106+O113+O120+O127</f>
        <v>0</v>
      </c>
      <c r="P134" s="168">
        <f>P78+P85+P92+P99+P106+P113+P120+P127</f>
        <v>0</v>
      </c>
      <c r="Q134" s="167">
        <f>Q78+Q85+Q92+Q99+Q106+Q113+Q120+Q127</f>
        <v>0</v>
      </c>
      <c r="R134" s="310">
        <f>R78+R85+R92+R99+R106+R113+R120+R127</f>
        <v>0</v>
      </c>
      <c r="S134" s="311">
        <f>S78+S85+S92+S99+S106+S113+S120+S127</f>
        <v>0</v>
      </c>
      <c r="T134" s="168">
        <f>T78+T85+T92+T99+T106+T113+T120+T127</f>
        <v>0</v>
      </c>
      <c r="U134" s="167">
        <f>U78+U85+U92+U99+U106+U113+U120+U127</f>
        <v>0</v>
      </c>
      <c r="V134" s="168">
        <f>V78+V85+V92+V99+V106+V113+V120+V127</f>
        <v>0</v>
      </c>
      <c r="W134" s="167">
        <f>W78+W85+W92+W99+W106+W113+W120+W127</f>
        <v>0</v>
      </c>
      <c r="X134" s="168">
        <f>X78+X85+X92+X99+X106+X113+X120+X127</f>
        <v>0</v>
      </c>
      <c r="Y134" s="167">
        <f>Y78+Y85+Y92+Y99+Y106+Y113+Y120+Y127</f>
        <v>0</v>
      </c>
      <c r="Z134" s="168">
        <f>Z78+Z85+Z92+Z99+Z106+Z113+Z120+Z127</f>
        <v>0</v>
      </c>
      <c r="AA134" s="167">
        <f>AA78+AA85+AA92+AA99+AA106+AA113+AA120+AA127</f>
        <v>0</v>
      </c>
      <c r="AB134" s="168">
        <f>AB78+AB85+AB92+AB99+AB106+AB113+AB120+AB127</f>
        <v>0</v>
      </c>
      <c r="AC134" s="167">
        <f>AC78+AC85+AC92+AC99+AC106+AC113+AC120+AC127</f>
        <v>0</v>
      </c>
      <c r="AD134" s="168">
        <f>AD78+AD85+AD92+AD99+AD106+AD113+AD120+AD127</f>
        <v>0</v>
      </c>
      <c r="AE134" s="167">
        <f>AE78+AE85+AE92+AE99+AE106+AE113+AE120+AE127</f>
        <v>0</v>
      </c>
      <c r="AF134" s="168">
        <f>AF78+AF85+AF92+AF99+AF106+AF113+AF120+AF127</f>
        <v>0</v>
      </c>
      <c r="AG134" s="167">
        <f>AG78+AG85+AG92+AG99+AG106+AG113+AG120+AG127</f>
        <v>0</v>
      </c>
      <c r="AH134" s="168">
        <f>AH78+AH85+AH92+AH99+AH106+AH113+AH120+AH127</f>
        <v>0</v>
      </c>
      <c r="AI134" s="167">
        <f>AI78+AI85+AI92+AI99+AI106+AI113+AI120+AI127</f>
        <v>0</v>
      </c>
      <c r="AJ134" s="168">
        <f>AJ78+AJ85+AJ92+AJ99+AJ106+AJ113+AJ120+AJ127</f>
        <v>0</v>
      </c>
      <c r="AK134" s="417">
        <f>G134+I134+K134+M134+O134+Q134+S134+U134+W134+Y134+AA134+AC134+AE134+AG134+AI134</f>
        <v>0</v>
      </c>
      <c r="AL134" s="419">
        <f>IF(E132=0,0,AK134/E132)</f>
        <v>0</v>
      </c>
      <c r="AM134" s="420">
        <f>H134+J134+L134+N134+P134+R134+T134+V134+X134+Z134+AB134+AD134+AF134+AH134+AJ134</f>
        <v>0</v>
      </c>
      <c r="AN134" s="422">
        <f>IF(E132=0,0,AM134/($E132*14))</f>
        <v>0</v>
      </c>
      <c r="AO134" s="424" t="str">
        <f>IF(AM134=0,"",AM134/AK134)</f>
        <v/>
      </c>
      <c r="AP134" s="425">
        <f>G135+I135+K135+M135+O135+Q135+S135+U135+W135+Y135+AA135+AC135+AE135+AG135+AI135</f>
        <v>0</v>
      </c>
      <c r="AQ134" s="307"/>
      <c r="AR134" s="734">
        <v>226</v>
      </c>
      <c r="AS134" s="735"/>
      <c r="AU134" s="309"/>
      <c r="AV134" s="309"/>
      <c r="AW134" s="48"/>
    </row>
    <row r="135" spans="1:60" ht="15.75" hidden="1" customHeight="1" outlineLevel="1" thickBot="1" x14ac:dyDescent="0.3">
      <c r="A135" s="277"/>
      <c r="B135" s="448"/>
      <c r="C135" s="451"/>
      <c r="D135" s="457"/>
      <c r="E135" s="459"/>
      <c r="F135" s="50" t="s">
        <v>37</v>
      </c>
      <c r="G135" s="167">
        <f>G79+G86+G93+G100+G107+G114+G121+G128</f>
        <v>0</v>
      </c>
      <c r="H135" s="168"/>
      <c r="I135" s="167">
        <f>I79+I86+I93+I100+I107+I114+I121+I128</f>
        <v>0</v>
      </c>
      <c r="J135" s="168"/>
      <c r="K135" s="167">
        <f>K79+K86+K93+K100+K107+K114+K121+K128</f>
        <v>0</v>
      </c>
      <c r="L135" s="168"/>
      <c r="M135" s="167">
        <f>M79+M86+M93+M100+M107+M114+M121+M128</f>
        <v>0</v>
      </c>
      <c r="N135" s="168"/>
      <c r="O135" s="167">
        <f>O79+O86+O93+O100+O107+O114+O121+O128</f>
        <v>0</v>
      </c>
      <c r="P135" s="168"/>
      <c r="Q135" s="167">
        <f>Q79+Q86+Q93+Q100+Q107+Q114+Q121+Q128</f>
        <v>0</v>
      </c>
      <c r="R135" s="310"/>
      <c r="S135" s="311">
        <f>S79+S86+S93+S100+S107+S114+S121+S128</f>
        <v>0</v>
      </c>
      <c r="T135" s="168"/>
      <c r="U135" s="167">
        <f>U79+U86+U93+U100+U107+U114+U121+U128</f>
        <v>0</v>
      </c>
      <c r="V135" s="168"/>
      <c r="W135" s="167">
        <f>W79+W86+W93+W100+W107+W114+W121+W128</f>
        <v>0</v>
      </c>
      <c r="X135" s="168"/>
      <c r="Y135" s="167">
        <f>Y79+Y86+Y93+Y100+Y107+Y114+Y121+Y128</f>
        <v>0</v>
      </c>
      <c r="Z135" s="168"/>
      <c r="AA135" s="167">
        <f>AA79+AA86+AA93+AA100+AA107+AA114+AA121+AA128</f>
        <v>0</v>
      </c>
      <c r="AB135" s="168"/>
      <c r="AC135" s="167">
        <f>AC79+AC86+AC93+AC100+AC107+AC114+AC121+AC128</f>
        <v>0</v>
      </c>
      <c r="AD135" s="168"/>
      <c r="AE135" s="167">
        <f>AE79+AE86+AE93+AE100+AE107+AE114+AE121+AE128</f>
        <v>0</v>
      </c>
      <c r="AF135" s="168"/>
      <c r="AG135" s="167">
        <f>AG79+AG86+AG93+AG100+AG107+AG114+AG121+AG128</f>
        <v>0</v>
      </c>
      <c r="AH135" s="168"/>
      <c r="AI135" s="167">
        <f>AI79+AI86+AI93+AI100+AI107+AI114+AI121+AI128</f>
        <v>0</v>
      </c>
      <c r="AJ135" s="168"/>
      <c r="AK135" s="418"/>
      <c r="AL135" s="419"/>
      <c r="AM135" s="421"/>
      <c r="AN135" s="423"/>
      <c r="AO135" s="424"/>
      <c r="AP135" s="425"/>
      <c r="AQ135" s="307"/>
      <c r="AR135" s="736"/>
      <c r="AS135" s="737"/>
      <c r="AU135" s="309"/>
      <c r="AV135" s="309"/>
      <c r="AW135" s="48"/>
    </row>
    <row r="136" spans="1:60" ht="24" hidden="1" customHeight="1" x14ac:dyDescent="0.25">
      <c r="A136" s="738" t="s">
        <v>58</v>
      </c>
      <c r="B136" s="448"/>
      <c r="C136" s="451"/>
      <c r="D136" s="409" t="s">
        <v>38</v>
      </c>
      <c r="E136" s="410"/>
      <c r="F136" s="411"/>
      <c r="G136" s="174">
        <f>+SUM(G134,G132)</f>
        <v>0</v>
      </c>
      <c r="H136" s="175">
        <f>+SUM(H134,H132)</f>
        <v>0</v>
      </c>
      <c r="I136" s="174">
        <f t="shared" ref="I136:R136" si="20">+SUM(I134,I132)</f>
        <v>0</v>
      </c>
      <c r="J136" s="175">
        <f t="shared" si="20"/>
        <v>0</v>
      </c>
      <c r="K136" s="174">
        <f t="shared" si="20"/>
        <v>0</v>
      </c>
      <c r="L136" s="175">
        <f t="shared" si="20"/>
        <v>0</v>
      </c>
      <c r="M136" s="174">
        <f t="shared" si="20"/>
        <v>0</v>
      </c>
      <c r="N136" s="175">
        <f t="shared" si="20"/>
        <v>0</v>
      </c>
      <c r="O136" s="174">
        <f t="shared" si="20"/>
        <v>0</v>
      </c>
      <c r="P136" s="175">
        <f t="shared" si="20"/>
        <v>0</v>
      </c>
      <c r="Q136" s="174">
        <f t="shared" si="20"/>
        <v>0</v>
      </c>
      <c r="R136" s="312">
        <f t="shared" si="20"/>
        <v>0</v>
      </c>
      <c r="S136" s="313">
        <f>+SUM(S134,S132)</f>
        <v>0</v>
      </c>
      <c r="T136" s="175">
        <f t="shared" ref="T136:AJ136" si="21">+SUM(T134,T132)</f>
        <v>0</v>
      </c>
      <c r="U136" s="174">
        <f t="shared" si="21"/>
        <v>0</v>
      </c>
      <c r="V136" s="175">
        <f t="shared" si="21"/>
        <v>0</v>
      </c>
      <c r="W136" s="174">
        <f t="shared" si="21"/>
        <v>0</v>
      </c>
      <c r="X136" s="175">
        <f t="shared" si="21"/>
        <v>0</v>
      </c>
      <c r="Y136" s="174">
        <f t="shared" si="21"/>
        <v>0</v>
      </c>
      <c r="Z136" s="175">
        <f t="shared" si="21"/>
        <v>0</v>
      </c>
      <c r="AA136" s="174">
        <f t="shared" si="21"/>
        <v>0</v>
      </c>
      <c r="AB136" s="175">
        <f t="shared" si="21"/>
        <v>0</v>
      </c>
      <c r="AC136" s="174">
        <f t="shared" si="21"/>
        <v>0</v>
      </c>
      <c r="AD136" s="175">
        <f t="shared" si="21"/>
        <v>0</v>
      </c>
      <c r="AE136" s="174">
        <f t="shared" si="21"/>
        <v>0</v>
      </c>
      <c r="AF136" s="175">
        <f t="shared" si="21"/>
        <v>0</v>
      </c>
      <c r="AG136" s="174">
        <f t="shared" si="21"/>
        <v>0</v>
      </c>
      <c r="AH136" s="175">
        <f t="shared" si="21"/>
        <v>0</v>
      </c>
      <c r="AI136" s="174">
        <f t="shared" si="21"/>
        <v>0</v>
      </c>
      <c r="AJ136" s="175">
        <f t="shared" si="21"/>
        <v>0</v>
      </c>
      <c r="AK136" s="314">
        <f>+AK132+AK134</f>
        <v>0</v>
      </c>
      <c r="AL136" s="177">
        <f>IF(E132+E134=0,0,AK136/(E132+E134))</f>
        <v>0</v>
      </c>
      <c r="AM136" s="178">
        <f>+SUM(AM134,AM132)</f>
        <v>0</v>
      </c>
      <c r="AN136" s="177">
        <f>IF((E132+E134)=0,0,AM136/((E132+E134)*14))</f>
        <v>0</v>
      </c>
      <c r="AO136" s="179" t="str">
        <f>IF(AM136=0,"",AM136/AK136)</f>
        <v/>
      </c>
      <c r="AP136" s="180">
        <f>+AP132+AP134</f>
        <v>0</v>
      </c>
      <c r="AQ136" s="109"/>
      <c r="AU136" s="309"/>
      <c r="AV136" s="309"/>
      <c r="AW136" s="48"/>
    </row>
    <row r="137" spans="1:60" ht="15.75" hidden="1" customHeight="1" thickBot="1" x14ac:dyDescent="0.3">
      <c r="A137" s="739"/>
      <c r="B137" s="449"/>
      <c r="C137" s="451"/>
      <c r="D137" s="412" t="s">
        <v>39</v>
      </c>
      <c r="E137" s="412"/>
      <c r="F137" s="412"/>
      <c r="G137" s="184"/>
      <c r="H137" s="185"/>
      <c r="I137" s="184"/>
      <c r="J137" s="185"/>
      <c r="K137" s="184"/>
      <c r="L137" s="185"/>
      <c r="M137" s="184"/>
      <c r="N137" s="185"/>
      <c r="O137" s="184"/>
      <c r="P137" s="185"/>
      <c r="Q137" s="184"/>
      <c r="R137" s="315"/>
      <c r="S137" s="316"/>
      <c r="T137" s="185"/>
      <c r="U137" s="184"/>
      <c r="V137" s="185"/>
      <c r="W137" s="184"/>
      <c r="X137" s="185"/>
      <c r="Y137" s="184"/>
      <c r="Z137" s="185"/>
      <c r="AA137" s="184"/>
      <c r="AB137" s="185"/>
      <c r="AC137" s="184"/>
      <c r="AD137" s="185"/>
      <c r="AE137" s="184"/>
      <c r="AF137" s="185"/>
      <c r="AG137" s="184"/>
      <c r="AH137" s="185"/>
      <c r="AI137" s="184"/>
      <c r="AJ137" s="185"/>
      <c r="AK137" s="317">
        <f>G137+I137+K137+M137+O137+Q137+S137+U137+W137+Y137+AA137+AC137+AE137+AG137+AI137</f>
        <v>0</v>
      </c>
      <c r="AL137" s="72"/>
      <c r="AM137" s="133">
        <f>H137+J137+L137+N137+P137+R137+T137+V137+X137+Z137+AB137+AD137+AF137+AH137+AJ137</f>
        <v>0</v>
      </c>
      <c r="AN137" s="72"/>
      <c r="AO137" s="318"/>
      <c r="AP137" s="133"/>
      <c r="AQ137" s="109"/>
      <c r="AU137" s="309"/>
      <c r="AV137" s="309"/>
      <c r="AW137" s="37"/>
    </row>
    <row r="138" spans="1:60" s="205" customFormat="1" ht="34.5" hidden="1" customHeight="1" thickBot="1" x14ac:dyDescent="0.4">
      <c r="A138" s="413" t="s">
        <v>76</v>
      </c>
      <c r="B138" s="414"/>
      <c r="C138" s="414"/>
      <c r="D138" s="414"/>
      <c r="E138" s="414"/>
      <c r="F138" s="415"/>
      <c r="G138" s="206">
        <f t="shared" ref="G138:AJ138" si="22">+G136+G137</f>
        <v>0</v>
      </c>
      <c r="H138" s="207">
        <f t="shared" si="22"/>
        <v>0</v>
      </c>
      <c r="I138" s="319">
        <f t="shared" si="22"/>
        <v>0</v>
      </c>
      <c r="J138" s="320">
        <f t="shared" si="22"/>
        <v>0</v>
      </c>
      <c r="K138" s="319">
        <f t="shared" si="22"/>
        <v>0</v>
      </c>
      <c r="L138" s="320">
        <f t="shared" si="22"/>
        <v>0</v>
      </c>
      <c r="M138" s="319">
        <f t="shared" si="22"/>
        <v>0</v>
      </c>
      <c r="N138" s="320">
        <f t="shared" si="22"/>
        <v>0</v>
      </c>
      <c r="O138" s="319">
        <f t="shared" si="22"/>
        <v>0</v>
      </c>
      <c r="P138" s="320">
        <f t="shared" si="22"/>
        <v>0</v>
      </c>
      <c r="Q138" s="319">
        <f t="shared" si="22"/>
        <v>0</v>
      </c>
      <c r="R138" s="321">
        <f t="shared" si="22"/>
        <v>0</v>
      </c>
      <c r="S138" s="322">
        <f t="shared" si="22"/>
        <v>0</v>
      </c>
      <c r="T138" s="320">
        <f t="shared" si="22"/>
        <v>0</v>
      </c>
      <c r="U138" s="319">
        <f t="shared" si="22"/>
        <v>0</v>
      </c>
      <c r="V138" s="320">
        <f t="shared" si="22"/>
        <v>0</v>
      </c>
      <c r="W138" s="319">
        <f t="shared" si="22"/>
        <v>0</v>
      </c>
      <c r="X138" s="320">
        <f t="shared" si="22"/>
        <v>0</v>
      </c>
      <c r="Y138" s="319">
        <f t="shared" si="22"/>
        <v>0</v>
      </c>
      <c r="Z138" s="320">
        <f t="shared" si="22"/>
        <v>0</v>
      </c>
      <c r="AA138" s="319">
        <f t="shared" si="22"/>
        <v>0</v>
      </c>
      <c r="AB138" s="320">
        <f t="shared" si="22"/>
        <v>0</v>
      </c>
      <c r="AC138" s="319">
        <f t="shared" si="22"/>
        <v>0</v>
      </c>
      <c r="AD138" s="320">
        <f t="shared" si="22"/>
        <v>0</v>
      </c>
      <c r="AE138" s="319">
        <f t="shared" si="22"/>
        <v>0</v>
      </c>
      <c r="AF138" s="320">
        <f t="shared" si="22"/>
        <v>0</v>
      </c>
      <c r="AG138" s="319">
        <f t="shared" si="22"/>
        <v>0</v>
      </c>
      <c r="AH138" s="320">
        <f t="shared" si="22"/>
        <v>0</v>
      </c>
      <c r="AI138" s="319">
        <f t="shared" si="22"/>
        <v>0</v>
      </c>
      <c r="AJ138" s="320">
        <f t="shared" si="22"/>
        <v>0</v>
      </c>
      <c r="AK138" s="123">
        <f>AK136+AK137</f>
        <v>0</v>
      </c>
      <c r="AL138" s="85">
        <f>IF(E132+E134=0,0,AK138/(E132+E134))</f>
        <v>0</v>
      </c>
      <c r="AM138" s="90">
        <f>+AM136+AM137</f>
        <v>0</v>
      </c>
      <c r="AN138" s="85">
        <f>IF((E132+E134)=0,0,AM138/((E132+E134)*14))</f>
        <v>0</v>
      </c>
      <c r="AO138" s="87" t="str">
        <f>IF(AM138=0,"",AM138/AK138)</f>
        <v/>
      </c>
      <c r="AP138" s="88">
        <f>+AP136</f>
        <v>0</v>
      </c>
      <c r="AQ138" s="213"/>
      <c r="AU138" s="309"/>
      <c r="AV138" s="309"/>
      <c r="AW138" s="201"/>
      <c r="AX138" s="202">
        <f>AX125</f>
        <v>1234</v>
      </c>
      <c r="AY138" s="203">
        <f>AY125</f>
        <v>17276</v>
      </c>
      <c r="AZ138" s="204">
        <f>AZ125</f>
        <v>300</v>
      </c>
    </row>
    <row r="139" spans="1:60" ht="27" hidden="1" customHeight="1" thickBot="1" x14ac:dyDescent="0.3">
      <c r="A139" s="416" t="s">
        <v>60</v>
      </c>
      <c r="B139" s="414"/>
      <c r="C139" s="414"/>
      <c r="D139" s="414"/>
      <c r="E139" s="414"/>
      <c r="F139" s="414"/>
      <c r="G139" s="206">
        <f>G138</f>
        <v>0</v>
      </c>
      <c r="H139" s="207">
        <f>H138+H71</f>
        <v>0</v>
      </c>
      <c r="I139" s="206">
        <f>I138</f>
        <v>0</v>
      </c>
      <c r="J139" s="208">
        <f t="shared" ref="J139:AJ139" si="23">J138+J71</f>
        <v>0</v>
      </c>
      <c r="K139" s="206">
        <f>K138</f>
        <v>0</v>
      </c>
      <c r="L139" s="207">
        <f t="shared" si="23"/>
        <v>0</v>
      </c>
      <c r="M139" s="206">
        <f>M138</f>
        <v>0</v>
      </c>
      <c r="N139" s="207">
        <f t="shared" si="23"/>
        <v>0</v>
      </c>
      <c r="O139" s="206">
        <f t="shared" si="23"/>
        <v>0</v>
      </c>
      <c r="P139" s="207">
        <f t="shared" si="23"/>
        <v>0</v>
      </c>
      <c r="Q139" s="206">
        <f t="shared" si="23"/>
        <v>0</v>
      </c>
      <c r="R139" s="323">
        <f t="shared" si="23"/>
        <v>0</v>
      </c>
      <c r="S139" s="324">
        <f>S138+S71</f>
        <v>0</v>
      </c>
      <c r="T139" s="207">
        <f t="shared" si="23"/>
        <v>0</v>
      </c>
      <c r="U139" s="206">
        <f t="shared" si="23"/>
        <v>0</v>
      </c>
      <c r="V139" s="207">
        <f t="shared" si="23"/>
        <v>0</v>
      </c>
      <c r="W139" s="206">
        <f t="shared" si="23"/>
        <v>0</v>
      </c>
      <c r="X139" s="207">
        <f t="shared" si="23"/>
        <v>0</v>
      </c>
      <c r="Y139" s="206">
        <f t="shared" si="23"/>
        <v>0</v>
      </c>
      <c r="Z139" s="207">
        <f t="shared" si="23"/>
        <v>0</v>
      </c>
      <c r="AA139" s="206">
        <f t="shared" si="23"/>
        <v>0</v>
      </c>
      <c r="AB139" s="209">
        <f t="shared" si="23"/>
        <v>0</v>
      </c>
      <c r="AC139" s="206">
        <f t="shared" si="23"/>
        <v>0</v>
      </c>
      <c r="AD139" s="207">
        <f t="shared" si="23"/>
        <v>0</v>
      </c>
      <c r="AE139" s="206">
        <f t="shared" si="23"/>
        <v>0</v>
      </c>
      <c r="AF139" s="209">
        <f t="shared" si="23"/>
        <v>0</v>
      </c>
      <c r="AG139" s="206">
        <f t="shared" si="23"/>
        <v>0</v>
      </c>
      <c r="AH139" s="209">
        <f t="shared" si="23"/>
        <v>0</v>
      </c>
      <c r="AI139" s="325">
        <f>AI138+AI71</f>
        <v>0</v>
      </c>
      <c r="AJ139" s="211">
        <f t="shared" si="23"/>
        <v>0</v>
      </c>
      <c r="AR139" s="309"/>
      <c r="AS139" s="309"/>
      <c r="AT139" s="309"/>
      <c r="AU139" s="309"/>
      <c r="AV139" s="309"/>
      <c r="BE139" s="2"/>
      <c r="BF139" s="2"/>
    </row>
    <row r="140" spans="1:60" s="326" customFormat="1" ht="27" hidden="1" customHeight="1" thickBot="1" x14ac:dyDescent="0.3">
      <c r="C140" s="327"/>
      <c r="D140" s="327"/>
      <c r="E140" s="327"/>
      <c r="F140" s="327"/>
      <c r="AO140" s="26"/>
      <c r="AP140" s="26"/>
      <c r="AQ140" s="2"/>
      <c r="AR140" s="26"/>
      <c r="AS140" s="26"/>
      <c r="AT140" s="26"/>
      <c r="AU140" s="309"/>
      <c r="AV140" s="328"/>
      <c r="AW140" s="327"/>
    </row>
    <row r="141" spans="1:60" ht="30" hidden="1" customHeight="1" thickBot="1" x14ac:dyDescent="0.3">
      <c r="A141" s="723" t="s">
        <v>0</v>
      </c>
      <c r="B141" s="724"/>
      <c r="C141" s="724"/>
      <c r="D141" s="725"/>
      <c r="E141" s="3" t="s">
        <v>1</v>
      </c>
      <c r="F141" s="3" t="s">
        <v>2</v>
      </c>
      <c r="G141" s="4" t="s">
        <v>3</v>
      </c>
      <c r="AO141" s="726">
        <f>+E149</f>
        <v>5</v>
      </c>
      <c r="AP141" s="728">
        <f>+E211</f>
        <v>5</v>
      </c>
      <c r="AQ141" s="729"/>
      <c r="AR141" s="722" t="s">
        <v>4</v>
      </c>
      <c r="AS141" s="722"/>
      <c r="AT141" s="722" t="s">
        <v>5</v>
      </c>
      <c r="AU141" s="722"/>
      <c r="AV141" s="5" t="s">
        <v>6</v>
      </c>
    </row>
    <row r="142" spans="1:60" ht="18" hidden="1" customHeight="1" x14ac:dyDescent="0.25">
      <c r="A142" s="699" t="s">
        <v>7</v>
      </c>
      <c r="B142" s="701" t="s">
        <v>8</v>
      </c>
      <c r="C142" s="702"/>
      <c r="D142" s="703"/>
      <c r="E142" s="329">
        <f>VLOOKUP($A$12,[1]Fleet!C:T,8,0)</f>
        <v>1234</v>
      </c>
      <c r="F142" s="329">
        <f>VLOOKUP($A$12,[1]Fleet!C:T,9,0)</f>
        <v>17276</v>
      </c>
      <c r="G142" s="330">
        <f>VLOOKUP($A$12,[1]Fleet!C:T,15,0)</f>
        <v>300</v>
      </c>
      <c r="P142" s="331"/>
      <c r="Q142" s="331"/>
      <c r="R142" s="331"/>
      <c r="S142" s="331"/>
      <c r="T142" s="331"/>
      <c r="U142" s="331"/>
      <c r="V142" s="331"/>
      <c r="W142" s="331"/>
      <c r="X142" s="331"/>
      <c r="Y142" s="331"/>
      <c r="Z142" s="331"/>
      <c r="AA142" s="331"/>
      <c r="AB142" s="331"/>
      <c r="AC142" s="331"/>
      <c r="AD142" s="331"/>
      <c r="AE142" s="331"/>
      <c r="AF142" s="331"/>
      <c r="AG142" s="331"/>
      <c r="AH142" s="331"/>
      <c r="AI142" s="331"/>
      <c r="AJ142" s="331"/>
      <c r="AK142" s="331"/>
      <c r="AL142" s="331"/>
      <c r="AM142" s="331"/>
      <c r="AN142" s="331"/>
      <c r="AO142" s="727"/>
      <c r="AP142" s="730"/>
      <c r="AQ142" s="731"/>
      <c r="AR142" s="8" t="s">
        <v>9</v>
      </c>
      <c r="AS142" s="8" t="s">
        <v>10</v>
      </c>
      <c r="AT142" s="9" t="s">
        <v>9</v>
      </c>
      <c r="AU142" s="10" t="s">
        <v>10</v>
      </c>
      <c r="AV142" s="11" t="s">
        <v>11</v>
      </c>
    </row>
    <row r="143" spans="1:60" ht="18" hidden="1" customHeight="1" x14ac:dyDescent="0.25">
      <c r="A143" s="699"/>
      <c r="B143" s="716" t="s">
        <v>12</v>
      </c>
      <c r="C143" s="717"/>
      <c r="D143" s="718"/>
      <c r="E143" s="12">
        <f>+E160+E167+E174+E181</f>
        <v>300</v>
      </c>
      <c r="F143" s="12">
        <f>E143*14</f>
        <v>4200</v>
      </c>
      <c r="G143" s="13"/>
      <c r="P143" s="331"/>
      <c r="Q143" s="331"/>
      <c r="R143" s="331"/>
      <c r="S143" s="331"/>
      <c r="T143" s="331"/>
      <c r="U143" s="331"/>
      <c r="V143" s="331"/>
      <c r="W143" s="331"/>
      <c r="X143" s="331"/>
      <c r="Y143" s="331"/>
      <c r="Z143" s="331"/>
      <c r="AA143" s="331"/>
      <c r="AB143" s="331"/>
      <c r="AC143" s="331"/>
      <c r="AD143" s="331"/>
      <c r="AE143" s="331"/>
      <c r="AF143" s="331"/>
      <c r="AG143" s="331"/>
      <c r="AH143" s="331"/>
      <c r="AI143" s="331"/>
      <c r="AJ143" s="331"/>
      <c r="AK143" s="331"/>
      <c r="AL143" s="331"/>
      <c r="AM143" s="331"/>
      <c r="AN143" s="331"/>
      <c r="AO143" s="713" t="s">
        <v>13</v>
      </c>
      <c r="AP143" s="714"/>
      <c r="AQ143" s="715"/>
      <c r="AR143" s="14">
        <f>+AR174</f>
        <v>0</v>
      </c>
      <c r="AS143" s="15">
        <f>+AR143/[1]ALLOC!$T$22</f>
        <v>0</v>
      </c>
      <c r="AT143" s="16">
        <f>+AR176</f>
        <v>0</v>
      </c>
      <c r="AU143" s="15">
        <f>+AT143/[1]ALLOC!$U$22</f>
        <v>0</v>
      </c>
      <c r="AV143" s="17">
        <f>+(AR143+AT143)/E142</f>
        <v>0</v>
      </c>
      <c r="AW143" s="1"/>
      <c r="BE143" s="18"/>
      <c r="BF143" s="18"/>
      <c r="BG143" s="18"/>
      <c r="BH143" s="18"/>
    </row>
    <row r="144" spans="1:60" ht="18.75" hidden="1" customHeight="1" thickBot="1" x14ac:dyDescent="0.3">
      <c r="A144" s="700"/>
      <c r="B144" s="719" t="s">
        <v>14</v>
      </c>
      <c r="C144" s="720"/>
      <c r="D144" s="721"/>
      <c r="E144" s="19">
        <f>+E162+E169+E176+E183</f>
        <v>575</v>
      </c>
      <c r="F144" s="19">
        <f>E144*14</f>
        <v>8050</v>
      </c>
      <c r="G144" s="20"/>
      <c r="P144" s="331"/>
      <c r="Q144" s="331"/>
      <c r="R144" s="331"/>
      <c r="S144" s="331"/>
      <c r="T144" s="331"/>
      <c r="U144" s="331"/>
      <c r="V144" s="331"/>
      <c r="W144" s="331"/>
      <c r="X144" s="331"/>
      <c r="Y144" s="331"/>
      <c r="Z144" s="331"/>
      <c r="AA144" s="331"/>
      <c r="AB144" s="331"/>
      <c r="AC144" s="331"/>
      <c r="AD144" s="331"/>
      <c r="AE144" s="331"/>
      <c r="AF144" s="331"/>
      <c r="AG144" s="331"/>
      <c r="AH144" s="331"/>
      <c r="AI144" s="331"/>
      <c r="AJ144" s="331"/>
      <c r="AK144" s="331"/>
      <c r="AL144" s="331"/>
      <c r="AM144" s="331"/>
      <c r="AN144" s="331"/>
      <c r="AO144" s="713" t="s">
        <v>15</v>
      </c>
      <c r="AP144" s="714"/>
      <c r="AQ144" s="715"/>
      <c r="AR144" s="14">
        <f>+AR181</f>
        <v>0</v>
      </c>
      <c r="AS144" s="15">
        <f>+AR144/[1]ALLOC!$T$23</f>
        <v>0</v>
      </c>
      <c r="AT144" s="14">
        <f>+AR183</f>
        <v>0</v>
      </c>
      <c r="AU144" s="15">
        <f>+AT144/[1]ALLOC!$U$23</f>
        <v>0</v>
      </c>
      <c r="AV144" s="17">
        <f>+(AR144+AT144)/E142</f>
        <v>0</v>
      </c>
      <c r="AW144" s="1"/>
      <c r="BE144" s="18"/>
      <c r="BF144" s="18"/>
      <c r="BG144" s="18"/>
      <c r="BH144" s="18"/>
    </row>
    <row r="145" spans="1:60" ht="20.25" hidden="1" customHeight="1" x14ac:dyDescent="0.25">
      <c r="A145" s="699" t="s">
        <v>16</v>
      </c>
      <c r="B145" s="701" t="s">
        <v>17</v>
      </c>
      <c r="C145" s="702"/>
      <c r="D145" s="703"/>
      <c r="E145" s="332">
        <f>VLOOKUP($A$12,[1]Fleet!C:T,8,0)</f>
        <v>1234</v>
      </c>
      <c r="F145" s="332">
        <f>VLOOKUP($A$12,[1]Fleet!C:T,9,0)</f>
        <v>17276</v>
      </c>
      <c r="G145" s="333">
        <f>VLOOKUP($A$12,[1]Fleet!C:T,15,0)</f>
        <v>300</v>
      </c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713" t="s">
        <v>18</v>
      </c>
      <c r="AP145" s="714"/>
      <c r="AQ145" s="715"/>
      <c r="AR145" s="14">
        <f>+AR234</f>
        <v>0</v>
      </c>
      <c r="AS145" s="15">
        <f>+AR145/[1]ALLOC!$T$20</f>
        <v>0</v>
      </c>
      <c r="AT145" s="14">
        <f>+AR236</f>
        <v>0</v>
      </c>
      <c r="AU145" s="15">
        <f>+AT145/[1]ALLOC!$U$20</f>
        <v>0</v>
      </c>
      <c r="AV145" s="17">
        <f>+(AR145+AT145)/E145</f>
        <v>0</v>
      </c>
      <c r="AW145" s="1"/>
      <c r="BE145" s="18"/>
      <c r="BF145" s="18"/>
      <c r="BG145" s="18"/>
      <c r="BH145" s="18"/>
    </row>
    <row r="146" spans="1:60" ht="19.5" hidden="1" customHeight="1" x14ac:dyDescent="0.25">
      <c r="A146" s="699"/>
      <c r="B146" s="716" t="s">
        <v>12</v>
      </c>
      <c r="C146" s="717"/>
      <c r="D146" s="718"/>
      <c r="E146" s="12">
        <f>+E213+E220+E227+E234</f>
        <v>765</v>
      </c>
      <c r="F146" s="12">
        <f>E146*14</f>
        <v>10710</v>
      </c>
      <c r="G146" s="1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713" t="s">
        <v>19</v>
      </c>
      <c r="AP146" s="714"/>
      <c r="AQ146" s="715"/>
      <c r="AR146" s="14">
        <f>+AR241</f>
        <v>0</v>
      </c>
      <c r="AS146" s="15">
        <f>+AR146/[1]ALLOC!$T$21</f>
        <v>0</v>
      </c>
      <c r="AT146" s="16">
        <f>+AR243</f>
        <v>0</v>
      </c>
      <c r="AU146" s="15">
        <f>+AT146/[1]ALLOC!$U$21</f>
        <v>0</v>
      </c>
      <c r="AV146" s="17">
        <f>+(AR146+AT146)/E145</f>
        <v>0</v>
      </c>
      <c r="BE146" s="18"/>
      <c r="BF146" s="18"/>
      <c r="BG146" s="18"/>
      <c r="BH146" s="18"/>
    </row>
    <row r="147" spans="1:60" s="26" customFormat="1" ht="17.25" hidden="1" customHeight="1" thickBot="1" x14ac:dyDescent="0.3">
      <c r="A147" s="700"/>
      <c r="B147" s="719" t="s">
        <v>14</v>
      </c>
      <c r="C147" s="720"/>
      <c r="D147" s="721"/>
      <c r="E147" s="19">
        <f>+E215+E222+E229+E236</f>
        <v>475</v>
      </c>
      <c r="F147" s="19">
        <f>E147*14</f>
        <v>6650</v>
      </c>
      <c r="G147" s="20"/>
      <c r="H147" s="24"/>
      <c r="I147" s="25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W147" s="27"/>
      <c r="AX147" s="27"/>
      <c r="AY147" s="27"/>
      <c r="AZ147" s="27"/>
    </row>
    <row r="148" spans="1:60" s="26" customFormat="1" ht="17.25" hidden="1" customHeight="1" thickBot="1" x14ac:dyDescent="0.3">
      <c r="A148" s="334"/>
      <c r="B148" s="335"/>
      <c r="C148" s="335"/>
      <c r="D148" s="335"/>
      <c r="E148" s="31"/>
      <c r="F148" s="31"/>
      <c r="G148" s="32"/>
      <c r="H148" s="24"/>
      <c r="I148" s="25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W148" s="27"/>
      <c r="AX148" s="27"/>
      <c r="AY148" s="27"/>
      <c r="AZ148" s="27"/>
    </row>
    <row r="149" spans="1:60" ht="15.75" hidden="1" customHeight="1" x14ac:dyDescent="0.25">
      <c r="A149" s="632" t="s">
        <v>20</v>
      </c>
      <c r="B149" s="633"/>
      <c r="C149" s="633"/>
      <c r="D149" s="691"/>
      <c r="E149" s="693">
        <v>5</v>
      </c>
      <c r="F149" s="695">
        <f ca="1">TODAY()</f>
        <v>42499</v>
      </c>
      <c r="G149" s="696"/>
      <c r="H149" s="696"/>
      <c r="I149" s="670"/>
      <c r="J149" s="670"/>
      <c r="K149" s="670"/>
      <c r="L149" s="670"/>
      <c r="M149" s="670"/>
      <c r="N149" s="670"/>
      <c r="O149" s="670"/>
      <c r="P149" s="670"/>
      <c r="Q149" s="670"/>
      <c r="R149" s="670"/>
      <c r="U149" s="670"/>
      <c r="V149" s="670"/>
      <c r="W149" s="33"/>
      <c r="X149" s="33"/>
      <c r="Y149" s="33"/>
      <c r="Z149" s="33"/>
      <c r="AA149" s="670"/>
      <c r="AB149" s="670"/>
      <c r="AC149" s="689"/>
      <c r="AD149" s="689"/>
      <c r="AE149" s="670"/>
      <c r="AF149" s="670"/>
      <c r="AG149" s="670"/>
      <c r="AH149" s="670"/>
      <c r="AI149" s="670"/>
      <c r="AJ149" s="670"/>
      <c r="AK149" s="672" t="s">
        <v>21</v>
      </c>
      <c r="AL149" s="673"/>
      <c r="AM149" s="673"/>
      <c r="AN149" s="673"/>
      <c r="AO149" s="673"/>
      <c r="AP149" s="674"/>
      <c r="AQ149" s="34"/>
      <c r="AR149" s="678" t="s">
        <v>22</v>
      </c>
      <c r="AS149" s="679"/>
      <c r="AT149" s="679"/>
      <c r="AU149" s="679"/>
      <c r="AV149" s="680"/>
      <c r="AW149" s="336"/>
      <c r="AX149" s="337"/>
      <c r="AY149" s="337"/>
      <c r="AZ149" s="337"/>
    </row>
    <row r="150" spans="1:60" ht="32.25" hidden="1" customHeight="1" thickBot="1" x14ac:dyDescent="0.3">
      <c r="A150" s="634"/>
      <c r="B150" s="635"/>
      <c r="C150" s="635"/>
      <c r="D150" s="692"/>
      <c r="E150" s="694"/>
      <c r="F150" s="697"/>
      <c r="G150" s="698"/>
      <c r="H150" s="698"/>
      <c r="I150" s="671"/>
      <c r="J150" s="671"/>
      <c r="K150" s="671"/>
      <c r="L150" s="671"/>
      <c r="M150" s="671"/>
      <c r="N150" s="671"/>
      <c r="O150" s="671"/>
      <c r="P150" s="671"/>
      <c r="Q150" s="671"/>
      <c r="R150" s="671"/>
      <c r="U150" s="671"/>
      <c r="V150" s="671"/>
      <c r="W150" s="35"/>
      <c r="X150" s="35"/>
      <c r="Y150" s="35"/>
      <c r="Z150" s="35"/>
      <c r="AA150" s="671"/>
      <c r="AB150" s="671"/>
      <c r="AC150" s="690"/>
      <c r="AD150" s="690"/>
      <c r="AE150" s="671"/>
      <c r="AF150" s="671"/>
      <c r="AG150" s="671"/>
      <c r="AH150" s="671"/>
      <c r="AI150" s="671"/>
      <c r="AJ150" s="671"/>
      <c r="AK150" s="675"/>
      <c r="AL150" s="676"/>
      <c r="AM150" s="676"/>
      <c r="AN150" s="676"/>
      <c r="AO150" s="676"/>
      <c r="AP150" s="677"/>
      <c r="AQ150" s="34"/>
      <c r="AR150" s="681"/>
      <c r="AS150" s="682"/>
      <c r="AT150" s="682"/>
      <c r="AU150" s="682"/>
      <c r="AV150" s="683"/>
    </row>
    <row r="151" spans="1:60" ht="33" hidden="1" customHeight="1" x14ac:dyDescent="0.25">
      <c r="A151" s="36">
        <v>2016</v>
      </c>
      <c r="B151" s="684" t="s">
        <v>24</v>
      </c>
      <c r="C151" s="686"/>
      <c r="D151" s="686" t="s">
        <v>25</v>
      </c>
      <c r="E151" s="686" t="s">
        <v>26</v>
      </c>
      <c r="F151" s="688" t="s">
        <v>27</v>
      </c>
      <c r="G151" s="619" t="str">
        <f>+B164</f>
        <v>FRMRS</v>
      </c>
      <c r="H151" s="625"/>
      <c r="I151" s="619" t="str">
        <f>+B171</f>
        <v>ESBCN</v>
      </c>
      <c r="J151" s="625"/>
      <c r="K151" s="619" t="str">
        <f>B178</f>
        <v>ESVLC</v>
      </c>
      <c r="L151" s="625"/>
      <c r="M151" s="619" t="str">
        <f>B185</f>
        <v>MTMLA</v>
      </c>
      <c r="N151" s="625"/>
      <c r="O151" s="619" t="str">
        <f>B192</f>
        <v>Add call</v>
      </c>
      <c r="P151" s="625"/>
      <c r="Q151" s="619" t="str">
        <f>B199</f>
        <v>Add Call</v>
      </c>
      <c r="R151" s="625"/>
      <c r="S151" s="621" t="str">
        <f>B217</f>
        <v>TRMER</v>
      </c>
      <c r="T151" s="625"/>
      <c r="U151" s="621" t="str">
        <f>B224</f>
        <v>TRISK</v>
      </c>
      <c r="V151" s="625"/>
      <c r="W151" s="621" t="str">
        <f>+B231</f>
        <v>LBBEY</v>
      </c>
      <c r="X151" s="625"/>
      <c r="Y151" s="621" t="str">
        <f>+B238</f>
        <v>EGALY</v>
      </c>
      <c r="Z151" s="625"/>
      <c r="AA151" s="621" t="str">
        <f>B245</f>
        <v>MTMLA</v>
      </c>
      <c r="AB151" s="620"/>
      <c r="AC151" s="619" t="str">
        <f>B252</f>
        <v>DZALD</v>
      </c>
      <c r="AD151" s="625"/>
      <c r="AE151" s="619" t="str">
        <f>B259</f>
        <v>DZALS</v>
      </c>
      <c r="AF151" s="620"/>
      <c r="AG151" s="619" t="str">
        <f>B266</f>
        <v>Add Call</v>
      </c>
      <c r="AH151" s="620"/>
      <c r="AI151" s="621" t="s">
        <v>28</v>
      </c>
      <c r="AJ151" s="620"/>
      <c r="AK151" s="668" t="s">
        <v>9</v>
      </c>
      <c r="AL151" s="551" t="s">
        <v>29</v>
      </c>
      <c r="AM151" s="551" t="s">
        <v>30</v>
      </c>
      <c r="AN151" s="551" t="s">
        <v>29</v>
      </c>
      <c r="AO151" s="611" t="s">
        <v>31</v>
      </c>
      <c r="AP151" s="664" t="s">
        <v>32</v>
      </c>
      <c r="AQ151" s="37"/>
      <c r="AR151" s="666" t="s">
        <v>9</v>
      </c>
      <c r="AS151" s="667" t="s">
        <v>29</v>
      </c>
      <c r="AT151" s="667" t="s">
        <v>30</v>
      </c>
      <c r="AU151" s="601" t="s">
        <v>29</v>
      </c>
      <c r="AV151" s="603" t="s">
        <v>33</v>
      </c>
    </row>
    <row r="152" spans="1:60" ht="14.4" hidden="1" customHeight="1" thickBot="1" x14ac:dyDescent="0.3">
      <c r="A152" s="40"/>
      <c r="B152" s="685"/>
      <c r="C152" s="687"/>
      <c r="D152" s="687"/>
      <c r="E152" s="687"/>
      <c r="F152" s="687"/>
      <c r="G152" s="598">
        <f>B166</f>
        <v>42459</v>
      </c>
      <c r="H152" s="599"/>
      <c r="I152" s="598">
        <f>B173</f>
        <v>42460</v>
      </c>
      <c r="J152" s="599"/>
      <c r="K152" s="598">
        <f>B180</f>
        <v>42461</v>
      </c>
      <c r="L152" s="599"/>
      <c r="M152" s="598">
        <f>B187</f>
        <v>42464</v>
      </c>
      <c r="N152" s="599"/>
      <c r="O152" s="598">
        <f>B194</f>
        <v>42431</v>
      </c>
      <c r="P152" s="599"/>
      <c r="Q152" s="598">
        <f>B201</f>
        <v>42432</v>
      </c>
      <c r="R152" s="599"/>
      <c r="S152" s="598">
        <f>B219</f>
        <v>42468</v>
      </c>
      <c r="T152" s="599"/>
      <c r="U152" s="598">
        <f>B226</f>
        <v>42469</v>
      </c>
      <c r="V152" s="599"/>
      <c r="W152" s="598">
        <f>B233</f>
        <v>42470</v>
      </c>
      <c r="X152" s="599"/>
      <c r="Y152" s="598">
        <f>B240</f>
        <v>42473</v>
      </c>
      <c r="Z152" s="599"/>
      <c r="AA152" s="598">
        <f>B247</f>
        <v>42476</v>
      </c>
      <c r="AB152" s="600"/>
      <c r="AC152" s="598">
        <f>B254</f>
        <v>42480</v>
      </c>
      <c r="AD152" s="599"/>
      <c r="AE152" s="598">
        <f>B261</f>
        <v>42480</v>
      </c>
      <c r="AF152" s="600"/>
      <c r="AG152" s="598">
        <f>B268</f>
        <v>42442</v>
      </c>
      <c r="AH152" s="600"/>
      <c r="AI152" s="598"/>
      <c r="AJ152" s="600"/>
      <c r="AK152" s="669"/>
      <c r="AL152" s="553"/>
      <c r="AM152" s="553"/>
      <c r="AN152" s="553"/>
      <c r="AO152" s="612"/>
      <c r="AP152" s="665"/>
      <c r="AQ152" s="37"/>
      <c r="AR152" s="616"/>
      <c r="AS152" s="602"/>
      <c r="AT152" s="602"/>
      <c r="AU152" s="602"/>
      <c r="AV152" s="604"/>
    </row>
    <row r="153" spans="1:60" ht="16.5" hidden="1" customHeight="1" outlineLevel="1" x14ac:dyDescent="0.25">
      <c r="A153" s="43"/>
      <c r="B153" s="622" t="s">
        <v>22</v>
      </c>
      <c r="C153" s="551"/>
      <c r="D153" s="500" t="str">
        <f>$B$6</f>
        <v>Trade</v>
      </c>
      <c r="E153" s="501"/>
      <c r="F153" s="44" t="s">
        <v>36</v>
      </c>
      <c r="G153" s="45"/>
      <c r="H153" s="46"/>
      <c r="I153" s="45"/>
      <c r="J153" s="46"/>
      <c r="K153" s="45"/>
      <c r="L153" s="46"/>
      <c r="M153" s="45"/>
      <c r="N153" s="46"/>
      <c r="O153" s="45"/>
      <c r="P153" s="46"/>
      <c r="Q153" s="45"/>
      <c r="R153" s="46"/>
      <c r="S153" s="45"/>
      <c r="T153" s="46"/>
      <c r="U153" s="45"/>
      <c r="V153" s="46"/>
      <c r="W153" s="45"/>
      <c r="X153" s="46"/>
      <c r="Y153" s="45"/>
      <c r="Z153" s="46"/>
      <c r="AA153" s="338"/>
      <c r="AB153" s="339"/>
      <c r="AC153" s="338"/>
      <c r="AD153" s="339"/>
      <c r="AE153" s="338"/>
      <c r="AF153" s="339"/>
      <c r="AG153" s="45"/>
      <c r="AH153" s="46"/>
      <c r="AI153" s="338"/>
      <c r="AJ153" s="339"/>
      <c r="AK153" s="502">
        <f>G153+I153+K153+M153+O153+Q153+S153+U153+W153+Y153+AA153+AC153+AE153+AG153+AI153</f>
        <v>0</v>
      </c>
      <c r="AL153" s="504">
        <f>IF(E153=0,0,AK153/E153)</f>
        <v>0</v>
      </c>
      <c r="AM153" s="493">
        <f>H153+J153+L153+N153+P153+R153+T153+V153+X153+Z153+AB153+AD153+AF153+AH153+AJ153</f>
        <v>0</v>
      </c>
      <c r="AN153" s="491">
        <f>IF(E153=0,0,AM153/($E153*14))</f>
        <v>0</v>
      </c>
      <c r="AO153" s="492" t="str">
        <f>IF(AM153=0,"",AM153/AK153)</f>
        <v/>
      </c>
      <c r="AP153" s="493">
        <f>G154+I154+K154+M154+O154+Q154+S154+U154+W154+Y154+AA154+AC154+AE154+AG154+AI154</f>
        <v>0</v>
      </c>
      <c r="AQ153" s="47"/>
      <c r="AR153" s="502">
        <f>+AK153</f>
        <v>0</v>
      </c>
      <c r="AS153" s="504">
        <f>AR153/E143</f>
        <v>0</v>
      </c>
      <c r="AT153" s="493">
        <f>+AM153</f>
        <v>0</v>
      </c>
      <c r="AU153" s="504">
        <f>+AT153/F143</f>
        <v>0</v>
      </c>
      <c r="AV153" s="514">
        <f>+AP153</f>
        <v>0</v>
      </c>
    </row>
    <row r="154" spans="1:60" ht="20.399999999999999" hidden="1" customHeight="1" outlineLevel="1" x14ac:dyDescent="0.25">
      <c r="A154" s="49"/>
      <c r="B154" s="663"/>
      <c r="C154" s="552"/>
      <c r="D154" s="457"/>
      <c r="E154" s="459"/>
      <c r="F154" s="50" t="s">
        <v>37</v>
      </c>
      <c r="G154" s="512"/>
      <c r="H154" s="513"/>
      <c r="I154" s="512"/>
      <c r="J154" s="513"/>
      <c r="K154" s="512"/>
      <c r="L154" s="513"/>
      <c r="M154" s="512"/>
      <c r="N154" s="513"/>
      <c r="O154" s="512"/>
      <c r="P154" s="513"/>
      <c r="Q154" s="512"/>
      <c r="R154" s="513"/>
      <c r="S154" s="512"/>
      <c r="T154" s="513"/>
      <c r="U154" s="512"/>
      <c r="V154" s="513"/>
      <c r="W154" s="512"/>
      <c r="X154" s="513"/>
      <c r="Y154" s="512"/>
      <c r="Z154" s="513"/>
      <c r="AA154" s="650"/>
      <c r="AB154" s="651"/>
      <c r="AC154" s="650"/>
      <c r="AD154" s="651"/>
      <c r="AE154" s="650"/>
      <c r="AF154" s="651"/>
      <c r="AG154" s="512"/>
      <c r="AH154" s="513"/>
      <c r="AI154" s="650"/>
      <c r="AJ154" s="651"/>
      <c r="AK154" s="503"/>
      <c r="AL154" s="419"/>
      <c r="AM154" s="505"/>
      <c r="AN154" s="423"/>
      <c r="AO154" s="424"/>
      <c r="AP154" s="425"/>
      <c r="AQ154" s="47"/>
      <c r="AR154" s="503"/>
      <c r="AS154" s="419"/>
      <c r="AT154" s="505"/>
      <c r="AU154" s="419"/>
      <c r="AV154" s="515"/>
    </row>
    <row r="155" spans="1:60" ht="20.399999999999999" hidden="1" customHeight="1" outlineLevel="1" x14ac:dyDescent="0.25">
      <c r="A155" s="49"/>
      <c r="B155" s="663"/>
      <c r="C155" s="552"/>
      <c r="D155" s="479" t="str">
        <f>$B$7</f>
        <v>Feeder</v>
      </c>
      <c r="E155" s="481"/>
      <c r="F155" s="51" t="s">
        <v>36</v>
      </c>
      <c r="G155" s="52"/>
      <c r="H155" s="53"/>
      <c r="I155" s="52"/>
      <c r="J155" s="53"/>
      <c r="K155" s="52"/>
      <c r="L155" s="53"/>
      <c r="M155" s="52"/>
      <c r="N155" s="53"/>
      <c r="O155" s="52"/>
      <c r="P155" s="53"/>
      <c r="Q155" s="52"/>
      <c r="R155" s="53"/>
      <c r="S155" s="52"/>
      <c r="T155" s="53"/>
      <c r="U155" s="52"/>
      <c r="V155" s="53"/>
      <c r="W155" s="52"/>
      <c r="X155" s="53"/>
      <c r="Y155" s="52"/>
      <c r="Z155" s="53"/>
      <c r="AA155" s="340"/>
      <c r="AB155" s="341"/>
      <c r="AC155" s="340"/>
      <c r="AD155" s="341"/>
      <c r="AE155" s="340"/>
      <c r="AF155" s="341"/>
      <c r="AG155" s="52"/>
      <c r="AH155" s="53"/>
      <c r="AI155" s="340"/>
      <c r="AJ155" s="341"/>
      <c r="AK155" s="483">
        <f>G155+I155+K155+M155+O155+Q155+S155+U155+W155+Y155+AA155+AC155+AE155+AG155+AI155</f>
        <v>0</v>
      </c>
      <c r="AL155" s="467">
        <f>IF(E155=0,0,AK155/E155)</f>
        <v>0</v>
      </c>
      <c r="AM155" s="471">
        <f>H155+J155+L155+N155+P155+R155+T155+V155+X155+Z155+AB155+AD155+AF155+AH155+AJ155</f>
        <v>0</v>
      </c>
      <c r="AN155" s="473">
        <f>IF(E153=0,0,AM155/($E153*14))</f>
        <v>0</v>
      </c>
      <c r="AO155" s="475" t="str">
        <f>IF(AM155=0,"",AM155/AK155)</f>
        <v/>
      </c>
      <c r="AP155" s="468">
        <f>G156+I156+K156+M156+O156+Q156+S156+U156+W156+Y156+AA156+AC156+AE156+AG156+AI156</f>
        <v>0</v>
      </c>
      <c r="AQ155" s="47"/>
      <c r="AR155" s="646">
        <f>+AK155</f>
        <v>0</v>
      </c>
      <c r="AS155" s="467">
        <f>AR155/E144</f>
        <v>0</v>
      </c>
      <c r="AT155" s="647">
        <f>+AM155</f>
        <v>0</v>
      </c>
      <c r="AU155" s="467">
        <f>+AT155/F144</f>
        <v>0</v>
      </c>
      <c r="AV155" s="508">
        <f>+AP155</f>
        <v>0</v>
      </c>
    </row>
    <row r="156" spans="1:60" ht="20.399999999999999" hidden="1" customHeight="1" outlineLevel="1" x14ac:dyDescent="0.25">
      <c r="A156" s="49"/>
      <c r="B156" s="663"/>
      <c r="C156" s="552"/>
      <c r="D156" s="480"/>
      <c r="E156" s="482"/>
      <c r="F156" s="54" t="s">
        <v>37</v>
      </c>
      <c r="G156" s="506"/>
      <c r="H156" s="507"/>
      <c r="I156" s="506"/>
      <c r="J156" s="507"/>
      <c r="K156" s="506"/>
      <c r="L156" s="507"/>
      <c r="M156" s="506"/>
      <c r="N156" s="507"/>
      <c r="O156" s="506"/>
      <c r="P156" s="507"/>
      <c r="Q156" s="506"/>
      <c r="R156" s="507"/>
      <c r="S156" s="506"/>
      <c r="T156" s="507"/>
      <c r="U156" s="506"/>
      <c r="V156" s="507"/>
      <c r="W156" s="506"/>
      <c r="X156" s="507"/>
      <c r="Y156" s="506"/>
      <c r="Z156" s="507"/>
      <c r="AA156" s="650"/>
      <c r="AB156" s="651"/>
      <c r="AC156" s="650"/>
      <c r="AD156" s="651"/>
      <c r="AE156" s="650"/>
      <c r="AF156" s="651"/>
      <c r="AG156" s="506"/>
      <c r="AH156" s="507"/>
      <c r="AI156" s="650"/>
      <c r="AJ156" s="651"/>
      <c r="AK156" s="484"/>
      <c r="AL156" s="467"/>
      <c r="AM156" s="472"/>
      <c r="AN156" s="474"/>
      <c r="AO156" s="475"/>
      <c r="AP156" s="468"/>
      <c r="AQ156" s="47"/>
      <c r="AR156" s="511"/>
      <c r="AS156" s="467"/>
      <c r="AT156" s="647"/>
      <c r="AU156" s="467"/>
      <c r="AV156" s="508"/>
    </row>
    <row r="157" spans="1:60" ht="22.8" hidden="1" customHeight="1" x14ac:dyDescent="0.25">
      <c r="A157" s="49"/>
      <c r="B157" s="663"/>
      <c r="C157" s="552"/>
      <c r="D157" s="464" t="s">
        <v>38</v>
      </c>
      <c r="E157" s="465"/>
      <c r="F157" s="466"/>
      <c r="G157" s="55"/>
      <c r="H157" s="56"/>
      <c r="I157" s="55"/>
      <c r="J157" s="56"/>
      <c r="K157" s="55"/>
      <c r="L157" s="56"/>
      <c r="M157" s="55"/>
      <c r="N157" s="56"/>
      <c r="O157" s="55"/>
      <c r="P157" s="56"/>
      <c r="Q157" s="55"/>
      <c r="R157" s="56"/>
      <c r="S157" s="55"/>
      <c r="T157" s="56"/>
      <c r="U157" s="55"/>
      <c r="V157" s="56"/>
      <c r="W157" s="55"/>
      <c r="X157" s="56"/>
      <c r="Y157" s="55"/>
      <c r="Z157" s="56"/>
      <c r="AA157" s="650"/>
      <c r="AB157" s="651"/>
      <c r="AC157" s="55"/>
      <c r="AD157" s="56"/>
      <c r="AE157" s="55"/>
      <c r="AF157" s="56"/>
      <c r="AG157" s="55"/>
      <c r="AH157" s="56"/>
      <c r="AI157" s="55"/>
      <c r="AJ157" s="56"/>
      <c r="AK157" s="57">
        <f>+AK153+AK155</f>
        <v>0</v>
      </c>
      <c r="AL157" s="58">
        <f>IF(E153+E155=0,0,AK157/(E153+E155))</f>
        <v>0</v>
      </c>
      <c r="AM157" s="59">
        <f>+SUM(AM155,AM153)</f>
        <v>0</v>
      </c>
      <c r="AN157" s="58">
        <f>IF((E153+E155)=0,0,AM157/((E153+E155)*14))</f>
        <v>0</v>
      </c>
      <c r="AO157" s="60" t="str">
        <f>IF(AM157=0,"",AM157/AK157)</f>
        <v/>
      </c>
      <c r="AP157" s="61">
        <f>+AP153+AP155</f>
        <v>0</v>
      </c>
      <c r="AQ157" s="62"/>
      <c r="AR157" s="63">
        <f>+AK157</f>
        <v>0</v>
      </c>
      <c r="AS157" s="64">
        <f>AR157/E5</f>
        <v>0</v>
      </c>
      <c r="AT157" s="65">
        <f>+AM157</f>
        <v>0</v>
      </c>
      <c r="AU157" s="64">
        <f>+AT157/F142</f>
        <v>0</v>
      </c>
      <c r="AV157" s="66">
        <f>+AV153+AV155</f>
        <v>0</v>
      </c>
    </row>
    <row r="158" spans="1:60" ht="21.6" hidden="1" customHeight="1" thickBot="1" x14ac:dyDescent="0.3">
      <c r="A158" s="49"/>
      <c r="B158" s="663"/>
      <c r="C158" s="552"/>
      <c r="D158" s="445" t="s">
        <v>39</v>
      </c>
      <c r="E158" s="445"/>
      <c r="F158" s="445"/>
      <c r="G158" s="67"/>
      <c r="H158" s="68"/>
      <c r="I158" s="69"/>
      <c r="J158" s="70"/>
      <c r="K158" s="69"/>
      <c r="L158" s="70"/>
      <c r="M158" s="69"/>
      <c r="N158" s="70"/>
      <c r="O158" s="69"/>
      <c r="P158" s="70"/>
      <c r="Q158" s="69"/>
      <c r="R158" s="70"/>
      <c r="S158" s="69"/>
      <c r="T158" s="70"/>
      <c r="U158" s="69"/>
      <c r="V158" s="70"/>
      <c r="W158" s="69"/>
      <c r="X158" s="70"/>
      <c r="Y158" s="69"/>
      <c r="Z158" s="70"/>
      <c r="AA158" s="650"/>
      <c r="AB158" s="651"/>
      <c r="AC158" s="342"/>
      <c r="AD158" s="343"/>
      <c r="AE158" s="342"/>
      <c r="AF158" s="343"/>
      <c r="AG158" s="67"/>
      <c r="AH158" s="68"/>
      <c r="AI158" s="342"/>
      <c r="AJ158" s="343"/>
      <c r="AK158" s="71">
        <f>G158+I158+K158+M158+O158+Q158+S158+U158+W158+Y158+AA158+AC158+AE158+AG158+AI158</f>
        <v>0</v>
      </c>
      <c r="AL158" s="72"/>
      <c r="AM158" s="73">
        <f>H158+J158+L158+N158+P158+R158+T158+V158+X158+Z158+AB158+AD158+AF158+AH158+AJ158</f>
        <v>0</v>
      </c>
      <c r="AN158" s="72"/>
      <c r="AO158" s="74"/>
      <c r="AP158" s="73"/>
      <c r="AQ158" s="75"/>
      <c r="AR158" s="76">
        <f>+AK158</f>
        <v>0</v>
      </c>
      <c r="AS158" s="77"/>
      <c r="AT158" s="77">
        <f>+AM158</f>
        <v>0</v>
      </c>
      <c r="AU158" s="77"/>
      <c r="AV158" s="78"/>
    </row>
    <row r="159" spans="1:60" ht="36" hidden="1" customHeight="1" thickBot="1" x14ac:dyDescent="0.3">
      <c r="A159" s="79"/>
      <c r="B159" s="623"/>
      <c r="C159" s="553"/>
      <c r="D159" s="662" t="s">
        <v>40</v>
      </c>
      <c r="E159" s="662"/>
      <c r="F159" s="662"/>
      <c r="G159" s="80"/>
      <c r="H159" s="81"/>
      <c r="I159" s="82"/>
      <c r="J159" s="83"/>
      <c r="K159" s="82"/>
      <c r="L159" s="83"/>
      <c r="M159" s="82"/>
      <c r="N159" s="83"/>
      <c r="O159" s="82"/>
      <c r="P159" s="83"/>
      <c r="Q159" s="82"/>
      <c r="R159" s="83"/>
      <c r="S159" s="82"/>
      <c r="T159" s="83"/>
      <c r="U159" s="82"/>
      <c r="V159" s="83"/>
      <c r="W159" s="82"/>
      <c r="X159" s="83"/>
      <c r="Y159" s="82"/>
      <c r="Z159" s="83"/>
      <c r="AA159" s="82"/>
      <c r="AB159" s="83"/>
      <c r="AC159" s="82"/>
      <c r="AD159" s="83"/>
      <c r="AE159" s="82"/>
      <c r="AF159" s="83"/>
      <c r="AG159" s="82"/>
      <c r="AH159" s="83"/>
      <c r="AI159" s="82"/>
      <c r="AJ159" s="83"/>
      <c r="AK159" s="84">
        <f>AK157+AK158</f>
        <v>0</v>
      </c>
      <c r="AL159" s="85">
        <f>IF(E153+E155=0,0,AK159/(E153+E155))</f>
        <v>0</v>
      </c>
      <c r="AM159" s="86">
        <f>+AM157+AM158</f>
        <v>0</v>
      </c>
      <c r="AN159" s="85">
        <f>IF((E153+E155)=0,0,AM159/((E153+E155)*14))</f>
        <v>0</v>
      </c>
      <c r="AO159" s="87" t="str">
        <f>IF(AM159=0,"",AM159/AK159)</f>
        <v/>
      </c>
      <c r="AP159" s="88">
        <f>+AP157</f>
        <v>0</v>
      </c>
      <c r="AQ159" s="89"/>
      <c r="AR159" s="84">
        <f>+AR157+AR158</f>
        <v>0</v>
      </c>
      <c r="AS159" s="85">
        <f>AR159/E142</f>
        <v>0</v>
      </c>
      <c r="AT159" s="90">
        <f>+AT157+AT158</f>
        <v>0</v>
      </c>
      <c r="AU159" s="85">
        <f>+AT159/F142</f>
        <v>0</v>
      </c>
      <c r="AV159" s="91">
        <f>AV157</f>
        <v>0</v>
      </c>
    </row>
    <row r="160" spans="1:60" ht="21" hidden="1" customHeight="1" outlineLevel="1" x14ac:dyDescent="0.25">
      <c r="A160" s="49"/>
      <c r="B160" s="93"/>
      <c r="C160" s="450"/>
      <c r="D160" s="500" t="str">
        <f>$B$6</f>
        <v>Trade</v>
      </c>
      <c r="E160" s="501">
        <v>20</v>
      </c>
      <c r="F160" s="44" t="s">
        <v>36</v>
      </c>
      <c r="G160" s="94"/>
      <c r="H160" s="95"/>
      <c r="I160" s="45"/>
      <c r="J160" s="46"/>
      <c r="K160" s="45"/>
      <c r="L160" s="46"/>
      <c r="M160" s="264"/>
      <c r="N160" s="265"/>
      <c r="O160" s="45"/>
      <c r="P160" s="46"/>
      <c r="Q160" s="45"/>
      <c r="R160" s="46"/>
      <c r="S160" s="45"/>
      <c r="T160" s="46"/>
      <c r="U160" s="45"/>
      <c r="V160" s="46"/>
      <c r="W160" s="45"/>
      <c r="X160" s="46"/>
      <c r="Y160" s="344"/>
      <c r="Z160" s="345"/>
      <c r="AA160" s="650"/>
      <c r="AB160" s="651"/>
      <c r="AC160" s="45"/>
      <c r="AD160" s="46"/>
      <c r="AE160" s="45"/>
      <c r="AF160" s="46"/>
      <c r="AG160" s="45"/>
      <c r="AH160" s="46"/>
      <c r="AI160" s="45"/>
      <c r="AJ160" s="46"/>
      <c r="AK160" s="502">
        <f>G160+I160+K160+M160+O160+Q160+S160+U160+W160+Y160+AA160+AC160+AE160+AG160+AI160</f>
        <v>0</v>
      </c>
      <c r="AL160" s="504">
        <f>IF(E160=0,0,AK160/E160)</f>
        <v>0</v>
      </c>
      <c r="AM160" s="493">
        <f>H160+J160+L160+N160+P160+R160+T160+V160+X160+Z160+AB160+AD160+AF160+AH160+AJ160</f>
        <v>0</v>
      </c>
      <c r="AN160" s="491">
        <f>IF(E160=0,0,AM160/($E160*14))</f>
        <v>0</v>
      </c>
      <c r="AO160" s="492" t="str">
        <f>IF(AM160=0,"",AM160/AK160)</f>
        <v/>
      </c>
      <c r="AP160" s="493">
        <f>G161+I161+K161+M161+O161+Q161+S161+U161+W161+Y161+AA161+AC161+AE161+AG161+AI161</f>
        <v>0</v>
      </c>
      <c r="AQ160" s="47"/>
      <c r="AR160" s="502">
        <f>AR153+AK160-G153</f>
        <v>0</v>
      </c>
      <c r="AS160" s="504">
        <f>AR160/E160</f>
        <v>0</v>
      </c>
      <c r="AT160" s="648">
        <f>AT153+AM160-H153</f>
        <v>0</v>
      </c>
      <c r="AU160" s="504">
        <f>+AT160/(14*(E160))</f>
        <v>0</v>
      </c>
      <c r="AV160" s="514">
        <f>AV153+AP160-G154</f>
        <v>0</v>
      </c>
    </row>
    <row r="161" spans="1:48" ht="20.399999999999999" hidden="1" customHeight="1" outlineLevel="1" x14ac:dyDescent="0.25">
      <c r="A161" s="49"/>
      <c r="B161" s="96"/>
      <c r="C161" s="451"/>
      <c r="D161" s="457"/>
      <c r="E161" s="459"/>
      <c r="F161" s="50" t="s">
        <v>37</v>
      </c>
      <c r="G161" s="462"/>
      <c r="H161" s="463"/>
      <c r="I161" s="512"/>
      <c r="J161" s="513"/>
      <c r="K161" s="512"/>
      <c r="L161" s="513"/>
      <c r="M161" s="512"/>
      <c r="N161" s="513"/>
      <c r="O161" s="512"/>
      <c r="P161" s="513"/>
      <c r="Q161" s="512"/>
      <c r="R161" s="513"/>
      <c r="S161" s="512"/>
      <c r="T161" s="513"/>
      <c r="U161" s="512"/>
      <c r="V161" s="513"/>
      <c r="W161" s="512"/>
      <c r="X161" s="513"/>
      <c r="Y161" s="512"/>
      <c r="Z161" s="513"/>
      <c r="AA161" s="650"/>
      <c r="AB161" s="651"/>
      <c r="AC161" s="512"/>
      <c r="AD161" s="513"/>
      <c r="AE161" s="512"/>
      <c r="AF161" s="513"/>
      <c r="AG161" s="512"/>
      <c r="AH161" s="513"/>
      <c r="AI161" s="512"/>
      <c r="AJ161" s="513"/>
      <c r="AK161" s="503"/>
      <c r="AL161" s="419"/>
      <c r="AM161" s="505"/>
      <c r="AN161" s="423"/>
      <c r="AO161" s="424"/>
      <c r="AP161" s="425"/>
      <c r="AQ161" s="47"/>
      <c r="AR161" s="503"/>
      <c r="AS161" s="419"/>
      <c r="AT161" s="505"/>
      <c r="AU161" s="419"/>
      <c r="AV161" s="515"/>
    </row>
    <row r="162" spans="1:48" ht="20.399999999999999" hidden="1" customHeight="1" outlineLevel="1" x14ac:dyDescent="0.25">
      <c r="A162" s="49"/>
      <c r="B162" s="97" t="s">
        <v>41</v>
      </c>
      <c r="C162" s="451"/>
      <c r="D162" s="479" t="str">
        <f>$B$7</f>
        <v>Feeder</v>
      </c>
      <c r="E162" s="481">
        <v>5</v>
      </c>
      <c r="F162" s="51" t="s">
        <v>36</v>
      </c>
      <c r="G162" s="98"/>
      <c r="H162" s="99"/>
      <c r="I162" s="52"/>
      <c r="J162" s="53"/>
      <c r="K162" s="52"/>
      <c r="L162" s="53"/>
      <c r="M162" s="52"/>
      <c r="N162" s="53"/>
      <c r="O162" s="52"/>
      <c r="P162" s="53"/>
      <c r="Q162" s="52"/>
      <c r="R162" s="53"/>
      <c r="S162" s="52"/>
      <c r="T162" s="53"/>
      <c r="U162" s="52"/>
      <c r="V162" s="53"/>
      <c r="W162" s="52"/>
      <c r="X162" s="53"/>
      <c r="Y162" s="52"/>
      <c r="Z162" s="53"/>
      <c r="AA162" s="650"/>
      <c r="AB162" s="651"/>
      <c r="AC162" s="52"/>
      <c r="AD162" s="53"/>
      <c r="AE162" s="52"/>
      <c r="AF162" s="53"/>
      <c r="AG162" s="52"/>
      <c r="AH162" s="53"/>
      <c r="AI162" s="52"/>
      <c r="AJ162" s="53"/>
      <c r="AK162" s="483">
        <f>G162+I162+K162+M162+O162+Q162+S162+U162+W162+Y162+AA162+AC162+AE162+AG162+AI162</f>
        <v>0</v>
      </c>
      <c r="AL162" s="467">
        <f>IF(E162=0,0,AK162/E162)</f>
        <v>0</v>
      </c>
      <c r="AM162" s="471">
        <f>H162+J162+L162+N162+P162+R162+T162+V162+X162+Z162+AB162+AD162+AF162+AH162+AJ162</f>
        <v>0</v>
      </c>
      <c r="AN162" s="473">
        <f>IF(E160=0,0,AM162/($E160*14))</f>
        <v>0</v>
      </c>
      <c r="AO162" s="475" t="str">
        <f>IF(AM162=0,"",AM162/AK162)</f>
        <v/>
      </c>
      <c r="AP162" s="468">
        <f>G163+I163+K163+M163+O163+Q163+S163+U163+W163+Y163+AA163+AC163+AE163+AG163+AI163</f>
        <v>0</v>
      </c>
      <c r="AQ162" s="47"/>
      <c r="AR162" s="646">
        <f>AR155+AK162-G155</f>
        <v>0</v>
      </c>
      <c r="AS162" s="467">
        <f>AR162/E162</f>
        <v>0</v>
      </c>
      <c r="AT162" s="647">
        <f>AT155+AM162-H155</f>
        <v>0</v>
      </c>
      <c r="AU162" s="467">
        <f>+AT162/(14*(E162))</f>
        <v>0</v>
      </c>
      <c r="AV162" s="508">
        <f>AV155+AP162-G156</f>
        <v>0</v>
      </c>
    </row>
    <row r="163" spans="1:48" ht="20.399999999999999" hidden="1" customHeight="1" outlineLevel="1" x14ac:dyDescent="0.25">
      <c r="A163" s="49"/>
      <c r="B163" s="100"/>
      <c r="C163" s="451"/>
      <c r="D163" s="480"/>
      <c r="E163" s="482"/>
      <c r="F163" s="54" t="s">
        <v>37</v>
      </c>
      <c r="G163" s="462"/>
      <c r="H163" s="463"/>
      <c r="I163" s="506"/>
      <c r="J163" s="507"/>
      <c r="K163" s="506"/>
      <c r="L163" s="507"/>
      <c r="M163" s="506"/>
      <c r="N163" s="507"/>
      <c r="O163" s="506"/>
      <c r="P163" s="507"/>
      <c r="Q163" s="506"/>
      <c r="R163" s="507"/>
      <c r="S163" s="506"/>
      <c r="T163" s="507"/>
      <c r="U163" s="506"/>
      <c r="V163" s="507"/>
      <c r="W163" s="506"/>
      <c r="X163" s="507"/>
      <c r="Y163" s="506"/>
      <c r="Z163" s="507"/>
      <c r="AA163" s="650"/>
      <c r="AB163" s="651"/>
      <c r="AC163" s="506"/>
      <c r="AD163" s="507"/>
      <c r="AE163" s="506"/>
      <c r="AF163" s="507"/>
      <c r="AG163" s="506"/>
      <c r="AH163" s="507"/>
      <c r="AI163" s="506"/>
      <c r="AJ163" s="507"/>
      <c r="AK163" s="484"/>
      <c r="AL163" s="467"/>
      <c r="AM163" s="472"/>
      <c r="AN163" s="474"/>
      <c r="AO163" s="475"/>
      <c r="AP163" s="468"/>
      <c r="AQ163" s="47"/>
      <c r="AR163" s="511"/>
      <c r="AS163" s="467"/>
      <c r="AT163" s="647"/>
      <c r="AU163" s="467"/>
      <c r="AV163" s="508"/>
    </row>
    <row r="164" spans="1:48" ht="22.8" hidden="1" customHeight="1" x14ac:dyDescent="0.25">
      <c r="A164" s="49"/>
      <c r="B164" s="96" t="s">
        <v>42</v>
      </c>
      <c r="C164" s="451"/>
      <c r="D164" s="464" t="s">
        <v>38</v>
      </c>
      <c r="E164" s="465"/>
      <c r="F164" s="466"/>
      <c r="G164" s="101"/>
      <c r="H164" s="102"/>
      <c r="I164" s="103"/>
      <c r="J164" s="104"/>
      <c r="K164" s="103"/>
      <c r="L164" s="104"/>
      <c r="M164" s="103"/>
      <c r="N164" s="104"/>
      <c r="O164" s="103"/>
      <c r="P164" s="104"/>
      <c r="Q164" s="55"/>
      <c r="R164" s="105"/>
      <c r="S164" s="55"/>
      <c r="T164" s="105"/>
      <c r="U164" s="55"/>
      <c r="V164" s="56"/>
      <c r="W164" s="55"/>
      <c r="X164" s="56"/>
      <c r="Y164" s="55"/>
      <c r="Z164" s="56"/>
      <c r="AA164" s="650"/>
      <c r="AB164" s="651"/>
      <c r="AC164" s="106"/>
      <c r="AD164" s="108"/>
      <c r="AE164" s="106"/>
      <c r="AF164" s="107"/>
      <c r="AG164" s="106"/>
      <c r="AH164" s="107"/>
      <c r="AI164" s="55"/>
      <c r="AJ164" s="56"/>
      <c r="AK164" s="253">
        <f>+AK160+AK162</f>
        <v>0</v>
      </c>
      <c r="AL164" s="58">
        <f>IF(E160+E162=0,0,AK164/(E160+E162))</f>
        <v>0</v>
      </c>
      <c r="AM164" s="110">
        <f>+SUM(AM162,AM160)</f>
        <v>0</v>
      </c>
      <c r="AN164" s="58">
        <f>IF((E160+E162)=0,0,AM164/((E160+E162)*14))</f>
        <v>0</v>
      </c>
      <c r="AO164" s="60" t="str">
        <f>IF(AM164=0,"",AM164/AK164)</f>
        <v/>
      </c>
      <c r="AP164" s="61">
        <f>+AP160+AP162</f>
        <v>0</v>
      </c>
      <c r="AQ164" s="109"/>
      <c r="AR164" s="57">
        <f>+AR160+AR162</f>
        <v>0</v>
      </c>
      <c r="AS164" s="58">
        <f>AR164/E142</f>
        <v>0</v>
      </c>
      <c r="AT164" s="110">
        <f>+AT160+AT162</f>
        <v>0</v>
      </c>
      <c r="AU164" s="58">
        <f>+AT164/F142</f>
        <v>0</v>
      </c>
      <c r="AV164" s="111">
        <f>+AV160+AV162</f>
        <v>0</v>
      </c>
    </row>
    <row r="165" spans="1:48" ht="21.6" hidden="1" customHeight="1" thickBot="1" x14ac:dyDescent="0.3">
      <c r="A165" s="49"/>
      <c r="B165" s="112" t="s">
        <v>43</v>
      </c>
      <c r="C165" s="451"/>
      <c r="D165" s="445" t="s">
        <v>39</v>
      </c>
      <c r="E165" s="445"/>
      <c r="F165" s="445"/>
      <c r="G165" s="98"/>
      <c r="H165" s="99"/>
      <c r="I165" s="113"/>
      <c r="J165" s="114"/>
      <c r="K165" s="113"/>
      <c r="L165" s="114"/>
      <c r="M165" s="113"/>
      <c r="N165" s="114"/>
      <c r="O165" s="113"/>
      <c r="P165" s="114"/>
      <c r="Q165" s="113"/>
      <c r="R165" s="114"/>
      <c r="S165" s="113"/>
      <c r="T165" s="114"/>
      <c r="U165" s="113"/>
      <c r="V165" s="115"/>
      <c r="W165" s="113"/>
      <c r="X165" s="115"/>
      <c r="Y165" s="113"/>
      <c r="Z165" s="115"/>
      <c r="AA165" s="650"/>
      <c r="AB165" s="651"/>
      <c r="AC165" s="113"/>
      <c r="AD165" s="114"/>
      <c r="AE165" s="113"/>
      <c r="AF165" s="115"/>
      <c r="AG165" s="116"/>
      <c r="AH165" s="117"/>
      <c r="AI165" s="113"/>
      <c r="AJ165" s="115"/>
      <c r="AK165" s="71">
        <f>G165+I165+K165+M165+O165+Q165+S165+U165+W165+Y165+AA165+AC165+AE165+AG165+AI165</f>
        <v>0</v>
      </c>
      <c r="AL165" s="72"/>
      <c r="AM165" s="73">
        <f>H165+J165+L165+N165+P165+R165+T165+V165+X165+Z165+AB165+AD165+AF165+AH165+AJ165</f>
        <v>0</v>
      </c>
      <c r="AN165" s="72"/>
      <c r="AO165" s="74"/>
      <c r="AP165" s="73"/>
      <c r="AQ165" s="75"/>
      <c r="AR165" s="71">
        <f>AR158+AK165-G158</f>
        <v>0</v>
      </c>
      <c r="AS165" s="77"/>
      <c r="AT165" s="73">
        <f>AT158+AM165-H158</f>
        <v>0</v>
      </c>
      <c r="AU165" s="77"/>
      <c r="AV165" s="118"/>
    </row>
    <row r="166" spans="1:48" ht="36" hidden="1" customHeight="1" thickBot="1" x14ac:dyDescent="0.3">
      <c r="A166" s="79"/>
      <c r="B166" s="152">
        <f>SUM(MOD(("1/"&amp;A151)-{0;6},{1E+99;7})*{1;-1},A185*7,MATCH(MID(B165,1,2),{"Mo";"Tu";"We";"Th";"Fr";"Sa";"Su"},0)-5)</f>
        <v>42459</v>
      </c>
      <c r="C166" s="539"/>
      <c r="D166" s="446" t="s">
        <v>6</v>
      </c>
      <c r="E166" s="446"/>
      <c r="F166" s="446"/>
      <c r="G166" s="120"/>
      <c r="H166" s="121"/>
      <c r="I166" s="120"/>
      <c r="J166" s="121"/>
      <c r="K166" s="120"/>
      <c r="L166" s="121"/>
      <c r="M166" s="120"/>
      <c r="N166" s="121"/>
      <c r="O166" s="120"/>
      <c r="P166" s="121"/>
      <c r="Q166" s="120"/>
      <c r="R166" s="121"/>
      <c r="S166" s="120"/>
      <c r="T166" s="121"/>
      <c r="U166" s="120"/>
      <c r="V166" s="122"/>
      <c r="W166" s="120"/>
      <c r="X166" s="122"/>
      <c r="Y166" s="120"/>
      <c r="Z166" s="122"/>
      <c r="AA166" s="120"/>
      <c r="AB166" s="121"/>
      <c r="AC166" s="120"/>
      <c r="AD166" s="121"/>
      <c r="AE166" s="120"/>
      <c r="AF166" s="122"/>
      <c r="AG166" s="120"/>
      <c r="AH166" s="122"/>
      <c r="AI166" s="120"/>
      <c r="AJ166" s="122"/>
      <c r="AK166" s="123">
        <f>AK164+AK165</f>
        <v>0</v>
      </c>
      <c r="AL166" s="85">
        <f>IF(E160+E162=0,0,AK166/(E160+E162))</f>
        <v>0</v>
      </c>
      <c r="AM166" s="90">
        <f>+AM164+AM165</f>
        <v>0</v>
      </c>
      <c r="AN166" s="85">
        <f>IF((E160+E162)=0,0,AM166/((E160+E162)*14))</f>
        <v>0</v>
      </c>
      <c r="AO166" s="87" t="str">
        <f>IF(AM166=0,"",AM166/AK166)</f>
        <v/>
      </c>
      <c r="AP166" s="88">
        <f>+AP164</f>
        <v>0</v>
      </c>
      <c r="AQ166" s="89"/>
      <c r="AR166" s="84">
        <f>+AR164+AR165</f>
        <v>0</v>
      </c>
      <c r="AS166" s="85">
        <f>AR166/E5</f>
        <v>0</v>
      </c>
      <c r="AT166" s="90">
        <f>+AT164+AT165</f>
        <v>0</v>
      </c>
      <c r="AU166" s="85">
        <f>+AT166/F5</f>
        <v>0</v>
      </c>
      <c r="AV166" s="124">
        <f>+AV164</f>
        <v>0</v>
      </c>
    </row>
    <row r="167" spans="1:48" ht="21" hidden="1" customHeight="1" outlineLevel="1" x14ac:dyDescent="0.25">
      <c r="A167" s="49"/>
      <c r="B167" s="93"/>
      <c r="C167" s="450"/>
      <c r="D167" s="500" t="str">
        <f>$B$6</f>
        <v>Trade</v>
      </c>
      <c r="E167" s="501">
        <v>75</v>
      </c>
      <c r="F167" s="44" t="s">
        <v>36</v>
      </c>
      <c r="G167" s="125"/>
      <c r="H167" s="126"/>
      <c r="I167" s="94"/>
      <c r="J167" s="95"/>
      <c r="K167" s="264"/>
      <c r="L167" s="265"/>
      <c r="M167" s="264"/>
      <c r="N167" s="265"/>
      <c r="O167" s="264"/>
      <c r="P167" s="265"/>
      <c r="Q167" s="264"/>
      <c r="R167" s="265"/>
      <c r="S167" s="264"/>
      <c r="T167" s="265"/>
      <c r="U167" s="264"/>
      <c r="V167" s="265"/>
      <c r="W167" s="264"/>
      <c r="X167" s="265"/>
      <c r="Y167" s="264"/>
      <c r="Z167" s="265"/>
      <c r="AA167" s="650"/>
      <c r="AB167" s="651"/>
      <c r="AC167" s="45"/>
      <c r="AD167" s="46"/>
      <c r="AE167" s="45"/>
      <c r="AF167" s="46"/>
      <c r="AG167" s="45"/>
      <c r="AH167" s="46"/>
      <c r="AI167" s="45"/>
      <c r="AJ167" s="46"/>
      <c r="AK167" s="502">
        <f>G167+I167+K167+M167+O167+Q167+S167+U167+W167+Y167+AA167+AC167+AE167+AG167+AI167</f>
        <v>0</v>
      </c>
      <c r="AL167" s="504">
        <f>IF(E167=0,0,AK167/E167)</f>
        <v>0</v>
      </c>
      <c r="AM167" s="493">
        <f>H167+J167+L167+N167+P167+R167+T167+V167+X167+Z167+AB167+AD167+AF167+AH167+AJ167</f>
        <v>0</v>
      </c>
      <c r="AN167" s="491">
        <f>IF(E167=0,0,AM167/($E167*14))</f>
        <v>0</v>
      </c>
      <c r="AO167" s="492" t="str">
        <f>IF(AM167=0,"",AM167/AK167)</f>
        <v/>
      </c>
      <c r="AP167" s="493">
        <f>G168+I168+K168+M168+O168+Q168+S168+U168+W168+Y168+AA168+AC168+AE168+AG168+AI168</f>
        <v>0</v>
      </c>
      <c r="AQ167" s="47"/>
      <c r="AR167" s="502">
        <f>AR160+AK167-I153-I160</f>
        <v>0</v>
      </c>
      <c r="AS167" s="504">
        <f>AR167/(E160+E167)</f>
        <v>0</v>
      </c>
      <c r="AT167" s="648">
        <f>AT160+AM167-J153-J160</f>
        <v>0</v>
      </c>
      <c r="AU167" s="504">
        <f>+AT167/(14*(E160+E167))</f>
        <v>0</v>
      </c>
      <c r="AV167" s="514">
        <f>AV160+AP167-I154-I161</f>
        <v>0</v>
      </c>
    </row>
    <row r="168" spans="1:48" ht="21" hidden="1" customHeight="1" outlineLevel="1" x14ac:dyDescent="0.25">
      <c r="A168" s="649" t="s">
        <v>7</v>
      </c>
      <c r="B168" s="96"/>
      <c r="C168" s="451"/>
      <c r="D168" s="457"/>
      <c r="E168" s="459"/>
      <c r="F168" s="50" t="s">
        <v>37</v>
      </c>
      <c r="G168" s="543"/>
      <c r="H168" s="544"/>
      <c r="I168" s="462"/>
      <c r="J168" s="463"/>
      <c r="K168" s="570"/>
      <c r="L168" s="571"/>
      <c r="M168" s="570"/>
      <c r="N168" s="571"/>
      <c r="O168" s="570"/>
      <c r="P168" s="571"/>
      <c r="Q168" s="570"/>
      <c r="R168" s="571"/>
      <c r="S168" s="570"/>
      <c r="T168" s="571"/>
      <c r="U168" s="570"/>
      <c r="V168" s="571"/>
      <c r="W168" s="570"/>
      <c r="X168" s="571"/>
      <c r="Y168" s="570"/>
      <c r="Z168" s="571"/>
      <c r="AA168" s="650"/>
      <c r="AB168" s="651"/>
      <c r="AC168" s="512"/>
      <c r="AD168" s="513"/>
      <c r="AE168" s="512"/>
      <c r="AF168" s="513"/>
      <c r="AG168" s="512"/>
      <c r="AH168" s="513"/>
      <c r="AI168" s="512"/>
      <c r="AJ168" s="513"/>
      <c r="AK168" s="503"/>
      <c r="AL168" s="419"/>
      <c r="AM168" s="505"/>
      <c r="AN168" s="423"/>
      <c r="AO168" s="424"/>
      <c r="AP168" s="425"/>
      <c r="AQ168" s="47"/>
      <c r="AR168" s="503"/>
      <c r="AS168" s="419"/>
      <c r="AT168" s="505"/>
      <c r="AU168" s="419"/>
      <c r="AV168" s="515"/>
    </row>
    <row r="169" spans="1:48" ht="21" hidden="1" customHeight="1" outlineLevel="1" x14ac:dyDescent="0.25">
      <c r="A169" s="649"/>
      <c r="B169" s="97" t="s">
        <v>45</v>
      </c>
      <c r="C169" s="451"/>
      <c r="D169" s="479" t="str">
        <f>$B$7</f>
        <v>Feeder</v>
      </c>
      <c r="E169" s="481">
        <v>20</v>
      </c>
      <c r="F169" s="51" t="s">
        <v>36</v>
      </c>
      <c r="G169" s="127"/>
      <c r="H169" s="128"/>
      <c r="I169" s="98"/>
      <c r="J169" s="99"/>
      <c r="K169" s="149"/>
      <c r="L169" s="150"/>
      <c r="M169" s="149"/>
      <c r="N169" s="150"/>
      <c r="O169" s="149"/>
      <c r="P169" s="150"/>
      <c r="Q169" s="149"/>
      <c r="R169" s="150"/>
      <c r="S169" s="149"/>
      <c r="T169" s="150"/>
      <c r="U169" s="149"/>
      <c r="V169" s="150"/>
      <c r="W169" s="149"/>
      <c r="X169" s="150"/>
      <c r="Y169" s="149"/>
      <c r="Z169" s="150"/>
      <c r="AA169" s="650"/>
      <c r="AB169" s="651"/>
      <c r="AC169" s="52"/>
      <c r="AD169" s="53"/>
      <c r="AE169" s="52"/>
      <c r="AF169" s="53"/>
      <c r="AG169" s="52"/>
      <c r="AH169" s="53"/>
      <c r="AI169" s="52"/>
      <c r="AJ169" s="53"/>
      <c r="AK169" s="483">
        <f>G169+I169+K169+M169+O169+Q169+S169+U169+W169+Y169+AA169+AC169+AE169+AG169+AI169</f>
        <v>0</v>
      </c>
      <c r="AL169" s="467">
        <f>IF(E169=0,0,AK169/E169)</f>
        <v>0</v>
      </c>
      <c r="AM169" s="471">
        <f>H169+J169+L169+N169+P169+R169+T169+V169+X169+Z169+AB169+AD169+AF169+AH169+AJ169</f>
        <v>0</v>
      </c>
      <c r="AN169" s="473">
        <f>IF(E167=0,0,AM169/($E167*14))</f>
        <v>0</v>
      </c>
      <c r="AO169" s="475" t="str">
        <f>IF(AM169=0,"",AM169/AK169)</f>
        <v/>
      </c>
      <c r="AP169" s="468">
        <f>G170+I170+K170+M170+O170+Q170+S170+U170+W170+Y170+AA170+AC170+AE170+AG170+AI170</f>
        <v>0</v>
      </c>
      <c r="AQ169" s="47"/>
      <c r="AR169" s="511">
        <f>AR162+AK169-I155-I162</f>
        <v>0</v>
      </c>
      <c r="AS169" s="467">
        <f>AR169/(E162+E169)</f>
        <v>0</v>
      </c>
      <c r="AT169" s="647">
        <f>AT162+AM169-J155-J162</f>
        <v>0</v>
      </c>
      <c r="AU169" s="467">
        <f>+AT169/(14*(E162+E169))</f>
        <v>0</v>
      </c>
      <c r="AV169" s="508">
        <f>AV162+AP169-I156-I163</f>
        <v>0</v>
      </c>
    </row>
    <row r="170" spans="1:48" ht="20.399999999999999" hidden="1" customHeight="1" outlineLevel="1" x14ac:dyDescent="0.25">
      <c r="A170" s="49"/>
      <c r="B170" s="100"/>
      <c r="C170" s="451"/>
      <c r="D170" s="480"/>
      <c r="E170" s="482"/>
      <c r="F170" s="54" t="s">
        <v>37</v>
      </c>
      <c r="G170" s="543"/>
      <c r="H170" s="544"/>
      <c r="I170" s="462"/>
      <c r="J170" s="463"/>
      <c r="K170" s="506"/>
      <c r="L170" s="507"/>
      <c r="M170" s="506"/>
      <c r="N170" s="507"/>
      <c r="O170" s="506"/>
      <c r="P170" s="507"/>
      <c r="Q170" s="506"/>
      <c r="R170" s="507"/>
      <c r="S170" s="506"/>
      <c r="T170" s="507"/>
      <c r="U170" s="506"/>
      <c r="V170" s="507"/>
      <c r="W170" s="506"/>
      <c r="X170" s="507"/>
      <c r="Y170" s="506"/>
      <c r="Z170" s="507"/>
      <c r="AA170" s="650"/>
      <c r="AB170" s="651"/>
      <c r="AC170" s="506"/>
      <c r="AD170" s="507"/>
      <c r="AE170" s="506"/>
      <c r="AF170" s="507"/>
      <c r="AG170" s="506"/>
      <c r="AH170" s="507"/>
      <c r="AI170" s="506"/>
      <c r="AJ170" s="507"/>
      <c r="AK170" s="484"/>
      <c r="AL170" s="467"/>
      <c r="AM170" s="472"/>
      <c r="AN170" s="474"/>
      <c r="AO170" s="475"/>
      <c r="AP170" s="468"/>
      <c r="AQ170" s="47"/>
      <c r="AR170" s="511"/>
      <c r="AS170" s="467"/>
      <c r="AT170" s="647"/>
      <c r="AU170" s="467"/>
      <c r="AV170" s="508"/>
    </row>
    <row r="171" spans="1:48" ht="22.8" hidden="1" customHeight="1" x14ac:dyDescent="0.25">
      <c r="A171" s="49"/>
      <c r="B171" s="96" t="s">
        <v>46</v>
      </c>
      <c r="C171" s="451"/>
      <c r="D171" s="464" t="s">
        <v>38</v>
      </c>
      <c r="E171" s="465"/>
      <c r="F171" s="466"/>
      <c r="G171" s="129"/>
      <c r="H171" s="130"/>
      <c r="I171" s="101"/>
      <c r="J171" s="102"/>
      <c r="K171" s="103"/>
      <c r="L171" s="104"/>
      <c r="M171" s="103"/>
      <c r="N171" s="104"/>
      <c r="O171" s="103"/>
      <c r="P171" s="104"/>
      <c r="Q171" s="55"/>
      <c r="R171" s="105"/>
      <c r="S171" s="55"/>
      <c r="T171" s="105"/>
      <c r="U171" s="55"/>
      <c r="V171" s="56"/>
      <c r="W171" s="55"/>
      <c r="X171" s="56"/>
      <c r="Y171" s="55"/>
      <c r="Z171" s="56"/>
      <c r="AA171" s="650"/>
      <c r="AB171" s="651"/>
      <c r="AC171" s="106"/>
      <c r="AD171" s="108"/>
      <c r="AE171" s="106"/>
      <c r="AF171" s="107"/>
      <c r="AG171" s="106"/>
      <c r="AH171" s="107"/>
      <c r="AI171" s="55"/>
      <c r="AJ171" s="56"/>
      <c r="AK171" s="57">
        <f>+AK167+AK169</f>
        <v>0</v>
      </c>
      <c r="AL171" s="58">
        <f>IF(E167+E169=0,0,AK171/(E167+E169))</f>
        <v>0</v>
      </c>
      <c r="AM171" s="110">
        <f>+SUM(AM169,AM167)</f>
        <v>0</v>
      </c>
      <c r="AN171" s="58">
        <f>IF((E167+E169)=0,0,AM171/((E167+E169)*14))</f>
        <v>0</v>
      </c>
      <c r="AO171" s="60" t="str">
        <f>IF(AM171=0,"",AM171/AK171)</f>
        <v/>
      </c>
      <c r="AP171" s="61">
        <f>+AP167+AP169</f>
        <v>0</v>
      </c>
      <c r="AQ171" s="109"/>
      <c r="AR171" s="57">
        <f>+AR167+AR169</f>
        <v>0</v>
      </c>
      <c r="AS171" s="58">
        <f>AR171/E142</f>
        <v>0</v>
      </c>
      <c r="AT171" s="110">
        <f>+AT167+AT169</f>
        <v>0</v>
      </c>
      <c r="AU171" s="58">
        <f>+AT171/F142</f>
        <v>0</v>
      </c>
      <c r="AV171" s="111">
        <f>+AV167+AV169</f>
        <v>0</v>
      </c>
    </row>
    <row r="172" spans="1:48" ht="23.4" hidden="1" customHeight="1" thickBot="1" x14ac:dyDescent="0.3">
      <c r="A172" s="49"/>
      <c r="B172" s="112" t="s">
        <v>47</v>
      </c>
      <c r="C172" s="451"/>
      <c r="D172" s="445" t="s">
        <v>39</v>
      </c>
      <c r="E172" s="445"/>
      <c r="F172" s="445"/>
      <c r="G172" s="131"/>
      <c r="H172" s="132"/>
      <c r="I172" s="98"/>
      <c r="J172" s="99"/>
      <c r="K172" s="346"/>
      <c r="L172" s="347"/>
      <c r="M172" s="113"/>
      <c r="N172" s="114"/>
      <c r="O172" s="113"/>
      <c r="P172" s="114"/>
      <c r="Q172" s="113"/>
      <c r="R172" s="114"/>
      <c r="S172" s="113"/>
      <c r="T172" s="114"/>
      <c r="U172" s="113"/>
      <c r="V172" s="115"/>
      <c r="W172" s="113"/>
      <c r="X172" s="115"/>
      <c r="Y172" s="113"/>
      <c r="Z172" s="115"/>
      <c r="AA172" s="650"/>
      <c r="AB172" s="651"/>
      <c r="AC172" s="113"/>
      <c r="AD172" s="114"/>
      <c r="AE172" s="113"/>
      <c r="AF172" s="115"/>
      <c r="AG172" s="116"/>
      <c r="AH172" s="117"/>
      <c r="AI172" s="113"/>
      <c r="AJ172" s="115"/>
      <c r="AK172" s="71">
        <f>G172+I172+K172+M172+O172+Q172+S172+U172+W172+Y172+AA172+AC172+AE172+AG172+AI172</f>
        <v>0</v>
      </c>
      <c r="AL172" s="72"/>
      <c r="AM172" s="73">
        <f>H172+J172+L172+N172+P172+R172+T172+V172+X172+Z172+AB172+AD172+AF172+AH172+AJ172</f>
        <v>0</v>
      </c>
      <c r="AN172" s="72"/>
      <c r="AO172" s="74"/>
      <c r="AP172" s="133"/>
      <c r="AQ172" s="109"/>
      <c r="AR172" s="71">
        <f>AR165+AK172-I158-I165</f>
        <v>0</v>
      </c>
      <c r="AS172" s="77"/>
      <c r="AT172" s="73">
        <f>AT165+AM172-J158-J165</f>
        <v>0</v>
      </c>
      <c r="AU172" s="77"/>
      <c r="AV172" s="134"/>
    </row>
    <row r="173" spans="1:48" ht="36" hidden="1" customHeight="1" thickBot="1" x14ac:dyDescent="0.3">
      <c r="A173" s="79"/>
      <c r="B173" s="152">
        <f>SUM(MOD(("1/"&amp;A151)-{0;6},{1E+99;7})*{1;-1},A185*7,MATCH(MID(B172,1,2),{"Mo";"Tu";"We";"Th";"Fr";"Sa";"Su"},0)-5)</f>
        <v>42460</v>
      </c>
      <c r="C173" s="539"/>
      <c r="D173" s="446" t="s">
        <v>6</v>
      </c>
      <c r="E173" s="446"/>
      <c r="F173" s="446"/>
      <c r="G173" s="120"/>
      <c r="H173" s="121"/>
      <c r="I173" s="120"/>
      <c r="J173" s="121"/>
      <c r="K173" s="120"/>
      <c r="L173" s="121"/>
      <c r="M173" s="120"/>
      <c r="N173" s="121"/>
      <c r="O173" s="120"/>
      <c r="P173" s="121"/>
      <c r="Q173" s="120"/>
      <c r="R173" s="121"/>
      <c r="S173" s="120"/>
      <c r="T173" s="121"/>
      <c r="U173" s="120"/>
      <c r="V173" s="122"/>
      <c r="W173" s="120"/>
      <c r="X173" s="122"/>
      <c r="Y173" s="120"/>
      <c r="Z173" s="122"/>
      <c r="AA173" s="120"/>
      <c r="AB173" s="121"/>
      <c r="AC173" s="120"/>
      <c r="AD173" s="121"/>
      <c r="AE173" s="120"/>
      <c r="AF173" s="122"/>
      <c r="AG173" s="120"/>
      <c r="AH173" s="122"/>
      <c r="AI173" s="120"/>
      <c r="AJ173" s="122"/>
      <c r="AK173" s="84">
        <f>AK171+AK172</f>
        <v>0</v>
      </c>
      <c r="AL173" s="85">
        <f>IF(E167+E169=0,0,AK173/(E167+E169))</f>
        <v>0</v>
      </c>
      <c r="AM173" s="86">
        <f>+AM171+AM172</f>
        <v>0</v>
      </c>
      <c r="AN173" s="85">
        <f>IF((E167+E169)=0,0,AM173/((E167+E169)*14))</f>
        <v>0</v>
      </c>
      <c r="AO173" s="87" t="str">
        <f>IF(AM173=0,"",AM173/AK173)</f>
        <v/>
      </c>
      <c r="AP173" s="88">
        <f>+AP171</f>
        <v>0</v>
      </c>
      <c r="AQ173" s="89"/>
      <c r="AR173" s="84">
        <f>+AR171+AR172</f>
        <v>0</v>
      </c>
      <c r="AS173" s="85">
        <f>AR173/E142</f>
        <v>0</v>
      </c>
      <c r="AT173" s="90">
        <f>+AT171+AT172</f>
        <v>0</v>
      </c>
      <c r="AU173" s="85">
        <f>+AT173/F142</f>
        <v>0</v>
      </c>
      <c r="AV173" s="124">
        <f>+AV171</f>
        <v>0</v>
      </c>
    </row>
    <row r="174" spans="1:48" ht="21" hidden="1" customHeight="1" outlineLevel="1" x14ac:dyDescent="0.25">
      <c r="A174" s="49"/>
      <c r="B174" s="93"/>
      <c r="C174" s="450"/>
      <c r="D174" s="500" t="str">
        <f>$B$6</f>
        <v>Trade</v>
      </c>
      <c r="E174" s="501">
        <v>55</v>
      </c>
      <c r="F174" s="44" t="s">
        <v>36</v>
      </c>
      <c r="G174" s="125"/>
      <c r="H174" s="126"/>
      <c r="I174" s="125"/>
      <c r="J174" s="126"/>
      <c r="K174" s="94"/>
      <c r="L174" s="95"/>
      <c r="M174" s="264"/>
      <c r="N174" s="265"/>
      <c r="O174" s="45"/>
      <c r="P174" s="46"/>
      <c r="Q174" s="45"/>
      <c r="R174" s="46"/>
      <c r="S174" s="264"/>
      <c r="T174" s="265"/>
      <c r="U174" s="264"/>
      <c r="V174" s="265"/>
      <c r="W174" s="264"/>
      <c r="X174" s="265"/>
      <c r="Y174" s="264"/>
      <c r="Z174" s="265"/>
      <c r="AA174" s="650"/>
      <c r="AB174" s="651"/>
      <c r="AC174" s="45"/>
      <c r="AD174" s="46"/>
      <c r="AE174" s="45"/>
      <c r="AF174" s="46"/>
      <c r="AG174" s="45"/>
      <c r="AH174" s="46"/>
      <c r="AI174" s="45"/>
      <c r="AJ174" s="46"/>
      <c r="AK174" s="502">
        <f>G174+I174+K174+M174+O174+Q174+S174+U174+W174+Y174+AA174+AC174+AE174+AG174+AI174</f>
        <v>0</v>
      </c>
      <c r="AL174" s="504">
        <f>IF(E174=0,0,AK174/E174)</f>
        <v>0</v>
      </c>
      <c r="AM174" s="493">
        <f>H174+J174+L174+N174+P174+R174+T174+V174+X174+Z174+AB174+AD174+AF174+AH174+AJ174</f>
        <v>0</v>
      </c>
      <c r="AN174" s="491">
        <f>IF(E174=0,0,AM174/($E174*14))</f>
        <v>0</v>
      </c>
      <c r="AO174" s="492" t="str">
        <f>IF(AM174=0,"",AM174/AK174)</f>
        <v/>
      </c>
      <c r="AP174" s="493">
        <f>G175+I175+K175+M175+O175+Q175+S175+U175+W175+Y175+AA175+AC175+AE175+AG175+AI175</f>
        <v>0</v>
      </c>
      <c r="AQ174" s="47"/>
      <c r="AR174" s="502">
        <f>AR167+AK174-K153-K160-K167</f>
        <v>0</v>
      </c>
      <c r="AS174" s="659">
        <f>AR174/(E160+E167+E174)</f>
        <v>0</v>
      </c>
      <c r="AT174" s="648">
        <f>+AT167+AM174-L153-L160-L167</f>
        <v>0</v>
      </c>
      <c r="AU174" s="504">
        <f>+AT174/(14*(E160+E167+E174))</f>
        <v>0</v>
      </c>
      <c r="AV174" s="514">
        <f>AV167+AP174-K154-K161-K168</f>
        <v>0</v>
      </c>
    </row>
    <row r="175" spans="1:48" ht="21" hidden="1" customHeight="1" outlineLevel="1" x14ac:dyDescent="0.25">
      <c r="A175" s="49"/>
      <c r="B175" s="96"/>
      <c r="C175" s="451"/>
      <c r="D175" s="457"/>
      <c r="E175" s="459"/>
      <c r="F175" s="50" t="s">
        <v>37</v>
      </c>
      <c r="G175" s="543"/>
      <c r="H175" s="544"/>
      <c r="I175" s="543"/>
      <c r="J175" s="544"/>
      <c r="K175" s="462"/>
      <c r="L175" s="463"/>
      <c r="M175" s="512"/>
      <c r="N175" s="513"/>
      <c r="O175" s="512"/>
      <c r="P175" s="513"/>
      <c r="Q175" s="512"/>
      <c r="R175" s="513"/>
      <c r="S175" s="570"/>
      <c r="T175" s="571"/>
      <c r="U175" s="570"/>
      <c r="V175" s="571"/>
      <c r="W175" s="570"/>
      <c r="X175" s="571"/>
      <c r="Y175" s="570"/>
      <c r="Z175" s="571"/>
      <c r="AA175" s="650"/>
      <c r="AB175" s="651"/>
      <c r="AC175" s="512"/>
      <c r="AD175" s="513"/>
      <c r="AE175" s="512"/>
      <c r="AF175" s="513"/>
      <c r="AG175" s="512"/>
      <c r="AH175" s="513"/>
      <c r="AI175" s="512"/>
      <c r="AJ175" s="513"/>
      <c r="AK175" s="503"/>
      <c r="AL175" s="419"/>
      <c r="AM175" s="505"/>
      <c r="AN175" s="423"/>
      <c r="AO175" s="424"/>
      <c r="AP175" s="425"/>
      <c r="AQ175" s="47"/>
      <c r="AR175" s="503"/>
      <c r="AS175" s="656"/>
      <c r="AT175" s="505"/>
      <c r="AU175" s="419"/>
      <c r="AV175" s="515"/>
    </row>
    <row r="176" spans="1:48" ht="21" hidden="1" customHeight="1" outlineLevel="1" x14ac:dyDescent="0.25">
      <c r="A176" s="49"/>
      <c r="B176" s="97" t="s">
        <v>48</v>
      </c>
      <c r="C176" s="451"/>
      <c r="D176" s="479" t="str">
        <f>$B$7</f>
        <v>Feeder</v>
      </c>
      <c r="E176" s="481">
        <v>30</v>
      </c>
      <c r="F176" s="51" t="s">
        <v>36</v>
      </c>
      <c r="G176" s="127"/>
      <c r="H176" s="128"/>
      <c r="I176" s="127"/>
      <c r="J176" s="128"/>
      <c r="K176" s="98"/>
      <c r="L176" s="99"/>
      <c r="M176" s="52"/>
      <c r="N176" s="53"/>
      <c r="O176" s="52"/>
      <c r="P176" s="53"/>
      <c r="Q176" s="52"/>
      <c r="R176" s="53"/>
      <c r="S176" s="149"/>
      <c r="T176" s="150"/>
      <c r="U176" s="149"/>
      <c r="V176" s="150"/>
      <c r="W176" s="149"/>
      <c r="X176" s="150"/>
      <c r="Y176" s="149"/>
      <c r="Z176" s="150"/>
      <c r="AA176" s="650"/>
      <c r="AB176" s="651"/>
      <c r="AC176" s="52"/>
      <c r="AD176" s="53"/>
      <c r="AE176" s="52"/>
      <c r="AF176" s="53"/>
      <c r="AG176" s="52"/>
      <c r="AH176" s="53"/>
      <c r="AI176" s="52"/>
      <c r="AJ176" s="53"/>
      <c r="AK176" s="483">
        <f>G176+I176+K176+M176+O176+Q176+S176+U176+W176+Y176+AA176+AC176+AE176+AG176+AI176</f>
        <v>0</v>
      </c>
      <c r="AL176" s="467">
        <f>IF(E176=0,0,AK176/E176)</f>
        <v>0</v>
      </c>
      <c r="AM176" s="471">
        <f>H176+J176+L176+N176+P176+R176+T176+V176+X176+Z176+AB176+AD176+AF176+AH176+AJ176</f>
        <v>0</v>
      </c>
      <c r="AN176" s="473">
        <f>IF(E174=0,0,AM176/($E174*14))</f>
        <v>0</v>
      </c>
      <c r="AO176" s="475" t="str">
        <f>IF(AM176=0,"",AM176/AK176)</f>
        <v/>
      </c>
      <c r="AP176" s="468">
        <f>G177+I177+K177+M177+O177+Q177+S177+U177+W177+Y177+AA177+AC177+AE177+AG177+AI177</f>
        <v>0</v>
      </c>
      <c r="AQ176" s="47"/>
      <c r="AR176" s="511">
        <f>AR169+AK176-K155-K162-K169</f>
        <v>0</v>
      </c>
      <c r="AS176" s="656">
        <f>AR176/(E162+E169+E176)</f>
        <v>0</v>
      </c>
      <c r="AT176" s="647">
        <f>+AT169+AM176-L155-L162-L169</f>
        <v>0</v>
      </c>
      <c r="AU176" s="467">
        <f>+AT176/(14*(E162+E169+E176))</f>
        <v>0</v>
      </c>
      <c r="AV176" s="508">
        <f>AV169+AP176-K156-K163-K170</f>
        <v>0</v>
      </c>
    </row>
    <row r="177" spans="1:48" ht="21" hidden="1" customHeight="1" outlineLevel="1" thickBot="1" x14ac:dyDescent="0.3">
      <c r="A177" s="49"/>
      <c r="B177" s="100"/>
      <c r="C177" s="451"/>
      <c r="D177" s="480"/>
      <c r="E177" s="482"/>
      <c r="F177" s="54" t="s">
        <v>37</v>
      </c>
      <c r="G177" s="543"/>
      <c r="H177" s="544"/>
      <c r="I177" s="543"/>
      <c r="J177" s="544"/>
      <c r="K177" s="462"/>
      <c r="L177" s="463"/>
      <c r="M177" s="506"/>
      <c r="N177" s="507"/>
      <c r="O177" s="506"/>
      <c r="P177" s="507"/>
      <c r="Q177" s="506"/>
      <c r="R177" s="507"/>
      <c r="S177" s="506"/>
      <c r="T177" s="507"/>
      <c r="U177" s="506"/>
      <c r="V177" s="507"/>
      <c r="W177" s="506"/>
      <c r="X177" s="507"/>
      <c r="Y177" s="506"/>
      <c r="Z177" s="507"/>
      <c r="AA177" s="650"/>
      <c r="AB177" s="651"/>
      <c r="AC177" s="506"/>
      <c r="AD177" s="507"/>
      <c r="AE177" s="506"/>
      <c r="AF177" s="507"/>
      <c r="AG177" s="506"/>
      <c r="AH177" s="507"/>
      <c r="AI177" s="506"/>
      <c r="AJ177" s="507"/>
      <c r="AK177" s="484"/>
      <c r="AL177" s="467"/>
      <c r="AM177" s="472"/>
      <c r="AN177" s="474"/>
      <c r="AO177" s="475"/>
      <c r="AP177" s="468"/>
      <c r="AQ177" s="47"/>
      <c r="AR177" s="655"/>
      <c r="AS177" s="657"/>
      <c r="AT177" s="658"/>
      <c r="AU177" s="473"/>
      <c r="AV177" s="560"/>
    </row>
    <row r="178" spans="1:48" ht="23.4" hidden="1" customHeight="1" thickTop="1" x14ac:dyDescent="0.25">
      <c r="A178" s="49"/>
      <c r="B178" s="96" t="s">
        <v>49</v>
      </c>
      <c r="C178" s="451"/>
      <c r="D178" s="464" t="s">
        <v>38</v>
      </c>
      <c r="E178" s="465"/>
      <c r="F178" s="466"/>
      <c r="G178" s="129"/>
      <c r="H178" s="130"/>
      <c r="I178" s="129"/>
      <c r="J178" s="130"/>
      <c r="K178" s="101"/>
      <c r="L178" s="102"/>
      <c r="M178" s="103"/>
      <c r="N178" s="104"/>
      <c r="O178" s="55"/>
      <c r="P178" s="105"/>
      <c r="Q178" s="55"/>
      <c r="R178" s="105"/>
      <c r="S178" s="55"/>
      <c r="T178" s="105"/>
      <c r="U178" s="55"/>
      <c r="V178" s="56"/>
      <c r="W178" s="55"/>
      <c r="X178" s="56"/>
      <c r="Y178" s="55"/>
      <c r="Z178" s="56"/>
      <c r="AA178" s="650"/>
      <c r="AB178" s="651"/>
      <c r="AC178" s="106"/>
      <c r="AD178" s="108"/>
      <c r="AE178" s="106"/>
      <c r="AF178" s="107"/>
      <c r="AG178" s="106"/>
      <c r="AH178" s="107"/>
      <c r="AI178" s="55"/>
      <c r="AJ178" s="56"/>
      <c r="AK178" s="57">
        <f>+AK174+AK176</f>
        <v>0</v>
      </c>
      <c r="AL178" s="58">
        <f>IF(E174+E176=0,0,AK178/(E174+E176))</f>
        <v>0</v>
      </c>
      <c r="AM178" s="110">
        <f>+SUM(AM176,AM174)</f>
        <v>0</v>
      </c>
      <c r="AN178" s="58">
        <f>IF((E174+E176)=0,0,AM178/((E174+E176)*14))</f>
        <v>0</v>
      </c>
      <c r="AO178" s="60" t="str">
        <f>IF(AM178=0,"",AM178/AK178)</f>
        <v/>
      </c>
      <c r="AP178" s="61">
        <f>+AP174+AP176</f>
        <v>0</v>
      </c>
      <c r="AQ178" s="109"/>
      <c r="AR178" s="135">
        <f>+AR174+AR176</f>
        <v>0</v>
      </c>
      <c r="AS178" s="136">
        <f>AR178/E142</f>
        <v>0</v>
      </c>
      <c r="AT178" s="137">
        <f>+AT174+AT176</f>
        <v>0</v>
      </c>
      <c r="AU178" s="136">
        <f>+AT178/F142</f>
        <v>0</v>
      </c>
      <c r="AV178" s="138">
        <f>+AV174+AV176</f>
        <v>0</v>
      </c>
    </row>
    <row r="179" spans="1:48" ht="21.6" hidden="1" customHeight="1" thickBot="1" x14ac:dyDescent="0.3">
      <c r="A179" s="49"/>
      <c r="B179" s="112" t="s">
        <v>50</v>
      </c>
      <c r="C179" s="451"/>
      <c r="D179" s="445" t="s">
        <v>39</v>
      </c>
      <c r="E179" s="445"/>
      <c r="F179" s="445"/>
      <c r="G179" s="131"/>
      <c r="H179" s="132"/>
      <c r="I179" s="131"/>
      <c r="J179" s="132"/>
      <c r="K179" s="98"/>
      <c r="L179" s="99"/>
      <c r="M179" s="113"/>
      <c r="N179" s="114"/>
      <c r="O179" s="113"/>
      <c r="P179" s="114"/>
      <c r="Q179" s="113"/>
      <c r="R179" s="114"/>
      <c r="S179" s="113"/>
      <c r="T179" s="114"/>
      <c r="U179" s="113"/>
      <c r="V179" s="115"/>
      <c r="W179" s="113"/>
      <c r="X179" s="115"/>
      <c r="Y179" s="113"/>
      <c r="Z179" s="115"/>
      <c r="AA179" s="650"/>
      <c r="AB179" s="651"/>
      <c r="AC179" s="113"/>
      <c r="AD179" s="114"/>
      <c r="AE179" s="113"/>
      <c r="AF179" s="115"/>
      <c r="AG179" s="116"/>
      <c r="AH179" s="117"/>
      <c r="AI179" s="113"/>
      <c r="AJ179" s="115"/>
      <c r="AK179" s="71">
        <f>G179+I179+K179+M179+O179+Q179+S179+U179+W179+Y179+AA179+AC179+AE179+AG179+AI179</f>
        <v>0</v>
      </c>
      <c r="AL179" s="72"/>
      <c r="AM179" s="73">
        <f>H179+J179+L179+N179+P179+R179+T179+V179+X179+Z179+AB179+AD179+AF179+AH179+AJ179</f>
        <v>0</v>
      </c>
      <c r="AN179" s="72"/>
      <c r="AO179" s="74"/>
      <c r="AP179" s="73"/>
      <c r="AQ179" s="75"/>
      <c r="AR179" s="139">
        <f>AR172+AK179-K158-K165-K172</f>
        <v>0</v>
      </c>
      <c r="AS179" s="77"/>
      <c r="AT179" s="73">
        <f>AT172+AM179-L158-L165-L172</f>
        <v>0</v>
      </c>
      <c r="AU179" s="77"/>
      <c r="AV179" s="140"/>
    </row>
    <row r="180" spans="1:48" ht="36" hidden="1" customHeight="1" thickBot="1" x14ac:dyDescent="0.3">
      <c r="A180" s="79"/>
      <c r="B180" s="152">
        <f>SUM(MOD(("1/"&amp;A151)-{0;6},{1E+99;7})*{1;-1},A185*7,MATCH(MID(B179,1,2),{"Mo";"Tu";"We";"Th";"Fr";"Sa";"Su"},0)-5)</f>
        <v>42461</v>
      </c>
      <c r="C180" s="539"/>
      <c r="D180" s="446" t="s">
        <v>6</v>
      </c>
      <c r="E180" s="446"/>
      <c r="F180" s="446"/>
      <c r="G180" s="120"/>
      <c r="H180" s="121"/>
      <c r="I180" s="120"/>
      <c r="J180" s="121"/>
      <c r="K180" s="120"/>
      <c r="L180" s="121"/>
      <c r="M180" s="120"/>
      <c r="N180" s="121"/>
      <c r="O180" s="120"/>
      <c r="P180" s="121"/>
      <c r="Q180" s="120"/>
      <c r="R180" s="121"/>
      <c r="S180" s="120"/>
      <c r="T180" s="121"/>
      <c r="U180" s="120"/>
      <c r="V180" s="122"/>
      <c r="W180" s="120"/>
      <c r="X180" s="122"/>
      <c r="Y180" s="120"/>
      <c r="Z180" s="122"/>
      <c r="AA180" s="120"/>
      <c r="AB180" s="121"/>
      <c r="AC180" s="120"/>
      <c r="AD180" s="121"/>
      <c r="AE180" s="120"/>
      <c r="AF180" s="122"/>
      <c r="AG180" s="120"/>
      <c r="AH180" s="122"/>
      <c r="AI180" s="120"/>
      <c r="AJ180" s="122"/>
      <c r="AK180" s="84">
        <f>AK178+AK179</f>
        <v>0</v>
      </c>
      <c r="AL180" s="85">
        <f>IF(E174+E176=0,0,AK180/(E174+E176))</f>
        <v>0</v>
      </c>
      <c r="AM180" s="86">
        <f>+AM178+AM179</f>
        <v>0</v>
      </c>
      <c r="AN180" s="85">
        <f>IF((E174+E176)=0,0,AM180/((E174+E176)*14))</f>
        <v>0</v>
      </c>
      <c r="AO180" s="87" t="str">
        <f>IF(AM180=0,"",AM180/AK180)</f>
        <v/>
      </c>
      <c r="AP180" s="88">
        <f>+AP178</f>
        <v>0</v>
      </c>
      <c r="AQ180" s="89"/>
      <c r="AR180" s="141">
        <f>+AR178+AR179</f>
        <v>0</v>
      </c>
      <c r="AS180" s="142">
        <f>AR180/E142</f>
        <v>0</v>
      </c>
      <c r="AT180" s="143">
        <f>+AT178+AT179</f>
        <v>0</v>
      </c>
      <c r="AU180" s="142">
        <f>+AT180/F142</f>
        <v>0</v>
      </c>
      <c r="AV180" s="144">
        <f>+AV178</f>
        <v>0</v>
      </c>
    </row>
    <row r="181" spans="1:48" ht="21" hidden="1" customHeight="1" outlineLevel="1" x14ac:dyDescent="0.25">
      <c r="A181" s="49"/>
      <c r="B181" s="93"/>
      <c r="C181" s="450"/>
      <c r="D181" s="500" t="str">
        <f>$B$6</f>
        <v>Trade</v>
      </c>
      <c r="E181" s="501">
        <v>150</v>
      </c>
      <c r="F181" s="44" t="s">
        <v>36</v>
      </c>
      <c r="G181" s="145"/>
      <c r="H181" s="146"/>
      <c r="I181" s="125"/>
      <c r="J181" s="126"/>
      <c r="K181" s="125"/>
      <c r="L181" s="126"/>
      <c r="M181" s="94"/>
      <c r="N181" s="95"/>
      <c r="O181" s="45"/>
      <c r="P181" s="46"/>
      <c r="Q181" s="45"/>
      <c r="R181" s="46"/>
      <c r="S181" s="45"/>
      <c r="T181" s="46"/>
      <c r="U181" s="45"/>
      <c r="V181" s="46"/>
      <c r="W181" s="45"/>
      <c r="X181" s="46"/>
      <c r="Y181" s="45"/>
      <c r="Z181" s="46"/>
      <c r="AA181" s="650"/>
      <c r="AB181" s="651"/>
      <c r="AC181" s="45"/>
      <c r="AD181" s="46"/>
      <c r="AE181" s="45"/>
      <c r="AF181" s="46"/>
      <c r="AG181" s="45"/>
      <c r="AH181" s="46"/>
      <c r="AI181" s="45"/>
      <c r="AJ181" s="46"/>
      <c r="AK181" s="537">
        <f>G181+I181+K181+M181+O181+Q181+S181+U181+W181+Y181+AA181+AC181+AE181+AG181+AI181</f>
        <v>0</v>
      </c>
      <c r="AL181" s="528">
        <f>IF(E181=0,0,AK181/E181)</f>
        <v>0</v>
      </c>
      <c r="AM181" s="530">
        <f>H181+J181+L181+N181+P181+R181+T181+V181+X181+Z181+AB181+AD181+AF181+AH181+AJ181</f>
        <v>0</v>
      </c>
      <c r="AN181" s="533">
        <f>IF(E181=0,0,AM181/($E181*14))</f>
        <v>0</v>
      </c>
      <c r="AO181" s="535" t="str">
        <f>IF(AM181=0,"",AM181/AK181)</f>
        <v/>
      </c>
      <c r="AP181" s="493">
        <f>G182+I182+K182+M182+O182+Q182+S182+U182+W182+Y182+AA182+AC182+AE182+AG182+AI182</f>
        <v>0</v>
      </c>
      <c r="AQ181" s="47"/>
      <c r="AR181" s="548">
        <f>+AR174+AK181-M153-M160-M167-M174</f>
        <v>0</v>
      </c>
      <c r="AS181" s="549">
        <f>AR181/E181</f>
        <v>0</v>
      </c>
      <c r="AT181" s="654">
        <f>+AT174+AM181-N153-N160-N167-N174</f>
        <v>0</v>
      </c>
      <c r="AU181" s="534">
        <f>+AT181/(14*E181)</f>
        <v>0</v>
      </c>
      <c r="AV181" s="547">
        <f>+AV174+AP181-M154-M161-M168-M175</f>
        <v>0</v>
      </c>
    </row>
    <row r="182" spans="1:48" ht="21" hidden="1" customHeight="1" outlineLevel="1" x14ac:dyDescent="0.25">
      <c r="A182" s="49"/>
      <c r="B182" s="96"/>
      <c r="C182" s="451"/>
      <c r="D182" s="457"/>
      <c r="E182" s="459"/>
      <c r="F182" s="50" t="s">
        <v>37</v>
      </c>
      <c r="G182" s="566"/>
      <c r="H182" s="567"/>
      <c r="I182" s="543"/>
      <c r="J182" s="544"/>
      <c r="K182" s="543"/>
      <c r="L182" s="544"/>
      <c r="M182" s="462"/>
      <c r="N182" s="463"/>
      <c r="O182" s="512"/>
      <c r="P182" s="513"/>
      <c r="Q182" s="512"/>
      <c r="R182" s="513"/>
      <c r="S182" s="512"/>
      <c r="T182" s="513"/>
      <c r="U182" s="512"/>
      <c r="V182" s="513"/>
      <c r="W182" s="512"/>
      <c r="X182" s="513"/>
      <c r="Y182" s="512"/>
      <c r="Z182" s="513"/>
      <c r="AA182" s="650"/>
      <c r="AB182" s="651"/>
      <c r="AC182" s="512"/>
      <c r="AD182" s="513"/>
      <c r="AE182" s="512"/>
      <c r="AF182" s="513"/>
      <c r="AG182" s="512"/>
      <c r="AH182" s="513"/>
      <c r="AI182" s="512"/>
      <c r="AJ182" s="513"/>
      <c r="AK182" s="538"/>
      <c r="AL182" s="529"/>
      <c r="AM182" s="532"/>
      <c r="AN182" s="534"/>
      <c r="AO182" s="536"/>
      <c r="AP182" s="425"/>
      <c r="AQ182" s="47"/>
      <c r="AR182" s="538"/>
      <c r="AS182" s="542"/>
      <c r="AT182" s="532"/>
      <c r="AU182" s="529"/>
      <c r="AV182" s="515"/>
    </row>
    <row r="183" spans="1:48" ht="21" hidden="1" customHeight="1" outlineLevel="1" x14ac:dyDescent="0.25">
      <c r="A183" s="49"/>
      <c r="B183" s="97" t="s">
        <v>51</v>
      </c>
      <c r="C183" s="451"/>
      <c r="D183" s="479" t="str">
        <f>$B$7</f>
        <v>Feeder</v>
      </c>
      <c r="E183" s="481">
        <v>520</v>
      </c>
      <c r="F183" s="51" t="s">
        <v>36</v>
      </c>
      <c r="G183" s="147"/>
      <c r="H183" s="148"/>
      <c r="I183" s="127"/>
      <c r="J183" s="128"/>
      <c r="K183" s="127"/>
      <c r="L183" s="128"/>
      <c r="M183" s="98"/>
      <c r="N183" s="99"/>
      <c r="O183" s="52"/>
      <c r="P183" s="53"/>
      <c r="Q183" s="52"/>
      <c r="R183" s="53"/>
      <c r="S183" s="348"/>
      <c r="T183" s="349"/>
      <c r="U183" s="348"/>
      <c r="V183" s="349"/>
      <c r="W183" s="348"/>
      <c r="X183" s="349"/>
      <c r="Y183" s="52"/>
      <c r="Z183" s="53"/>
      <c r="AA183" s="650"/>
      <c r="AB183" s="651"/>
      <c r="AC183" s="52"/>
      <c r="AD183" s="53"/>
      <c r="AE183" s="52"/>
      <c r="AF183" s="53"/>
      <c r="AG183" s="52"/>
      <c r="AH183" s="53"/>
      <c r="AI183" s="52"/>
      <c r="AJ183" s="53"/>
      <c r="AK183" s="521">
        <f>G183+I183+K183+M183+O183+Q183+S183+U183+W183+Y183+AA183+AC183+AE183+AG183+AI183</f>
        <v>0</v>
      </c>
      <c r="AL183" s="519">
        <f>IF(E183=0,0,AK183/E183)</f>
        <v>0</v>
      </c>
      <c r="AM183" s="523">
        <f>H183+J183+L183+N183+P183+R183+T183+V183+X183+Z183+AB183+AD183+AF183+AH183+AJ183</f>
        <v>0</v>
      </c>
      <c r="AN183" s="525">
        <f>IF(E181=0,0,AM183/($E181*14))</f>
        <v>0</v>
      </c>
      <c r="AO183" s="527" t="str">
        <f>IF(AM183=0,"",AM183/AK183)</f>
        <v/>
      </c>
      <c r="AP183" s="468">
        <f>G184+I184+K184+M184+O184+Q184+S184+U184+W184+Y184+AA184+AC184+AE184+AG184+AI184</f>
        <v>0</v>
      </c>
      <c r="AQ183" s="47"/>
      <c r="AR183" s="521">
        <f>+AR176+AK183-M155-M162-M169-M176</f>
        <v>0</v>
      </c>
      <c r="AS183" s="542">
        <f>AR183/E183</f>
        <v>0</v>
      </c>
      <c r="AT183" s="653">
        <f>+AT176+AM183-N155-N162-N169-N176</f>
        <v>0</v>
      </c>
      <c r="AU183" s="519">
        <f>+AT183/(14*E183)</f>
        <v>0</v>
      </c>
      <c r="AV183" s="508">
        <f>+AV176+AP183-M156-M163-M170-M177</f>
        <v>0</v>
      </c>
    </row>
    <row r="184" spans="1:48" ht="21" hidden="1" customHeight="1" outlineLevel="1" x14ac:dyDescent="0.25">
      <c r="A184" s="49"/>
      <c r="B184" s="100"/>
      <c r="C184" s="451"/>
      <c r="D184" s="480"/>
      <c r="E184" s="482"/>
      <c r="F184" s="54" t="s">
        <v>37</v>
      </c>
      <c r="G184" s="566"/>
      <c r="H184" s="567"/>
      <c r="I184" s="543"/>
      <c r="J184" s="544"/>
      <c r="K184" s="543"/>
      <c r="L184" s="544"/>
      <c r="M184" s="462"/>
      <c r="N184" s="463"/>
      <c r="O184" s="506"/>
      <c r="P184" s="507"/>
      <c r="Q184" s="506"/>
      <c r="R184" s="507"/>
      <c r="S184" s="506"/>
      <c r="T184" s="507"/>
      <c r="U184" s="506"/>
      <c r="V184" s="507"/>
      <c r="W184" s="506"/>
      <c r="X184" s="507"/>
      <c r="Y184" s="506"/>
      <c r="Z184" s="507"/>
      <c r="AA184" s="650"/>
      <c r="AB184" s="651"/>
      <c r="AC184" s="506"/>
      <c r="AD184" s="507"/>
      <c r="AE184" s="506"/>
      <c r="AF184" s="507"/>
      <c r="AG184" s="506"/>
      <c r="AH184" s="507"/>
      <c r="AI184" s="506"/>
      <c r="AJ184" s="507"/>
      <c r="AK184" s="522"/>
      <c r="AL184" s="519"/>
      <c r="AM184" s="524"/>
      <c r="AN184" s="526"/>
      <c r="AO184" s="527"/>
      <c r="AP184" s="468"/>
      <c r="AQ184" s="47"/>
      <c r="AR184" s="652"/>
      <c r="AS184" s="542"/>
      <c r="AT184" s="653"/>
      <c r="AU184" s="519"/>
      <c r="AV184" s="508"/>
    </row>
    <row r="185" spans="1:48" ht="22.8" hidden="1" customHeight="1" x14ac:dyDescent="0.25">
      <c r="A185" s="649">
        <v>13</v>
      </c>
      <c r="B185" s="96" t="s">
        <v>52</v>
      </c>
      <c r="C185" s="451"/>
      <c r="D185" s="464" t="s">
        <v>38</v>
      </c>
      <c r="E185" s="465"/>
      <c r="F185" s="466"/>
      <c r="G185" s="129"/>
      <c r="H185" s="130"/>
      <c r="I185" s="129"/>
      <c r="J185" s="130"/>
      <c r="K185" s="103"/>
      <c r="L185" s="104"/>
      <c r="M185" s="101"/>
      <c r="N185" s="102"/>
      <c r="O185" s="103"/>
      <c r="P185" s="104"/>
      <c r="Q185" s="103"/>
      <c r="R185" s="104"/>
      <c r="S185" s="103"/>
      <c r="T185" s="104"/>
      <c r="U185" s="103"/>
      <c r="V185" s="151"/>
      <c r="W185" s="103"/>
      <c r="X185" s="151"/>
      <c r="Y185" s="103"/>
      <c r="Z185" s="151"/>
      <c r="AA185" s="650"/>
      <c r="AB185" s="651"/>
      <c r="AC185" s="106"/>
      <c r="AD185" s="108"/>
      <c r="AE185" s="106"/>
      <c r="AF185" s="107"/>
      <c r="AG185" s="106"/>
      <c r="AH185" s="107"/>
      <c r="AI185" s="103"/>
      <c r="AJ185" s="151"/>
      <c r="AK185" s="57">
        <f>+AK181+AK183</f>
        <v>0</v>
      </c>
      <c r="AL185" s="58">
        <f>IF(E181+E183=0,0,AK185/(E181+E183))</f>
        <v>0</v>
      </c>
      <c r="AM185" s="59">
        <f>+SUM(AM183,AM181)</f>
        <v>0</v>
      </c>
      <c r="AN185" s="58">
        <f>IF((E181+E183)=0,0,AM185/((E181+E183)*14))</f>
        <v>0</v>
      </c>
      <c r="AO185" s="60" t="str">
        <f>IF(AM185=0,"",AM185/AK185)</f>
        <v/>
      </c>
      <c r="AP185" s="61">
        <f>+AP181+AP183</f>
        <v>0</v>
      </c>
      <c r="AQ185" s="109"/>
      <c r="AR185" s="57">
        <f>+AR181+AR183</f>
        <v>0</v>
      </c>
      <c r="AS185" s="58">
        <f>AR185/E142</f>
        <v>0</v>
      </c>
      <c r="AT185" s="110">
        <f>+AT181+AT183</f>
        <v>0</v>
      </c>
      <c r="AU185" s="58">
        <f>+AT185/F142</f>
        <v>0</v>
      </c>
      <c r="AV185" s="111">
        <f>+AV181+AV183</f>
        <v>0</v>
      </c>
    </row>
    <row r="186" spans="1:48" ht="21.6" hidden="1" customHeight="1" thickBot="1" x14ac:dyDescent="0.3">
      <c r="A186" s="649"/>
      <c r="B186" s="112" t="s">
        <v>53</v>
      </c>
      <c r="C186" s="451"/>
      <c r="D186" s="445" t="s">
        <v>39</v>
      </c>
      <c r="E186" s="445"/>
      <c r="F186" s="445"/>
      <c r="G186" s="131"/>
      <c r="H186" s="132"/>
      <c r="I186" s="131"/>
      <c r="J186" s="132"/>
      <c r="K186" s="131"/>
      <c r="L186" s="132"/>
      <c r="M186" s="98"/>
      <c r="N186" s="99"/>
      <c r="O186" s="113"/>
      <c r="P186" s="114"/>
      <c r="Q186" s="113"/>
      <c r="R186" s="114"/>
      <c r="S186" s="113"/>
      <c r="T186" s="114"/>
      <c r="U186" s="113"/>
      <c r="V186" s="115"/>
      <c r="W186" s="113"/>
      <c r="X186" s="115"/>
      <c r="Y186" s="113"/>
      <c r="Z186" s="115"/>
      <c r="AA186" s="650"/>
      <c r="AB186" s="651"/>
      <c r="AC186" s="113"/>
      <c r="AD186" s="114"/>
      <c r="AE186" s="113"/>
      <c r="AF186" s="115"/>
      <c r="AG186" s="113"/>
      <c r="AH186" s="115"/>
      <c r="AI186" s="113"/>
      <c r="AJ186" s="115"/>
      <c r="AK186" s="71">
        <f>G186+I186+K186+M186+O186+Q186+S186+U186+W186+Y186+AA186+AC186+AE186+AG186+AI186</f>
        <v>0</v>
      </c>
      <c r="AL186" s="72"/>
      <c r="AM186" s="73">
        <f>H186+J186+L186+N186+P186+R186+T186+V186+X186+Z186+AB186+AD186+AF186+AH186+AJ186</f>
        <v>0</v>
      </c>
      <c r="AN186" s="72"/>
      <c r="AO186" s="74"/>
      <c r="AP186" s="73"/>
      <c r="AQ186" s="75"/>
      <c r="AR186" s="71">
        <f>+AR179+AK186-M158-M165-M172-M179</f>
        <v>0</v>
      </c>
      <c r="AS186" s="77"/>
      <c r="AT186" s="73">
        <f>+AT179+AM186-N158-N165-N172-N179</f>
        <v>0</v>
      </c>
      <c r="AU186" s="77"/>
      <c r="AV186" s="118"/>
    </row>
    <row r="187" spans="1:48" ht="31.5" hidden="1" customHeight="1" thickBot="1" x14ac:dyDescent="0.3">
      <c r="A187" s="350"/>
      <c r="B187" s="152">
        <f>SUM(MOD(("1/"&amp;A151)-{0;6},{1E+99;7})*{1;-1},A185*7,MATCH(MID(B186,1,2),{"Mo";"Tu";"We";"Th";"Fr";"Sa";"Su"},0)-5)+7</f>
        <v>42464</v>
      </c>
      <c r="C187" s="539"/>
      <c r="D187" s="446" t="s">
        <v>6</v>
      </c>
      <c r="E187" s="446"/>
      <c r="F187" s="446"/>
      <c r="G187" s="153"/>
      <c r="H187" s="154"/>
      <c r="I187" s="153"/>
      <c r="J187" s="154"/>
      <c r="K187" s="82"/>
      <c r="L187" s="155"/>
      <c r="M187" s="120"/>
      <c r="N187" s="121"/>
      <c r="O187" s="82"/>
      <c r="P187" s="155"/>
      <c r="Q187" s="82"/>
      <c r="R187" s="155"/>
      <c r="S187" s="82"/>
      <c r="T187" s="155"/>
      <c r="U187" s="82"/>
      <c r="V187" s="83"/>
      <c r="W187" s="82"/>
      <c r="X187" s="83"/>
      <c r="Y187" s="82"/>
      <c r="Z187" s="83"/>
      <c r="AA187" s="120"/>
      <c r="AB187" s="121"/>
      <c r="AC187" s="120"/>
      <c r="AD187" s="121"/>
      <c r="AE187" s="120"/>
      <c r="AF187" s="122"/>
      <c r="AG187" s="120"/>
      <c r="AH187" s="122"/>
      <c r="AI187" s="82"/>
      <c r="AJ187" s="83"/>
      <c r="AK187" s="123">
        <f>AK185+AK186</f>
        <v>0</v>
      </c>
      <c r="AL187" s="85">
        <f>IF(E181+E183=0,0,AK187/(E181+E183))</f>
        <v>0</v>
      </c>
      <c r="AM187" s="90">
        <f>+AM185+AM186</f>
        <v>0</v>
      </c>
      <c r="AN187" s="85">
        <f>IF((E181+E183)=0,0,AM187/((E181+E183)*14))</f>
        <v>0</v>
      </c>
      <c r="AO187" s="87" t="str">
        <f>IF(AM187=0,"",AM187/AK187)</f>
        <v/>
      </c>
      <c r="AP187" s="88">
        <f>+AP185</f>
        <v>0</v>
      </c>
      <c r="AQ187" s="89"/>
      <c r="AR187" s="123">
        <f>+AR185+AR186</f>
        <v>0</v>
      </c>
      <c r="AS187" s="85">
        <f>AR187/E142</f>
        <v>0</v>
      </c>
      <c r="AT187" s="90">
        <f>+AT185+AT186</f>
        <v>0</v>
      </c>
      <c r="AU187" s="85">
        <f>+AT187/F142</f>
        <v>0</v>
      </c>
      <c r="AV187" s="124">
        <f>+AV185</f>
        <v>0</v>
      </c>
    </row>
    <row r="188" spans="1:48" ht="20.399999999999999" hidden="1" customHeight="1" x14ac:dyDescent="0.25">
      <c r="A188" s="49"/>
      <c r="B188" s="93"/>
      <c r="C188" s="450"/>
      <c r="D188" s="500" t="str">
        <f>$B$6</f>
        <v>Trade</v>
      </c>
      <c r="E188" s="501"/>
      <c r="F188" s="44" t="s">
        <v>36</v>
      </c>
      <c r="G188" s="125"/>
      <c r="H188" s="126"/>
      <c r="I188" s="125"/>
      <c r="J188" s="126"/>
      <c r="K188" s="125"/>
      <c r="L188" s="126"/>
      <c r="M188" s="125"/>
      <c r="N188" s="126"/>
      <c r="O188" s="94"/>
      <c r="P188" s="95"/>
      <c r="Q188" s="45"/>
      <c r="R188" s="46"/>
      <c r="S188" s="45"/>
      <c r="T188" s="46"/>
      <c r="U188" s="45"/>
      <c r="V188" s="46"/>
      <c r="W188" s="45"/>
      <c r="X188" s="46"/>
      <c r="Y188" s="45"/>
      <c r="Z188" s="46"/>
      <c r="AA188" s="45"/>
      <c r="AB188" s="46"/>
      <c r="AC188" s="45"/>
      <c r="AD188" s="46"/>
      <c r="AE188" s="45"/>
      <c r="AF188" s="46"/>
      <c r="AG188" s="45"/>
      <c r="AH188" s="46"/>
      <c r="AI188" s="45"/>
      <c r="AJ188" s="46"/>
      <c r="AK188" s="502">
        <f>G188+I188+K188+M188+O188+Q188+S188+U188+W188+Y188+AA188+AC188+AE188+AG188+AI188</f>
        <v>0</v>
      </c>
      <c r="AL188" s="504">
        <f>IF(E188=0,0,AK188/E188)</f>
        <v>0</v>
      </c>
      <c r="AM188" s="493">
        <f>H188+J188+L188+N188+P188+R188+T188+V188+X188+Z188+AB188+AD188+AF188+AH188+AJ188</f>
        <v>0</v>
      </c>
      <c r="AN188" s="491">
        <f>IF(E188=0,0,AM188/($E188*14))</f>
        <v>0</v>
      </c>
      <c r="AO188" s="492" t="str">
        <f>IF(AM188=0,"",AM188/AK188)</f>
        <v/>
      </c>
      <c r="AP188" s="493">
        <f>G189+I189+K189+M189+O189+Q189+S189+U189+W189+Y189+AA189+AC189+AE189+AG189+AI189</f>
        <v>0</v>
      </c>
      <c r="AQ188" s="47"/>
      <c r="AR188" s="502">
        <f>+AR181+AK188-O153-O160-O167-O174-O181</f>
        <v>0</v>
      </c>
      <c r="AS188" s="504">
        <f>AR188/E6</f>
        <v>0</v>
      </c>
      <c r="AT188" s="648">
        <f>+AT181+AM188-P153-P160+P167+P174-P181</f>
        <v>0</v>
      </c>
      <c r="AU188" s="504">
        <f>+AT188/F6</f>
        <v>0</v>
      </c>
      <c r="AV188" s="514">
        <f>+AV181+AP188-O154-O161-O168-O175-O182</f>
        <v>0</v>
      </c>
    </row>
    <row r="189" spans="1:48" ht="20.399999999999999" hidden="1" customHeight="1" x14ac:dyDescent="0.25">
      <c r="A189" s="49"/>
      <c r="B189" s="156"/>
      <c r="C189" s="451"/>
      <c r="D189" s="457"/>
      <c r="E189" s="459"/>
      <c r="F189" s="50" t="s">
        <v>37</v>
      </c>
      <c r="G189" s="543"/>
      <c r="H189" s="544"/>
      <c r="I189" s="543"/>
      <c r="J189" s="544"/>
      <c r="K189" s="543"/>
      <c r="L189" s="544"/>
      <c r="M189" s="543"/>
      <c r="N189" s="544"/>
      <c r="O189" s="462"/>
      <c r="P189" s="463"/>
      <c r="Q189" s="512"/>
      <c r="R189" s="513"/>
      <c r="S189" s="512"/>
      <c r="T189" s="513"/>
      <c r="U189" s="512"/>
      <c r="V189" s="513"/>
      <c r="W189" s="512"/>
      <c r="X189" s="513"/>
      <c r="Y189" s="512"/>
      <c r="Z189" s="513"/>
      <c r="AA189" s="512"/>
      <c r="AB189" s="513"/>
      <c r="AC189" s="512"/>
      <c r="AD189" s="513"/>
      <c r="AE189" s="512"/>
      <c r="AF189" s="513"/>
      <c r="AG189" s="512"/>
      <c r="AH189" s="513"/>
      <c r="AI189" s="512"/>
      <c r="AJ189" s="513"/>
      <c r="AK189" s="503"/>
      <c r="AL189" s="419"/>
      <c r="AM189" s="505"/>
      <c r="AN189" s="423"/>
      <c r="AO189" s="424"/>
      <c r="AP189" s="425"/>
      <c r="AQ189" s="47"/>
      <c r="AR189" s="503"/>
      <c r="AS189" s="419"/>
      <c r="AT189" s="505"/>
      <c r="AU189" s="419"/>
      <c r="AV189" s="515"/>
    </row>
    <row r="190" spans="1:48" ht="20.399999999999999" hidden="1" customHeight="1" x14ac:dyDescent="0.25">
      <c r="A190" s="49"/>
      <c r="B190" s="96"/>
      <c r="C190" s="451"/>
      <c r="D190" s="479" t="str">
        <f>$B$7</f>
        <v>Feeder</v>
      </c>
      <c r="E190" s="481"/>
      <c r="F190" s="51" t="s">
        <v>36</v>
      </c>
      <c r="G190" s="127"/>
      <c r="H190" s="128"/>
      <c r="I190" s="127"/>
      <c r="J190" s="128"/>
      <c r="K190" s="127"/>
      <c r="L190" s="128"/>
      <c r="M190" s="127"/>
      <c r="N190" s="128"/>
      <c r="O190" s="98"/>
      <c r="P190" s="99"/>
      <c r="Q190" s="52"/>
      <c r="R190" s="53"/>
      <c r="S190" s="52"/>
      <c r="T190" s="53"/>
      <c r="U190" s="52"/>
      <c r="V190" s="53"/>
      <c r="W190" s="52"/>
      <c r="X190" s="53"/>
      <c r="Y190" s="52"/>
      <c r="Z190" s="53"/>
      <c r="AA190" s="52"/>
      <c r="AB190" s="53"/>
      <c r="AC190" s="52"/>
      <c r="AD190" s="53"/>
      <c r="AE190" s="52"/>
      <c r="AF190" s="53"/>
      <c r="AG190" s="52"/>
      <c r="AH190" s="53"/>
      <c r="AI190" s="52"/>
      <c r="AJ190" s="53"/>
      <c r="AK190" s="483">
        <f>G190+I190+K190+M190+O190+Q190+S190+U190+W190+Y190+AA190+AC190+AE190+AG190+AI190</f>
        <v>0</v>
      </c>
      <c r="AL190" s="467">
        <f>IF(E190=0,0,AK190/E190)</f>
        <v>0</v>
      </c>
      <c r="AM190" s="471">
        <f>H190+J190+L190+N190+P190+R190+T190+V190+X190+Z190+AB190+AD190+AF190+AH190+AJ190</f>
        <v>0</v>
      </c>
      <c r="AN190" s="473">
        <f>IF(E188=0,0,AM190/($E188*14))</f>
        <v>0</v>
      </c>
      <c r="AO190" s="475" t="str">
        <f>IF(AM190=0,"",AM190/AK190)</f>
        <v/>
      </c>
      <c r="AP190" s="468">
        <f>G191+I191+K191+M191+O191+Q191+S191+U191+W191+Y191+AA191+AC191+AE191+AG191+AI191</f>
        <v>0</v>
      </c>
      <c r="AQ190" s="47"/>
      <c r="AR190" s="646">
        <f>+AR183+AK190-O155-O162-O169-O176-O183</f>
        <v>0</v>
      </c>
      <c r="AS190" s="467">
        <f>AR190/E7</f>
        <v>0</v>
      </c>
      <c r="AT190" s="647">
        <f>+AT183+AM190-P155-P162+P169+P176-P183</f>
        <v>0</v>
      </c>
      <c r="AU190" s="467">
        <f>+AT190/F7</f>
        <v>0</v>
      </c>
      <c r="AV190" s="508">
        <f>+AV183+AP190-O156-O163-O170-O177-O184</f>
        <v>0</v>
      </c>
    </row>
    <row r="191" spans="1:48" ht="20.399999999999999" hidden="1" customHeight="1" x14ac:dyDescent="0.25">
      <c r="A191" s="49"/>
      <c r="B191" s="157" t="s">
        <v>54</v>
      </c>
      <c r="C191" s="451"/>
      <c r="D191" s="480"/>
      <c r="E191" s="482"/>
      <c r="F191" s="54" t="s">
        <v>37</v>
      </c>
      <c r="G191" s="543"/>
      <c r="H191" s="544"/>
      <c r="I191" s="543"/>
      <c r="J191" s="544"/>
      <c r="K191" s="543"/>
      <c r="L191" s="544"/>
      <c r="M191" s="543"/>
      <c r="N191" s="544"/>
      <c r="O191" s="462"/>
      <c r="P191" s="463"/>
      <c r="Q191" s="506"/>
      <c r="R191" s="507"/>
      <c r="S191" s="506"/>
      <c r="T191" s="507"/>
      <c r="U191" s="506"/>
      <c r="V191" s="507"/>
      <c r="W191" s="506"/>
      <c r="X191" s="507"/>
      <c r="Y191" s="506"/>
      <c r="Z191" s="507"/>
      <c r="AA191" s="506"/>
      <c r="AB191" s="507"/>
      <c r="AC191" s="506"/>
      <c r="AD191" s="507"/>
      <c r="AE191" s="506"/>
      <c r="AF191" s="507"/>
      <c r="AG191" s="506"/>
      <c r="AH191" s="507"/>
      <c r="AI191" s="506"/>
      <c r="AJ191" s="507"/>
      <c r="AK191" s="484"/>
      <c r="AL191" s="467"/>
      <c r="AM191" s="472"/>
      <c r="AN191" s="474"/>
      <c r="AO191" s="475"/>
      <c r="AP191" s="468"/>
      <c r="AQ191" s="47"/>
      <c r="AR191" s="511"/>
      <c r="AS191" s="467"/>
      <c r="AT191" s="647"/>
      <c r="AU191" s="467"/>
      <c r="AV191" s="508"/>
    </row>
    <row r="192" spans="1:48" ht="22.8" hidden="1" customHeight="1" x14ac:dyDescent="0.25">
      <c r="A192" s="49"/>
      <c r="B192" s="158" t="s">
        <v>55</v>
      </c>
      <c r="C192" s="451"/>
      <c r="D192" s="464" t="s">
        <v>38</v>
      </c>
      <c r="E192" s="465"/>
      <c r="F192" s="466"/>
      <c r="G192" s="101"/>
      <c r="H192" s="102"/>
      <c r="I192" s="101"/>
      <c r="J192" s="102"/>
      <c r="K192" s="101"/>
      <c r="L192" s="102"/>
      <c r="M192" s="101"/>
      <c r="N192" s="102"/>
      <c r="O192" s="101"/>
      <c r="P192" s="102"/>
      <c r="Q192" s="101"/>
      <c r="R192" s="102"/>
      <c r="S192" s="106"/>
      <c r="T192" s="108"/>
      <c r="U192" s="106"/>
      <c r="V192" s="108"/>
      <c r="W192" s="106"/>
      <c r="X192" s="108"/>
      <c r="Y192" s="106"/>
      <c r="Z192" s="108"/>
      <c r="AA192" s="106"/>
      <c r="AB192" s="108"/>
      <c r="AC192" s="106"/>
      <c r="AD192" s="108"/>
      <c r="AE192" s="106"/>
      <c r="AF192" s="108"/>
      <c r="AG192" s="106"/>
      <c r="AH192" s="108"/>
      <c r="AI192" s="106"/>
      <c r="AJ192" s="108"/>
      <c r="AK192" s="159">
        <f>+AK188+AK190</f>
        <v>0</v>
      </c>
      <c r="AL192" s="64">
        <f>IF(E188+E190=0,0,AK192/(E188+E190))</f>
        <v>0</v>
      </c>
      <c r="AM192" s="65">
        <f>+SUM(AM190,AM188)</f>
        <v>0</v>
      </c>
      <c r="AN192" s="64">
        <f>IF((E188+E190)=0,0,AM192/((E188+E190)*14))</f>
        <v>0</v>
      </c>
      <c r="AO192" s="160" t="str">
        <f>IF(AM192=0,"",AM192/AK192)</f>
        <v/>
      </c>
      <c r="AP192" s="61">
        <f>+AP188+AP190</f>
        <v>0</v>
      </c>
      <c r="AQ192" s="109"/>
      <c r="AR192" s="63">
        <f>+AR188+AR190</f>
        <v>0</v>
      </c>
      <c r="AS192" s="64">
        <f>AR192/E5</f>
        <v>0</v>
      </c>
      <c r="AT192" s="65">
        <f>+AT188+AT190</f>
        <v>0</v>
      </c>
      <c r="AU192" s="64">
        <f>+AT192/F5</f>
        <v>0</v>
      </c>
      <c r="AV192" s="111">
        <f>+AV188+AV190</f>
        <v>0</v>
      </c>
    </row>
    <row r="193" spans="1:48" ht="21.6" hidden="1" customHeight="1" thickBot="1" x14ac:dyDescent="0.3">
      <c r="A193" s="49"/>
      <c r="B193" s="161" t="s">
        <v>43</v>
      </c>
      <c r="C193" s="451"/>
      <c r="D193" s="445" t="s">
        <v>39</v>
      </c>
      <c r="E193" s="445"/>
      <c r="F193" s="445"/>
      <c r="G193" s="131"/>
      <c r="H193" s="132"/>
      <c r="I193" s="131"/>
      <c r="J193" s="132"/>
      <c r="K193" s="131"/>
      <c r="L193" s="132"/>
      <c r="M193" s="131"/>
      <c r="N193" s="132"/>
      <c r="O193" s="98"/>
      <c r="P193" s="99"/>
      <c r="Q193" s="113"/>
      <c r="R193" s="114"/>
      <c r="S193" s="113"/>
      <c r="T193" s="114"/>
      <c r="U193" s="113"/>
      <c r="V193" s="114"/>
      <c r="W193" s="113"/>
      <c r="X193" s="114"/>
      <c r="Y193" s="113"/>
      <c r="Z193" s="114"/>
      <c r="AA193" s="113"/>
      <c r="AB193" s="114"/>
      <c r="AC193" s="113"/>
      <c r="AD193" s="114"/>
      <c r="AE193" s="113"/>
      <c r="AF193" s="114"/>
      <c r="AG193" s="113"/>
      <c r="AH193" s="114"/>
      <c r="AI193" s="113"/>
      <c r="AJ193" s="114"/>
      <c r="AK193" s="71">
        <f>G193+I193+K193+M193+O193+Q193+S193+U193+W193+Y193+AA193+AC193+AE193+AG193+AI193</f>
        <v>0</v>
      </c>
      <c r="AL193" s="72"/>
      <c r="AM193" s="73">
        <f>H193+J193+L193+N193+P193+R193+T193+V193+X193+Z193+AB193+AD193+AF193+AH193+AJ193</f>
        <v>0</v>
      </c>
      <c r="AN193" s="72"/>
      <c r="AO193" s="74"/>
      <c r="AP193" s="73"/>
      <c r="AQ193" s="75"/>
      <c r="AR193" s="71">
        <f>+AR186+AK193-O158-O165+O172+O179-O186</f>
        <v>0</v>
      </c>
      <c r="AS193" s="77"/>
      <c r="AT193" s="73">
        <f>+AT186+AM193-P158-P165-P172-P179-P186</f>
        <v>0</v>
      </c>
      <c r="AU193" s="77"/>
      <c r="AV193" s="118"/>
    </row>
    <row r="194" spans="1:48" ht="23.4" hidden="1" customHeight="1" thickBot="1" x14ac:dyDescent="0.3">
      <c r="A194" s="49"/>
      <c r="B194" s="152">
        <f>SUM(MOD(("1/"&amp;$A$14)-{0;6},{1E+99;7})*{1;-1},$A$48*7,MATCH(MID(B193,1,2),{"Mo";"Tu";"We";"Th";"Fr";"Sa";"Su"},0)-5)</f>
        <v>42431</v>
      </c>
      <c r="C194" s="539"/>
      <c r="D194" s="446" t="s">
        <v>6</v>
      </c>
      <c r="E194" s="446"/>
      <c r="F194" s="446"/>
      <c r="G194" s="120"/>
      <c r="H194" s="121"/>
      <c r="I194" s="120"/>
      <c r="J194" s="121"/>
      <c r="K194" s="120"/>
      <c r="L194" s="121"/>
      <c r="M194" s="120"/>
      <c r="N194" s="121"/>
      <c r="O194" s="120"/>
      <c r="P194" s="121"/>
      <c r="Q194" s="120"/>
      <c r="R194" s="121"/>
      <c r="S194" s="120"/>
      <c r="T194" s="121"/>
      <c r="U194" s="120"/>
      <c r="V194" s="121"/>
      <c r="W194" s="120"/>
      <c r="X194" s="121"/>
      <c r="Y194" s="120"/>
      <c r="Z194" s="121"/>
      <c r="AA194" s="120"/>
      <c r="AB194" s="121"/>
      <c r="AC194" s="120"/>
      <c r="AD194" s="121"/>
      <c r="AE194" s="120"/>
      <c r="AF194" s="121"/>
      <c r="AG194" s="120"/>
      <c r="AH194" s="121"/>
      <c r="AI194" s="120"/>
      <c r="AJ194" s="121"/>
      <c r="AK194" s="123">
        <f>AK192+AK193</f>
        <v>0</v>
      </c>
      <c r="AL194" s="85">
        <f>IF(E188+E190=0,0,AK194/(E188+E190))</f>
        <v>0</v>
      </c>
      <c r="AM194" s="90">
        <f>+AM192+AM193</f>
        <v>0</v>
      </c>
      <c r="AN194" s="85">
        <f>IF((E188+E190)=0,0,AM194/((E188+E190)*14))</f>
        <v>0</v>
      </c>
      <c r="AO194" s="87" t="str">
        <f>IF(AM194=0,"",AM194/AK194)</f>
        <v/>
      </c>
      <c r="AP194" s="88">
        <f>+AP192</f>
        <v>0</v>
      </c>
      <c r="AQ194" s="109"/>
      <c r="AR194" s="123">
        <f>+AR192+AR193</f>
        <v>0</v>
      </c>
      <c r="AS194" s="85">
        <f>AR194/E5</f>
        <v>0</v>
      </c>
      <c r="AT194" s="90">
        <f>+AT192+AT193</f>
        <v>0</v>
      </c>
      <c r="AU194" s="85">
        <f>+AT194/F5</f>
        <v>0</v>
      </c>
      <c r="AV194" s="124">
        <f>+AV192</f>
        <v>0</v>
      </c>
    </row>
    <row r="195" spans="1:48" ht="20.399999999999999" hidden="1" customHeight="1" x14ac:dyDescent="0.25">
      <c r="A195" s="49"/>
      <c r="B195" s="93"/>
      <c r="C195" s="551"/>
      <c r="D195" s="500" t="str">
        <f>$B$6</f>
        <v>Trade</v>
      </c>
      <c r="E195" s="501"/>
      <c r="F195" s="44" t="s">
        <v>36</v>
      </c>
      <c r="G195" s="125"/>
      <c r="H195" s="126"/>
      <c r="I195" s="125"/>
      <c r="J195" s="126"/>
      <c r="K195" s="125"/>
      <c r="L195" s="126"/>
      <c r="M195" s="125"/>
      <c r="N195" s="126"/>
      <c r="O195" s="125"/>
      <c r="P195" s="126"/>
      <c r="Q195" s="94"/>
      <c r="R195" s="95"/>
      <c r="S195" s="45"/>
      <c r="T195" s="46"/>
      <c r="U195" s="45"/>
      <c r="V195" s="46"/>
      <c r="W195" s="45"/>
      <c r="X195" s="46"/>
      <c r="Y195" s="45"/>
      <c r="Z195" s="46"/>
      <c r="AA195" s="45"/>
      <c r="AB195" s="46"/>
      <c r="AC195" s="45"/>
      <c r="AD195" s="46"/>
      <c r="AE195" s="45"/>
      <c r="AF195" s="46"/>
      <c r="AG195" s="45"/>
      <c r="AH195" s="46"/>
      <c r="AI195" s="45"/>
      <c r="AJ195" s="46"/>
      <c r="AK195" s="502">
        <f>G195+I195+K195+M195+O195+Q195+S195+U195+W195+Y195+AA195+AC195+AE195+AG195+AI195</f>
        <v>0</v>
      </c>
      <c r="AL195" s="504">
        <f>IF(E195=0,0,AK195/E195)</f>
        <v>0</v>
      </c>
      <c r="AM195" s="493">
        <f>H195+J195+L195+N195+P195+R195+T195+V195+X195+Z195+AB195+AD195+AF195+AH195+AJ195</f>
        <v>0</v>
      </c>
      <c r="AN195" s="491">
        <f>IF(E195=0,0,AM195/($E195*14))</f>
        <v>0</v>
      </c>
      <c r="AO195" s="492" t="str">
        <f>IF(AM195=0,"",AM195/AK195)</f>
        <v/>
      </c>
      <c r="AP195" s="493">
        <f>G196+I196+K196+M196+O196+Q196+S196+U196+W196+Y196+AA196+AC196+AE196+AG196+AI196</f>
        <v>0</v>
      </c>
      <c r="AQ195" s="47"/>
      <c r="AR195" s="502">
        <f>+AR188+AK195-Q153-Q160-Q167-Q174-Q181-Q188</f>
        <v>0</v>
      </c>
      <c r="AS195" s="504">
        <f>AR195/E6</f>
        <v>0</v>
      </c>
      <c r="AT195" s="648">
        <f>+AT188+AM195-R153-R160-R167-R174-R181-R188</f>
        <v>0</v>
      </c>
      <c r="AU195" s="504">
        <f>+AT195/F6</f>
        <v>0</v>
      </c>
      <c r="AV195" s="514">
        <f>+AV188+AP195-Q154-Q161-Q168-Q175-Q182-Q189</f>
        <v>0</v>
      </c>
    </row>
    <row r="196" spans="1:48" ht="20.399999999999999" hidden="1" customHeight="1" x14ac:dyDescent="0.25">
      <c r="A196" s="49"/>
      <c r="B196" s="96"/>
      <c r="C196" s="552"/>
      <c r="D196" s="457"/>
      <c r="E196" s="459"/>
      <c r="F196" s="50" t="s">
        <v>37</v>
      </c>
      <c r="G196" s="543"/>
      <c r="H196" s="544"/>
      <c r="I196" s="543"/>
      <c r="J196" s="544"/>
      <c r="K196" s="543"/>
      <c r="L196" s="544"/>
      <c r="M196" s="543"/>
      <c r="N196" s="544"/>
      <c r="O196" s="543"/>
      <c r="P196" s="544"/>
      <c r="Q196" s="462"/>
      <c r="R196" s="463"/>
      <c r="S196" s="512"/>
      <c r="T196" s="513"/>
      <c r="U196" s="512"/>
      <c r="V196" s="513"/>
      <c r="W196" s="512"/>
      <c r="X196" s="513"/>
      <c r="Y196" s="512"/>
      <c r="Z196" s="513"/>
      <c r="AA196" s="512"/>
      <c r="AB196" s="513"/>
      <c r="AC196" s="512"/>
      <c r="AD196" s="513"/>
      <c r="AE196" s="512"/>
      <c r="AF196" s="513"/>
      <c r="AG196" s="512"/>
      <c r="AH196" s="513"/>
      <c r="AI196" s="512"/>
      <c r="AJ196" s="513"/>
      <c r="AK196" s="503"/>
      <c r="AL196" s="419"/>
      <c r="AM196" s="505"/>
      <c r="AN196" s="423"/>
      <c r="AO196" s="424"/>
      <c r="AP196" s="425"/>
      <c r="AQ196" s="47"/>
      <c r="AR196" s="503"/>
      <c r="AS196" s="419"/>
      <c r="AT196" s="505"/>
      <c r="AU196" s="419"/>
      <c r="AV196" s="515"/>
    </row>
    <row r="197" spans="1:48" ht="20.399999999999999" hidden="1" customHeight="1" x14ac:dyDescent="0.25">
      <c r="A197" s="49"/>
      <c r="B197" s="157" t="s">
        <v>54</v>
      </c>
      <c r="C197" s="552"/>
      <c r="D197" s="479" t="str">
        <f>$B$7</f>
        <v>Feeder</v>
      </c>
      <c r="E197" s="481"/>
      <c r="F197" s="51" t="s">
        <v>36</v>
      </c>
      <c r="G197" s="127"/>
      <c r="H197" s="128"/>
      <c r="I197" s="127"/>
      <c r="J197" s="128"/>
      <c r="K197" s="127"/>
      <c r="L197" s="128"/>
      <c r="M197" s="127"/>
      <c r="N197" s="128"/>
      <c r="O197" s="127"/>
      <c r="P197" s="128"/>
      <c r="Q197" s="98"/>
      <c r="R197" s="99"/>
      <c r="S197" s="52"/>
      <c r="T197" s="53"/>
      <c r="U197" s="52"/>
      <c r="V197" s="53"/>
      <c r="W197" s="52"/>
      <c r="X197" s="53"/>
      <c r="Y197" s="52"/>
      <c r="Z197" s="53"/>
      <c r="AA197" s="52"/>
      <c r="AB197" s="53"/>
      <c r="AC197" s="52"/>
      <c r="AD197" s="53"/>
      <c r="AE197" s="52"/>
      <c r="AF197" s="53"/>
      <c r="AG197" s="52"/>
      <c r="AH197" s="53"/>
      <c r="AI197" s="52"/>
      <c r="AJ197" s="53"/>
      <c r="AK197" s="483">
        <f>G197+I197+K197+M197+O197+Q197+S197+U197+W197+Y197+AA197+AC197+AE197+AG197+AI197</f>
        <v>0</v>
      </c>
      <c r="AL197" s="467">
        <f>IF(E197=0,0,AK197/E197)</f>
        <v>0</v>
      </c>
      <c r="AM197" s="471">
        <f>H197+J197+L197+N197+P197+R197+T197+V197+X197+Z197+AB197+AD197+AF197+AH197+AJ197</f>
        <v>0</v>
      </c>
      <c r="AN197" s="473">
        <f>IF(E195=0,0,AM197/($E195*14))</f>
        <v>0</v>
      </c>
      <c r="AO197" s="475" t="str">
        <f>IF(AM197=0,"",AM197/AK197)</f>
        <v/>
      </c>
      <c r="AP197" s="468">
        <f>G198+I198+K198+M198+O198+Q198+S198+U198+W198+Y198+AA198+AC198+AE198+AG198+AI198</f>
        <v>0</v>
      </c>
      <c r="AQ197" s="47"/>
      <c r="AR197" s="646">
        <f>+AR190+AK197-Q155-Q162-Q169-Q176-Q183-Q190</f>
        <v>0</v>
      </c>
      <c r="AS197" s="467">
        <f>AR197/E7</f>
        <v>0</v>
      </c>
      <c r="AT197" s="647">
        <f>+AT190+AM197-R155-R162-R169-R176-R183-R190</f>
        <v>0</v>
      </c>
      <c r="AU197" s="467">
        <f>+AT197/F7</f>
        <v>0</v>
      </c>
      <c r="AV197" s="508">
        <f>+AV190+AP197-Q156-Q163-Q170-Q177-Q184-Q191</f>
        <v>0</v>
      </c>
    </row>
    <row r="198" spans="1:48" ht="20.399999999999999" hidden="1" customHeight="1" x14ac:dyDescent="0.25">
      <c r="A198" s="49"/>
      <c r="B198" s="100"/>
      <c r="C198" s="552"/>
      <c r="D198" s="480"/>
      <c r="E198" s="482"/>
      <c r="F198" s="54" t="s">
        <v>37</v>
      </c>
      <c r="G198" s="543"/>
      <c r="H198" s="544"/>
      <c r="I198" s="543"/>
      <c r="J198" s="544"/>
      <c r="K198" s="543"/>
      <c r="L198" s="544"/>
      <c r="M198" s="543"/>
      <c r="N198" s="544"/>
      <c r="O198" s="543"/>
      <c r="P198" s="544"/>
      <c r="Q198" s="462"/>
      <c r="R198" s="463"/>
      <c r="S198" s="506"/>
      <c r="T198" s="507"/>
      <c r="U198" s="506"/>
      <c r="V198" s="507"/>
      <c r="W198" s="506"/>
      <c r="X198" s="507"/>
      <c r="Y198" s="506"/>
      <c r="Z198" s="507"/>
      <c r="AA198" s="506"/>
      <c r="AB198" s="507"/>
      <c r="AC198" s="506"/>
      <c r="AD198" s="507"/>
      <c r="AE198" s="506"/>
      <c r="AF198" s="507"/>
      <c r="AG198" s="506"/>
      <c r="AH198" s="507"/>
      <c r="AI198" s="506"/>
      <c r="AJ198" s="507"/>
      <c r="AK198" s="484"/>
      <c r="AL198" s="467"/>
      <c r="AM198" s="472"/>
      <c r="AN198" s="474"/>
      <c r="AO198" s="475"/>
      <c r="AP198" s="468"/>
      <c r="AQ198" s="47"/>
      <c r="AR198" s="511"/>
      <c r="AS198" s="467"/>
      <c r="AT198" s="647"/>
      <c r="AU198" s="467"/>
      <c r="AV198" s="508"/>
    </row>
    <row r="199" spans="1:48" ht="22.8" hidden="1" customHeight="1" x14ac:dyDescent="0.25">
      <c r="A199" s="49"/>
      <c r="B199" s="158" t="s">
        <v>56</v>
      </c>
      <c r="C199" s="552"/>
      <c r="D199" s="464" t="s">
        <v>38</v>
      </c>
      <c r="E199" s="465"/>
      <c r="F199" s="466"/>
      <c r="G199" s="101"/>
      <c r="H199" s="102"/>
      <c r="I199" s="101"/>
      <c r="J199" s="102"/>
      <c r="K199" s="101"/>
      <c r="L199" s="102"/>
      <c r="M199" s="101"/>
      <c r="N199" s="102"/>
      <c r="O199" s="101"/>
      <c r="P199" s="102"/>
      <c r="Q199" s="101"/>
      <c r="R199" s="102"/>
      <c r="S199" s="106"/>
      <c r="T199" s="108"/>
      <c r="U199" s="106"/>
      <c r="V199" s="108"/>
      <c r="W199" s="106"/>
      <c r="X199" s="108"/>
      <c r="Y199" s="106"/>
      <c r="Z199" s="108"/>
      <c r="AA199" s="101"/>
      <c r="AB199" s="102"/>
      <c r="AC199" s="106"/>
      <c r="AD199" s="108"/>
      <c r="AE199" s="106"/>
      <c r="AF199" s="108"/>
      <c r="AG199" s="101"/>
      <c r="AH199" s="102"/>
      <c r="AI199" s="101"/>
      <c r="AJ199" s="102"/>
      <c r="AK199" s="159">
        <f>+AK195+AK197</f>
        <v>0</v>
      </c>
      <c r="AL199" s="64">
        <f>IF(E195+E197=0,0,AK199/(E195+E197))</f>
        <v>0</v>
      </c>
      <c r="AM199" s="65">
        <f>+SUM(AM197,AM195)</f>
        <v>0</v>
      </c>
      <c r="AN199" s="64">
        <f>IF((E195+E197)=0,0,AM199/((E195+E197)*14))</f>
        <v>0</v>
      </c>
      <c r="AO199" s="160" t="str">
        <f>IF(AM199=0,"",AM199/AK199)</f>
        <v/>
      </c>
      <c r="AP199" s="61">
        <f>+AP195+AP197</f>
        <v>0</v>
      </c>
      <c r="AQ199" s="109"/>
      <c r="AR199" s="63">
        <f>+AR195+AR197</f>
        <v>0</v>
      </c>
      <c r="AS199" s="64">
        <f>AR199/E5</f>
        <v>0</v>
      </c>
      <c r="AT199" s="65">
        <f>+AT195+AT197</f>
        <v>0</v>
      </c>
      <c r="AU199" s="64">
        <f>+AT199/F5</f>
        <v>0</v>
      </c>
      <c r="AV199" s="111">
        <f>+AV195+AV197</f>
        <v>0</v>
      </c>
    </row>
    <row r="200" spans="1:48" ht="21.6" hidden="1" customHeight="1" thickBot="1" x14ac:dyDescent="0.3">
      <c r="A200" s="49"/>
      <c r="B200" s="161" t="s">
        <v>47</v>
      </c>
      <c r="C200" s="552"/>
      <c r="D200" s="445" t="s">
        <v>39</v>
      </c>
      <c r="E200" s="445"/>
      <c r="F200" s="445"/>
      <c r="G200" s="131"/>
      <c r="H200" s="132"/>
      <c r="I200" s="131"/>
      <c r="J200" s="132"/>
      <c r="K200" s="131"/>
      <c r="L200" s="132"/>
      <c r="M200" s="131"/>
      <c r="N200" s="132"/>
      <c r="O200" s="131"/>
      <c r="P200" s="132"/>
      <c r="Q200" s="98"/>
      <c r="R200" s="99"/>
      <c r="S200" s="113"/>
      <c r="T200" s="114"/>
      <c r="U200" s="113"/>
      <c r="V200" s="114"/>
      <c r="W200" s="113"/>
      <c r="X200" s="114"/>
      <c r="Y200" s="113"/>
      <c r="Z200" s="114"/>
      <c r="AA200" s="113"/>
      <c r="AB200" s="114"/>
      <c r="AC200" s="113"/>
      <c r="AD200" s="114"/>
      <c r="AE200" s="113"/>
      <c r="AF200" s="114"/>
      <c r="AG200" s="113"/>
      <c r="AH200" s="114"/>
      <c r="AI200" s="113"/>
      <c r="AJ200" s="114"/>
      <c r="AK200" s="71">
        <f>G200+I200+K200+M200+O200+Q200+S200+U200+W200+Y200+AA200+AC200+AE200+AG200+AI200</f>
        <v>0</v>
      </c>
      <c r="AL200" s="72"/>
      <c r="AM200" s="73">
        <f>H200+J200+L200+N200+P200+R200+T200+V200+X200+Z200+AB200+AD200+AF200+AH200+AJ200</f>
        <v>0</v>
      </c>
      <c r="AN200" s="72"/>
      <c r="AO200" s="74"/>
      <c r="AP200" s="73"/>
      <c r="AQ200" s="75"/>
      <c r="AR200" s="71">
        <f>+AR193+AK200-Q158-Q165-Q172-Q179-Q186-Q193</f>
        <v>0</v>
      </c>
      <c r="AS200" s="77"/>
      <c r="AT200" s="73">
        <f>+AT193+AM200-R158-R165-R172-R179-R186-R193</f>
        <v>0</v>
      </c>
      <c r="AU200" s="77"/>
      <c r="AV200" s="118"/>
    </row>
    <row r="201" spans="1:48" ht="23.4" hidden="1" customHeight="1" thickBot="1" x14ac:dyDescent="0.3">
      <c r="A201" s="49"/>
      <c r="B201" s="152">
        <f>SUM(MOD(("1/"&amp;$A$14)-{0;6},{1E+99;7})*{1;-1},$A$48*7,MATCH(MID(B200,1,2),{"Mo";"Tu";"We";"Th";"Fr";"Sa";"Su"},0)-5)</f>
        <v>42432</v>
      </c>
      <c r="C201" s="553"/>
      <c r="D201" s="446" t="s">
        <v>6</v>
      </c>
      <c r="E201" s="446"/>
      <c r="F201" s="446"/>
      <c r="G201" s="120"/>
      <c r="H201" s="121"/>
      <c r="I201" s="120"/>
      <c r="J201" s="121"/>
      <c r="K201" s="120"/>
      <c r="L201" s="121"/>
      <c r="M201" s="120"/>
      <c r="N201" s="121"/>
      <c r="O201" s="120"/>
      <c r="P201" s="121"/>
      <c r="Q201" s="120"/>
      <c r="R201" s="121"/>
      <c r="S201" s="120"/>
      <c r="T201" s="121"/>
      <c r="U201" s="120"/>
      <c r="V201" s="121"/>
      <c r="W201" s="120"/>
      <c r="X201" s="121"/>
      <c r="Y201" s="120"/>
      <c r="Z201" s="121"/>
      <c r="AA201" s="120"/>
      <c r="AB201" s="121"/>
      <c r="AC201" s="120"/>
      <c r="AD201" s="121"/>
      <c r="AE201" s="120"/>
      <c r="AF201" s="121"/>
      <c r="AG201" s="120"/>
      <c r="AH201" s="121"/>
      <c r="AI201" s="120"/>
      <c r="AJ201" s="121"/>
      <c r="AK201" s="123">
        <f>AK199+AK200</f>
        <v>0</v>
      </c>
      <c r="AL201" s="85">
        <f>IF(E195+E197=0,0,AK201/(E195+E197))</f>
        <v>0</v>
      </c>
      <c r="AM201" s="90">
        <f>+AM199+AM200</f>
        <v>0</v>
      </c>
      <c r="AN201" s="85">
        <f>IF((E195+E197)=0,0,AM201/((E195+E197)*14))</f>
        <v>0</v>
      </c>
      <c r="AO201" s="87" t="str">
        <f>IF(AM201=0,"",AM201/AK201)</f>
        <v/>
      </c>
      <c r="AP201" s="88">
        <f>+AP199</f>
        <v>0</v>
      </c>
      <c r="AQ201" s="109"/>
      <c r="AR201" s="123">
        <f>+AR199+AR200</f>
        <v>0</v>
      </c>
      <c r="AS201" s="85">
        <f>AR201/E5</f>
        <v>0</v>
      </c>
      <c r="AT201" s="90">
        <f>+AT199+AT200</f>
        <v>0</v>
      </c>
      <c r="AU201" s="85">
        <f>+AT201/F5</f>
        <v>0</v>
      </c>
      <c r="AV201" s="124">
        <f>+AV199</f>
        <v>0</v>
      </c>
    </row>
    <row r="202" spans="1:48" ht="21.6" hidden="1" customHeight="1" outlineLevel="1" thickBot="1" x14ac:dyDescent="0.3">
      <c r="A202" s="49"/>
      <c r="B202" s="447" t="s">
        <v>6</v>
      </c>
      <c r="C202" s="450"/>
      <c r="D202" s="452" t="str">
        <f>$B$6</f>
        <v>Trade</v>
      </c>
      <c r="E202" s="454">
        <f>E160+E167+E174+E181+E188+E195</f>
        <v>300</v>
      </c>
      <c r="F202" s="162" t="s">
        <v>36</v>
      </c>
      <c r="G202" s="163"/>
      <c r="H202" s="164"/>
      <c r="I202" s="163"/>
      <c r="J202" s="164"/>
      <c r="K202" s="163"/>
      <c r="L202" s="164"/>
      <c r="M202" s="163"/>
      <c r="N202" s="164"/>
      <c r="O202" s="163"/>
      <c r="P202" s="164"/>
      <c r="Q202" s="163"/>
      <c r="R202" s="164"/>
      <c r="S202" s="163"/>
      <c r="T202" s="164"/>
      <c r="U202" s="163"/>
      <c r="V202" s="164"/>
      <c r="W202" s="163"/>
      <c r="X202" s="164"/>
      <c r="Y202" s="163"/>
      <c r="Z202" s="164"/>
      <c r="AA202" s="163"/>
      <c r="AB202" s="164"/>
      <c r="AC202" s="163"/>
      <c r="AD202" s="164"/>
      <c r="AE202" s="163"/>
      <c r="AF202" s="164"/>
      <c r="AG202" s="163"/>
      <c r="AH202" s="164"/>
      <c r="AI202" s="163"/>
      <c r="AJ202" s="164"/>
      <c r="AK202" s="434">
        <f>G202+I202+K202+M202+O202+Q202+S202+U202+W202+Y202+AA202+AC202+AE202+AG202+AI202</f>
        <v>0</v>
      </c>
      <c r="AL202" s="436">
        <f>IF(E202=0,0,AK202/E202)</f>
        <v>0</v>
      </c>
      <c r="AM202" s="438">
        <f>H202+J202+L202+N202+P202+R202+T202+V202+X202+Z202+AB202+AD202+AF202+AH202+AJ202</f>
        <v>0</v>
      </c>
      <c r="AN202" s="440">
        <f>IF(E202=0,0,AM202/($E202*14))</f>
        <v>0</v>
      </c>
      <c r="AO202" s="442" t="str">
        <f>IF(AM202=0,"",AM202/AK202)</f>
        <v/>
      </c>
      <c r="AP202" s="438">
        <f>G203+I203+K203+M203+O203+Q203+S203+U203+W203+Y203+AA203+AC203+AE203+AG203+AI203</f>
        <v>0</v>
      </c>
      <c r="AQ202" s="109"/>
    </row>
    <row r="203" spans="1:48" ht="20.25" hidden="1" customHeight="1" outlineLevel="1" x14ac:dyDescent="0.25">
      <c r="A203" s="49"/>
      <c r="B203" s="448"/>
      <c r="C203" s="451"/>
      <c r="D203" s="453"/>
      <c r="E203" s="455"/>
      <c r="F203" s="165" t="s">
        <v>37</v>
      </c>
      <c r="G203" s="426"/>
      <c r="H203" s="427"/>
      <c r="I203" s="426"/>
      <c r="J203" s="427"/>
      <c r="K203" s="426"/>
      <c r="L203" s="427"/>
      <c r="M203" s="426"/>
      <c r="N203" s="427"/>
      <c r="O203" s="426"/>
      <c r="P203" s="427"/>
      <c r="Q203" s="426"/>
      <c r="R203" s="427"/>
      <c r="S203" s="426"/>
      <c r="T203" s="427"/>
      <c r="U203" s="426"/>
      <c r="V203" s="427"/>
      <c r="W203" s="426"/>
      <c r="X203" s="427"/>
      <c r="Y203" s="426"/>
      <c r="Z203" s="427"/>
      <c r="AA203" s="426"/>
      <c r="AB203" s="427"/>
      <c r="AC203" s="426"/>
      <c r="AD203" s="427"/>
      <c r="AE203" s="426"/>
      <c r="AF203" s="427"/>
      <c r="AG203" s="426"/>
      <c r="AH203" s="427"/>
      <c r="AI203" s="426"/>
      <c r="AJ203" s="427"/>
      <c r="AK203" s="435"/>
      <c r="AL203" s="437"/>
      <c r="AM203" s="439"/>
      <c r="AN203" s="441"/>
      <c r="AO203" s="443"/>
      <c r="AP203" s="444"/>
      <c r="AQ203" s="109"/>
      <c r="AR203" s="640" t="s">
        <v>57</v>
      </c>
      <c r="AS203" s="641"/>
      <c r="AT203" s="641"/>
      <c r="AU203" s="641"/>
      <c r="AV203" s="642"/>
    </row>
    <row r="204" spans="1:48" ht="21" hidden="1" customHeight="1" outlineLevel="1" thickBot="1" x14ac:dyDescent="0.3">
      <c r="A204" s="49"/>
      <c r="B204" s="448"/>
      <c r="C204" s="451"/>
      <c r="D204" s="456" t="str">
        <f>$B$7</f>
        <v>Feeder</v>
      </c>
      <c r="E204" s="458"/>
      <c r="F204" s="166" t="s">
        <v>36</v>
      </c>
      <c r="G204" s="167"/>
      <c r="H204" s="168"/>
      <c r="I204" s="167"/>
      <c r="J204" s="168"/>
      <c r="K204" s="167"/>
      <c r="L204" s="168"/>
      <c r="M204" s="167"/>
      <c r="N204" s="168"/>
      <c r="O204" s="167"/>
      <c r="P204" s="168"/>
      <c r="Q204" s="167"/>
      <c r="R204" s="168"/>
      <c r="S204" s="167"/>
      <c r="T204" s="168"/>
      <c r="U204" s="167"/>
      <c r="V204" s="168"/>
      <c r="W204" s="167"/>
      <c r="X204" s="168"/>
      <c r="Y204" s="167"/>
      <c r="Z204" s="168"/>
      <c r="AA204" s="167"/>
      <c r="AB204" s="168"/>
      <c r="AC204" s="167"/>
      <c r="AD204" s="168"/>
      <c r="AE204" s="167"/>
      <c r="AF204" s="168"/>
      <c r="AG204" s="167"/>
      <c r="AH204" s="168"/>
      <c r="AI204" s="167"/>
      <c r="AJ204" s="168"/>
      <c r="AK204" s="417">
        <f>G204+I204+K204+M204+O204+Q204+S204+U204+W204+Y204+AA204+AC204+AE204+AG204+AI204</f>
        <v>0</v>
      </c>
      <c r="AL204" s="419">
        <f>IF(E204=0,0,AK204/E204)</f>
        <v>0</v>
      </c>
      <c r="AM204" s="420">
        <f>H204+J204+L204+N204+P204+R204+T204+V204+X204+Z204+AB204+AD204+AF204+AH204+AJ204</f>
        <v>0</v>
      </c>
      <c r="AN204" s="422">
        <f>IF(E202=0,0,AM204/($E202*14))</f>
        <v>0</v>
      </c>
      <c r="AO204" s="424" t="str">
        <f>IF(AM204=0,"",AM204/AK204)</f>
        <v/>
      </c>
      <c r="AP204" s="425">
        <f>G205+I205+K205+M205+O205+Q205+S205+U205+W205+Y205+AA205+AC205+AE205+AG205+AI205</f>
        <v>0</v>
      </c>
      <c r="AQ204" s="109"/>
      <c r="AR204" s="643"/>
      <c r="AS204" s="644"/>
      <c r="AT204" s="644"/>
      <c r="AU204" s="644"/>
      <c r="AV204" s="645"/>
    </row>
    <row r="205" spans="1:48" ht="22.8" hidden="1" customHeight="1" outlineLevel="1" x14ac:dyDescent="0.25">
      <c r="A205" s="49"/>
      <c r="B205" s="448"/>
      <c r="C205" s="451"/>
      <c r="D205" s="457"/>
      <c r="E205" s="459"/>
      <c r="F205" s="50" t="s">
        <v>37</v>
      </c>
      <c r="G205" s="167"/>
      <c r="H205" s="168"/>
      <c r="I205" s="167"/>
      <c r="J205" s="168"/>
      <c r="K205" s="167"/>
      <c r="L205" s="168"/>
      <c r="M205" s="167"/>
      <c r="N205" s="168"/>
      <c r="O205" s="167"/>
      <c r="P205" s="168"/>
      <c r="Q205" s="167"/>
      <c r="R205" s="168"/>
      <c r="S205" s="167"/>
      <c r="T205" s="168"/>
      <c r="U205" s="167"/>
      <c r="V205" s="168"/>
      <c r="W205" s="167"/>
      <c r="X205" s="168"/>
      <c r="Y205" s="167"/>
      <c r="Z205" s="168"/>
      <c r="AA205" s="167"/>
      <c r="AB205" s="168"/>
      <c r="AC205" s="167"/>
      <c r="AD205" s="168"/>
      <c r="AE205" s="167"/>
      <c r="AF205" s="168"/>
      <c r="AG205" s="167"/>
      <c r="AH205" s="168"/>
      <c r="AI205" s="167"/>
      <c r="AJ205" s="168"/>
      <c r="AK205" s="418"/>
      <c r="AL205" s="419"/>
      <c r="AM205" s="421"/>
      <c r="AN205" s="423"/>
      <c r="AO205" s="424"/>
      <c r="AP205" s="425"/>
      <c r="AQ205" s="109"/>
      <c r="AR205" s="169" t="s">
        <v>9</v>
      </c>
      <c r="AS205" s="170" t="s">
        <v>29</v>
      </c>
      <c r="AT205" s="171" t="s">
        <v>30</v>
      </c>
      <c r="AU205" s="172" t="s">
        <v>29</v>
      </c>
      <c r="AV205" s="173"/>
    </row>
    <row r="206" spans="1:48" ht="24" hidden="1" customHeight="1" thickBot="1" x14ac:dyDescent="0.3">
      <c r="A206" s="351" t="s">
        <v>77</v>
      </c>
      <c r="B206" s="448"/>
      <c r="C206" s="451"/>
      <c r="D206" s="409" t="s">
        <v>38</v>
      </c>
      <c r="E206" s="410"/>
      <c r="F206" s="411"/>
      <c r="G206" s="174"/>
      <c r="H206" s="175"/>
      <c r="I206" s="174"/>
      <c r="J206" s="175"/>
      <c r="K206" s="174"/>
      <c r="L206" s="175"/>
      <c r="M206" s="174"/>
      <c r="N206" s="175"/>
      <c r="O206" s="174"/>
      <c r="P206" s="175"/>
      <c r="Q206" s="174"/>
      <c r="R206" s="175"/>
      <c r="S206" s="174"/>
      <c r="T206" s="175"/>
      <c r="U206" s="174"/>
      <c r="V206" s="175"/>
      <c r="W206" s="174"/>
      <c r="X206" s="175"/>
      <c r="Y206" s="174"/>
      <c r="Z206" s="175"/>
      <c r="AA206" s="174"/>
      <c r="AB206" s="175"/>
      <c r="AC206" s="174"/>
      <c r="AD206" s="175"/>
      <c r="AE206" s="174"/>
      <c r="AF206" s="175"/>
      <c r="AG206" s="174"/>
      <c r="AH206" s="175"/>
      <c r="AI206" s="174"/>
      <c r="AJ206" s="175"/>
      <c r="AK206" s="176">
        <f>+AK202+AK204</f>
        <v>0</v>
      </c>
      <c r="AL206" s="177">
        <f>IF(E202+E204=0,0,AK206/(E202+E204))</f>
        <v>0</v>
      </c>
      <c r="AM206" s="178">
        <f>+SUM(AM204,AM202)</f>
        <v>0</v>
      </c>
      <c r="AN206" s="177">
        <f>IF((E202+E204)=0,0,AM206/((E202+E204)*14))</f>
        <v>0</v>
      </c>
      <c r="AO206" s="179" t="str">
        <f>IF(AM206=0,"",AM206/AK206)</f>
        <v/>
      </c>
      <c r="AP206" s="180">
        <f>+AP202+AP204</f>
        <v>0</v>
      </c>
      <c r="AQ206" s="109"/>
      <c r="AR206" s="181"/>
      <c r="AS206" s="182"/>
      <c r="AT206" s="183"/>
      <c r="AU206" s="182"/>
      <c r="AV206" s="183"/>
    </row>
    <row r="207" spans="1:48" ht="30.6" hidden="1" customHeight="1" thickBot="1" x14ac:dyDescent="0.3">
      <c r="A207" s="351"/>
      <c r="B207" s="449"/>
      <c r="C207" s="451"/>
      <c r="D207" s="412" t="s">
        <v>39</v>
      </c>
      <c r="E207" s="412"/>
      <c r="F207" s="412"/>
      <c r="G207" s="184"/>
      <c r="H207" s="185"/>
      <c r="I207" s="184"/>
      <c r="J207" s="185"/>
      <c r="K207" s="184"/>
      <c r="L207" s="185"/>
      <c r="M207" s="184"/>
      <c r="N207" s="185"/>
      <c r="O207" s="184"/>
      <c r="P207" s="185"/>
      <c r="Q207" s="184"/>
      <c r="R207" s="185"/>
      <c r="S207" s="184"/>
      <c r="T207" s="185"/>
      <c r="U207" s="184"/>
      <c r="V207" s="185"/>
      <c r="W207" s="184"/>
      <c r="X207" s="185"/>
      <c r="Y207" s="184"/>
      <c r="Z207" s="185"/>
      <c r="AA207" s="184"/>
      <c r="AB207" s="185"/>
      <c r="AC207" s="184"/>
      <c r="AD207" s="185"/>
      <c r="AE207" s="184"/>
      <c r="AF207" s="185"/>
      <c r="AG207" s="184"/>
      <c r="AH207" s="185"/>
      <c r="AI207" s="184"/>
      <c r="AJ207" s="185"/>
      <c r="AK207" s="186">
        <f>G207+I207+K207+M207+O207+Q207+S207+U207+W207+Y207+AA207+AC207+AE207+AG207+AI207</f>
        <v>0</v>
      </c>
      <c r="AL207" s="187"/>
      <c r="AM207" s="188">
        <f>H207+J207+L207+N207+P207+R207+T207+V207+X207+Z207+AB207+AD207+AF207+AH207+AJ207</f>
        <v>0</v>
      </c>
      <c r="AN207" s="187"/>
      <c r="AO207" s="189"/>
      <c r="AP207" s="188"/>
      <c r="AQ207" s="109"/>
      <c r="AR207" s="190"/>
      <c r="AS207" s="190"/>
      <c r="AT207" s="190"/>
      <c r="AU207" s="190"/>
      <c r="AV207" s="191"/>
    </row>
    <row r="208" spans="1:48" ht="23.4" hidden="1" customHeight="1" thickBot="1" x14ac:dyDescent="0.3">
      <c r="A208" s="627" t="s">
        <v>59</v>
      </c>
      <c r="B208" s="628"/>
      <c r="C208" s="628"/>
      <c r="D208" s="628"/>
      <c r="E208" s="628"/>
      <c r="F208" s="629"/>
      <c r="G208" s="192">
        <f>+G206+G207</f>
        <v>0</v>
      </c>
      <c r="H208" s="193">
        <f>+H206+H207</f>
        <v>0</v>
      </c>
      <c r="I208" s="192">
        <f>+I206+I207</f>
        <v>0</v>
      </c>
      <c r="J208" s="193">
        <f>+J206+J207</f>
        <v>0</v>
      </c>
      <c r="K208" s="194">
        <f>+K206+K207</f>
        <v>0</v>
      </c>
      <c r="L208" s="195">
        <f t="shared" ref="L208:AJ208" si="24">+L206+L207</f>
        <v>0</v>
      </c>
      <c r="M208" s="194">
        <f t="shared" si="24"/>
        <v>0</v>
      </c>
      <c r="N208" s="195">
        <f t="shared" si="24"/>
        <v>0</v>
      </c>
      <c r="O208" s="194">
        <f t="shared" si="24"/>
        <v>0</v>
      </c>
      <c r="P208" s="195">
        <f t="shared" si="24"/>
        <v>0</v>
      </c>
      <c r="Q208" s="194">
        <f t="shared" si="24"/>
        <v>0</v>
      </c>
      <c r="R208" s="195">
        <f t="shared" si="24"/>
        <v>0</v>
      </c>
      <c r="S208" s="194">
        <f t="shared" si="24"/>
        <v>0</v>
      </c>
      <c r="T208" s="195">
        <f t="shared" si="24"/>
        <v>0</v>
      </c>
      <c r="U208" s="194">
        <f t="shared" si="24"/>
        <v>0</v>
      </c>
      <c r="V208" s="195">
        <f t="shared" si="24"/>
        <v>0</v>
      </c>
      <c r="W208" s="194">
        <f t="shared" si="24"/>
        <v>0</v>
      </c>
      <c r="X208" s="195">
        <f t="shared" si="24"/>
        <v>0</v>
      </c>
      <c r="Y208" s="194">
        <f t="shared" si="24"/>
        <v>0</v>
      </c>
      <c r="Z208" s="195">
        <f t="shared" si="24"/>
        <v>0</v>
      </c>
      <c r="AA208" s="194">
        <f t="shared" si="24"/>
        <v>0</v>
      </c>
      <c r="AB208" s="195">
        <f t="shared" si="24"/>
        <v>0</v>
      </c>
      <c r="AC208" s="194">
        <f t="shared" si="24"/>
        <v>0</v>
      </c>
      <c r="AD208" s="195">
        <f t="shared" si="24"/>
        <v>0</v>
      </c>
      <c r="AE208" s="194">
        <f t="shared" si="24"/>
        <v>0</v>
      </c>
      <c r="AF208" s="195">
        <f t="shared" si="24"/>
        <v>0</v>
      </c>
      <c r="AG208" s="194">
        <f t="shared" si="24"/>
        <v>0</v>
      </c>
      <c r="AH208" s="196">
        <f t="shared" si="24"/>
        <v>0</v>
      </c>
      <c r="AI208" s="194">
        <f t="shared" si="24"/>
        <v>0</v>
      </c>
      <c r="AJ208" s="196">
        <f t="shared" si="24"/>
        <v>0</v>
      </c>
      <c r="AK208" s="123">
        <f>AK206+AK207</f>
        <v>0</v>
      </c>
      <c r="AL208" s="85">
        <f>IF(E202+E204=0,0,AK208/(E202+E204))</f>
        <v>0</v>
      </c>
      <c r="AM208" s="90">
        <f>+AM206+AM207</f>
        <v>0</v>
      </c>
      <c r="AN208" s="85">
        <f>IF((E202+E204)=0,0,AM208/((E202+E204)*14))</f>
        <v>0</v>
      </c>
      <c r="AO208" s="87" t="str">
        <f>IF(AM208=0,"",AM208/AK208)</f>
        <v/>
      </c>
      <c r="AP208" s="88">
        <f>+AP206</f>
        <v>0</v>
      </c>
      <c r="AQ208" s="109"/>
      <c r="AR208" s="197">
        <f>+AR201</f>
        <v>0</v>
      </c>
      <c r="AS208" s="198">
        <f>AS201</f>
        <v>0</v>
      </c>
      <c r="AT208" s="199">
        <f>+AT201</f>
        <v>0</v>
      </c>
      <c r="AU208" s="198">
        <f>+AU201</f>
        <v>0</v>
      </c>
      <c r="AV208" s="200">
        <f>+AV201</f>
        <v>0</v>
      </c>
    </row>
    <row r="209" spans="1:48" ht="23.4" hidden="1" customHeight="1" thickBot="1" x14ac:dyDescent="0.3">
      <c r="A209" s="416" t="s">
        <v>60</v>
      </c>
      <c r="B209" s="414"/>
      <c r="C209" s="414"/>
      <c r="D209" s="414"/>
      <c r="E209" s="414"/>
      <c r="F209" s="414"/>
      <c r="G209" s="206">
        <f t="shared" ref="G209:AJ209" si="25">G208+G159</f>
        <v>0</v>
      </c>
      <c r="H209" s="207">
        <f t="shared" si="25"/>
        <v>0</v>
      </c>
      <c r="I209" s="206">
        <f t="shared" si="25"/>
        <v>0</v>
      </c>
      <c r="J209" s="208">
        <f t="shared" si="25"/>
        <v>0</v>
      </c>
      <c r="K209" s="206">
        <f t="shared" si="25"/>
        <v>0</v>
      </c>
      <c r="L209" s="207">
        <f t="shared" si="25"/>
        <v>0</v>
      </c>
      <c r="M209" s="206">
        <f t="shared" si="25"/>
        <v>0</v>
      </c>
      <c r="N209" s="207">
        <f t="shared" si="25"/>
        <v>0</v>
      </c>
      <c r="O209" s="206">
        <f t="shared" si="25"/>
        <v>0</v>
      </c>
      <c r="P209" s="207">
        <f t="shared" si="25"/>
        <v>0</v>
      </c>
      <c r="Q209" s="206">
        <f t="shared" si="25"/>
        <v>0</v>
      </c>
      <c r="R209" s="207">
        <f t="shared" si="25"/>
        <v>0</v>
      </c>
      <c r="S209" s="206">
        <f t="shared" si="25"/>
        <v>0</v>
      </c>
      <c r="T209" s="207">
        <f t="shared" si="25"/>
        <v>0</v>
      </c>
      <c r="U209" s="206">
        <f t="shared" si="25"/>
        <v>0</v>
      </c>
      <c r="V209" s="207">
        <f t="shared" si="25"/>
        <v>0</v>
      </c>
      <c r="W209" s="206">
        <f t="shared" si="25"/>
        <v>0</v>
      </c>
      <c r="X209" s="207">
        <f t="shared" si="25"/>
        <v>0</v>
      </c>
      <c r="Y209" s="206">
        <f t="shared" si="25"/>
        <v>0</v>
      </c>
      <c r="Z209" s="207">
        <f t="shared" si="25"/>
        <v>0</v>
      </c>
      <c r="AA209" s="206">
        <f t="shared" si="25"/>
        <v>0</v>
      </c>
      <c r="AB209" s="209">
        <f t="shared" si="25"/>
        <v>0</v>
      </c>
      <c r="AC209" s="206">
        <f t="shared" si="25"/>
        <v>0</v>
      </c>
      <c r="AD209" s="207">
        <f t="shared" si="25"/>
        <v>0</v>
      </c>
      <c r="AE209" s="206">
        <f t="shared" si="25"/>
        <v>0</v>
      </c>
      <c r="AF209" s="209">
        <f t="shared" si="25"/>
        <v>0</v>
      </c>
      <c r="AG209" s="206">
        <f t="shared" si="25"/>
        <v>0</v>
      </c>
      <c r="AH209" s="209">
        <f t="shared" si="25"/>
        <v>0</v>
      </c>
      <c r="AI209" s="210">
        <f t="shared" si="25"/>
        <v>0</v>
      </c>
      <c r="AJ209" s="211">
        <f t="shared" si="25"/>
        <v>0</v>
      </c>
      <c r="AK209" s="212"/>
      <c r="AL209" s="212"/>
      <c r="AM209" s="212"/>
      <c r="AN209" s="212"/>
      <c r="AO209" s="212"/>
      <c r="AP209" s="212"/>
      <c r="AQ209" s="213"/>
      <c r="AR209" s="212"/>
      <c r="AS209" s="214"/>
      <c r="AT209" s="215"/>
      <c r="AU209" s="214"/>
      <c r="AV209" s="216"/>
    </row>
    <row r="210" spans="1:48" ht="23.4" hidden="1" customHeight="1" thickBot="1" x14ac:dyDescent="0.3">
      <c r="A210" s="218"/>
      <c r="B210" s="218"/>
      <c r="C210" s="218"/>
      <c r="D210" s="218"/>
      <c r="E210" s="218"/>
      <c r="F210" s="218"/>
      <c r="G210" s="219"/>
      <c r="H210" s="219"/>
      <c r="I210" s="220"/>
      <c r="J210" s="220"/>
      <c r="K210" s="219"/>
      <c r="L210" s="219"/>
      <c r="M210" s="219"/>
      <c r="N210" s="219"/>
      <c r="O210" s="219"/>
      <c r="P210" s="219"/>
      <c r="Q210" s="219"/>
      <c r="R210" s="219"/>
      <c r="S210" s="219"/>
      <c r="T210" s="219"/>
      <c r="U210" s="219"/>
      <c r="V210" s="219"/>
      <c r="W210" s="219"/>
      <c r="X210" s="219"/>
      <c r="Y210" s="219"/>
      <c r="Z210" s="219"/>
      <c r="AA210" s="219"/>
      <c r="AB210" s="219"/>
      <c r="AC210" s="219"/>
      <c r="AD210" s="219"/>
      <c r="AE210" s="219"/>
      <c r="AF210" s="219"/>
      <c r="AG210" s="219"/>
      <c r="AH210" s="219"/>
      <c r="AI210" s="219"/>
      <c r="AJ210" s="219"/>
      <c r="AK210" s="221"/>
      <c r="AL210" s="222"/>
      <c r="AM210" s="221"/>
      <c r="AN210" s="222"/>
      <c r="AO210" s="223"/>
      <c r="AP210" s="221"/>
      <c r="AQ210" s="213"/>
      <c r="AR210" s="224"/>
      <c r="AS210" s="225"/>
      <c r="AT210" s="226"/>
      <c r="AU210" s="225"/>
      <c r="AV210" s="227"/>
    </row>
    <row r="211" spans="1:48" ht="15.6" hidden="1" customHeight="1" x14ac:dyDescent="0.25">
      <c r="A211" s="632" t="str">
        <f>A149</f>
        <v>MEDITERRANEAN SEA</v>
      </c>
      <c r="B211" s="633"/>
      <c r="C211" s="633"/>
      <c r="D211" s="633"/>
      <c r="E211" s="636">
        <f>E149</f>
        <v>5</v>
      </c>
      <c r="F211" s="638" t="s">
        <v>27</v>
      </c>
      <c r="G211" s="619" t="str">
        <f>G151</f>
        <v>FRMRS</v>
      </c>
      <c r="H211" s="625"/>
      <c r="I211" s="619" t="str">
        <f>I151</f>
        <v>ESBCN</v>
      </c>
      <c r="J211" s="625"/>
      <c r="K211" s="619" t="str">
        <f>K151</f>
        <v>ESVLC</v>
      </c>
      <c r="L211" s="625"/>
      <c r="M211" s="619" t="str">
        <f>M151</f>
        <v>MTMLA</v>
      </c>
      <c r="N211" s="625"/>
      <c r="O211" s="619" t="str">
        <f>O151</f>
        <v>Add call</v>
      </c>
      <c r="P211" s="625"/>
      <c r="Q211" s="619" t="str">
        <f>Q151</f>
        <v>Add Call</v>
      </c>
      <c r="R211" s="626"/>
      <c r="S211" s="624" t="str">
        <f>S151</f>
        <v>TRMER</v>
      </c>
      <c r="T211" s="625"/>
      <c r="U211" s="621" t="str">
        <f>U151</f>
        <v>TRISK</v>
      </c>
      <c r="V211" s="625"/>
      <c r="W211" s="621" t="str">
        <f>W151</f>
        <v>LBBEY</v>
      </c>
      <c r="X211" s="625"/>
      <c r="Y211" s="621" t="str">
        <f>Y151</f>
        <v>EGALY</v>
      </c>
      <c r="Z211" s="625"/>
      <c r="AA211" s="621" t="str">
        <f>AA151</f>
        <v>MTMLA</v>
      </c>
      <c r="AB211" s="620"/>
      <c r="AC211" s="619" t="str">
        <f>AC151</f>
        <v>DZALD</v>
      </c>
      <c r="AD211" s="625"/>
      <c r="AE211" s="619" t="str">
        <f>AE151</f>
        <v>DZALS</v>
      </c>
      <c r="AF211" s="620"/>
      <c r="AG211" s="619" t="str">
        <f>AG151</f>
        <v>Add Call</v>
      </c>
      <c r="AH211" s="620"/>
      <c r="AI211" s="621" t="str">
        <f>AI151</f>
        <v>Forecast</v>
      </c>
      <c r="AJ211" s="620"/>
      <c r="AK211" s="622" t="s">
        <v>9</v>
      </c>
      <c r="AL211" s="609" t="s">
        <v>29</v>
      </c>
      <c r="AM211" s="609" t="s">
        <v>30</v>
      </c>
      <c r="AN211" s="609" t="s">
        <v>29</v>
      </c>
      <c r="AO211" s="611" t="s">
        <v>31</v>
      </c>
      <c r="AP211" s="613" t="s">
        <v>32</v>
      </c>
      <c r="AQ211" s="228"/>
      <c r="AR211" s="615" t="s">
        <v>9</v>
      </c>
      <c r="AS211" s="601" t="s">
        <v>29</v>
      </c>
      <c r="AT211" s="617" t="s">
        <v>30</v>
      </c>
      <c r="AU211" s="601" t="s">
        <v>29</v>
      </c>
      <c r="AV211" s="603" t="s">
        <v>33</v>
      </c>
    </row>
    <row r="212" spans="1:48" ht="14.4" hidden="1" customHeight="1" thickBot="1" x14ac:dyDescent="0.3">
      <c r="A212" s="634"/>
      <c r="B212" s="635"/>
      <c r="C212" s="635"/>
      <c r="D212" s="635"/>
      <c r="E212" s="637"/>
      <c r="F212" s="639"/>
      <c r="G212" s="605">
        <f>G152+28</f>
        <v>42487</v>
      </c>
      <c r="H212" s="606"/>
      <c r="I212" s="598">
        <f>I152+28</f>
        <v>42488</v>
      </c>
      <c r="J212" s="599"/>
      <c r="K212" s="598">
        <f>K152+28</f>
        <v>42489</v>
      </c>
      <c r="L212" s="599"/>
      <c r="M212" s="598">
        <f>M152+28</f>
        <v>42492</v>
      </c>
      <c r="N212" s="599"/>
      <c r="O212" s="598">
        <f>O152+28</f>
        <v>42459</v>
      </c>
      <c r="P212" s="599"/>
      <c r="Q212" s="598">
        <f>Q152+28</f>
        <v>42460</v>
      </c>
      <c r="R212" s="607"/>
      <c r="S212" s="608">
        <f>S152</f>
        <v>42468</v>
      </c>
      <c r="T212" s="599"/>
      <c r="U212" s="598">
        <f>U152</f>
        <v>42469</v>
      </c>
      <c r="V212" s="599"/>
      <c r="W212" s="598">
        <f>W152</f>
        <v>42470</v>
      </c>
      <c r="X212" s="599"/>
      <c r="Y212" s="598">
        <f>Y152</f>
        <v>42473</v>
      </c>
      <c r="Z212" s="599"/>
      <c r="AA212" s="598">
        <f>AA152</f>
        <v>42476</v>
      </c>
      <c r="AB212" s="600"/>
      <c r="AC212" s="598">
        <f>AC152</f>
        <v>42480</v>
      </c>
      <c r="AD212" s="599"/>
      <c r="AE212" s="598">
        <f>AE152</f>
        <v>42480</v>
      </c>
      <c r="AF212" s="600"/>
      <c r="AG212" s="598">
        <f>AG152+28</f>
        <v>42470</v>
      </c>
      <c r="AH212" s="600"/>
      <c r="AI212" s="598"/>
      <c r="AJ212" s="600"/>
      <c r="AK212" s="623"/>
      <c r="AL212" s="610"/>
      <c r="AM212" s="610"/>
      <c r="AN212" s="610"/>
      <c r="AO212" s="612"/>
      <c r="AP212" s="614"/>
      <c r="AQ212" s="230"/>
      <c r="AR212" s="616"/>
      <c r="AS212" s="602"/>
      <c r="AT212" s="618"/>
      <c r="AU212" s="602"/>
      <c r="AV212" s="604"/>
    </row>
    <row r="213" spans="1:48" ht="20.25" hidden="1" customHeight="1" outlineLevel="1" x14ac:dyDescent="0.25">
      <c r="A213" s="233"/>
      <c r="B213" s="156"/>
      <c r="C213" s="552"/>
      <c r="D213" s="596" t="str">
        <f>$B$6</f>
        <v>Trade</v>
      </c>
      <c r="E213" s="597">
        <v>212</v>
      </c>
      <c r="F213" s="234" t="s">
        <v>36</v>
      </c>
      <c r="G213" s="352"/>
      <c r="H213" s="353"/>
      <c r="I213" s="352"/>
      <c r="J213" s="353"/>
      <c r="K213" s="352"/>
      <c r="L213" s="353"/>
      <c r="M213" s="354"/>
      <c r="N213" s="355"/>
      <c r="O213" s="354"/>
      <c r="P213" s="355"/>
      <c r="Q213" s="354"/>
      <c r="R213" s="356"/>
      <c r="S213" s="357"/>
      <c r="T213" s="358"/>
      <c r="U213" s="352"/>
      <c r="V213" s="353"/>
      <c r="W213" s="352"/>
      <c r="X213" s="353"/>
      <c r="Y213" s="352"/>
      <c r="Z213" s="353"/>
      <c r="AA213" s="352"/>
      <c r="AB213" s="353"/>
      <c r="AC213" s="352"/>
      <c r="AD213" s="353"/>
      <c r="AE213" s="352"/>
      <c r="AF213" s="353"/>
      <c r="AG213" s="235"/>
      <c r="AH213" s="236"/>
      <c r="AI213" s="235"/>
      <c r="AJ213" s="236"/>
      <c r="AK213" s="537">
        <f>G213+I213+K213+M213+O213+Q213+S213+U213+W213+Y213+AA213+AC213+AE213+AG213+AI213</f>
        <v>0</v>
      </c>
      <c r="AL213" s="528">
        <f>IF(E213=0,0,AK213/E213)</f>
        <v>0</v>
      </c>
      <c r="AM213" s="530">
        <f>H213+J213+L213+N213+P213+R213+T213+V213+X213+Z213+AB213+AD213+AF213+AH213+AJ213</f>
        <v>0</v>
      </c>
      <c r="AN213" s="533">
        <f>IF(E213=0,0,AM213/($E213*14))</f>
        <v>0</v>
      </c>
      <c r="AO213" s="535" t="str">
        <f>IF(AM213=0,"",AM213/AK213)</f>
        <v/>
      </c>
      <c r="AP213" s="493">
        <f>G214+I214+K214+M214+O214+Q214+S214+U214+W214+Y214+AA214+AC214+AE214+AG214+AI214</f>
        <v>0</v>
      </c>
      <c r="AQ213" s="109"/>
      <c r="AR213" s="537">
        <f>+AR195+AK213-S153-S160-S167-S174-S181-S188-S195</f>
        <v>0</v>
      </c>
      <c r="AS213" s="528">
        <f>AR213/E213</f>
        <v>0</v>
      </c>
      <c r="AT213" s="530">
        <f>+AT195+AM213-T153-T160-T167-T174-T181-T188-T195</f>
        <v>0</v>
      </c>
      <c r="AU213" s="528">
        <f>+AT213/(E213*14)</f>
        <v>0</v>
      </c>
      <c r="AV213" s="514">
        <f>+AV195+AP213-S154-S161-S168-S175-S182-S189-S196</f>
        <v>0</v>
      </c>
    </row>
    <row r="214" spans="1:48" ht="21" hidden="1" customHeight="1" outlineLevel="1" x14ac:dyDescent="0.25">
      <c r="A214" s="233"/>
      <c r="B214" s="100"/>
      <c r="C214" s="552"/>
      <c r="D214" s="457"/>
      <c r="E214" s="459"/>
      <c r="F214" s="50" t="s">
        <v>37</v>
      </c>
      <c r="G214" s="580"/>
      <c r="H214" s="581"/>
      <c r="I214" s="580"/>
      <c r="J214" s="581"/>
      <c r="K214" s="580"/>
      <c r="L214" s="581"/>
      <c r="M214" s="592"/>
      <c r="N214" s="593"/>
      <c r="O214" s="592"/>
      <c r="P214" s="593"/>
      <c r="Q214" s="592"/>
      <c r="R214" s="594"/>
      <c r="S214" s="595"/>
      <c r="T214" s="587"/>
      <c r="U214" s="580"/>
      <c r="V214" s="581"/>
      <c r="W214" s="580"/>
      <c r="X214" s="581"/>
      <c r="Y214" s="580"/>
      <c r="Z214" s="581"/>
      <c r="AA214" s="580"/>
      <c r="AB214" s="581"/>
      <c r="AC214" s="580"/>
      <c r="AD214" s="581"/>
      <c r="AE214" s="580"/>
      <c r="AF214" s="581"/>
      <c r="AG214" s="512"/>
      <c r="AH214" s="513"/>
      <c r="AI214" s="512"/>
      <c r="AJ214" s="513"/>
      <c r="AK214" s="538"/>
      <c r="AL214" s="529"/>
      <c r="AM214" s="532"/>
      <c r="AN214" s="534"/>
      <c r="AO214" s="536"/>
      <c r="AP214" s="425"/>
      <c r="AQ214" s="109"/>
      <c r="AR214" s="538"/>
      <c r="AS214" s="529"/>
      <c r="AT214" s="531"/>
      <c r="AU214" s="529"/>
      <c r="AV214" s="515"/>
    </row>
    <row r="215" spans="1:48" ht="20.25" hidden="1" customHeight="1" outlineLevel="1" x14ac:dyDescent="0.25">
      <c r="A215" s="233"/>
      <c r="B215" s="112" t="s">
        <v>61</v>
      </c>
      <c r="C215" s="552"/>
      <c r="D215" s="479" t="str">
        <f>$B$7</f>
        <v>Feeder</v>
      </c>
      <c r="E215" s="481">
        <v>100</v>
      </c>
      <c r="F215" s="51" t="s">
        <v>36</v>
      </c>
      <c r="G215" s="348"/>
      <c r="H215" s="349"/>
      <c r="I215" s="348"/>
      <c r="J215" s="349"/>
      <c r="K215" s="348"/>
      <c r="L215" s="349"/>
      <c r="M215" s="359"/>
      <c r="N215" s="360"/>
      <c r="O215" s="359"/>
      <c r="P215" s="360"/>
      <c r="Q215" s="359"/>
      <c r="R215" s="361"/>
      <c r="S215" s="362"/>
      <c r="T215" s="363"/>
      <c r="U215" s="348"/>
      <c r="V215" s="349"/>
      <c r="W215" s="348"/>
      <c r="X215" s="349"/>
      <c r="Y215" s="348"/>
      <c r="Z215" s="349"/>
      <c r="AA215" s="348"/>
      <c r="AB215" s="349"/>
      <c r="AC215" s="348"/>
      <c r="AD215" s="349"/>
      <c r="AE215" s="348"/>
      <c r="AF215" s="349"/>
      <c r="AG215" s="52"/>
      <c r="AH215" s="53"/>
      <c r="AI215" s="52"/>
      <c r="AJ215" s="53"/>
      <c r="AK215" s="521">
        <f>G215+I215+K215+M215+O215+Q215+S215+U215+W215+Y215+AA215+AC215+AE215+AG215+AI215</f>
        <v>0</v>
      </c>
      <c r="AL215" s="519">
        <f>IF(E215=0,0,AK215/E215)</f>
        <v>0</v>
      </c>
      <c r="AM215" s="523">
        <f>H215+J215+L215+N215+P215+R215+T215+V215+X215+Z215+AB215+AD215+AF215+AH215+AJ215</f>
        <v>0</v>
      </c>
      <c r="AN215" s="525">
        <f>IF(E213=0,0,AM215/($E213*14))</f>
        <v>0</v>
      </c>
      <c r="AO215" s="527" t="str">
        <f>IF(AM215=0,"",AM215/AK215)</f>
        <v/>
      </c>
      <c r="AP215" s="468">
        <f>G216+I216+K216+M216+O216+Q216+S216+U216+W216+Y216+AA216+AC216+AE216+AG216+AI216</f>
        <v>0</v>
      </c>
      <c r="AQ215" s="109"/>
      <c r="AR215" s="561">
        <f>+AR197+AK215-S155-S162-S169-S176-S183-S190-S197</f>
        <v>0</v>
      </c>
      <c r="AS215" s="519">
        <f>AR215/E215</f>
        <v>0</v>
      </c>
      <c r="AT215" s="520">
        <f>+AT197+AM215-T155-T162-T169-T176-T183-T190-T197</f>
        <v>0</v>
      </c>
      <c r="AU215" s="519">
        <f>+AT215/(E215*14)</f>
        <v>0</v>
      </c>
      <c r="AV215" s="508">
        <f>+AV197+AP215-S156--S163-S170-S177-S184-S191-S198</f>
        <v>0</v>
      </c>
    </row>
    <row r="216" spans="1:48" ht="18" hidden="1" customHeight="1" outlineLevel="1" x14ac:dyDescent="0.25">
      <c r="A216" s="233"/>
      <c r="B216" s="100"/>
      <c r="C216" s="552"/>
      <c r="D216" s="480"/>
      <c r="E216" s="482"/>
      <c r="F216" s="54" t="s">
        <v>37</v>
      </c>
      <c r="G216" s="506"/>
      <c r="H216" s="507"/>
      <c r="I216" s="506"/>
      <c r="J216" s="507"/>
      <c r="K216" s="506"/>
      <c r="L216" s="507"/>
      <c r="M216" s="588"/>
      <c r="N216" s="589"/>
      <c r="O216" s="588"/>
      <c r="P216" s="589"/>
      <c r="Q216" s="588"/>
      <c r="R216" s="590"/>
      <c r="S216" s="591"/>
      <c r="T216" s="463"/>
      <c r="U216" s="506"/>
      <c r="V216" s="507"/>
      <c r="W216" s="575"/>
      <c r="X216" s="576"/>
      <c r="Y216" s="575"/>
      <c r="Z216" s="576"/>
      <c r="AA216" s="506"/>
      <c r="AB216" s="507"/>
      <c r="AC216" s="575"/>
      <c r="AD216" s="576"/>
      <c r="AE216" s="575"/>
      <c r="AF216" s="576"/>
      <c r="AG216" s="506"/>
      <c r="AH216" s="507"/>
      <c r="AI216" s="506"/>
      <c r="AJ216" s="507"/>
      <c r="AK216" s="522"/>
      <c r="AL216" s="519"/>
      <c r="AM216" s="524"/>
      <c r="AN216" s="526"/>
      <c r="AO216" s="527"/>
      <c r="AP216" s="468"/>
      <c r="AQ216" s="109"/>
      <c r="AR216" s="518"/>
      <c r="AS216" s="519"/>
      <c r="AT216" s="520"/>
      <c r="AU216" s="519"/>
      <c r="AV216" s="508"/>
    </row>
    <row r="217" spans="1:48" ht="22.8" hidden="1" customHeight="1" x14ac:dyDescent="0.25">
      <c r="A217" s="577" t="s">
        <v>16</v>
      </c>
      <c r="B217" s="100" t="s">
        <v>62</v>
      </c>
      <c r="C217" s="552"/>
      <c r="D217" s="464" t="s">
        <v>38</v>
      </c>
      <c r="E217" s="465"/>
      <c r="F217" s="466"/>
      <c r="G217" s="106"/>
      <c r="H217" s="108"/>
      <c r="I217" s="106"/>
      <c r="J217" s="108"/>
      <c r="K217" s="106"/>
      <c r="L217" s="108"/>
      <c r="M217" s="101"/>
      <c r="N217" s="102"/>
      <c r="O217" s="101"/>
      <c r="P217" s="102"/>
      <c r="Q217" s="101"/>
      <c r="R217" s="251"/>
      <c r="S217" s="252"/>
      <c r="T217" s="102"/>
      <c r="U217" s="106"/>
      <c r="V217" s="108"/>
      <c r="W217" s="106"/>
      <c r="X217" s="108"/>
      <c r="Y217" s="106"/>
      <c r="Z217" s="108"/>
      <c r="AA217" s="106"/>
      <c r="AB217" s="108"/>
      <c r="AC217" s="106"/>
      <c r="AD217" s="108"/>
      <c r="AE217" s="106"/>
      <c r="AF217" s="108"/>
      <c r="AG217" s="106"/>
      <c r="AH217" s="108"/>
      <c r="AI217" s="106"/>
      <c r="AJ217" s="108"/>
      <c r="AK217" s="253">
        <f>+AK213+AK215</f>
        <v>0</v>
      </c>
      <c r="AL217" s="58">
        <f>IF(E213+E215=0,0,AK217/(E213+E215))</f>
        <v>0</v>
      </c>
      <c r="AM217" s="110">
        <f>+SUM(AM215,AM213)</f>
        <v>0</v>
      </c>
      <c r="AN217" s="58">
        <f>IF((E213+E215)=0,0,AM217/((E213+E215)*14))</f>
        <v>0</v>
      </c>
      <c r="AO217" s="60" t="str">
        <f>IF(AM217=0,"",AM217/AK217)</f>
        <v/>
      </c>
      <c r="AP217" s="61">
        <f>+AP213+AP215</f>
        <v>0</v>
      </c>
      <c r="AQ217" s="109"/>
      <c r="AR217" s="63">
        <f>+AR213+AR215</f>
        <v>0</v>
      </c>
      <c r="AS217" s="64">
        <f>AR217/E145</f>
        <v>0</v>
      </c>
      <c r="AT217" s="61">
        <f>+AT213+AT215</f>
        <v>0</v>
      </c>
      <c r="AU217" s="64">
        <f>AT217/F145</f>
        <v>0</v>
      </c>
      <c r="AV217" s="111">
        <f>+AV213+AV215</f>
        <v>0</v>
      </c>
    </row>
    <row r="218" spans="1:48" ht="21.6" hidden="1" customHeight="1" thickBot="1" x14ac:dyDescent="0.3">
      <c r="A218" s="577"/>
      <c r="B218" s="112" t="s">
        <v>50</v>
      </c>
      <c r="C218" s="552"/>
      <c r="D218" s="445" t="s">
        <v>39</v>
      </c>
      <c r="E218" s="445"/>
      <c r="F218" s="445"/>
      <c r="G218" s="116"/>
      <c r="H218" s="254"/>
      <c r="I218" s="116"/>
      <c r="J218" s="254"/>
      <c r="K218" s="116"/>
      <c r="L218" s="254"/>
      <c r="M218" s="131"/>
      <c r="N218" s="132"/>
      <c r="O218" s="131"/>
      <c r="P218" s="132"/>
      <c r="Q218" s="131"/>
      <c r="R218" s="255"/>
      <c r="S218" s="248"/>
      <c r="T218" s="99"/>
      <c r="U218" s="116"/>
      <c r="V218" s="254"/>
      <c r="W218" s="116"/>
      <c r="X218" s="254"/>
      <c r="Y218" s="258"/>
      <c r="Z218" s="259"/>
      <c r="AA218" s="258"/>
      <c r="AB218" s="259"/>
      <c r="AC218" s="116"/>
      <c r="AD218" s="254"/>
      <c r="AE218" s="116"/>
      <c r="AF218" s="254"/>
      <c r="AG218" s="116"/>
      <c r="AH218" s="254"/>
      <c r="AI218" s="116"/>
      <c r="AJ218" s="254"/>
      <c r="AK218" s="71">
        <f>G218+I218+K218+M218+O218+Q218+S218+U218+W218+Y218+AA218+AC218+AE218+AG218+AI218</f>
        <v>0</v>
      </c>
      <c r="AL218" s="72"/>
      <c r="AM218" s="73">
        <f>H218+J218+L218+N218+P218+R218+T218+V218+X218+Z218+AB218+AD218+AF218+AH218+AJ218</f>
        <v>0</v>
      </c>
      <c r="AN218" s="72"/>
      <c r="AO218" s="74"/>
      <c r="AP218" s="73"/>
      <c r="AQ218" s="75"/>
      <c r="AR218" s="71">
        <f>+AR200+AK218-S158-S165-S172-S179-S186-S193-S200</f>
        <v>0</v>
      </c>
      <c r="AS218" s="77"/>
      <c r="AT218" s="73">
        <f>+AT200+AM218-T158-T165-T172-T179-T186-T193-T200</f>
        <v>0</v>
      </c>
      <c r="AU218" s="77"/>
      <c r="AV218" s="118"/>
    </row>
    <row r="219" spans="1:48" ht="29.25" hidden="1" customHeight="1" thickBot="1" x14ac:dyDescent="0.3">
      <c r="A219" s="233"/>
      <c r="B219" s="152">
        <f>SUM(MOD(("1/"&amp;A151)-{0;6},{1E+99;7})*{1;-1},A226*7,MATCH(MID(B218,1,2),{"Mo";"Tu";"We";"Th";"Fr";"Sa";"Su"},0)-5)</f>
        <v>42468</v>
      </c>
      <c r="C219" s="553"/>
      <c r="D219" s="446" t="s">
        <v>6</v>
      </c>
      <c r="E219" s="446"/>
      <c r="F219" s="446"/>
      <c r="G219" s="120"/>
      <c r="H219" s="121"/>
      <c r="I219" s="120"/>
      <c r="J219" s="121"/>
      <c r="K219" s="120"/>
      <c r="L219" s="121"/>
      <c r="M219" s="120"/>
      <c r="N219" s="121"/>
      <c r="O219" s="120"/>
      <c r="P219" s="121"/>
      <c r="Q219" s="120"/>
      <c r="R219" s="260"/>
      <c r="S219" s="261"/>
      <c r="T219" s="121"/>
      <c r="U219" s="120"/>
      <c r="V219" s="121"/>
      <c r="W219" s="120"/>
      <c r="X219" s="121"/>
      <c r="Y219" s="120"/>
      <c r="Z219" s="121"/>
      <c r="AA219" s="120"/>
      <c r="AB219" s="121"/>
      <c r="AC219" s="120"/>
      <c r="AD219" s="121"/>
      <c r="AE219" s="120"/>
      <c r="AF219" s="121"/>
      <c r="AG219" s="120"/>
      <c r="AH219" s="121"/>
      <c r="AI219" s="120"/>
      <c r="AJ219" s="121"/>
      <c r="AK219" s="123">
        <f>AK217+AK218</f>
        <v>0</v>
      </c>
      <c r="AL219" s="85">
        <f>IF(E213+E215=0,0,AK219/(E213+E215))</f>
        <v>0</v>
      </c>
      <c r="AM219" s="90">
        <f>+AM217+AM218</f>
        <v>0</v>
      </c>
      <c r="AN219" s="85">
        <f>IF((E213+E215)=0,0,AM219/((E213+E215)*14))</f>
        <v>0</v>
      </c>
      <c r="AO219" s="87" t="str">
        <f>IF(AM219=0,"",AM219/AK219)</f>
        <v/>
      </c>
      <c r="AP219" s="88">
        <f>+AP217</f>
        <v>0</v>
      </c>
      <c r="AQ219" s="109"/>
      <c r="AR219" s="123">
        <f>+AR217+AR218</f>
        <v>0</v>
      </c>
      <c r="AS219" s="85">
        <f>AR219/E145</f>
        <v>0</v>
      </c>
      <c r="AT219" s="86">
        <f>+AT217+AT218</f>
        <v>0</v>
      </c>
      <c r="AU219" s="85">
        <f>+AT219/F145</f>
        <v>0</v>
      </c>
      <c r="AV219" s="124">
        <f>+AV217</f>
        <v>0</v>
      </c>
    </row>
    <row r="220" spans="1:48" ht="25.5" hidden="1" customHeight="1" outlineLevel="1" x14ac:dyDescent="0.25">
      <c r="A220" s="233"/>
      <c r="B220" s="93"/>
      <c r="C220" s="551"/>
      <c r="D220" s="500" t="str">
        <f>$B$6</f>
        <v>Trade</v>
      </c>
      <c r="E220" s="501">
        <v>90</v>
      </c>
      <c r="F220" s="44" t="s">
        <v>36</v>
      </c>
      <c r="G220" s="235"/>
      <c r="H220" s="236"/>
      <c r="I220" s="352"/>
      <c r="J220" s="353"/>
      <c r="K220" s="352"/>
      <c r="L220" s="353"/>
      <c r="M220" s="364"/>
      <c r="N220" s="365"/>
      <c r="O220" s="364"/>
      <c r="P220" s="365"/>
      <c r="Q220" s="364"/>
      <c r="R220" s="366"/>
      <c r="S220" s="367"/>
      <c r="T220" s="365"/>
      <c r="U220" s="368"/>
      <c r="V220" s="358"/>
      <c r="W220" s="344"/>
      <c r="X220" s="345"/>
      <c r="Y220" s="344"/>
      <c r="Z220" s="345"/>
      <c r="AA220" s="344"/>
      <c r="AB220" s="345"/>
      <c r="AC220" s="344"/>
      <c r="AD220" s="345"/>
      <c r="AE220" s="344"/>
      <c r="AF220" s="345"/>
      <c r="AG220" s="45"/>
      <c r="AH220" s="46"/>
      <c r="AI220" s="45"/>
      <c r="AJ220" s="46"/>
      <c r="AK220" s="537">
        <f>G220+I220+K220+M220+O220+Q220+S220+U220+W220+Y220+AA220+AC220+AE220+AG220+AI220</f>
        <v>0</v>
      </c>
      <c r="AL220" s="528">
        <f>IF(E220=0,0,AK220/E220)</f>
        <v>0</v>
      </c>
      <c r="AM220" s="530">
        <f>H220+J220+L220+N220+P220+R220+T220+V220+X220+Z220+AB220+AD220+AF220+AH220+AJ220</f>
        <v>0</v>
      </c>
      <c r="AN220" s="533">
        <f>IF(E220=0,0,AM220/($E220*14))</f>
        <v>0</v>
      </c>
      <c r="AO220" s="535" t="str">
        <f>IF(AM220=0,"",AM220/AK220)</f>
        <v/>
      </c>
      <c r="AP220" s="493">
        <f>G221+I221+K221+M221+O221+Q221+S221+U221+W221+Y221+AA221+AC221+AE221+AG221+AI221</f>
        <v>0</v>
      </c>
      <c r="AQ220" s="109"/>
      <c r="AR220" s="537">
        <f>+AR213+AK220-U153-U160-U167-U174-U181-U188-U195-U213</f>
        <v>0</v>
      </c>
      <c r="AS220" s="528">
        <f>AR220/(E213+E220)</f>
        <v>0</v>
      </c>
      <c r="AT220" s="530">
        <f>+AT213+AM220-V153-V160-V167-V174-V181-V188-V195-V213</f>
        <v>0</v>
      </c>
      <c r="AU220" s="528">
        <f>+AT220/F9</f>
        <v>0</v>
      </c>
      <c r="AV220" s="514">
        <f>+AV213+AP220-U154-U161-U168-U175-U182-U189-U196-U214</f>
        <v>0</v>
      </c>
    </row>
    <row r="221" spans="1:48" ht="20.25" hidden="1" customHeight="1" outlineLevel="1" x14ac:dyDescent="0.25">
      <c r="A221" s="233"/>
      <c r="B221" s="100"/>
      <c r="C221" s="552"/>
      <c r="D221" s="457"/>
      <c r="E221" s="459"/>
      <c r="F221" s="50" t="s">
        <v>37</v>
      </c>
      <c r="G221" s="512"/>
      <c r="H221" s="513"/>
      <c r="I221" s="580"/>
      <c r="J221" s="581"/>
      <c r="K221" s="580"/>
      <c r="L221" s="581"/>
      <c r="M221" s="582"/>
      <c r="N221" s="583"/>
      <c r="O221" s="582"/>
      <c r="P221" s="583"/>
      <c r="Q221" s="582"/>
      <c r="R221" s="584"/>
      <c r="S221" s="585"/>
      <c r="T221" s="583"/>
      <c r="U221" s="586"/>
      <c r="V221" s="587"/>
      <c r="W221" s="580"/>
      <c r="X221" s="581"/>
      <c r="Y221" s="580"/>
      <c r="Z221" s="581"/>
      <c r="AA221" s="580"/>
      <c r="AB221" s="581"/>
      <c r="AC221" s="580"/>
      <c r="AD221" s="581"/>
      <c r="AE221" s="580"/>
      <c r="AF221" s="581"/>
      <c r="AG221" s="512"/>
      <c r="AH221" s="513"/>
      <c r="AI221" s="512"/>
      <c r="AJ221" s="513"/>
      <c r="AK221" s="538"/>
      <c r="AL221" s="529"/>
      <c r="AM221" s="532"/>
      <c r="AN221" s="534"/>
      <c r="AO221" s="536"/>
      <c r="AP221" s="425"/>
      <c r="AQ221" s="109"/>
      <c r="AR221" s="538"/>
      <c r="AS221" s="529"/>
      <c r="AT221" s="531"/>
      <c r="AU221" s="529"/>
      <c r="AV221" s="515"/>
    </row>
    <row r="222" spans="1:48" ht="21" hidden="1" customHeight="1" outlineLevel="1" x14ac:dyDescent="0.25">
      <c r="A222" s="49"/>
      <c r="B222" s="112" t="s">
        <v>63</v>
      </c>
      <c r="C222" s="552"/>
      <c r="D222" s="479" t="str">
        <f>$B$7</f>
        <v>Feeder</v>
      </c>
      <c r="E222" s="481">
        <v>50</v>
      </c>
      <c r="F222" s="51" t="s">
        <v>36</v>
      </c>
      <c r="G222" s="52"/>
      <c r="H222" s="53"/>
      <c r="I222" s="348"/>
      <c r="J222" s="349"/>
      <c r="K222" s="348"/>
      <c r="L222" s="349"/>
      <c r="M222" s="369"/>
      <c r="N222" s="370"/>
      <c r="O222" s="369"/>
      <c r="P222" s="370"/>
      <c r="Q222" s="369"/>
      <c r="R222" s="371"/>
      <c r="S222" s="372"/>
      <c r="T222" s="370"/>
      <c r="U222" s="373"/>
      <c r="V222" s="363"/>
      <c r="W222" s="348"/>
      <c r="X222" s="349"/>
      <c r="Y222" s="348"/>
      <c r="Z222" s="349"/>
      <c r="AA222" s="348"/>
      <c r="AB222" s="349"/>
      <c r="AC222" s="348"/>
      <c r="AD222" s="349"/>
      <c r="AE222" s="348"/>
      <c r="AF222" s="349"/>
      <c r="AG222" s="52"/>
      <c r="AH222" s="53"/>
      <c r="AI222" s="52"/>
      <c r="AJ222" s="53"/>
      <c r="AK222" s="521">
        <f>G222+I222+K222+M222+O222+Q222+S222+U222+W222+Y222+AA222+AC222+AE222+AG222+AI222</f>
        <v>0</v>
      </c>
      <c r="AL222" s="519">
        <f>IF(E222=0,0,AK222/E222)</f>
        <v>0</v>
      </c>
      <c r="AM222" s="523">
        <f>H222+J222+L222+N222+P222+R222+T222+V222+X222+Z222+AB222+AD222+AF222+AH222+AJ222</f>
        <v>0</v>
      </c>
      <c r="AN222" s="525">
        <f>IF(E220=0,0,AM222/($E220*14))</f>
        <v>0</v>
      </c>
      <c r="AO222" s="527" t="str">
        <f>IF(AM222=0,"",AM222/AK222)</f>
        <v/>
      </c>
      <c r="AP222" s="468">
        <f>G223+I223+K223+M223+O223+Q223+S223+U223+W223+Y223+AA223+AC223+AE223+AG223+AI223</f>
        <v>0</v>
      </c>
      <c r="AQ222" s="109"/>
      <c r="AR222" s="518">
        <f>+AR215+AK222-U155-U162-U169-U176-U183-U190-U197-U215</f>
        <v>0</v>
      </c>
      <c r="AS222" s="519">
        <f>AR222/(E215+E222)</f>
        <v>0</v>
      </c>
      <c r="AT222" s="520">
        <f>+AT215+AM222-V155-V162-V169-V176-V183-V190-V197-V215</f>
        <v>0</v>
      </c>
      <c r="AU222" s="519">
        <f>+AT222/(14*(E215+E222))</f>
        <v>0</v>
      </c>
      <c r="AV222" s="508">
        <f>+AV215+AP222-U156-U163-U170-U177-U184-U191-U198-U216</f>
        <v>0</v>
      </c>
    </row>
    <row r="223" spans="1:48" ht="20.399999999999999" hidden="1" customHeight="1" outlineLevel="1" x14ac:dyDescent="0.25">
      <c r="A223" s="49"/>
      <c r="B223" s="100"/>
      <c r="C223" s="552"/>
      <c r="D223" s="480"/>
      <c r="E223" s="482"/>
      <c r="F223" s="54" t="s">
        <v>37</v>
      </c>
      <c r="G223" s="506"/>
      <c r="H223" s="507"/>
      <c r="I223" s="506"/>
      <c r="J223" s="507"/>
      <c r="K223" s="506"/>
      <c r="L223" s="507"/>
      <c r="M223" s="543"/>
      <c r="N223" s="544"/>
      <c r="O223" s="543"/>
      <c r="P223" s="544"/>
      <c r="Q223" s="543"/>
      <c r="R223" s="545"/>
      <c r="S223" s="546"/>
      <c r="T223" s="544"/>
      <c r="U223" s="462"/>
      <c r="V223" s="463"/>
      <c r="W223" s="506"/>
      <c r="X223" s="507"/>
      <c r="Y223" s="506"/>
      <c r="Z223" s="507"/>
      <c r="AA223" s="506"/>
      <c r="AB223" s="507"/>
      <c r="AC223" s="506"/>
      <c r="AD223" s="507"/>
      <c r="AE223" s="506"/>
      <c r="AF223" s="507"/>
      <c r="AG223" s="506"/>
      <c r="AH223" s="507"/>
      <c r="AI223" s="506"/>
      <c r="AJ223" s="507"/>
      <c r="AK223" s="522"/>
      <c r="AL223" s="519"/>
      <c r="AM223" s="524"/>
      <c r="AN223" s="526"/>
      <c r="AO223" s="527"/>
      <c r="AP223" s="468"/>
      <c r="AQ223" s="109"/>
      <c r="AR223" s="518"/>
      <c r="AS223" s="519"/>
      <c r="AT223" s="520"/>
      <c r="AU223" s="519"/>
      <c r="AV223" s="508"/>
    </row>
    <row r="224" spans="1:48" ht="22.8" hidden="1" customHeight="1" x14ac:dyDescent="0.25">
      <c r="A224" s="49"/>
      <c r="B224" s="100" t="s">
        <v>64</v>
      </c>
      <c r="C224" s="552"/>
      <c r="D224" s="464" t="s">
        <v>38</v>
      </c>
      <c r="E224" s="465"/>
      <c r="F224" s="466"/>
      <c r="G224" s="106"/>
      <c r="H224" s="108"/>
      <c r="I224" s="106"/>
      <c r="J224" s="108"/>
      <c r="K224" s="106"/>
      <c r="L224" s="108"/>
      <c r="M224" s="101"/>
      <c r="N224" s="102"/>
      <c r="O224" s="101"/>
      <c r="P224" s="102"/>
      <c r="Q224" s="101"/>
      <c r="R224" s="251"/>
      <c r="S224" s="252"/>
      <c r="T224" s="102"/>
      <c r="U224" s="101"/>
      <c r="V224" s="102"/>
      <c r="W224" s="106"/>
      <c r="X224" s="108"/>
      <c r="Y224" s="106"/>
      <c r="Z224" s="108"/>
      <c r="AA224" s="106"/>
      <c r="AB224" s="108"/>
      <c r="AC224" s="106"/>
      <c r="AD224" s="108"/>
      <c r="AE224" s="106"/>
      <c r="AF224" s="108"/>
      <c r="AG224" s="106"/>
      <c r="AH224" s="108"/>
      <c r="AI224" s="106"/>
      <c r="AJ224" s="108"/>
      <c r="AK224" s="253">
        <f>+AK220+AK222</f>
        <v>0</v>
      </c>
      <c r="AL224" s="58">
        <f>IF(E220+E222=0,0,AK224/(E220+E222))</f>
        <v>0</v>
      </c>
      <c r="AM224" s="110">
        <f>+SUM(AM222,AM220)</f>
        <v>0</v>
      </c>
      <c r="AN224" s="58">
        <f>IF((E220+E222)=0,0,AM224/((E220+E222)*14))</f>
        <v>0</v>
      </c>
      <c r="AO224" s="60" t="str">
        <f>IF(AM224=0,"",AM224/AK224)</f>
        <v/>
      </c>
      <c r="AP224" s="61">
        <f>+AP220+AP222</f>
        <v>0</v>
      </c>
      <c r="AQ224" s="109"/>
      <c r="AR224" s="63">
        <f>+AR220+AR222</f>
        <v>0</v>
      </c>
      <c r="AS224" s="64">
        <f>AR224/E145</f>
        <v>0</v>
      </c>
      <c r="AT224" s="61">
        <f>+AT220+AT222</f>
        <v>0</v>
      </c>
      <c r="AU224" s="64">
        <f>AT224/F145</f>
        <v>0</v>
      </c>
      <c r="AV224" s="111">
        <f>+AV220+AV222</f>
        <v>0</v>
      </c>
    </row>
    <row r="225" spans="1:48" ht="21.6" hidden="1" customHeight="1" thickBot="1" x14ac:dyDescent="0.3">
      <c r="A225" s="49"/>
      <c r="B225" s="112" t="s">
        <v>65</v>
      </c>
      <c r="C225" s="552"/>
      <c r="D225" s="554" t="s">
        <v>39</v>
      </c>
      <c r="E225" s="555"/>
      <c r="F225" s="556"/>
      <c r="G225" s="116"/>
      <c r="H225" s="254"/>
      <c r="I225" s="116"/>
      <c r="J225" s="254"/>
      <c r="K225" s="116"/>
      <c r="L225" s="254"/>
      <c r="M225" s="127"/>
      <c r="N225" s="128"/>
      <c r="O225" s="127"/>
      <c r="P225" s="128"/>
      <c r="Q225" s="127"/>
      <c r="R225" s="266"/>
      <c r="S225" s="267"/>
      <c r="T225" s="128"/>
      <c r="U225" s="98"/>
      <c r="V225" s="99"/>
      <c r="W225" s="116"/>
      <c r="X225" s="254"/>
      <c r="Y225" s="116"/>
      <c r="Z225" s="254"/>
      <c r="AA225" s="116"/>
      <c r="AB225" s="254"/>
      <c r="AC225" s="116"/>
      <c r="AD225" s="254"/>
      <c r="AE225" s="116"/>
      <c r="AF225" s="254"/>
      <c r="AG225" s="116"/>
      <c r="AH225" s="254"/>
      <c r="AI225" s="116"/>
      <c r="AJ225" s="254"/>
      <c r="AK225" s="71">
        <f>G225+I225+K225+M225+O225+Q225+S225+U225+W225+Y225+AA225+AC225+AE225+AG225+AI225</f>
        <v>0</v>
      </c>
      <c r="AL225" s="72"/>
      <c r="AM225" s="73">
        <f>H225+J225+L225+N225+P225+R225+T225+V225+X225+Z225+AB225+AD225+AF225+AH225+AJ225</f>
        <v>0</v>
      </c>
      <c r="AN225" s="72"/>
      <c r="AO225" s="74"/>
      <c r="AP225" s="73"/>
      <c r="AQ225" s="75"/>
      <c r="AR225" s="71">
        <f>+AR218+AK225-U158-U165-U172-U179-U186-U193-U200-U218</f>
        <v>0</v>
      </c>
      <c r="AS225" s="77"/>
      <c r="AT225" s="73">
        <f>+AT218+AM225-V158-V165-V172-V179-V186-V193-V200-V218</f>
        <v>0</v>
      </c>
      <c r="AU225" s="77"/>
      <c r="AV225" s="118"/>
    </row>
    <row r="226" spans="1:48" ht="23.4" hidden="1" customHeight="1" thickBot="1" x14ac:dyDescent="0.3">
      <c r="A226" s="577">
        <f>A185+1</f>
        <v>14</v>
      </c>
      <c r="B226" s="152">
        <f>SUM(MOD(("1/"&amp;A151)-{0;6},{1E+99;7})*{1;-1},A226*7,MATCH(MID(B225,1,2),{"Mo";"Tu";"We";"Th";"Fr";"Sa";"Su"},0)-5)</f>
        <v>42469</v>
      </c>
      <c r="C226" s="553"/>
      <c r="D226" s="557" t="s">
        <v>6</v>
      </c>
      <c r="E226" s="558"/>
      <c r="F226" s="559"/>
      <c r="G226" s="120"/>
      <c r="H226" s="121"/>
      <c r="I226" s="120"/>
      <c r="J226" s="121"/>
      <c r="K226" s="120"/>
      <c r="L226" s="121"/>
      <c r="M226" s="120"/>
      <c r="N226" s="121"/>
      <c r="O226" s="120"/>
      <c r="P226" s="121"/>
      <c r="Q226" s="120"/>
      <c r="R226" s="260"/>
      <c r="S226" s="261"/>
      <c r="T226" s="121"/>
      <c r="U226" s="120"/>
      <c r="V226" s="121"/>
      <c r="W226" s="120"/>
      <c r="X226" s="121"/>
      <c r="Y226" s="120"/>
      <c r="Z226" s="121"/>
      <c r="AA226" s="120"/>
      <c r="AB226" s="121"/>
      <c r="AC226" s="120"/>
      <c r="AD226" s="121"/>
      <c r="AE226" s="120"/>
      <c r="AF226" s="121"/>
      <c r="AG226" s="120"/>
      <c r="AH226" s="121"/>
      <c r="AI226" s="120"/>
      <c r="AJ226" s="121"/>
      <c r="AK226" s="123">
        <f>AK224+AK225</f>
        <v>0</v>
      </c>
      <c r="AL226" s="85">
        <f>IF(E220+E222=0,0,AK226/(E220+E222))</f>
        <v>0</v>
      </c>
      <c r="AM226" s="90">
        <f>+AM224+AM225</f>
        <v>0</v>
      </c>
      <c r="AN226" s="85">
        <f>IF((E220+E222)=0,0,AM226/((E220+E222)*14))</f>
        <v>0</v>
      </c>
      <c r="AO226" s="87" t="str">
        <f>IF(AM226=0,"",AM226/AK226)</f>
        <v/>
      </c>
      <c r="AP226" s="88">
        <f>+AP224</f>
        <v>0</v>
      </c>
      <c r="AQ226" s="109"/>
      <c r="AR226" s="84">
        <f>+AR224+AR225</f>
        <v>0</v>
      </c>
      <c r="AS226" s="85">
        <f>AR226/E145</f>
        <v>0</v>
      </c>
      <c r="AT226" s="86">
        <f>+AT224+AT225</f>
        <v>0</v>
      </c>
      <c r="AU226" s="85">
        <f>+AT226/F145</f>
        <v>0</v>
      </c>
      <c r="AV226" s="124">
        <f>+AV224</f>
        <v>0</v>
      </c>
    </row>
    <row r="227" spans="1:48" ht="21" hidden="1" customHeight="1" outlineLevel="1" x14ac:dyDescent="0.25">
      <c r="A227" s="577"/>
      <c r="B227" s="93"/>
      <c r="C227" s="551"/>
      <c r="D227" s="500" t="str">
        <f>$B$6</f>
        <v>Trade</v>
      </c>
      <c r="E227" s="501">
        <v>135</v>
      </c>
      <c r="F227" s="44" t="s">
        <v>36</v>
      </c>
      <c r="G227" s="237"/>
      <c r="H227" s="238"/>
      <c r="I227" s="237"/>
      <c r="J227" s="238"/>
      <c r="K227" s="237"/>
      <c r="L227" s="238"/>
      <c r="M227" s="145"/>
      <c r="N227" s="146"/>
      <c r="O227" s="145"/>
      <c r="P227" s="146"/>
      <c r="Q227" s="145"/>
      <c r="R227" s="374"/>
      <c r="S227" s="375"/>
      <c r="T227" s="146"/>
      <c r="U227" s="145"/>
      <c r="V227" s="146"/>
      <c r="W227" s="376"/>
      <c r="X227" s="377"/>
      <c r="Y227" s="264"/>
      <c r="Z227" s="265"/>
      <c r="AA227" s="264"/>
      <c r="AB227" s="265"/>
      <c r="AC227" s="264"/>
      <c r="AD227" s="265"/>
      <c r="AE227" s="378"/>
      <c r="AF227" s="379"/>
      <c r="AG227" s="380"/>
      <c r="AH227" s="381"/>
      <c r="AI227" s="380"/>
      <c r="AJ227" s="381"/>
      <c r="AK227" s="537">
        <f>G227+I227+K227+M227+O227+Q227+S227+U227+W227+Y227+AA227+AC227+AE227+AG227+AI227</f>
        <v>0</v>
      </c>
      <c r="AL227" s="528">
        <f>IF(E227=0,0,AK227/E227)</f>
        <v>0</v>
      </c>
      <c r="AM227" s="530">
        <f>H227+J227+L227+N227+P227+R227+T227+V227+X227+Z227+AB227+AD227+AF227+AH227+AJ227</f>
        <v>0</v>
      </c>
      <c r="AN227" s="533">
        <f>IF(E227=0,0,AM227/($E227*14))</f>
        <v>0</v>
      </c>
      <c r="AO227" s="535" t="str">
        <f>IF(AM227=0,"",AM227/AK227)</f>
        <v/>
      </c>
      <c r="AP227" s="493">
        <f>G228+I228+K228+M228+O228+Q228+S228+U228+W228+Y228+AA228+AC228+AE228+AG228+AI228</f>
        <v>0</v>
      </c>
      <c r="AQ227" s="268"/>
      <c r="AR227" s="537">
        <f>+AR220+AK227-W153-W160-W167-W174-W181-W188-W195-W213-W220</f>
        <v>0</v>
      </c>
      <c r="AS227" s="528">
        <f>AR227/(E213+E220+E227)</f>
        <v>0</v>
      </c>
      <c r="AT227" s="530">
        <f>+AT220+AM227-X153-X160-X167-X174-X181-X188-X195-X213-X220</f>
        <v>0</v>
      </c>
      <c r="AU227" s="528">
        <f>+AT227/(14*(E213+E220+E227))</f>
        <v>0</v>
      </c>
      <c r="AV227" s="514">
        <f>+AV220+AP227-W154-W161-W168-W175-W182-W189-W196-W214-W221</f>
        <v>0</v>
      </c>
    </row>
    <row r="228" spans="1:48" ht="21" hidden="1" customHeight="1" outlineLevel="1" x14ac:dyDescent="0.25">
      <c r="A228" s="577" t="s">
        <v>66</v>
      </c>
      <c r="B228" s="100"/>
      <c r="C228" s="552"/>
      <c r="D228" s="457"/>
      <c r="E228" s="459"/>
      <c r="F228" s="50" t="s">
        <v>37</v>
      </c>
      <c r="G228" s="570"/>
      <c r="H228" s="571"/>
      <c r="I228" s="570"/>
      <c r="J228" s="571"/>
      <c r="K228" s="570"/>
      <c r="L228" s="571"/>
      <c r="M228" s="566"/>
      <c r="N228" s="567"/>
      <c r="O228" s="566"/>
      <c r="P228" s="567"/>
      <c r="Q228" s="566"/>
      <c r="R228" s="573"/>
      <c r="S228" s="574"/>
      <c r="T228" s="567"/>
      <c r="U228" s="566"/>
      <c r="V228" s="567"/>
      <c r="W228" s="568"/>
      <c r="X228" s="569"/>
      <c r="Y228" s="570"/>
      <c r="Z228" s="571"/>
      <c r="AA228" s="570"/>
      <c r="AB228" s="571"/>
      <c r="AC228" s="570"/>
      <c r="AD228" s="571"/>
      <c r="AE228" s="578"/>
      <c r="AF228" s="579"/>
      <c r="AG228" s="564"/>
      <c r="AH228" s="565"/>
      <c r="AI228" s="564"/>
      <c r="AJ228" s="565"/>
      <c r="AK228" s="538"/>
      <c r="AL228" s="529"/>
      <c r="AM228" s="532"/>
      <c r="AN228" s="534"/>
      <c r="AO228" s="536"/>
      <c r="AP228" s="425"/>
      <c r="AQ228" s="268"/>
      <c r="AR228" s="538"/>
      <c r="AS228" s="529"/>
      <c r="AT228" s="531"/>
      <c r="AU228" s="529"/>
      <c r="AV228" s="515"/>
    </row>
    <row r="229" spans="1:48" ht="21" hidden="1" customHeight="1" outlineLevel="1" x14ac:dyDescent="0.25">
      <c r="A229" s="577"/>
      <c r="B229" s="112"/>
      <c r="C229" s="552"/>
      <c r="D229" s="479" t="str">
        <f>$B$7</f>
        <v>Feeder</v>
      </c>
      <c r="E229" s="481">
        <v>75</v>
      </c>
      <c r="F229" s="51" t="s">
        <v>36</v>
      </c>
      <c r="G229" s="149"/>
      <c r="H229" s="150"/>
      <c r="I229" s="149"/>
      <c r="J229" s="150"/>
      <c r="K229" s="149"/>
      <c r="L229" s="150"/>
      <c r="M229" s="147"/>
      <c r="N229" s="148"/>
      <c r="O229" s="147"/>
      <c r="P229" s="148"/>
      <c r="Q229" s="147"/>
      <c r="R229" s="382"/>
      <c r="S229" s="383"/>
      <c r="T229" s="148"/>
      <c r="U229" s="147"/>
      <c r="V229" s="148"/>
      <c r="W229" s="384"/>
      <c r="X229" s="385"/>
      <c r="Y229" s="149"/>
      <c r="Z229" s="150"/>
      <c r="AA229" s="149"/>
      <c r="AB229" s="150"/>
      <c r="AC229" s="149"/>
      <c r="AD229" s="150"/>
      <c r="AE229" s="386"/>
      <c r="AF229" s="387"/>
      <c r="AG229" s="249"/>
      <c r="AH229" s="250"/>
      <c r="AI229" s="249"/>
      <c r="AJ229" s="250"/>
      <c r="AK229" s="521">
        <f>G229+I229+K229+M229+O229+Q229+S229+U229+W229+Y229+AA229+AC229+AE229+AG229+AI229</f>
        <v>0</v>
      </c>
      <c r="AL229" s="519">
        <f>IF(E229=0,0,AK229/E229)</f>
        <v>0</v>
      </c>
      <c r="AM229" s="523">
        <f>H229+J229+L229+N229+P229+R229+T229+V229+X229+Z229+AB229+AD229+AF229+AH229+AJ229</f>
        <v>0</v>
      </c>
      <c r="AN229" s="525">
        <f>IF(E227=0,0,AM229/($E227*14))</f>
        <v>0</v>
      </c>
      <c r="AO229" s="527" t="str">
        <f>IF(AM229=0,"",AM229/AK229)</f>
        <v/>
      </c>
      <c r="AP229" s="468">
        <f>G230+I230+K230+M230+O230+Q230+S230+U230+W230+Y230+AA230+AC230+AE230+AG230+AI230</f>
        <v>0</v>
      </c>
      <c r="AQ229" s="268"/>
      <c r="AR229" s="518">
        <f>+AR222+AK229-W155-W162-W169-W176-W183-W190-W197-W215-W222</f>
        <v>0</v>
      </c>
      <c r="AS229" s="519">
        <f>AR229/(E215+E222+E229)</f>
        <v>0</v>
      </c>
      <c r="AT229" s="520">
        <f>+AT222+AM229-X155-X162-X169-X176-X183-X190-X197-X215-X222</f>
        <v>0</v>
      </c>
      <c r="AU229" s="519">
        <f>+AT229/(14*(E215+E222+E229))</f>
        <v>0</v>
      </c>
      <c r="AV229" s="508">
        <f>+AV222+AP229-W156-W163-W170-W177-W184-W191-W198-W216-W223</f>
        <v>0</v>
      </c>
    </row>
    <row r="230" spans="1:48" ht="20.399999999999999" hidden="1" customHeight="1" outlineLevel="1" x14ac:dyDescent="0.25">
      <c r="A230" s="577">
        <f>A226+1</f>
        <v>15</v>
      </c>
      <c r="B230" s="100"/>
      <c r="C230" s="552"/>
      <c r="D230" s="480"/>
      <c r="E230" s="482"/>
      <c r="F230" s="54" t="s">
        <v>37</v>
      </c>
      <c r="G230" s="506"/>
      <c r="H230" s="507"/>
      <c r="I230" s="506"/>
      <c r="J230" s="507"/>
      <c r="K230" s="506"/>
      <c r="L230" s="507"/>
      <c r="M230" s="543"/>
      <c r="N230" s="544"/>
      <c r="O230" s="543"/>
      <c r="P230" s="544"/>
      <c r="Q230" s="543"/>
      <c r="R230" s="545"/>
      <c r="S230" s="546"/>
      <c r="T230" s="544"/>
      <c r="U230" s="543"/>
      <c r="V230" s="544"/>
      <c r="W230" s="462"/>
      <c r="X230" s="463"/>
      <c r="Y230" s="506"/>
      <c r="Z230" s="507"/>
      <c r="AA230" s="575"/>
      <c r="AB230" s="576"/>
      <c r="AC230" s="506"/>
      <c r="AD230" s="507"/>
      <c r="AE230" s="506"/>
      <c r="AF230" s="507"/>
      <c r="AG230" s="506"/>
      <c r="AH230" s="507"/>
      <c r="AI230" s="506"/>
      <c r="AJ230" s="507"/>
      <c r="AK230" s="522"/>
      <c r="AL230" s="519"/>
      <c r="AM230" s="524"/>
      <c r="AN230" s="526"/>
      <c r="AO230" s="527"/>
      <c r="AP230" s="468"/>
      <c r="AQ230" s="268"/>
      <c r="AR230" s="518"/>
      <c r="AS230" s="519"/>
      <c r="AT230" s="520"/>
      <c r="AU230" s="519"/>
      <c r="AV230" s="508"/>
    </row>
    <row r="231" spans="1:48" ht="22.8" hidden="1" customHeight="1" x14ac:dyDescent="0.25">
      <c r="A231" s="577"/>
      <c r="B231" s="100" t="s">
        <v>67</v>
      </c>
      <c r="C231" s="552"/>
      <c r="D231" s="464" t="s">
        <v>38</v>
      </c>
      <c r="E231" s="465"/>
      <c r="F231" s="466"/>
      <c r="G231" s="106"/>
      <c r="H231" s="108"/>
      <c r="I231" s="106"/>
      <c r="J231" s="108"/>
      <c r="K231" s="106"/>
      <c r="L231" s="108"/>
      <c r="M231" s="101"/>
      <c r="N231" s="102"/>
      <c r="O231" s="101"/>
      <c r="P231" s="102"/>
      <c r="Q231" s="101"/>
      <c r="R231" s="251"/>
      <c r="S231" s="252"/>
      <c r="T231" s="102"/>
      <c r="U231" s="101"/>
      <c r="V231" s="102"/>
      <c r="W231" s="101"/>
      <c r="X231" s="102"/>
      <c r="Y231" s="106"/>
      <c r="Z231" s="108"/>
      <c r="AA231" s="106"/>
      <c r="AB231" s="108"/>
      <c r="AC231" s="106"/>
      <c r="AD231" s="108"/>
      <c r="AE231" s="106"/>
      <c r="AF231" s="108"/>
      <c r="AG231" s="106"/>
      <c r="AH231" s="108"/>
      <c r="AI231" s="106"/>
      <c r="AJ231" s="108"/>
      <c r="AK231" s="253">
        <f>+AK227+AK229</f>
        <v>0</v>
      </c>
      <c r="AL231" s="58">
        <f>IF(E227+E229=0,0,AK231/(E227+E229))</f>
        <v>0</v>
      </c>
      <c r="AM231" s="110">
        <f>+SUM(AM229,AM227)</f>
        <v>0</v>
      </c>
      <c r="AN231" s="58">
        <f>IF((E227+E229)=0,0,AM231/((E227+E229)*14))</f>
        <v>0</v>
      </c>
      <c r="AO231" s="60" t="str">
        <f>IF(AM231=0,"",AM231/AK231)</f>
        <v/>
      </c>
      <c r="AP231" s="61">
        <f>+AP227+AP229</f>
        <v>0</v>
      </c>
      <c r="AQ231" s="268"/>
      <c r="AR231" s="63">
        <f>+AR227+AR229</f>
        <v>0</v>
      </c>
      <c r="AS231" s="64">
        <f>AR231/E145</f>
        <v>0</v>
      </c>
      <c r="AT231" s="61">
        <f>+AT227+AT229</f>
        <v>0</v>
      </c>
      <c r="AU231" s="64">
        <f>AT231/F145</f>
        <v>0</v>
      </c>
      <c r="AV231" s="111">
        <f>+AV227+AV229</f>
        <v>0</v>
      </c>
    </row>
    <row r="232" spans="1:48" ht="21.6" hidden="1" customHeight="1" thickBot="1" x14ac:dyDescent="0.3">
      <c r="A232" s="49"/>
      <c r="B232" s="112" t="s">
        <v>68</v>
      </c>
      <c r="C232" s="552"/>
      <c r="D232" s="554" t="s">
        <v>39</v>
      </c>
      <c r="E232" s="555"/>
      <c r="F232" s="556"/>
      <c r="G232" s="116"/>
      <c r="H232" s="254"/>
      <c r="I232" s="116"/>
      <c r="J232" s="254"/>
      <c r="K232" s="116"/>
      <c r="L232" s="254"/>
      <c r="M232" s="127"/>
      <c r="N232" s="128"/>
      <c r="O232" s="127"/>
      <c r="P232" s="128"/>
      <c r="Q232" s="127"/>
      <c r="R232" s="266"/>
      <c r="S232" s="267"/>
      <c r="T232" s="128"/>
      <c r="U232" s="127"/>
      <c r="V232" s="128"/>
      <c r="W232" s="98"/>
      <c r="X232" s="99"/>
      <c r="Y232" s="116"/>
      <c r="Z232" s="254"/>
      <c r="AA232" s="116"/>
      <c r="AB232" s="254"/>
      <c r="AC232" s="116"/>
      <c r="AD232" s="254"/>
      <c r="AE232" s="116"/>
      <c r="AF232" s="254"/>
      <c r="AG232" s="116"/>
      <c r="AH232" s="254"/>
      <c r="AI232" s="116"/>
      <c r="AJ232" s="254"/>
      <c r="AK232" s="71">
        <f>G232+I232+K232+M232+O232+Q232+S232+U232+W232+Y232+AA232+AC232+AE232+AG232+AI232</f>
        <v>0</v>
      </c>
      <c r="AL232" s="72"/>
      <c r="AM232" s="73">
        <f>H232+J232+L232+N232+P232+R232+T232+V232+X232+Z232+AB232+AD232+AF232+AH232+AJ232</f>
        <v>0</v>
      </c>
      <c r="AN232" s="72"/>
      <c r="AO232" s="74"/>
      <c r="AP232" s="73"/>
      <c r="AQ232" s="269"/>
      <c r="AR232" s="71">
        <f>+AR225+AK232-W165-W172-W179-W186-U193-U200-W218</f>
        <v>0</v>
      </c>
      <c r="AS232" s="77"/>
      <c r="AT232" s="73">
        <f>+AT225+AM232-X165-X172-X179-X186-V193-V200-X218-X225</f>
        <v>0</v>
      </c>
      <c r="AU232" s="77"/>
      <c r="AV232" s="118"/>
    </row>
    <row r="233" spans="1:48" ht="23.4" hidden="1" customHeight="1" thickBot="1" x14ac:dyDescent="0.3">
      <c r="A233" s="49"/>
      <c r="B233" s="152">
        <f>SUM(MOD(("1/"&amp;A151)-{0;6},{1E+99;7})*{1;-1},A226*7,MATCH(MID(B232,1,2),{"Mo";"Tu";"We";"Th";"Fr";"Sa";"Su"},0)-5)</f>
        <v>42470</v>
      </c>
      <c r="C233" s="553"/>
      <c r="D233" s="557" t="s">
        <v>6</v>
      </c>
      <c r="E233" s="558"/>
      <c r="F233" s="559"/>
      <c r="G233" s="120"/>
      <c r="H233" s="121"/>
      <c r="I233" s="120"/>
      <c r="J233" s="121"/>
      <c r="K233" s="120"/>
      <c r="L233" s="121"/>
      <c r="M233" s="120"/>
      <c r="N233" s="121"/>
      <c r="O233" s="120"/>
      <c r="P233" s="121"/>
      <c r="Q233" s="120"/>
      <c r="R233" s="260"/>
      <c r="S233" s="261"/>
      <c r="T233" s="121"/>
      <c r="U233" s="120"/>
      <c r="V233" s="121"/>
      <c r="W233" s="120"/>
      <c r="X233" s="121"/>
      <c r="Y233" s="120"/>
      <c r="Z233" s="121"/>
      <c r="AA233" s="120"/>
      <c r="AB233" s="121"/>
      <c r="AC233" s="120"/>
      <c r="AD233" s="121"/>
      <c r="AE233" s="120"/>
      <c r="AF233" s="121"/>
      <c r="AG233" s="120"/>
      <c r="AH233" s="121"/>
      <c r="AI233" s="120"/>
      <c r="AJ233" s="121"/>
      <c r="AK233" s="123">
        <f>AK231+AK232</f>
        <v>0</v>
      </c>
      <c r="AL233" s="85">
        <f>IF(E227+E229=0,0,AK233/(E227+E229))</f>
        <v>0</v>
      </c>
      <c r="AM233" s="90">
        <f>+AM231+AM232</f>
        <v>0</v>
      </c>
      <c r="AN233" s="85">
        <f>IF((E227+E229)=0,0,AM233/((E227+E229)*14))</f>
        <v>0</v>
      </c>
      <c r="AO233" s="87" t="str">
        <f>IF(AM233=0,"",AM233/AK233)</f>
        <v/>
      </c>
      <c r="AP233" s="88">
        <f>+AP231</f>
        <v>0</v>
      </c>
      <c r="AQ233" s="268"/>
      <c r="AR233" s="123">
        <f>+AR231+AR232</f>
        <v>0</v>
      </c>
      <c r="AS233" s="85">
        <f>AR233/E145</f>
        <v>0</v>
      </c>
      <c r="AT233" s="86">
        <f>+AT231+AT232</f>
        <v>0</v>
      </c>
      <c r="AU233" s="85">
        <f>+AT233/F145</f>
        <v>0</v>
      </c>
      <c r="AV233" s="124">
        <f>+AV231</f>
        <v>0</v>
      </c>
    </row>
    <row r="234" spans="1:48" ht="21" hidden="1" customHeight="1" outlineLevel="1" x14ac:dyDescent="0.25">
      <c r="A234" s="49"/>
      <c r="B234" s="93"/>
      <c r="C234" s="551"/>
      <c r="D234" s="500" t="str">
        <f>$B$6</f>
        <v>Trade</v>
      </c>
      <c r="E234" s="501">
        <v>328</v>
      </c>
      <c r="F234" s="44" t="s">
        <v>36</v>
      </c>
      <c r="G234" s="237"/>
      <c r="H234" s="238"/>
      <c r="I234" s="237"/>
      <c r="J234" s="238"/>
      <c r="K234" s="237"/>
      <c r="L234" s="238"/>
      <c r="M234" s="145"/>
      <c r="N234" s="146"/>
      <c r="O234" s="145"/>
      <c r="P234" s="146"/>
      <c r="Q234" s="145"/>
      <c r="R234" s="374"/>
      <c r="S234" s="375"/>
      <c r="T234" s="146"/>
      <c r="U234" s="145"/>
      <c r="V234" s="146"/>
      <c r="W234" s="145"/>
      <c r="X234" s="146"/>
      <c r="Y234" s="376"/>
      <c r="Z234" s="377"/>
      <c r="AA234" s="264"/>
      <c r="AB234" s="265"/>
      <c r="AC234" s="264"/>
      <c r="AD234" s="265"/>
      <c r="AE234" s="380"/>
      <c r="AF234" s="381"/>
      <c r="AG234" s="380"/>
      <c r="AH234" s="381"/>
      <c r="AI234" s="380"/>
      <c r="AJ234" s="381"/>
      <c r="AK234" s="537">
        <f>G234+I234+K234+M234+O234+Q234+S234+U234+W234+Y234+AA234+AC234+AE234+AG234+AI234</f>
        <v>0</v>
      </c>
      <c r="AL234" s="528">
        <f>IF(E234=0,0,AK234/E234)</f>
        <v>0</v>
      </c>
      <c r="AM234" s="530">
        <f>H234+J234+L234+N234+P234+R234+T234+V234+X234+Z234+AB234+AD234+AF234+AH234+AJ234</f>
        <v>0</v>
      </c>
      <c r="AN234" s="533">
        <f>IF(E234=0,0,AM234/($E234*14))</f>
        <v>0</v>
      </c>
      <c r="AO234" s="535" t="str">
        <f>IF(AM234=0,"",AM234/AK234)</f>
        <v/>
      </c>
      <c r="AP234" s="493">
        <f>G235+I235+K235+M235+O235+Q235+S235+U235+W235+Y235+AA235+AC235+AE235+AG235+AI235</f>
        <v>0</v>
      </c>
      <c r="AQ234" s="268"/>
      <c r="AR234" s="537">
        <f>AR227+AK234-Y153-Y160-Y167-Y174-Y181-Y188-Y195-Y213-Y220-Y227</f>
        <v>0</v>
      </c>
      <c r="AS234" s="572">
        <f>AR234/(E213+E220+E227+E234)</f>
        <v>0</v>
      </c>
      <c r="AT234" s="530">
        <f>+AT227+AM234-Z153-Z160-Z167-Z174-Z181-Z188-Z195-Z213-Z220-Z227</f>
        <v>0</v>
      </c>
      <c r="AU234" s="528">
        <f>+AT234/(14*(E213+E220+E227+E234))</f>
        <v>0</v>
      </c>
      <c r="AV234" s="514">
        <f>+AV227+AP234-Y154-Y161-Y168-Y175-Y182-Y189-Y196-Y214-Y221-Y228</f>
        <v>0</v>
      </c>
    </row>
    <row r="235" spans="1:48" ht="21" hidden="1" customHeight="1" outlineLevel="1" x14ac:dyDescent="0.25">
      <c r="A235" s="49"/>
      <c r="B235" s="97" t="s">
        <v>69</v>
      </c>
      <c r="C235" s="552"/>
      <c r="D235" s="457"/>
      <c r="E235" s="459"/>
      <c r="F235" s="50" t="s">
        <v>37</v>
      </c>
      <c r="G235" s="570"/>
      <c r="H235" s="571"/>
      <c r="I235" s="570"/>
      <c r="J235" s="571"/>
      <c r="K235" s="570"/>
      <c r="L235" s="571"/>
      <c r="M235" s="566"/>
      <c r="N235" s="567"/>
      <c r="O235" s="566"/>
      <c r="P235" s="567"/>
      <c r="Q235" s="566"/>
      <c r="R235" s="573"/>
      <c r="S235" s="574"/>
      <c r="T235" s="567"/>
      <c r="U235" s="566"/>
      <c r="V235" s="567"/>
      <c r="W235" s="566"/>
      <c r="X235" s="567"/>
      <c r="Y235" s="568"/>
      <c r="Z235" s="569"/>
      <c r="AA235" s="570"/>
      <c r="AB235" s="571"/>
      <c r="AC235" s="570"/>
      <c r="AD235" s="571"/>
      <c r="AE235" s="564"/>
      <c r="AF235" s="565"/>
      <c r="AG235" s="564"/>
      <c r="AH235" s="565"/>
      <c r="AI235" s="564"/>
      <c r="AJ235" s="565"/>
      <c r="AK235" s="538"/>
      <c r="AL235" s="529"/>
      <c r="AM235" s="532"/>
      <c r="AN235" s="534"/>
      <c r="AO235" s="536"/>
      <c r="AP235" s="425"/>
      <c r="AQ235" s="268"/>
      <c r="AR235" s="538"/>
      <c r="AS235" s="542"/>
      <c r="AT235" s="531"/>
      <c r="AU235" s="529"/>
      <c r="AV235" s="515"/>
    </row>
    <row r="236" spans="1:48" ht="21" hidden="1" customHeight="1" outlineLevel="1" x14ac:dyDescent="0.25">
      <c r="A236" s="49"/>
      <c r="B236" s="112" t="s">
        <v>70</v>
      </c>
      <c r="C236" s="552"/>
      <c r="D236" s="479" t="str">
        <f>$B$7</f>
        <v>Feeder</v>
      </c>
      <c r="E236" s="481">
        <v>250</v>
      </c>
      <c r="F236" s="51" t="s">
        <v>36</v>
      </c>
      <c r="G236" s="149"/>
      <c r="H236" s="150"/>
      <c r="I236" s="149"/>
      <c r="J236" s="150"/>
      <c r="K236" s="149"/>
      <c r="L236" s="150"/>
      <c r="M236" s="147"/>
      <c r="N236" s="148"/>
      <c r="O236" s="147"/>
      <c r="P236" s="148"/>
      <c r="Q236" s="147"/>
      <c r="R236" s="382"/>
      <c r="S236" s="383"/>
      <c r="T236" s="148"/>
      <c r="U236" s="147"/>
      <c r="V236" s="148"/>
      <c r="W236" s="147"/>
      <c r="X236" s="148"/>
      <c r="Y236" s="384"/>
      <c r="Z236" s="385"/>
      <c r="AA236" s="149"/>
      <c r="AB236" s="150"/>
      <c r="AC236" s="149"/>
      <c r="AD236" s="150"/>
      <c r="AE236" s="249"/>
      <c r="AF236" s="250"/>
      <c r="AG236" s="249"/>
      <c r="AH236" s="250"/>
      <c r="AI236" s="249"/>
      <c r="AJ236" s="250"/>
      <c r="AK236" s="521">
        <f>G236+I236+K236+M236+O236+Q236+S236+U236+W236+Y236+AA236+AC236+AE236+AG236+AI236</f>
        <v>0</v>
      </c>
      <c r="AL236" s="519">
        <f>IF(E236=0,0,AK236/E236)</f>
        <v>0</v>
      </c>
      <c r="AM236" s="523">
        <f>H236+J236+L236+N236+P236+R236+T236+V236+X236+Z236+AB236+AD236+AF236+AH236+AJ236</f>
        <v>0</v>
      </c>
      <c r="AN236" s="525">
        <f>IF(E234=0,0,AM236/($E234*14))</f>
        <v>0</v>
      </c>
      <c r="AO236" s="527" t="str">
        <f>IF(AM236=0,"",AM236/AK236)</f>
        <v/>
      </c>
      <c r="AP236" s="468">
        <f>G237+I237+K237+M237+O237+Q237+S237+U237+W237+Y237+AA237+AC237+AE237+AG237+AI237</f>
        <v>0</v>
      </c>
      <c r="AQ236" s="268"/>
      <c r="AR236" s="561">
        <f>AR229+AK236-Y155-Y162-Y169-Y176-Y183-Y190-Y197-Y215-Y222-Y229</f>
        <v>0</v>
      </c>
      <c r="AS236" s="542">
        <f>AR236/(E215+E222+E229+E236)</f>
        <v>0</v>
      </c>
      <c r="AT236" s="520">
        <f>+AT229+AM236-Z155-Z162-Z169-Z176-Z183-Z190-Z197-Z215-Z222-Z229</f>
        <v>0</v>
      </c>
      <c r="AU236" s="519">
        <f>+AT236/(14*(E215+E222+E229+E236))</f>
        <v>0</v>
      </c>
      <c r="AV236" s="508">
        <f>+AV229+AP236-Y156-Y163-Y170-Y177-Y184-Y191-Y198-Y216-Y223-Y230</f>
        <v>0</v>
      </c>
    </row>
    <row r="237" spans="1:48" ht="21" hidden="1" customHeight="1" outlineLevel="1" thickBot="1" x14ac:dyDescent="0.3">
      <c r="A237" s="49"/>
      <c r="B237" s="100"/>
      <c r="C237" s="552"/>
      <c r="D237" s="480"/>
      <c r="E237" s="482"/>
      <c r="F237" s="54" t="s">
        <v>37</v>
      </c>
      <c r="G237" s="506"/>
      <c r="H237" s="507"/>
      <c r="I237" s="506"/>
      <c r="J237" s="507"/>
      <c r="K237" s="506"/>
      <c r="L237" s="507"/>
      <c r="M237" s="543"/>
      <c r="N237" s="544"/>
      <c r="O237" s="543"/>
      <c r="P237" s="544"/>
      <c r="Q237" s="543"/>
      <c r="R237" s="545"/>
      <c r="S237" s="546"/>
      <c r="T237" s="544"/>
      <c r="U237" s="543"/>
      <c r="V237" s="544"/>
      <c r="W237" s="127"/>
      <c r="X237" s="128"/>
      <c r="Y237" s="462"/>
      <c r="Z237" s="463"/>
      <c r="AA237" s="506"/>
      <c r="AB237" s="507"/>
      <c r="AC237" s="506"/>
      <c r="AD237" s="507"/>
      <c r="AE237" s="506"/>
      <c r="AF237" s="507"/>
      <c r="AG237" s="506"/>
      <c r="AH237" s="507"/>
      <c r="AI237" s="506"/>
      <c r="AJ237" s="507"/>
      <c r="AK237" s="522"/>
      <c r="AL237" s="519"/>
      <c r="AM237" s="524"/>
      <c r="AN237" s="526"/>
      <c r="AO237" s="527"/>
      <c r="AP237" s="468"/>
      <c r="AQ237" s="268"/>
      <c r="AR237" s="562"/>
      <c r="AS237" s="563"/>
      <c r="AT237" s="523"/>
      <c r="AU237" s="525"/>
      <c r="AV237" s="560"/>
    </row>
    <row r="238" spans="1:48" ht="23.4" hidden="1" customHeight="1" thickTop="1" x14ac:dyDescent="0.25">
      <c r="A238" s="49"/>
      <c r="B238" s="100" t="s">
        <v>71</v>
      </c>
      <c r="C238" s="552"/>
      <c r="D238" s="464" t="s">
        <v>38</v>
      </c>
      <c r="E238" s="465"/>
      <c r="F238" s="466"/>
      <c r="G238" s="106"/>
      <c r="H238" s="108"/>
      <c r="I238" s="106"/>
      <c r="J238" s="108"/>
      <c r="K238" s="106"/>
      <c r="L238" s="108"/>
      <c r="M238" s="101"/>
      <c r="N238" s="102"/>
      <c r="O238" s="101"/>
      <c r="P238" s="102"/>
      <c r="Q238" s="101"/>
      <c r="R238" s="251"/>
      <c r="S238" s="252"/>
      <c r="T238" s="102"/>
      <c r="U238" s="101"/>
      <c r="V238" s="102"/>
      <c r="W238" s="101"/>
      <c r="X238" s="102"/>
      <c r="Y238" s="101"/>
      <c r="Z238" s="102"/>
      <c r="AA238" s="106"/>
      <c r="AB238" s="108"/>
      <c r="AC238" s="106"/>
      <c r="AD238" s="108"/>
      <c r="AE238" s="106"/>
      <c r="AF238" s="108"/>
      <c r="AG238" s="106"/>
      <c r="AH238" s="108"/>
      <c r="AI238" s="106"/>
      <c r="AJ238" s="108"/>
      <c r="AK238" s="253">
        <f>+AK234+AK236</f>
        <v>0</v>
      </c>
      <c r="AL238" s="58">
        <f>IF(E234+E236=0,0,AK238/(E234+E236))</f>
        <v>0</v>
      </c>
      <c r="AM238" s="110">
        <f>+SUM(AM236,AM234)</f>
        <v>0</v>
      </c>
      <c r="AN238" s="58">
        <f>IF((E234+E236)=0,0,AM238/((E234+E236)*14))</f>
        <v>0</v>
      </c>
      <c r="AO238" s="60" t="str">
        <f>IF(AM238=0,"",AM238/AK238)</f>
        <v/>
      </c>
      <c r="AP238" s="61">
        <f>+AP234+AP236</f>
        <v>0</v>
      </c>
      <c r="AQ238" s="268"/>
      <c r="AR238" s="135">
        <f>+AR234+AR236</f>
        <v>0</v>
      </c>
      <c r="AS238" s="136">
        <f>AR238/E145</f>
        <v>0</v>
      </c>
      <c r="AT238" s="270">
        <f>+AT234+AT236</f>
        <v>0</v>
      </c>
      <c r="AU238" s="136">
        <f>AT238/F145</f>
        <v>0</v>
      </c>
      <c r="AV238" s="138">
        <f>+AV234+AV236</f>
        <v>0</v>
      </c>
    </row>
    <row r="239" spans="1:48" ht="21.6" hidden="1" customHeight="1" thickBot="1" x14ac:dyDescent="0.3">
      <c r="A239" s="49"/>
      <c r="B239" s="112" t="s">
        <v>43</v>
      </c>
      <c r="C239" s="552"/>
      <c r="D239" s="554" t="s">
        <v>39</v>
      </c>
      <c r="E239" s="555"/>
      <c r="F239" s="556"/>
      <c r="G239" s="116"/>
      <c r="H239" s="254"/>
      <c r="I239" s="116"/>
      <c r="J239" s="254"/>
      <c r="K239" s="116"/>
      <c r="L239" s="254"/>
      <c r="M239" s="127"/>
      <c r="N239" s="128"/>
      <c r="O239" s="127"/>
      <c r="P239" s="128"/>
      <c r="Q239" s="127"/>
      <c r="R239" s="266"/>
      <c r="S239" s="267"/>
      <c r="T239" s="128"/>
      <c r="U239" s="127"/>
      <c r="V239" s="128"/>
      <c r="W239" s="127"/>
      <c r="X239" s="128"/>
      <c r="Y239" s="98"/>
      <c r="Z239" s="99"/>
      <c r="AA239" s="116"/>
      <c r="AB239" s="254"/>
      <c r="AC239" s="116"/>
      <c r="AD239" s="254"/>
      <c r="AE239" s="116"/>
      <c r="AF239" s="254"/>
      <c r="AG239" s="116"/>
      <c r="AH239" s="254"/>
      <c r="AI239" s="116"/>
      <c r="AJ239" s="254"/>
      <c r="AK239" s="71">
        <f>G239+I239+K239+M239+O239+Q239+S239+U239+W239+Y239+AA239+AC239+AE239+AG239+AI239</f>
        <v>0</v>
      </c>
      <c r="AL239" s="72"/>
      <c r="AM239" s="73">
        <f>H239+J239+L239+N239+P239+R239+T239+V239+X239+Z239+AB239+AD239+AF239+AH239+AJ239</f>
        <v>0</v>
      </c>
      <c r="AN239" s="72"/>
      <c r="AO239" s="74"/>
      <c r="AP239" s="73"/>
      <c r="AQ239" s="269"/>
      <c r="AR239" s="139">
        <f>+AR232+AK239-Y172-Y179-Y186-U193-U200-Y218-Y225-Y232-Y165</f>
        <v>0</v>
      </c>
      <c r="AS239" s="77"/>
      <c r="AT239" s="73">
        <f>+AT232+AM239-Z172-Z179-Z186-V193-V200-Z218-Z225-Z232-Z165</f>
        <v>0</v>
      </c>
      <c r="AU239" s="77"/>
      <c r="AV239" s="140"/>
    </row>
    <row r="240" spans="1:48" ht="23.4" hidden="1" customHeight="1" thickBot="1" x14ac:dyDescent="0.3">
      <c r="A240" s="49"/>
      <c r="B240" s="152">
        <f>SUM(MOD(("1/"&amp;A151)-{0;6},{1E+99;7})*{1;-1},A226*7,MATCH(MID(B239,1,2),{"Mo";"Tu";"We";"Th";"Fr";"Sa";"Su"},0)-5)+7</f>
        <v>42473</v>
      </c>
      <c r="C240" s="553"/>
      <c r="D240" s="557" t="s">
        <v>6</v>
      </c>
      <c r="E240" s="558"/>
      <c r="F240" s="559"/>
      <c r="G240" s="120"/>
      <c r="H240" s="121"/>
      <c r="I240" s="120"/>
      <c r="J240" s="121"/>
      <c r="K240" s="120"/>
      <c r="L240" s="121"/>
      <c r="M240" s="120"/>
      <c r="N240" s="121"/>
      <c r="O240" s="120"/>
      <c r="P240" s="121"/>
      <c r="Q240" s="120"/>
      <c r="R240" s="260"/>
      <c r="S240" s="261"/>
      <c r="T240" s="121"/>
      <c r="U240" s="120"/>
      <c r="V240" s="121"/>
      <c r="W240" s="120"/>
      <c r="X240" s="121"/>
      <c r="Y240" s="120"/>
      <c r="Z240" s="121"/>
      <c r="AA240" s="120"/>
      <c r="AB240" s="121"/>
      <c r="AC240" s="120"/>
      <c r="AD240" s="121"/>
      <c r="AE240" s="120"/>
      <c r="AF240" s="121"/>
      <c r="AG240" s="120"/>
      <c r="AH240" s="121"/>
      <c r="AI240" s="120"/>
      <c r="AJ240" s="121"/>
      <c r="AK240" s="84">
        <f>AK238+AK239</f>
        <v>0</v>
      </c>
      <c r="AL240" s="85">
        <f>IF(E234+E236=0,0,AK240/(E234+E236))</f>
        <v>0</v>
      </c>
      <c r="AM240" s="90">
        <f>+AM238+AM239</f>
        <v>0</v>
      </c>
      <c r="AN240" s="85">
        <f>IF((E234+E236)=0,0,AM240/((E234+E236)*14))</f>
        <v>0</v>
      </c>
      <c r="AO240" s="87" t="str">
        <f>IF(AM240=0,"",AM240/AK240)</f>
        <v/>
      </c>
      <c r="AP240" s="88">
        <f>+AP238</f>
        <v>0</v>
      </c>
      <c r="AQ240" s="268"/>
      <c r="AR240" s="271">
        <f>+AR238+AR239</f>
        <v>0</v>
      </c>
      <c r="AS240" s="142">
        <f>AR240/E8</f>
        <v>0</v>
      </c>
      <c r="AT240" s="272">
        <f>+AT238+AT239</f>
        <v>0</v>
      </c>
      <c r="AU240" s="142">
        <f>+AT240/F8</f>
        <v>0</v>
      </c>
      <c r="AV240" s="144">
        <f>+AV238</f>
        <v>0</v>
      </c>
    </row>
    <row r="241" spans="1:48" ht="20.399999999999999" hidden="1" customHeight="1" outlineLevel="1" x14ac:dyDescent="0.25">
      <c r="A241" s="49"/>
      <c r="B241" s="93"/>
      <c r="C241" s="551"/>
      <c r="D241" s="500" t="str">
        <f>$B$6</f>
        <v>Trade</v>
      </c>
      <c r="E241" s="501">
        <v>240</v>
      </c>
      <c r="F241" s="44" t="s">
        <v>36</v>
      </c>
      <c r="G241" s="235"/>
      <c r="H241" s="236"/>
      <c r="I241" s="235"/>
      <c r="J241" s="236"/>
      <c r="K241" s="235"/>
      <c r="L241" s="236"/>
      <c r="M241" s="125"/>
      <c r="N241" s="126"/>
      <c r="O241" s="125"/>
      <c r="P241" s="126"/>
      <c r="Q241" s="125"/>
      <c r="R241" s="262"/>
      <c r="S241" s="263"/>
      <c r="T241" s="126"/>
      <c r="U241" s="125"/>
      <c r="V241" s="126"/>
      <c r="W241" s="125"/>
      <c r="X241" s="126"/>
      <c r="Y241" s="125"/>
      <c r="Z241" s="126"/>
      <c r="AA241" s="94"/>
      <c r="AB241" s="95"/>
      <c r="AC241" s="45"/>
      <c r="AD241" s="46"/>
      <c r="AE241" s="45"/>
      <c r="AF241" s="46"/>
      <c r="AG241" s="45"/>
      <c r="AH241" s="46"/>
      <c r="AI241" s="45"/>
      <c r="AJ241" s="46"/>
      <c r="AK241" s="537">
        <f>G241+I241+K241+M241+O241+Q241+S241+U241+W241+Y241+AA241+AC241+AE241+AG241+AI241</f>
        <v>0</v>
      </c>
      <c r="AL241" s="528">
        <f>IF(E241=0,0,AK241/E241)</f>
        <v>0</v>
      </c>
      <c r="AM241" s="530">
        <f>H241+J241+L241+N241+P241+R241+T241+V241+X241+Z241+AB241+AD241+AF241+AH241+AJ241</f>
        <v>0</v>
      </c>
      <c r="AN241" s="533">
        <f>IF(E241=0,0,AM241/($E241*14))</f>
        <v>0</v>
      </c>
      <c r="AO241" s="535" t="str">
        <f>IF(AM241=0,"",AM241/AK241)</f>
        <v/>
      </c>
      <c r="AP241" s="493">
        <f>G242+I242+K242+M242+O242+Q242+S242+U242+W242+Y242+AA242+AC242+AE242+AG242+AI242</f>
        <v>0</v>
      </c>
      <c r="AQ241" s="268"/>
      <c r="AR241" s="548">
        <f>+AR234+AK241-AA153-AA160-AA167-AA174-AA181-AA188-AA195-AA213-AA220-AA227-AA234-AE234-AE227-AE220-AE213</f>
        <v>0</v>
      </c>
      <c r="AS241" s="549">
        <f>AR241/E241</f>
        <v>0</v>
      </c>
      <c r="AT241" s="550">
        <f>+AT234+AM241-AB153-AB160-AB167-AB174-AB181-AB188-AB195-AB213-AB220-AB227-AB234-AF234-AF213-AF220-AF227</f>
        <v>0</v>
      </c>
      <c r="AU241" s="534">
        <f>+AT241/(14*E241)</f>
        <v>0</v>
      </c>
      <c r="AV241" s="547">
        <f>+AV234+AP241-AA154-AA161-AA168-AA175-AA182-AA189-AA196-AA214-AA221-AA228-AA235</f>
        <v>0</v>
      </c>
    </row>
    <row r="242" spans="1:48" ht="20.399999999999999" hidden="1" customHeight="1" outlineLevel="1" x14ac:dyDescent="0.25">
      <c r="A242" s="49"/>
      <c r="B242" s="100"/>
      <c r="C242" s="552"/>
      <c r="D242" s="457"/>
      <c r="E242" s="459"/>
      <c r="F242" s="50" t="s">
        <v>37</v>
      </c>
      <c r="G242" s="512"/>
      <c r="H242" s="513"/>
      <c r="I242" s="512"/>
      <c r="J242" s="513"/>
      <c r="K242" s="512"/>
      <c r="L242" s="513"/>
      <c r="M242" s="543"/>
      <c r="N242" s="544"/>
      <c r="O242" s="543"/>
      <c r="P242" s="544"/>
      <c r="Q242" s="543"/>
      <c r="R242" s="545"/>
      <c r="S242" s="546"/>
      <c r="T242" s="544"/>
      <c r="U242" s="543"/>
      <c r="V242" s="544"/>
      <c r="W242" s="543"/>
      <c r="X242" s="544"/>
      <c r="Y242" s="543"/>
      <c r="Z242" s="544"/>
      <c r="AA242" s="462"/>
      <c r="AB242" s="463"/>
      <c r="AC242" s="512"/>
      <c r="AD242" s="513"/>
      <c r="AE242" s="512"/>
      <c r="AF242" s="513"/>
      <c r="AG242" s="512"/>
      <c r="AH242" s="513"/>
      <c r="AI242" s="512"/>
      <c r="AJ242" s="513"/>
      <c r="AK242" s="538"/>
      <c r="AL242" s="529"/>
      <c r="AM242" s="532"/>
      <c r="AN242" s="534"/>
      <c r="AO242" s="536"/>
      <c r="AP242" s="425"/>
      <c r="AQ242" s="268"/>
      <c r="AR242" s="538"/>
      <c r="AS242" s="542"/>
      <c r="AT242" s="531"/>
      <c r="AU242" s="529"/>
      <c r="AV242" s="515"/>
    </row>
    <row r="243" spans="1:48" ht="21" hidden="1" customHeight="1" outlineLevel="1" x14ac:dyDescent="0.25">
      <c r="A243" s="49"/>
      <c r="B243" s="112" t="s">
        <v>51</v>
      </c>
      <c r="C243" s="552"/>
      <c r="D243" s="479" t="str">
        <f>$B$7</f>
        <v>Feeder</v>
      </c>
      <c r="E243" s="481">
        <v>1000</v>
      </c>
      <c r="F243" s="51" t="s">
        <v>36</v>
      </c>
      <c r="G243" s="52"/>
      <c r="H243" s="53"/>
      <c r="I243" s="52"/>
      <c r="J243" s="53"/>
      <c r="K243" s="52"/>
      <c r="L243" s="53"/>
      <c r="M243" s="127"/>
      <c r="N243" s="128"/>
      <c r="O243" s="127"/>
      <c r="P243" s="128"/>
      <c r="Q243" s="127"/>
      <c r="R243" s="266"/>
      <c r="S243" s="267"/>
      <c r="T243" s="128"/>
      <c r="U243" s="127"/>
      <c r="V243" s="128"/>
      <c r="W243" s="127"/>
      <c r="X243" s="128"/>
      <c r="Y243" s="127"/>
      <c r="Z243" s="128"/>
      <c r="AA243" s="98"/>
      <c r="AB243" s="99"/>
      <c r="AC243" s="348"/>
      <c r="AD243" s="349"/>
      <c r="AE243" s="52"/>
      <c r="AF243" s="53"/>
      <c r="AG243" s="52"/>
      <c r="AH243" s="53"/>
      <c r="AI243" s="52"/>
      <c r="AJ243" s="53"/>
      <c r="AK243" s="521">
        <f>G243+I243+K243+M243+O243+Q243+S243+U243+W243+Y243+AA243+AC243+AE243+AG243+AI243</f>
        <v>0</v>
      </c>
      <c r="AL243" s="519">
        <f>IF(E243=0,0,AK243/E243)</f>
        <v>0</v>
      </c>
      <c r="AM243" s="523">
        <f>H243+J243+L243+N243+P243+R243+T243+V243+X243+Z243+AB243+AD243+AF243+AH243+AJ243</f>
        <v>0</v>
      </c>
      <c r="AN243" s="525">
        <f>IF(E241=0,0,AM243/($E241*14))</f>
        <v>0</v>
      </c>
      <c r="AO243" s="527" t="str">
        <f>IF(AM243=0,"",AM243/AK243)</f>
        <v/>
      </c>
      <c r="AP243" s="468">
        <f>G244+I244+K244+M244+O244+Q244+S244+U244+W244+Y244+AA244+AC244+AE244+AG244+AI244</f>
        <v>0</v>
      </c>
      <c r="AQ243" s="268"/>
      <c r="AR243" s="518">
        <f>+AR236+AK243-AA155-AA162-AA169-AA176-AA183-AA190-AA197-AA215-AA222-AA229-AA236</f>
        <v>0</v>
      </c>
      <c r="AS243" s="542">
        <f>AR243/E243</f>
        <v>0</v>
      </c>
      <c r="AT243" s="520">
        <f>+AT236+AM243-AB155-AB162-AB169-AB176-AB183-AB190-AB197-AB215-AB222-AB229-AB236</f>
        <v>0</v>
      </c>
      <c r="AU243" s="519">
        <f>+AT243/(14*E243)</f>
        <v>0</v>
      </c>
      <c r="AV243" s="508">
        <f>+AV236+AP243-AA156-AA163-AA170-AA177-AA184-AA191-AA198-AA216-AA223-AA230-AA237</f>
        <v>0</v>
      </c>
    </row>
    <row r="244" spans="1:48" ht="21" hidden="1" customHeight="1" outlineLevel="1" x14ac:dyDescent="0.25">
      <c r="A244" s="49"/>
      <c r="B244" s="100"/>
      <c r="C244" s="552"/>
      <c r="D244" s="480"/>
      <c r="E244" s="482"/>
      <c r="F244" s="54" t="s">
        <v>37</v>
      </c>
      <c r="G244" s="506"/>
      <c r="H244" s="507"/>
      <c r="I244" s="506"/>
      <c r="J244" s="507"/>
      <c r="K244" s="506"/>
      <c r="L244" s="507"/>
      <c r="M244" s="543"/>
      <c r="N244" s="544"/>
      <c r="O244" s="543"/>
      <c r="P244" s="544"/>
      <c r="Q244" s="543"/>
      <c r="R244" s="545"/>
      <c r="S244" s="546"/>
      <c r="T244" s="544"/>
      <c r="U244" s="543"/>
      <c r="V244" s="544"/>
      <c r="W244" s="543"/>
      <c r="X244" s="544"/>
      <c r="Y244" s="543"/>
      <c r="Z244" s="544"/>
      <c r="AA244" s="462"/>
      <c r="AB244" s="463"/>
      <c r="AC244" s="540"/>
      <c r="AD244" s="541"/>
      <c r="AE244" s="506"/>
      <c r="AF244" s="507"/>
      <c r="AG244" s="506"/>
      <c r="AH244" s="507"/>
      <c r="AI244" s="506"/>
      <c r="AJ244" s="507"/>
      <c r="AK244" s="522"/>
      <c r="AL244" s="519"/>
      <c r="AM244" s="524"/>
      <c r="AN244" s="526"/>
      <c r="AO244" s="527"/>
      <c r="AP244" s="468"/>
      <c r="AQ244" s="268"/>
      <c r="AR244" s="518"/>
      <c r="AS244" s="542"/>
      <c r="AT244" s="520"/>
      <c r="AU244" s="519"/>
      <c r="AV244" s="508"/>
    </row>
    <row r="245" spans="1:48" ht="22.8" hidden="1" customHeight="1" x14ac:dyDescent="0.25">
      <c r="A245" s="49"/>
      <c r="B245" s="100" t="s">
        <v>52</v>
      </c>
      <c r="C245" s="552"/>
      <c r="D245" s="464" t="s">
        <v>38</v>
      </c>
      <c r="E245" s="465"/>
      <c r="F245" s="466"/>
      <c r="G245" s="106"/>
      <c r="H245" s="108"/>
      <c r="I245" s="106"/>
      <c r="J245" s="108"/>
      <c r="K245" s="106"/>
      <c r="L245" s="108"/>
      <c r="M245" s="101"/>
      <c r="N245" s="102"/>
      <c r="O245" s="101"/>
      <c r="P245" s="102"/>
      <c r="Q245" s="101"/>
      <c r="R245" s="251"/>
      <c r="S245" s="252"/>
      <c r="T245" s="102"/>
      <c r="U245" s="101"/>
      <c r="V245" s="102"/>
      <c r="W245" s="101"/>
      <c r="X245" s="102"/>
      <c r="Y245" s="101"/>
      <c r="Z245" s="102"/>
      <c r="AA245" s="101"/>
      <c r="AB245" s="102"/>
      <c r="AC245" s="106"/>
      <c r="AD245" s="108"/>
      <c r="AE245" s="106"/>
      <c r="AF245" s="108"/>
      <c r="AG245" s="106"/>
      <c r="AH245" s="108"/>
      <c r="AI245" s="106"/>
      <c r="AJ245" s="108"/>
      <c r="AK245" s="253">
        <f>+AK241+AK243</f>
        <v>0</v>
      </c>
      <c r="AL245" s="58">
        <f>IF(E241+E243=0,0,AK245/(E241+E243))</f>
        <v>0</v>
      </c>
      <c r="AM245" s="110">
        <f>+SUM(AM243,AM241)</f>
        <v>0</v>
      </c>
      <c r="AN245" s="58">
        <f>IF((E241+E243)=0,0,AM245/((E241+E243)*14))</f>
        <v>0</v>
      </c>
      <c r="AO245" s="60" t="str">
        <f>IF(AM245=0,"",AM245/AK245)</f>
        <v/>
      </c>
      <c r="AP245" s="61">
        <f>+AP241+AP243</f>
        <v>0</v>
      </c>
      <c r="AQ245" s="268"/>
      <c r="AR245" s="57">
        <f>+AR241+AR243</f>
        <v>0</v>
      </c>
      <c r="AS245" s="58">
        <f>AR245/E145</f>
        <v>0</v>
      </c>
      <c r="AT245" s="59">
        <f>+AT241+AT243</f>
        <v>0</v>
      </c>
      <c r="AU245" s="58">
        <f>AT245/F145</f>
        <v>0</v>
      </c>
      <c r="AV245" s="111">
        <f>+AV241+AV243</f>
        <v>0</v>
      </c>
    </row>
    <row r="246" spans="1:48" ht="21.6" hidden="1" customHeight="1" thickBot="1" x14ac:dyDescent="0.3">
      <c r="A246" s="49"/>
      <c r="B246" s="112" t="s">
        <v>65</v>
      </c>
      <c r="C246" s="552"/>
      <c r="D246" s="445" t="s">
        <v>39</v>
      </c>
      <c r="E246" s="445"/>
      <c r="F246" s="445"/>
      <c r="G246" s="116"/>
      <c r="H246" s="254"/>
      <c r="I246" s="116"/>
      <c r="J246" s="254"/>
      <c r="K246" s="116"/>
      <c r="L246" s="254"/>
      <c r="M246" s="127"/>
      <c r="N246" s="128"/>
      <c r="O246" s="127"/>
      <c r="P246" s="128"/>
      <c r="Q246" s="127"/>
      <c r="R246" s="266"/>
      <c r="S246" s="267"/>
      <c r="T246" s="128"/>
      <c r="U246" s="127"/>
      <c r="V246" s="128"/>
      <c r="W246" s="127"/>
      <c r="X246" s="128"/>
      <c r="Y246" s="127"/>
      <c r="Z246" s="128"/>
      <c r="AA246" s="98"/>
      <c r="AB246" s="99"/>
      <c r="AC246" s="113"/>
      <c r="AD246" s="114"/>
      <c r="AE246" s="113"/>
      <c r="AF246" s="114"/>
      <c r="AG246" s="113"/>
      <c r="AH246" s="114"/>
      <c r="AI246" s="113"/>
      <c r="AJ246" s="114"/>
      <c r="AK246" s="71">
        <f>G246+I246+K246+M246+O246+Q246+S246+U246+W246+Y246+AA246+AC246+AE246+AG246+AI246</f>
        <v>0</v>
      </c>
      <c r="AL246" s="72"/>
      <c r="AM246" s="73">
        <f>H246+J246+L246+N246+P246+R246+T246+V246+X246+Z246+AB246+AD246+AF246+AH246+AJ246</f>
        <v>0</v>
      </c>
      <c r="AN246" s="72"/>
      <c r="AO246" s="74"/>
      <c r="AP246" s="73"/>
      <c r="AQ246" s="269"/>
      <c r="AR246" s="71">
        <f>+AR239+AK246-AA158-AA165-AA172-AA179-AA186-AA193-AA200-AA218-AA225-AA232-AA239</f>
        <v>0</v>
      </c>
      <c r="AS246" s="77"/>
      <c r="AT246" s="73">
        <f>+AT239+AM246-AB158-AB165-AB172-AB179-AB186-AB193-AB200-AB218-AB225-AB232-AB239</f>
        <v>0</v>
      </c>
      <c r="AU246" s="77"/>
      <c r="AV246" s="118"/>
    </row>
    <row r="247" spans="1:48" ht="23.4" hidden="1" customHeight="1" thickBot="1" x14ac:dyDescent="0.3">
      <c r="A247" s="49"/>
      <c r="B247" s="152">
        <f>SUM(MOD(("1/"&amp;A151)-{0;6},{1E+99;7})*{1;-1},A226*7,MATCH(MID(B246,1,2),{"Mo";"Tu";"We";"Th";"Fr";"Sa";"Su"},0)-5)+7</f>
        <v>42476</v>
      </c>
      <c r="C247" s="553"/>
      <c r="D247" s="446" t="s">
        <v>6</v>
      </c>
      <c r="E247" s="446"/>
      <c r="F247" s="446"/>
      <c r="G247" s="120"/>
      <c r="H247" s="121"/>
      <c r="I247" s="120"/>
      <c r="J247" s="121"/>
      <c r="K247" s="120"/>
      <c r="L247" s="121"/>
      <c r="M247" s="120"/>
      <c r="N247" s="121"/>
      <c r="O247" s="120"/>
      <c r="P247" s="121"/>
      <c r="Q247" s="120"/>
      <c r="R247" s="260"/>
      <c r="S247" s="261"/>
      <c r="T247" s="121"/>
      <c r="U247" s="120"/>
      <c r="V247" s="121"/>
      <c r="W247" s="120"/>
      <c r="X247" s="121"/>
      <c r="Y247" s="120"/>
      <c r="Z247" s="121"/>
      <c r="AA247" s="120"/>
      <c r="AB247" s="121"/>
      <c r="AC247" s="120"/>
      <c r="AD247" s="121"/>
      <c r="AE247" s="120"/>
      <c r="AF247" s="121"/>
      <c r="AG247" s="120"/>
      <c r="AH247" s="121"/>
      <c r="AI247" s="120"/>
      <c r="AJ247" s="121"/>
      <c r="AK247" s="123">
        <f>AK245+AK246</f>
        <v>0</v>
      </c>
      <c r="AL247" s="85">
        <f>IF(E241+E243=0,0,AK247/(E241+E243))</f>
        <v>0</v>
      </c>
      <c r="AM247" s="90">
        <f>+AM245+AM246</f>
        <v>0</v>
      </c>
      <c r="AN247" s="85">
        <f>IF((E241+E243)=0,0,AM247/((E241+E243)*14))</f>
        <v>0</v>
      </c>
      <c r="AO247" s="87" t="str">
        <f>IF(AM247=0,"",AM247/AK247)</f>
        <v/>
      </c>
      <c r="AP247" s="88">
        <f>+AP245</f>
        <v>0</v>
      </c>
      <c r="AQ247" s="268"/>
      <c r="AR247" s="84">
        <f>+AR245+AR246</f>
        <v>0</v>
      </c>
      <c r="AS247" s="85">
        <f>AR247/E145</f>
        <v>0</v>
      </c>
      <c r="AT247" s="86">
        <f>+AT245+AT246</f>
        <v>0</v>
      </c>
      <c r="AU247" s="85">
        <f>+AT247/F145</f>
        <v>0</v>
      </c>
      <c r="AV247" s="124">
        <f>+AV245</f>
        <v>0</v>
      </c>
    </row>
    <row r="248" spans="1:48" ht="21" hidden="1" customHeight="1" outlineLevel="1" x14ac:dyDescent="0.25">
      <c r="A248" s="273"/>
      <c r="B248" s="156"/>
      <c r="C248" s="451"/>
      <c r="D248" s="500" t="str">
        <f>$B$6</f>
        <v>Trade</v>
      </c>
      <c r="E248" s="501">
        <v>10</v>
      </c>
      <c r="F248" s="44" t="s">
        <v>36</v>
      </c>
      <c r="G248" s="264"/>
      <c r="H248" s="265"/>
      <c r="I248" s="45"/>
      <c r="J248" s="46"/>
      <c r="K248" s="45"/>
      <c r="L248" s="46"/>
      <c r="M248" s="45"/>
      <c r="N248" s="46"/>
      <c r="O248" s="45"/>
      <c r="P248" s="46"/>
      <c r="Q248" s="45"/>
      <c r="R248" s="274"/>
      <c r="S248" s="275"/>
      <c r="T248" s="46"/>
      <c r="U248" s="45"/>
      <c r="V248" s="46"/>
      <c r="W248" s="45"/>
      <c r="X248" s="46"/>
      <c r="Y248" s="45"/>
      <c r="Z248" s="46"/>
      <c r="AA248" s="94"/>
      <c r="AB248" s="95"/>
      <c r="AC248" s="94"/>
      <c r="AD248" s="95"/>
      <c r="AE248" s="45"/>
      <c r="AF248" s="46"/>
      <c r="AG248" s="45"/>
      <c r="AH248" s="46"/>
      <c r="AI248" s="45"/>
      <c r="AJ248" s="46"/>
      <c r="AK248" s="537">
        <f>G248+I248+K248+M248+O248+Q248+S248+U248+W248+Y248+AA248+AC248+AE248+AG248+AI248</f>
        <v>0</v>
      </c>
      <c r="AL248" s="528">
        <f>IF(E248=0,0,AK248/E248)</f>
        <v>0</v>
      </c>
      <c r="AM248" s="530">
        <f>H248+J248+L248+N248+P248+R248+T248+V248+X248+Z248+AB248+AD248+AF248+AH248+AJ248</f>
        <v>0</v>
      </c>
      <c r="AN248" s="533">
        <f>IF(E248=0,0,AM248/($E248*14))</f>
        <v>0</v>
      </c>
      <c r="AO248" s="535" t="str">
        <f>IF(AM248=0,"",AM248/AK248)</f>
        <v/>
      </c>
      <c r="AP248" s="493">
        <f>G249+I249+K249+M249+O249+Q249+S249+U249+W249+Y249+AA249+AC249+AE249+AG249+AI249</f>
        <v>0</v>
      </c>
      <c r="AQ248" s="109"/>
      <c r="AR248" s="537">
        <f>AR241+AK248-AC202-AC213-AC220-AC227-AC234-AC241</f>
        <v>0</v>
      </c>
      <c r="AS248" s="528">
        <f>AR248/$E$9</f>
        <v>0</v>
      </c>
      <c r="AT248" s="530">
        <f>AT241+AM248-AD202-AD213-AD220-AD227-AD234-AD241</f>
        <v>0</v>
      </c>
      <c r="AU248" s="528">
        <f>+AT248/$F$9</f>
        <v>0</v>
      </c>
      <c r="AV248" s="514">
        <f>AV241+AP248-AC203</f>
        <v>0</v>
      </c>
    </row>
    <row r="249" spans="1:48" ht="21" hidden="1" customHeight="1" outlineLevel="1" x14ac:dyDescent="0.25">
      <c r="A249" s="273"/>
      <c r="B249" s="156"/>
      <c r="C249" s="451"/>
      <c r="D249" s="457"/>
      <c r="E249" s="459"/>
      <c r="F249" s="50" t="s">
        <v>37</v>
      </c>
      <c r="G249" s="570"/>
      <c r="H249" s="571"/>
      <c r="I249" s="512"/>
      <c r="J249" s="513"/>
      <c r="K249" s="512"/>
      <c r="L249" s="513"/>
      <c r="M249" s="512"/>
      <c r="N249" s="513"/>
      <c r="O249" s="512"/>
      <c r="P249" s="513"/>
      <c r="Q249" s="512"/>
      <c r="R249" s="516"/>
      <c r="S249" s="517"/>
      <c r="T249" s="513"/>
      <c r="U249" s="512"/>
      <c r="V249" s="513"/>
      <c r="W249" s="512"/>
      <c r="X249" s="513"/>
      <c r="Y249" s="512"/>
      <c r="Z249" s="513"/>
      <c r="AA249" s="462"/>
      <c r="AB249" s="463"/>
      <c r="AC249" s="462"/>
      <c r="AD249" s="463"/>
      <c r="AE249" s="512"/>
      <c r="AF249" s="513"/>
      <c r="AG249" s="512"/>
      <c r="AH249" s="513"/>
      <c r="AI249" s="512"/>
      <c r="AJ249" s="513"/>
      <c r="AK249" s="538"/>
      <c r="AL249" s="529"/>
      <c r="AM249" s="532"/>
      <c r="AN249" s="534"/>
      <c r="AO249" s="536"/>
      <c r="AP249" s="425"/>
      <c r="AQ249" s="109"/>
      <c r="AR249" s="538"/>
      <c r="AS249" s="529"/>
      <c r="AT249" s="531"/>
      <c r="AU249" s="529"/>
      <c r="AV249" s="515"/>
    </row>
    <row r="250" spans="1:48" ht="19.5" hidden="1" customHeight="1" outlineLevel="1" x14ac:dyDescent="0.25">
      <c r="A250" s="277"/>
      <c r="B250" s="96"/>
      <c r="C250" s="451"/>
      <c r="D250" s="479" t="str">
        <f>$B$7</f>
        <v>Feeder</v>
      </c>
      <c r="E250" s="481"/>
      <c r="F250" s="51" t="s">
        <v>36</v>
      </c>
      <c r="G250" s="149"/>
      <c r="H250" s="150"/>
      <c r="I250" s="52"/>
      <c r="J250" s="53"/>
      <c r="K250" s="52"/>
      <c r="L250" s="53"/>
      <c r="M250" s="52"/>
      <c r="N250" s="53"/>
      <c r="O250" s="52"/>
      <c r="P250" s="53"/>
      <c r="Q250" s="52"/>
      <c r="R250" s="278"/>
      <c r="S250" s="279"/>
      <c r="T250" s="53"/>
      <c r="U250" s="52"/>
      <c r="V250" s="53"/>
      <c r="W250" s="52"/>
      <c r="X250" s="53"/>
      <c r="Y250" s="52"/>
      <c r="Z250" s="53"/>
      <c r="AA250" s="98"/>
      <c r="AB250" s="99"/>
      <c r="AC250" s="98"/>
      <c r="AD250" s="99"/>
      <c r="AE250" s="52"/>
      <c r="AF250" s="53"/>
      <c r="AG250" s="52"/>
      <c r="AH250" s="53"/>
      <c r="AI250" s="52"/>
      <c r="AJ250" s="53"/>
      <c r="AK250" s="521">
        <f>G250+I250+K250+M250+O250+Q250+S250+U250+W250+Y250+AA250+AC250+AE250+AG250+AI250</f>
        <v>0</v>
      </c>
      <c r="AL250" s="519">
        <f>IF(E248=0,0,AK250/E248)</f>
        <v>0</v>
      </c>
      <c r="AM250" s="523">
        <f>H250+J250+L250+N250+P250+R250+T250+V250+X250+Z250+AB250+AD250+AF250+AH250+AJ250</f>
        <v>0</v>
      </c>
      <c r="AN250" s="525">
        <f>IF(E248=0,0,AM250/($E248*14))</f>
        <v>0</v>
      </c>
      <c r="AO250" s="527" t="str">
        <f>IF(AM250=0,"",AM250/AK250)</f>
        <v/>
      </c>
      <c r="AP250" s="468">
        <f>G251+I251+K251+M251+O251+Q251+S251+U251+W251+Y251+AA251+AC251+AE251+AG251+AI251</f>
        <v>0</v>
      </c>
      <c r="AQ250" s="109"/>
      <c r="AR250" s="561">
        <f>+AR243+AK250-AC204-AC215-AC222-AC229-AC236-AC243</f>
        <v>0</v>
      </c>
      <c r="AS250" s="519">
        <f>AR250/$E$10</f>
        <v>0</v>
      </c>
      <c r="AT250" s="520">
        <f>+AT243+AM250-AD204-AD215-AD222-AD229-AD236-AD243</f>
        <v>0</v>
      </c>
      <c r="AU250" s="519">
        <f>+AT250/$F$10</f>
        <v>0</v>
      </c>
      <c r="AV250" s="508">
        <f>AV243+AP250-AC205</f>
        <v>0</v>
      </c>
    </row>
    <row r="251" spans="1:48" ht="25.5" hidden="1" customHeight="1" outlineLevel="1" x14ac:dyDescent="0.25">
      <c r="A251" s="277"/>
      <c r="B251" s="97"/>
      <c r="C251" s="451"/>
      <c r="D251" s="480"/>
      <c r="E251" s="482"/>
      <c r="F251" s="54" t="s">
        <v>37</v>
      </c>
      <c r="G251" s="732"/>
      <c r="H251" s="733"/>
      <c r="I251" s="506"/>
      <c r="J251" s="507"/>
      <c r="K251" s="506"/>
      <c r="L251" s="507"/>
      <c r="M251" s="506"/>
      <c r="N251" s="507"/>
      <c r="O251" s="506"/>
      <c r="P251" s="507"/>
      <c r="Q251" s="506"/>
      <c r="R251" s="509"/>
      <c r="S251" s="510"/>
      <c r="T251" s="507"/>
      <c r="U251" s="506"/>
      <c r="V251" s="507"/>
      <c r="W251" s="506"/>
      <c r="X251" s="507"/>
      <c r="Y251" s="506"/>
      <c r="Z251" s="507"/>
      <c r="AA251" s="462"/>
      <c r="AB251" s="463"/>
      <c r="AC251" s="462"/>
      <c r="AD251" s="463"/>
      <c r="AE251" s="506"/>
      <c r="AF251" s="507"/>
      <c r="AG251" s="506"/>
      <c r="AH251" s="507"/>
      <c r="AI251" s="506"/>
      <c r="AJ251" s="507"/>
      <c r="AK251" s="522"/>
      <c r="AL251" s="519"/>
      <c r="AM251" s="524"/>
      <c r="AN251" s="526"/>
      <c r="AO251" s="527"/>
      <c r="AP251" s="468"/>
      <c r="AQ251" s="109"/>
      <c r="AR251" s="518"/>
      <c r="AS251" s="519"/>
      <c r="AT251" s="520"/>
      <c r="AU251" s="519"/>
      <c r="AV251" s="508"/>
    </row>
    <row r="252" spans="1:48" ht="27" hidden="1" customHeight="1" x14ac:dyDescent="0.25">
      <c r="A252" s="277"/>
      <c r="B252" s="100" t="s">
        <v>72</v>
      </c>
      <c r="C252" s="451"/>
      <c r="D252" s="464" t="s">
        <v>38</v>
      </c>
      <c r="E252" s="465"/>
      <c r="F252" s="466"/>
      <c r="G252" s="106"/>
      <c r="H252" s="108"/>
      <c r="I252" s="101"/>
      <c r="J252" s="102"/>
      <c r="K252" s="106"/>
      <c r="L252" s="108"/>
      <c r="M252" s="106"/>
      <c r="N252" s="108"/>
      <c r="O252" s="106"/>
      <c r="P252" s="108"/>
      <c r="Q252" s="106"/>
      <c r="R252" s="280"/>
      <c r="S252" s="281"/>
      <c r="T252" s="108"/>
      <c r="U252" s="106"/>
      <c r="V252" s="108"/>
      <c r="W252" s="106"/>
      <c r="X252" s="108"/>
      <c r="Y252" s="106"/>
      <c r="Z252" s="108"/>
      <c r="AA252" s="101"/>
      <c r="AB252" s="102"/>
      <c r="AC252" s="101"/>
      <c r="AD252" s="102"/>
      <c r="AE252" s="101"/>
      <c r="AF252" s="102"/>
      <c r="AG252" s="101"/>
      <c r="AH252" s="102"/>
      <c r="AI252" s="101"/>
      <c r="AJ252" s="102"/>
      <c r="AK252" s="253">
        <f>+AK248+AK250</f>
        <v>0</v>
      </c>
      <c r="AL252" s="58">
        <f>IF(E248+E250=0,0,AK252/(E248+E250))</f>
        <v>0</v>
      </c>
      <c r="AM252" s="110">
        <f>+SUM(AM250,AM248)</f>
        <v>0</v>
      </c>
      <c r="AN252" s="58">
        <f>IF((E248+E250)=0,0,AM252/((E248+E250)*14))</f>
        <v>0</v>
      </c>
      <c r="AO252" s="60" t="str">
        <f>IF(AM252=0,"",AM252/AK252)</f>
        <v/>
      </c>
      <c r="AP252" s="61">
        <f>+AP248+AP250</f>
        <v>0</v>
      </c>
      <c r="AQ252" s="109"/>
      <c r="AR252" s="57">
        <f>+AR248+AR250</f>
        <v>0</v>
      </c>
      <c r="AS252" s="58">
        <f>AR252/E145</f>
        <v>0</v>
      </c>
      <c r="AT252" s="59">
        <f>+AT248+AT250</f>
        <v>0</v>
      </c>
      <c r="AU252" s="58">
        <f>AT252/F145</f>
        <v>0</v>
      </c>
      <c r="AV252" s="111">
        <f>+AV248+AV250</f>
        <v>0</v>
      </c>
    </row>
    <row r="253" spans="1:48" ht="27.75" hidden="1" customHeight="1" thickBot="1" x14ac:dyDescent="0.3">
      <c r="A253" s="277"/>
      <c r="B253" s="112" t="s">
        <v>43</v>
      </c>
      <c r="C253" s="451"/>
      <c r="D253" s="445" t="s">
        <v>39</v>
      </c>
      <c r="E253" s="445"/>
      <c r="F253" s="445"/>
      <c r="G253" s="256"/>
      <c r="H253" s="257"/>
      <c r="I253" s="116"/>
      <c r="J253" s="254"/>
      <c r="K253" s="116"/>
      <c r="L253" s="254"/>
      <c r="M253" s="116"/>
      <c r="N253" s="254"/>
      <c r="O253" s="116"/>
      <c r="P253" s="254"/>
      <c r="Q253" s="282"/>
      <c r="R253" s="283"/>
      <c r="S253" s="284"/>
      <c r="T253" s="285"/>
      <c r="U253" s="116"/>
      <c r="V253" s="254"/>
      <c r="W253" s="116"/>
      <c r="X253" s="254"/>
      <c r="Y253" s="116"/>
      <c r="Z253" s="254"/>
      <c r="AA253" s="98"/>
      <c r="AB253" s="99"/>
      <c r="AC253" s="98"/>
      <c r="AD253" s="99"/>
      <c r="AE253" s="282"/>
      <c r="AF253" s="286"/>
      <c r="AG253" s="282"/>
      <c r="AH253" s="286"/>
      <c r="AI253" s="282"/>
      <c r="AJ253" s="286"/>
      <c r="AK253" s="71">
        <f>G253+I253+K253+M253+O253+Q253+S253+U253+W253+Y253+AA253+AC253+AE253+AG253+AI253</f>
        <v>0</v>
      </c>
      <c r="AL253" s="72"/>
      <c r="AM253" s="73">
        <f>H253+J253+L253+N253+P253+R253+T253+V253+X253+Z253+AB253+AD253+AF253+AH253+AJ253</f>
        <v>0</v>
      </c>
      <c r="AN253" s="72"/>
      <c r="AO253" s="74"/>
      <c r="AP253" s="73"/>
      <c r="AQ253" s="75"/>
      <c r="AR253" s="71">
        <f>AR246+AK253-AC207</f>
        <v>0</v>
      </c>
      <c r="AS253" s="77"/>
      <c r="AT253" s="73">
        <f>+AT246+AM253-AD207</f>
        <v>0</v>
      </c>
      <c r="AU253" s="77"/>
      <c r="AV253" s="118"/>
    </row>
    <row r="254" spans="1:48" ht="27.75" hidden="1" customHeight="1" thickBot="1" x14ac:dyDescent="0.3">
      <c r="A254" s="277"/>
      <c r="B254" s="152">
        <f>SUM(MOD(("1/"&amp;A151)-{0;6},{1E+99;7})*{1;-1},A226*7,MATCH(MID(B253,1,2),{"Mo";"Tu";"We";"Th";"Fr";"Sa";"Su"},0)-5)+14</f>
        <v>42480</v>
      </c>
      <c r="C254" s="539"/>
      <c r="D254" s="446" t="s">
        <v>6</v>
      </c>
      <c r="E254" s="446"/>
      <c r="F254" s="446"/>
      <c r="G254" s="153"/>
      <c r="H254" s="154"/>
      <c r="I254" s="153"/>
      <c r="J254" s="154"/>
      <c r="K254" s="82"/>
      <c r="L254" s="155"/>
      <c r="M254" s="82"/>
      <c r="N254" s="155"/>
      <c r="O254" s="82"/>
      <c r="P254" s="155"/>
      <c r="Q254" s="82"/>
      <c r="R254" s="287"/>
      <c r="S254" s="288"/>
      <c r="T254" s="155"/>
      <c r="U254" s="82"/>
      <c r="V254" s="155"/>
      <c r="W254" s="82"/>
      <c r="X254" s="155"/>
      <c r="Y254" s="82"/>
      <c r="Z254" s="155"/>
      <c r="AA254" s="82"/>
      <c r="AB254" s="155"/>
      <c r="AC254" s="120"/>
      <c r="AD254" s="121"/>
      <c r="AE254" s="82"/>
      <c r="AF254" s="155"/>
      <c r="AG254" s="82"/>
      <c r="AH254" s="155"/>
      <c r="AI254" s="82"/>
      <c r="AJ254" s="155"/>
      <c r="AK254" s="123">
        <f>AK252+AK253</f>
        <v>0</v>
      </c>
      <c r="AL254" s="85">
        <f>IF(E248+E250=0,0,AK252/(E248+E250))</f>
        <v>0</v>
      </c>
      <c r="AM254" s="90">
        <f>+AM252+AM253</f>
        <v>0</v>
      </c>
      <c r="AN254" s="85">
        <f>IF((E248+E250)=0,0,AM252/((E248+E250)*14))</f>
        <v>0</v>
      </c>
      <c r="AO254" s="87" t="str">
        <f>IF(AM254=0,"",AM254/AK254)</f>
        <v/>
      </c>
      <c r="AP254" s="88">
        <f>+AP252</f>
        <v>0</v>
      </c>
      <c r="AQ254" s="109"/>
      <c r="AR254" s="84">
        <f>+AR252+AR253</f>
        <v>0</v>
      </c>
      <c r="AS254" s="85">
        <f>AR254/$E$8</f>
        <v>0</v>
      </c>
      <c r="AT254" s="86">
        <f>+AT252+AT253</f>
        <v>0</v>
      </c>
      <c r="AU254" s="85">
        <f>+AT254/$F$8</f>
        <v>0</v>
      </c>
      <c r="AV254" s="124">
        <f>+AV252</f>
        <v>0</v>
      </c>
    </row>
    <row r="255" spans="1:48" ht="21" hidden="1" customHeight="1" outlineLevel="1" x14ac:dyDescent="0.25">
      <c r="A255" s="277"/>
      <c r="B255" s="93"/>
      <c r="C255" s="497"/>
      <c r="D255" s="500" t="str">
        <f>$B$6</f>
        <v>Trade</v>
      </c>
      <c r="E255" s="501"/>
      <c r="F255" s="44" t="s">
        <v>36</v>
      </c>
      <c r="G255" s="45"/>
      <c r="H255" s="46"/>
      <c r="I255" s="45"/>
      <c r="J255" s="46"/>
      <c r="K255" s="45"/>
      <c r="L255" s="46"/>
      <c r="M255" s="45"/>
      <c r="N255" s="46"/>
      <c r="O255" s="45"/>
      <c r="P255" s="46"/>
      <c r="Q255" s="45"/>
      <c r="R255" s="274"/>
      <c r="S255" s="275"/>
      <c r="T255" s="46"/>
      <c r="U255" s="45"/>
      <c r="V255" s="46"/>
      <c r="W255" s="45"/>
      <c r="X255" s="46"/>
      <c r="Y255" s="45"/>
      <c r="Z255" s="46"/>
      <c r="AA255" s="45"/>
      <c r="AB255" s="46"/>
      <c r="AC255" s="45"/>
      <c r="AD255" s="46"/>
      <c r="AE255" s="94"/>
      <c r="AF255" s="95"/>
      <c r="AG255" s="45"/>
      <c r="AH255" s="46"/>
      <c r="AI255" s="45"/>
      <c r="AJ255" s="46"/>
      <c r="AK255" s="502">
        <f>G255+I255+K255+M255+O255+Q255+S255+U255+W255+Y255+AA255+AC255+AE255+AG255+AI255</f>
        <v>0</v>
      </c>
      <c r="AL255" s="504">
        <f>IF(E255=0,0,AK255/E255)</f>
        <v>0</v>
      </c>
      <c r="AM255" s="493">
        <f>H255+J255+L255+N255+P255+R255+T255+V255+X255+Z255+AB255+AD255+AF255+AH255+AJ255</f>
        <v>0</v>
      </c>
      <c r="AN255" s="491">
        <f>IF(E255=0,0,AM255/($E255*14))</f>
        <v>0</v>
      </c>
      <c r="AO255" s="492" t="str">
        <f>IF(AM255=0,"",AM255/AK255)</f>
        <v/>
      </c>
      <c r="AP255" s="493">
        <f>G256+I256+K256+M256+O256+Q256+S256+U256+W256+Y256+AA256+AC256+AE256+AG256+AI256</f>
        <v>0</v>
      </c>
      <c r="AQ255" s="109"/>
      <c r="AR255" s="502">
        <f>+AR248+AK255-AE202-AE248</f>
        <v>0</v>
      </c>
      <c r="AS255" s="504">
        <f>AR255/$E$9</f>
        <v>0</v>
      </c>
      <c r="AT255" s="493">
        <f>+AT248+AM255-AF202-AF248</f>
        <v>0</v>
      </c>
      <c r="AU255" s="504">
        <f>+AT255/$F$9</f>
        <v>0</v>
      </c>
      <c r="AV255" s="514">
        <f>+AV248+AP255-AE203-AE249</f>
        <v>0</v>
      </c>
    </row>
    <row r="256" spans="1:48" ht="26.25" hidden="1" customHeight="1" outlineLevel="1" x14ac:dyDescent="0.25">
      <c r="A256" s="277"/>
      <c r="B256" s="96"/>
      <c r="C256" s="498"/>
      <c r="D256" s="457"/>
      <c r="E256" s="459"/>
      <c r="F256" s="50" t="s">
        <v>37</v>
      </c>
      <c r="G256" s="512"/>
      <c r="H256" s="513"/>
      <c r="I256" s="512"/>
      <c r="J256" s="513"/>
      <c r="K256" s="512"/>
      <c r="L256" s="513"/>
      <c r="M256" s="512"/>
      <c r="N256" s="513"/>
      <c r="O256" s="512"/>
      <c r="P256" s="513"/>
      <c r="Q256" s="512"/>
      <c r="R256" s="516"/>
      <c r="S256" s="517"/>
      <c r="T256" s="513"/>
      <c r="U256" s="512"/>
      <c r="V256" s="513"/>
      <c r="W256" s="512"/>
      <c r="X256" s="513"/>
      <c r="Y256" s="512"/>
      <c r="Z256" s="513"/>
      <c r="AA256" s="512"/>
      <c r="AB256" s="513"/>
      <c r="AC256" s="512"/>
      <c r="AD256" s="513"/>
      <c r="AE256" s="462"/>
      <c r="AF256" s="463"/>
      <c r="AG256" s="512"/>
      <c r="AH256" s="513"/>
      <c r="AI256" s="512"/>
      <c r="AJ256" s="513"/>
      <c r="AK256" s="503"/>
      <c r="AL256" s="419"/>
      <c r="AM256" s="505"/>
      <c r="AN256" s="423"/>
      <c r="AO256" s="424"/>
      <c r="AP256" s="425"/>
      <c r="AQ256" s="109"/>
      <c r="AR256" s="503"/>
      <c r="AS256" s="419"/>
      <c r="AT256" s="425"/>
      <c r="AU256" s="419"/>
      <c r="AV256" s="515"/>
    </row>
    <row r="257" spans="1:48" ht="23.25" hidden="1" customHeight="1" outlineLevel="1" x14ac:dyDescent="0.25">
      <c r="A257" s="277"/>
      <c r="B257" s="157"/>
      <c r="C257" s="498"/>
      <c r="D257" s="479" t="str">
        <f>$B$7</f>
        <v>Feeder</v>
      </c>
      <c r="E257" s="481"/>
      <c r="F257" s="51" t="s">
        <v>36</v>
      </c>
      <c r="G257" s="52"/>
      <c r="H257" s="53"/>
      <c r="I257" s="52"/>
      <c r="J257" s="53"/>
      <c r="K257" s="52"/>
      <c r="L257" s="53"/>
      <c r="M257" s="52"/>
      <c r="N257" s="53"/>
      <c r="O257" s="52"/>
      <c r="P257" s="53"/>
      <c r="Q257" s="52"/>
      <c r="R257" s="278"/>
      <c r="S257" s="279"/>
      <c r="T257" s="53"/>
      <c r="U257" s="52"/>
      <c r="V257" s="53"/>
      <c r="W257" s="52"/>
      <c r="X257" s="53"/>
      <c r="Y257" s="52"/>
      <c r="Z257" s="53"/>
      <c r="AA257" s="52"/>
      <c r="AB257" s="53"/>
      <c r="AC257" s="52"/>
      <c r="AD257" s="53"/>
      <c r="AE257" s="98"/>
      <c r="AF257" s="99"/>
      <c r="AG257" s="52"/>
      <c r="AH257" s="53"/>
      <c r="AI257" s="52"/>
      <c r="AJ257" s="53"/>
      <c r="AK257" s="483">
        <f>G257+I257+K257+M257+O257+Q257+S257+U257+W257+Y257+AA257+AC257+AE257+AG257+AI257</f>
        <v>0</v>
      </c>
      <c r="AL257" s="467">
        <f>IF(E255=0,0,AK257/E255)</f>
        <v>0</v>
      </c>
      <c r="AM257" s="471">
        <f>H257+J257+L257+N257+P257+R257+T257+V257+X257+Z257+AB257+AD257+AF257+AH257+AJ257</f>
        <v>0</v>
      </c>
      <c r="AN257" s="473">
        <f>IF(E255=0,0,AM257/($E255*14))</f>
        <v>0</v>
      </c>
      <c r="AO257" s="475" t="str">
        <f>IF(AM257=0,"",AM257/AK257)</f>
        <v/>
      </c>
      <c r="AP257" s="468">
        <f>G258+I258+K258+M258+O258+Q258+S258+U258+W258+Y258+AA258+AC258+AE258+AG258+AI258</f>
        <v>0</v>
      </c>
      <c r="AQ257" s="109"/>
      <c r="AR257" s="646">
        <f>+AR250+AK257-AE204-AE250</f>
        <v>0</v>
      </c>
      <c r="AS257" s="467">
        <f>AR257/$E$10</f>
        <v>0</v>
      </c>
      <c r="AT257" s="468">
        <f>+AT250+AM257-AF204-AF250</f>
        <v>0</v>
      </c>
      <c r="AU257" s="467">
        <f>+AT257/$F$10</f>
        <v>0</v>
      </c>
      <c r="AV257" s="508">
        <f>+AV250+AP257-AE205-AE251</f>
        <v>0</v>
      </c>
    </row>
    <row r="258" spans="1:48" ht="24" hidden="1" customHeight="1" outlineLevel="1" x14ac:dyDescent="0.25">
      <c r="A258" s="277"/>
      <c r="B258" s="100"/>
      <c r="C258" s="498"/>
      <c r="D258" s="480"/>
      <c r="E258" s="482"/>
      <c r="F258" s="54" t="s">
        <v>37</v>
      </c>
      <c r="G258" s="506"/>
      <c r="H258" s="507"/>
      <c r="I258" s="506"/>
      <c r="J258" s="507"/>
      <c r="K258" s="506"/>
      <c r="L258" s="507"/>
      <c r="M258" s="506"/>
      <c r="N258" s="507"/>
      <c r="O258" s="506"/>
      <c r="P258" s="507"/>
      <c r="Q258" s="506"/>
      <c r="R258" s="509"/>
      <c r="S258" s="510"/>
      <c r="T258" s="507"/>
      <c r="U258" s="506"/>
      <c r="V258" s="507"/>
      <c r="W258" s="506"/>
      <c r="X258" s="507"/>
      <c r="Y258" s="506"/>
      <c r="Z258" s="507"/>
      <c r="AA258" s="506"/>
      <c r="AB258" s="507"/>
      <c r="AC258" s="506"/>
      <c r="AD258" s="507"/>
      <c r="AE258" s="462"/>
      <c r="AF258" s="463"/>
      <c r="AG258" s="506"/>
      <c r="AH258" s="507"/>
      <c r="AI258" s="506"/>
      <c r="AJ258" s="507"/>
      <c r="AK258" s="484"/>
      <c r="AL258" s="467"/>
      <c r="AM258" s="472"/>
      <c r="AN258" s="474"/>
      <c r="AO258" s="475"/>
      <c r="AP258" s="468"/>
      <c r="AQ258" s="109"/>
      <c r="AR258" s="511"/>
      <c r="AS258" s="467"/>
      <c r="AT258" s="468"/>
      <c r="AU258" s="467"/>
      <c r="AV258" s="508"/>
    </row>
    <row r="259" spans="1:48" ht="26.25" hidden="1" customHeight="1" x14ac:dyDescent="0.25">
      <c r="A259" s="277"/>
      <c r="B259" s="96" t="s">
        <v>73</v>
      </c>
      <c r="C259" s="498"/>
      <c r="D259" s="464" t="s">
        <v>38</v>
      </c>
      <c r="E259" s="465"/>
      <c r="F259" s="466"/>
      <c r="G259" s="106"/>
      <c r="H259" s="108"/>
      <c r="I259" s="106"/>
      <c r="J259" s="108"/>
      <c r="K259" s="106"/>
      <c r="L259" s="108"/>
      <c r="M259" s="106"/>
      <c r="N259" s="108"/>
      <c r="O259" s="106"/>
      <c r="P259" s="108"/>
      <c r="Q259" s="106"/>
      <c r="R259" s="280"/>
      <c r="S259" s="281"/>
      <c r="T259" s="108"/>
      <c r="U259" s="106"/>
      <c r="V259" s="108"/>
      <c r="W259" s="106"/>
      <c r="X259" s="108"/>
      <c r="Y259" s="106"/>
      <c r="Z259" s="108"/>
      <c r="AA259" s="106"/>
      <c r="AB259" s="108"/>
      <c r="AC259" s="106"/>
      <c r="AD259" s="108"/>
      <c r="AE259" s="101"/>
      <c r="AF259" s="102"/>
      <c r="AG259" s="106"/>
      <c r="AH259" s="108"/>
      <c r="AI259" s="106"/>
      <c r="AJ259" s="108"/>
      <c r="AK259" s="159">
        <f>+AK255+AK257</f>
        <v>0</v>
      </c>
      <c r="AL259" s="64">
        <f>IF(E255+E257=0,0,AK259/(E255+E257))</f>
        <v>0</v>
      </c>
      <c r="AM259" s="65">
        <f>+SUM(AM257,AM255)</f>
        <v>0</v>
      </c>
      <c r="AN259" s="64">
        <f>IF((E255+E257)=0,0,AM259/((E255+E257)*14))</f>
        <v>0</v>
      </c>
      <c r="AO259" s="160" t="str">
        <f>IF(AM259=0,"",AM259/AK259)</f>
        <v/>
      </c>
      <c r="AP259" s="61">
        <f>+AP255+AP257</f>
        <v>0</v>
      </c>
      <c r="AQ259" s="109"/>
      <c r="AR259" s="63">
        <f>+AR255+AR257</f>
        <v>0</v>
      </c>
      <c r="AS259" s="64">
        <f>AR259/E145</f>
        <v>0</v>
      </c>
      <c r="AT259" s="65">
        <f>+AT255+AT257</f>
        <v>0</v>
      </c>
      <c r="AU259" s="64">
        <f>AT259/F145</f>
        <v>0</v>
      </c>
      <c r="AV259" s="111">
        <f>+AV255+AV257</f>
        <v>0</v>
      </c>
    </row>
    <row r="260" spans="1:48" ht="26.25" hidden="1" customHeight="1" thickBot="1" x14ac:dyDescent="0.3">
      <c r="A260" s="277"/>
      <c r="B260" s="112" t="s">
        <v>43</v>
      </c>
      <c r="C260" s="498"/>
      <c r="D260" s="445" t="s">
        <v>39</v>
      </c>
      <c r="E260" s="445"/>
      <c r="F260" s="445"/>
      <c r="G260" s="113"/>
      <c r="H260" s="114"/>
      <c r="I260" s="113"/>
      <c r="J260" s="114"/>
      <c r="K260" s="113"/>
      <c r="L260" s="114"/>
      <c r="M260" s="113"/>
      <c r="N260" s="114"/>
      <c r="O260" s="113"/>
      <c r="P260" s="114"/>
      <c r="Q260" s="113"/>
      <c r="R260" s="289"/>
      <c r="S260" s="290"/>
      <c r="T260" s="114"/>
      <c r="U260" s="113"/>
      <c r="V260" s="114"/>
      <c r="W260" s="113"/>
      <c r="X260" s="114"/>
      <c r="Y260" s="113"/>
      <c r="Z260" s="114"/>
      <c r="AA260" s="113"/>
      <c r="AB260" s="114"/>
      <c r="AC260" s="113"/>
      <c r="AD260" s="114"/>
      <c r="AE260" s="98"/>
      <c r="AF260" s="99"/>
      <c r="AG260" s="113"/>
      <c r="AH260" s="114"/>
      <c r="AI260" s="113"/>
      <c r="AJ260" s="114"/>
      <c r="AK260" s="71">
        <f>G260+I260+K260+M260+O260+Q260+S260+U260+W260+Y260+AA260+AC260+AE260+AG260+AI260</f>
        <v>0</v>
      </c>
      <c r="AL260" s="72"/>
      <c r="AM260" s="73">
        <f>H260+J260+L260+N260+P260+R260+T260+V260+X260+Z260+AB260+AD260+AF260+AH260+AJ260</f>
        <v>0</v>
      </c>
      <c r="AN260" s="72"/>
      <c r="AO260" s="74"/>
      <c r="AP260" s="73"/>
      <c r="AQ260" s="75"/>
      <c r="AR260" s="71">
        <f>+AR253+AK260-AE207-AE253</f>
        <v>0</v>
      </c>
      <c r="AS260" s="77"/>
      <c r="AT260" s="73">
        <f>+AT253+AM260-AF207-AF253</f>
        <v>0</v>
      </c>
      <c r="AU260" s="77"/>
      <c r="AV260" s="118"/>
    </row>
    <row r="261" spans="1:48" ht="27" hidden="1" customHeight="1" thickBot="1" x14ac:dyDescent="0.3">
      <c r="A261" s="277"/>
      <c r="B261" s="152">
        <f>B254</f>
        <v>42480</v>
      </c>
      <c r="C261" s="499"/>
      <c r="D261" s="446" t="s">
        <v>6</v>
      </c>
      <c r="E261" s="446"/>
      <c r="F261" s="446"/>
      <c r="G261" s="120"/>
      <c r="H261" s="121"/>
      <c r="I261" s="120"/>
      <c r="J261" s="121"/>
      <c r="K261" s="120"/>
      <c r="L261" s="121"/>
      <c r="M261" s="120"/>
      <c r="N261" s="121"/>
      <c r="O261" s="120"/>
      <c r="P261" s="121"/>
      <c r="Q261" s="120"/>
      <c r="R261" s="260"/>
      <c r="S261" s="261"/>
      <c r="T261" s="121"/>
      <c r="U261" s="120"/>
      <c r="V261" s="121"/>
      <c r="W261" s="120"/>
      <c r="X261" s="121"/>
      <c r="Y261" s="120"/>
      <c r="Z261" s="121"/>
      <c r="AA261" s="120"/>
      <c r="AB261" s="121"/>
      <c r="AC261" s="120"/>
      <c r="AD261" s="121"/>
      <c r="AE261" s="120"/>
      <c r="AF261" s="121"/>
      <c r="AG261" s="120"/>
      <c r="AH261" s="121"/>
      <c r="AI261" s="120"/>
      <c r="AJ261" s="121"/>
      <c r="AK261" s="123">
        <f>AK259+AK260</f>
        <v>0</v>
      </c>
      <c r="AL261" s="85">
        <f>IF(E255+E257=0,0,AK261/(E255+E257))</f>
        <v>0</v>
      </c>
      <c r="AM261" s="90">
        <f>+AM259+AM260</f>
        <v>0</v>
      </c>
      <c r="AN261" s="85">
        <f>IF((E255+E257)=0,0,AM261/((E255+E257)*14))</f>
        <v>0</v>
      </c>
      <c r="AO261" s="87" t="str">
        <f>IF(AM261=0,"",AM261/AK261)</f>
        <v/>
      </c>
      <c r="AP261" s="88">
        <f>+AP259</f>
        <v>0</v>
      </c>
      <c r="AQ261" s="109"/>
      <c r="AR261" s="388">
        <f>+AR259+AR260</f>
        <v>0</v>
      </c>
      <c r="AS261" s="292">
        <f>AR261/E145</f>
        <v>0</v>
      </c>
      <c r="AT261" s="293">
        <f>+AT259+AT260</f>
        <v>0</v>
      </c>
      <c r="AU261" s="292">
        <f>+AT261/F145</f>
        <v>0</v>
      </c>
      <c r="AV261" s="294">
        <f>+AV259</f>
        <v>0</v>
      </c>
    </row>
    <row r="262" spans="1:48" ht="33" hidden="1" customHeight="1" x14ac:dyDescent="0.25">
      <c r="A262" s="277"/>
      <c r="B262" s="93"/>
      <c r="C262" s="497"/>
      <c r="D262" s="500" t="str">
        <f>$B$6</f>
        <v>Trade</v>
      </c>
      <c r="E262" s="501"/>
      <c r="F262" s="44" t="s">
        <v>36</v>
      </c>
      <c r="G262" s="45"/>
      <c r="H262" s="46"/>
      <c r="I262" s="45"/>
      <c r="J262" s="46"/>
      <c r="K262" s="45"/>
      <c r="L262" s="46"/>
      <c r="M262" s="45"/>
      <c r="N262" s="46"/>
      <c r="O262" s="45"/>
      <c r="P262" s="46"/>
      <c r="Q262" s="45"/>
      <c r="R262" s="274"/>
      <c r="S262" s="275"/>
      <c r="T262" s="46"/>
      <c r="U262" s="45"/>
      <c r="V262" s="46"/>
      <c r="W262" s="45"/>
      <c r="X262" s="46"/>
      <c r="Y262" s="45"/>
      <c r="Z262" s="46"/>
      <c r="AA262" s="45"/>
      <c r="AB262" s="46"/>
      <c r="AC262" s="45"/>
      <c r="AD262" s="46"/>
      <c r="AE262" s="45"/>
      <c r="AF262" s="46"/>
      <c r="AG262" s="94"/>
      <c r="AH262" s="95"/>
      <c r="AI262" s="45"/>
      <c r="AJ262" s="46"/>
      <c r="AK262" s="502">
        <f>G262+I262+K262+M262+O262+Q262+S262+U262+W262+Y262+AA262+AC262+AE262+AG262+AI262</f>
        <v>0</v>
      </c>
      <c r="AL262" s="504">
        <f>IF(E262=0,0,AK262/E262)</f>
        <v>0</v>
      </c>
      <c r="AM262" s="493">
        <f>H262+J262+L262+N262+P262+R262+T262+V262+X262+Z262+AB262+AD262+AF262+AH262+AJ262</f>
        <v>0</v>
      </c>
      <c r="AN262" s="491">
        <f>IF(E262=0,0,AM262/($E262*14))</f>
        <v>0</v>
      </c>
      <c r="AO262" s="492" t="str">
        <f>IF(AM262=0,"",AM262/AK262)</f>
        <v/>
      </c>
      <c r="AP262" s="493">
        <f>G263+I263+K263+M263+O263+Q263+S263+U263+W263+Y263+AA263+AC263+AE263+AG263+AI263</f>
        <v>0</v>
      </c>
      <c r="AQ262" s="109"/>
      <c r="AR262" s="494">
        <f>+AR255+AK262-AG202-AG248-AG255</f>
        <v>0</v>
      </c>
      <c r="AS262" s="486">
        <f>AR262/$E$9</f>
        <v>0</v>
      </c>
      <c r="AT262" s="496">
        <f>+AT255+AM262-AH202-AH248-AH255</f>
        <v>0</v>
      </c>
      <c r="AU262" s="486">
        <f>+AT262/$F$9</f>
        <v>0</v>
      </c>
      <c r="AV262" s="487">
        <f>+AV255+AP262-AG203-AG249-AG256</f>
        <v>0</v>
      </c>
    </row>
    <row r="263" spans="1:48" ht="33" hidden="1" customHeight="1" x14ac:dyDescent="0.25">
      <c r="A263" s="277"/>
      <c r="B263" s="96"/>
      <c r="C263" s="498"/>
      <c r="D263" s="457"/>
      <c r="E263" s="459"/>
      <c r="F263" s="50" t="s">
        <v>37</v>
      </c>
      <c r="G263" s="477"/>
      <c r="H263" s="478"/>
      <c r="I263" s="477"/>
      <c r="J263" s="478"/>
      <c r="K263" s="477"/>
      <c r="L263" s="478"/>
      <c r="M263" s="477"/>
      <c r="N263" s="478"/>
      <c r="O263" s="477"/>
      <c r="P263" s="478"/>
      <c r="Q263" s="477"/>
      <c r="R263" s="489"/>
      <c r="S263" s="490"/>
      <c r="T263" s="478"/>
      <c r="U263" s="477"/>
      <c r="V263" s="478"/>
      <c r="W263" s="477"/>
      <c r="X263" s="478"/>
      <c r="Y263" s="477"/>
      <c r="Z263" s="478"/>
      <c r="AA263" s="477"/>
      <c r="AB263" s="478"/>
      <c r="AC263" s="477"/>
      <c r="AD263" s="478"/>
      <c r="AE263" s="477"/>
      <c r="AF263" s="478"/>
      <c r="AG263" s="462"/>
      <c r="AH263" s="463"/>
      <c r="AI263" s="477"/>
      <c r="AJ263" s="478"/>
      <c r="AK263" s="503"/>
      <c r="AL263" s="419"/>
      <c r="AM263" s="505"/>
      <c r="AN263" s="423"/>
      <c r="AO263" s="424"/>
      <c r="AP263" s="425"/>
      <c r="AQ263" s="109"/>
      <c r="AR263" s="495"/>
      <c r="AS263" s="419"/>
      <c r="AT263" s="425"/>
      <c r="AU263" s="419"/>
      <c r="AV263" s="488"/>
    </row>
    <row r="264" spans="1:48" ht="33" hidden="1" customHeight="1" x14ac:dyDescent="0.25">
      <c r="A264" s="277"/>
      <c r="B264" s="157" t="s">
        <v>54</v>
      </c>
      <c r="C264" s="498"/>
      <c r="D264" s="479" t="str">
        <f>$B$7</f>
        <v>Feeder</v>
      </c>
      <c r="E264" s="481"/>
      <c r="F264" s="51" t="s">
        <v>36</v>
      </c>
      <c r="G264" s="52"/>
      <c r="H264" s="53"/>
      <c r="I264" s="52"/>
      <c r="J264" s="53"/>
      <c r="K264" s="52"/>
      <c r="L264" s="53"/>
      <c r="M264" s="52"/>
      <c r="N264" s="53"/>
      <c r="O264" s="52"/>
      <c r="P264" s="53"/>
      <c r="Q264" s="52"/>
      <c r="R264" s="278"/>
      <c r="S264" s="279"/>
      <c r="T264" s="53"/>
      <c r="U264" s="52"/>
      <c r="V264" s="53"/>
      <c r="W264" s="52"/>
      <c r="X264" s="53"/>
      <c r="Y264" s="52"/>
      <c r="Z264" s="53"/>
      <c r="AA264" s="52"/>
      <c r="AB264" s="53"/>
      <c r="AC264" s="52"/>
      <c r="AD264" s="53"/>
      <c r="AE264" s="52"/>
      <c r="AF264" s="53"/>
      <c r="AG264" s="98"/>
      <c r="AH264" s="99"/>
      <c r="AI264" s="52"/>
      <c r="AJ264" s="53"/>
      <c r="AK264" s="483">
        <f>G264+I264+K264+M264+O264+Q264+S264+U264+W264+Y264+AA264+AC264+AE264+AG264+AI264</f>
        <v>0</v>
      </c>
      <c r="AL264" s="467">
        <f>IF(E262=0,0,AK264/E262)</f>
        <v>0</v>
      </c>
      <c r="AM264" s="471">
        <f>H264+J264+L264+N264+P264+R264+T264+V264+X264+Z264+AB264+AD264+AF264+AH264+AJ264</f>
        <v>0</v>
      </c>
      <c r="AN264" s="473">
        <f>IF(E262=0,0,AM264/($E262*14))</f>
        <v>0</v>
      </c>
      <c r="AO264" s="475" t="str">
        <f>IF(AM264=0,"",AM264/AK264)</f>
        <v/>
      </c>
      <c r="AP264" s="468">
        <f>G265+I265+K265+M265+O265+Q265+S265+U265+W265+Y265+AA265+AC265+AE265+AG265+AI265</f>
        <v>0</v>
      </c>
      <c r="AQ264" s="109"/>
      <c r="AR264" s="476">
        <f>+AR257+AK264-AG204-AG250-AG257</f>
        <v>0</v>
      </c>
      <c r="AS264" s="467">
        <f>AR264/$E$10</f>
        <v>0</v>
      </c>
      <c r="AT264" s="468">
        <f>+AT257+AM264-AH204-AH250-AH257</f>
        <v>0</v>
      </c>
      <c r="AU264" s="467">
        <f>+AT264/$F$10</f>
        <v>0</v>
      </c>
      <c r="AV264" s="469">
        <f>+AV257+AP264-AG205-AG251-AG258</f>
        <v>0</v>
      </c>
    </row>
    <row r="265" spans="1:48" ht="33" hidden="1" customHeight="1" x14ac:dyDescent="0.25">
      <c r="A265" s="277"/>
      <c r="B265" s="100"/>
      <c r="C265" s="498"/>
      <c r="D265" s="480"/>
      <c r="E265" s="482"/>
      <c r="F265" s="54" t="s">
        <v>37</v>
      </c>
      <c r="G265" s="460"/>
      <c r="H265" s="461"/>
      <c r="I265" s="460"/>
      <c r="J265" s="461"/>
      <c r="K265" s="460"/>
      <c r="L265" s="461"/>
      <c r="M265" s="460"/>
      <c r="N265" s="461"/>
      <c r="O265" s="460"/>
      <c r="P265" s="461"/>
      <c r="Q265" s="460"/>
      <c r="R265" s="470"/>
      <c r="S265" s="485"/>
      <c r="T265" s="461"/>
      <c r="U265" s="460"/>
      <c r="V265" s="461"/>
      <c r="W265" s="460"/>
      <c r="X265" s="461"/>
      <c r="Y265" s="460"/>
      <c r="Z265" s="461"/>
      <c r="AA265" s="460"/>
      <c r="AB265" s="461"/>
      <c r="AC265" s="460"/>
      <c r="AD265" s="461"/>
      <c r="AE265" s="460"/>
      <c r="AF265" s="461"/>
      <c r="AG265" s="462"/>
      <c r="AH265" s="463"/>
      <c r="AI265" s="460"/>
      <c r="AJ265" s="461"/>
      <c r="AK265" s="484"/>
      <c r="AL265" s="467"/>
      <c r="AM265" s="472"/>
      <c r="AN265" s="474"/>
      <c r="AO265" s="475"/>
      <c r="AP265" s="468"/>
      <c r="AQ265" s="109"/>
      <c r="AR265" s="476"/>
      <c r="AS265" s="467"/>
      <c r="AT265" s="468"/>
      <c r="AU265" s="467"/>
      <c r="AV265" s="469"/>
    </row>
    <row r="266" spans="1:48" ht="33" hidden="1" customHeight="1" x14ac:dyDescent="0.25">
      <c r="A266" s="277"/>
      <c r="B266" s="158" t="s">
        <v>56</v>
      </c>
      <c r="C266" s="498"/>
      <c r="D266" s="464" t="s">
        <v>38</v>
      </c>
      <c r="E266" s="465"/>
      <c r="F266" s="466"/>
      <c r="G266" s="55"/>
      <c r="H266" s="105"/>
      <c r="I266" s="55"/>
      <c r="J266" s="105"/>
      <c r="K266" s="55"/>
      <c r="L266" s="105"/>
      <c r="M266" s="55"/>
      <c r="N266" s="105"/>
      <c r="O266" s="55"/>
      <c r="P266" s="105"/>
      <c r="Q266" s="55"/>
      <c r="R266" s="295"/>
      <c r="S266" s="296"/>
      <c r="T266" s="105"/>
      <c r="U266" s="106"/>
      <c r="V266" s="108"/>
      <c r="W266" s="106"/>
      <c r="X266" s="108"/>
      <c r="Y266" s="106"/>
      <c r="Z266" s="108"/>
      <c r="AA266" s="106"/>
      <c r="AB266" s="108"/>
      <c r="AC266" s="106"/>
      <c r="AD266" s="108"/>
      <c r="AE266" s="106"/>
      <c r="AF266" s="108"/>
      <c r="AG266" s="101"/>
      <c r="AH266" s="102"/>
      <c r="AI266" s="106"/>
      <c r="AJ266" s="108"/>
      <c r="AK266" s="159">
        <f>+AK262+AK264</f>
        <v>0</v>
      </c>
      <c r="AL266" s="64">
        <f>IF(E262+E264=0,0,AK266/(E262+E264))</f>
        <v>0</v>
      </c>
      <c r="AM266" s="65">
        <f>+SUM(AM264,AM262)</f>
        <v>0</v>
      </c>
      <c r="AN266" s="64">
        <f>IF((E262+E264)=0,0,AM266/((E262+E264)*14))</f>
        <v>0</v>
      </c>
      <c r="AO266" s="160" t="str">
        <f>IF(AM266=0,"",AM266/AK266)</f>
        <v/>
      </c>
      <c r="AP266" s="61">
        <f>+AP262+AP264</f>
        <v>0</v>
      </c>
      <c r="AQ266" s="109"/>
      <c r="AR266" s="297">
        <f>+AR262+AR264</f>
        <v>0</v>
      </c>
      <c r="AS266" s="64">
        <f>AR266/$E$8</f>
        <v>0</v>
      </c>
      <c r="AT266" s="65">
        <f>+AT262+AT264</f>
        <v>0</v>
      </c>
      <c r="AU266" s="64">
        <f>AT266/$F$8</f>
        <v>0</v>
      </c>
      <c r="AV266" s="298">
        <f>+AV262+AV264</f>
        <v>0</v>
      </c>
    </row>
    <row r="267" spans="1:48" ht="33.6" hidden="1" customHeight="1" thickBot="1" x14ac:dyDescent="0.3">
      <c r="A267" s="277"/>
      <c r="B267" s="161" t="s">
        <v>74</v>
      </c>
      <c r="C267" s="498"/>
      <c r="D267" s="445" t="s">
        <v>39</v>
      </c>
      <c r="E267" s="445"/>
      <c r="F267" s="445"/>
      <c r="G267" s="113"/>
      <c r="H267" s="114"/>
      <c r="I267" s="116"/>
      <c r="J267" s="254"/>
      <c r="K267" s="116"/>
      <c r="L267" s="254"/>
      <c r="M267" s="116"/>
      <c r="N267" s="254"/>
      <c r="O267" s="116"/>
      <c r="P267" s="254"/>
      <c r="Q267" s="113"/>
      <c r="R267" s="289"/>
      <c r="S267" s="290"/>
      <c r="T267" s="114"/>
      <c r="U267" s="113"/>
      <c r="V267" s="114"/>
      <c r="W267" s="113"/>
      <c r="X267" s="114"/>
      <c r="Y267" s="113"/>
      <c r="Z267" s="114"/>
      <c r="AA267" s="113"/>
      <c r="AB267" s="114"/>
      <c r="AC267" s="113"/>
      <c r="AD267" s="114"/>
      <c r="AE267" s="113"/>
      <c r="AF267" s="114"/>
      <c r="AG267" s="98"/>
      <c r="AH267" s="99"/>
      <c r="AI267" s="113"/>
      <c r="AJ267" s="114"/>
      <c r="AK267" s="71">
        <f>G267+I267+K267+M267+O267+Q267+S267+U267+W267+Y267+AA267+AC267+AE267+AG267+AI267</f>
        <v>0</v>
      </c>
      <c r="AL267" s="72"/>
      <c r="AM267" s="73">
        <f>H267+J267+L267+N267+P267+R267+T267+V267+X267+Z267+AB267+AD267+AF267+AH267+AJ267</f>
        <v>0</v>
      </c>
      <c r="AN267" s="72"/>
      <c r="AO267" s="74"/>
      <c r="AP267" s="73"/>
      <c r="AQ267" s="75"/>
      <c r="AR267" s="299">
        <f>+AR260+AK267-AG207-AG253-AG260</f>
        <v>0</v>
      </c>
      <c r="AS267" s="77"/>
      <c r="AT267" s="73">
        <f>+AT260+AM267-AH207-AH253-AH260</f>
        <v>0</v>
      </c>
      <c r="AU267" s="77"/>
      <c r="AV267" s="300"/>
    </row>
    <row r="268" spans="1:48" ht="33.6" hidden="1" customHeight="1" thickBot="1" x14ac:dyDescent="0.3">
      <c r="A268" s="277"/>
      <c r="B268" s="152">
        <f>SUM(MOD(("1/"&amp;$A$14)-{0;6},{1E+99;7})*{1;-1},$A$89*7,MATCH(MID(B267,1,2),{"Mo";"Tu";"We";"Th";"Fr";"Sa";"Su"},0)-5)</f>
        <v>42442</v>
      </c>
      <c r="C268" s="499"/>
      <c r="D268" s="446" t="s">
        <v>6</v>
      </c>
      <c r="E268" s="446"/>
      <c r="F268" s="446"/>
      <c r="G268" s="120"/>
      <c r="H268" s="121"/>
      <c r="I268" s="120"/>
      <c r="J268" s="121"/>
      <c r="K268" s="120"/>
      <c r="L268" s="121"/>
      <c r="M268" s="120"/>
      <c r="N268" s="121"/>
      <c r="O268" s="120"/>
      <c r="P268" s="121"/>
      <c r="Q268" s="120"/>
      <c r="R268" s="260"/>
      <c r="S268" s="261"/>
      <c r="T268" s="121"/>
      <c r="U268" s="120"/>
      <c r="V268" s="121"/>
      <c r="W268" s="120"/>
      <c r="X268" s="121"/>
      <c r="Y268" s="120"/>
      <c r="Z268" s="121"/>
      <c r="AA268" s="120"/>
      <c r="AB268" s="121"/>
      <c r="AC268" s="120"/>
      <c r="AD268" s="121"/>
      <c r="AE268" s="120"/>
      <c r="AF268" s="121"/>
      <c r="AG268" s="120"/>
      <c r="AH268" s="121"/>
      <c r="AI268" s="120"/>
      <c r="AJ268" s="121"/>
      <c r="AK268" s="123">
        <f>AK266+AK267</f>
        <v>0</v>
      </c>
      <c r="AL268" s="85">
        <f>IF(E262+E264=0,0,AK268/(E262+E264))</f>
        <v>0</v>
      </c>
      <c r="AM268" s="90">
        <f>+AM266+AM267</f>
        <v>0</v>
      </c>
      <c r="AN268" s="85">
        <f>IF((E262+E264)=0,0,AM268/((E262+E264)*14))</f>
        <v>0</v>
      </c>
      <c r="AO268" s="87" t="str">
        <f>IF(AM268=0,"",AM268/AK268)</f>
        <v/>
      </c>
      <c r="AP268" s="88">
        <f>+AP266</f>
        <v>0</v>
      </c>
      <c r="AQ268" s="109"/>
      <c r="AR268" s="301">
        <f>+AR266+AR267</f>
        <v>0</v>
      </c>
      <c r="AS268" s="302">
        <f>AR268/$E$8</f>
        <v>0</v>
      </c>
      <c r="AT268" s="303">
        <f>+AT266+AT267</f>
        <v>0</v>
      </c>
      <c r="AU268" s="302">
        <f>+AT268/$F$8</f>
        <v>0</v>
      </c>
      <c r="AV268" s="304">
        <f>+AV266</f>
        <v>0</v>
      </c>
    </row>
    <row r="269" spans="1:48" ht="23.25" hidden="1" customHeight="1" x14ac:dyDescent="0.25">
      <c r="A269" s="277"/>
      <c r="B269" s="447" t="s">
        <v>6</v>
      </c>
      <c r="C269" s="450"/>
      <c r="D269" s="452" t="str">
        <f>$B$6</f>
        <v>Trade</v>
      </c>
      <c r="E269" s="454">
        <f>E213+E220+E227+E234+E241+E248+E262</f>
        <v>1015</v>
      </c>
      <c r="F269" s="162" t="s">
        <v>36</v>
      </c>
      <c r="G269" s="163"/>
      <c r="H269" s="164"/>
      <c r="I269" s="163"/>
      <c r="J269" s="164"/>
      <c r="K269" s="163"/>
      <c r="L269" s="164"/>
      <c r="M269" s="163"/>
      <c r="N269" s="164"/>
      <c r="O269" s="163"/>
      <c r="P269" s="164"/>
      <c r="Q269" s="163"/>
      <c r="R269" s="305"/>
      <c r="S269" s="306"/>
      <c r="T269" s="164"/>
      <c r="U269" s="163"/>
      <c r="V269" s="164"/>
      <c r="W269" s="163"/>
      <c r="X269" s="164"/>
      <c r="Y269" s="163"/>
      <c r="Z269" s="164"/>
      <c r="AA269" s="163"/>
      <c r="AB269" s="164"/>
      <c r="AC269" s="163"/>
      <c r="AD269" s="164"/>
      <c r="AE269" s="163"/>
      <c r="AF269" s="164"/>
      <c r="AG269" s="163"/>
      <c r="AH269" s="164"/>
      <c r="AI269" s="163"/>
      <c r="AJ269" s="164"/>
      <c r="AK269" s="434">
        <f>G269+I269+K269+M269+O269+Q269+S269+U269+W269+Y269+AA269+AC269+AE269+AG269+AI269</f>
        <v>0</v>
      </c>
      <c r="AL269" s="436">
        <f>IF(E269=0,0,AK269/E269)</f>
        <v>0</v>
      </c>
      <c r="AM269" s="438">
        <f>H269+J269+L269+N269+P269+R269+T269+V269+X269+Z269+AB269+AD269+AF269+AH269+AJ269</f>
        <v>0</v>
      </c>
      <c r="AN269" s="440">
        <f>IF(E269=0,0,AM269/($E269*14))</f>
        <v>0</v>
      </c>
      <c r="AO269" s="442" t="str">
        <f>IF(AM269=0,"",AM269/AK269)</f>
        <v/>
      </c>
      <c r="AP269" s="438">
        <f>G270+I270+K270+M270+O270+Q270+S270+U270+W270+Y270+AA270+AC270+AE270+AG270+AI270</f>
        <v>0</v>
      </c>
      <c r="AQ269" s="307"/>
      <c r="AR269" s="428" t="s">
        <v>78</v>
      </c>
      <c r="AS269" s="429"/>
      <c r="AT269" s="308"/>
      <c r="AU269" s="308"/>
      <c r="AV269" s="308"/>
    </row>
    <row r="270" spans="1:48" ht="26.25" hidden="1" customHeight="1" thickBot="1" x14ac:dyDescent="0.3">
      <c r="A270" s="277"/>
      <c r="B270" s="448"/>
      <c r="C270" s="451"/>
      <c r="D270" s="453"/>
      <c r="E270" s="455"/>
      <c r="F270" s="165" t="s">
        <v>37</v>
      </c>
      <c r="G270" s="426"/>
      <c r="H270" s="427"/>
      <c r="I270" s="426"/>
      <c r="J270" s="427"/>
      <c r="K270" s="426"/>
      <c r="L270" s="427"/>
      <c r="M270" s="426"/>
      <c r="N270" s="427"/>
      <c r="O270" s="426"/>
      <c r="P270" s="427"/>
      <c r="Q270" s="426"/>
      <c r="R270" s="432"/>
      <c r="S270" s="433"/>
      <c r="T270" s="427"/>
      <c r="U270" s="426"/>
      <c r="V270" s="427"/>
      <c r="W270" s="426"/>
      <c r="X270" s="427"/>
      <c r="Y270" s="426"/>
      <c r="Z270" s="427"/>
      <c r="AA270" s="426"/>
      <c r="AB270" s="427"/>
      <c r="AC270" s="426"/>
      <c r="AD270" s="427"/>
      <c r="AE270" s="426"/>
      <c r="AF270" s="427"/>
      <c r="AG270" s="426"/>
      <c r="AH270" s="427"/>
      <c r="AI270" s="426"/>
      <c r="AJ270" s="427"/>
      <c r="AK270" s="435"/>
      <c r="AL270" s="437"/>
      <c r="AM270" s="439"/>
      <c r="AN270" s="441"/>
      <c r="AO270" s="443"/>
      <c r="AP270" s="444"/>
      <c r="AQ270" s="307"/>
      <c r="AR270" s="430"/>
      <c r="AS270" s="431"/>
      <c r="AU270" s="309"/>
      <c r="AV270" s="309"/>
    </row>
    <row r="271" spans="1:48" ht="21.75" hidden="1" customHeight="1" x14ac:dyDescent="0.25">
      <c r="A271" s="277"/>
      <c r="B271" s="448"/>
      <c r="C271" s="451"/>
      <c r="D271" s="456" t="str">
        <f>$B$7</f>
        <v>Feeder</v>
      </c>
      <c r="E271" s="458"/>
      <c r="F271" s="166" t="s">
        <v>36</v>
      </c>
      <c r="G271" s="167"/>
      <c r="H271" s="168"/>
      <c r="I271" s="167"/>
      <c r="J271" s="168"/>
      <c r="K271" s="167"/>
      <c r="L271" s="168"/>
      <c r="M271" s="167"/>
      <c r="N271" s="168"/>
      <c r="O271" s="167"/>
      <c r="P271" s="168"/>
      <c r="Q271" s="167"/>
      <c r="R271" s="310"/>
      <c r="S271" s="311"/>
      <c r="T271" s="168"/>
      <c r="U271" s="167"/>
      <c r="V271" s="168"/>
      <c r="W271" s="167"/>
      <c r="X271" s="168"/>
      <c r="Y271" s="167"/>
      <c r="Z271" s="168"/>
      <c r="AA271" s="167"/>
      <c r="AB271" s="168"/>
      <c r="AC271" s="167"/>
      <c r="AD271" s="168"/>
      <c r="AE271" s="167"/>
      <c r="AF271" s="168"/>
      <c r="AG271" s="167"/>
      <c r="AH271" s="168"/>
      <c r="AI271" s="167"/>
      <c r="AJ271" s="168"/>
      <c r="AK271" s="417">
        <f>G271+I271+K271+M271+O271+Q271+S271+U271+W271+Y271+AA271+AC271+AE271+AG271+AI271</f>
        <v>0</v>
      </c>
      <c r="AL271" s="419">
        <f>IF(E269=0,0,AK271/E269)</f>
        <v>0</v>
      </c>
      <c r="AM271" s="420">
        <f>H271+J271+L271+N271+P271+R271+T271+V271+X271+Z271+AB271+AD271+AF271+AH271+AJ271</f>
        <v>0</v>
      </c>
      <c r="AN271" s="422">
        <f>IF(E269=0,0,AM271/($E269*14))</f>
        <v>0</v>
      </c>
      <c r="AO271" s="424" t="str">
        <f>IF(AM271=0,"",AM271/AK271)</f>
        <v/>
      </c>
      <c r="AP271" s="425">
        <f>G272+I272+K272+M272+O272+Q272+S272+U272+W272+Y272+AA272+AC272+AE272+AG272+AI272</f>
        <v>0</v>
      </c>
      <c r="AQ271" s="307"/>
      <c r="AR271" s="405">
        <v>161</v>
      </c>
      <c r="AS271" s="406"/>
      <c r="AU271" s="309"/>
      <c r="AV271" s="309"/>
    </row>
    <row r="272" spans="1:48" ht="24.75" hidden="1" customHeight="1" thickBot="1" x14ac:dyDescent="0.3">
      <c r="A272" s="277"/>
      <c r="B272" s="448"/>
      <c r="C272" s="451"/>
      <c r="D272" s="457"/>
      <c r="E272" s="459"/>
      <c r="F272" s="50" t="s">
        <v>37</v>
      </c>
      <c r="G272" s="167"/>
      <c r="H272" s="168"/>
      <c r="I272" s="167"/>
      <c r="J272" s="168"/>
      <c r="K272" s="167"/>
      <c r="L272" s="168"/>
      <c r="M272" s="167"/>
      <c r="N272" s="168"/>
      <c r="O272" s="167"/>
      <c r="P272" s="168"/>
      <c r="Q272" s="167"/>
      <c r="R272" s="310"/>
      <c r="S272" s="311"/>
      <c r="T272" s="168"/>
      <c r="U272" s="167"/>
      <c r="V272" s="168"/>
      <c r="W272" s="167"/>
      <c r="X272" s="168"/>
      <c r="Y272" s="167"/>
      <c r="Z272" s="168"/>
      <c r="AA272" s="167"/>
      <c r="AB272" s="168"/>
      <c r="AC272" s="167"/>
      <c r="AD272" s="168"/>
      <c r="AE272" s="167"/>
      <c r="AF272" s="168"/>
      <c r="AG272" s="167"/>
      <c r="AH272" s="168"/>
      <c r="AI272" s="167"/>
      <c r="AJ272" s="168"/>
      <c r="AK272" s="418"/>
      <c r="AL272" s="419"/>
      <c r="AM272" s="421"/>
      <c r="AN272" s="423"/>
      <c r="AO272" s="424"/>
      <c r="AP272" s="425"/>
      <c r="AQ272" s="307"/>
      <c r="AR272" s="407"/>
      <c r="AS272" s="408"/>
      <c r="AU272" s="309"/>
      <c r="AV272" s="309"/>
    </row>
    <row r="273" spans="1:60" ht="30" hidden="1" customHeight="1" x14ac:dyDescent="0.25">
      <c r="A273" s="351" t="s">
        <v>77</v>
      </c>
      <c r="B273" s="448"/>
      <c r="C273" s="451"/>
      <c r="D273" s="409" t="s">
        <v>38</v>
      </c>
      <c r="E273" s="410"/>
      <c r="F273" s="411"/>
      <c r="G273" s="174"/>
      <c r="H273" s="175"/>
      <c r="I273" s="174"/>
      <c r="J273" s="175"/>
      <c r="K273" s="174"/>
      <c r="L273" s="175"/>
      <c r="M273" s="174"/>
      <c r="N273" s="175"/>
      <c r="O273" s="174"/>
      <c r="P273" s="175"/>
      <c r="Q273" s="174"/>
      <c r="R273" s="312"/>
      <c r="S273" s="313"/>
      <c r="T273" s="175"/>
      <c r="U273" s="174"/>
      <c r="V273" s="175"/>
      <c r="W273" s="174"/>
      <c r="X273" s="175"/>
      <c r="Y273" s="174"/>
      <c r="Z273" s="175"/>
      <c r="AA273" s="174"/>
      <c r="AB273" s="175"/>
      <c r="AC273" s="174"/>
      <c r="AD273" s="175"/>
      <c r="AE273" s="174"/>
      <c r="AF273" s="175"/>
      <c r="AG273" s="174"/>
      <c r="AH273" s="175"/>
      <c r="AI273" s="174"/>
      <c r="AJ273" s="175"/>
      <c r="AK273" s="314">
        <f>+AK269+AK271</f>
        <v>0</v>
      </c>
      <c r="AL273" s="177">
        <f>IF(E269+E271=0,0,AK273/(E269+E271))</f>
        <v>0</v>
      </c>
      <c r="AM273" s="178">
        <f>+SUM(AM271,AM269)</f>
        <v>0</v>
      </c>
      <c r="AN273" s="177">
        <f>IF((E269+E271)=0,0,AM273/((E269+E271)*14))</f>
        <v>0</v>
      </c>
      <c r="AO273" s="179" t="str">
        <f>IF(AM273=0,"",AM273/AK273)</f>
        <v/>
      </c>
      <c r="AP273" s="180">
        <f>+AP269+AP271</f>
        <v>0</v>
      </c>
      <c r="AQ273" s="109"/>
      <c r="AU273" s="309"/>
      <c r="AV273" s="309"/>
    </row>
    <row r="274" spans="1:60" ht="30.6" hidden="1" customHeight="1" thickBot="1" x14ac:dyDescent="0.3">
      <c r="A274" s="351"/>
      <c r="B274" s="449"/>
      <c r="C274" s="451"/>
      <c r="D274" s="412" t="s">
        <v>39</v>
      </c>
      <c r="E274" s="412"/>
      <c r="F274" s="412"/>
      <c r="G274" s="184"/>
      <c r="H274" s="185"/>
      <c r="I274" s="184"/>
      <c r="J274" s="185"/>
      <c r="K274" s="184"/>
      <c r="L274" s="185"/>
      <c r="M274" s="184"/>
      <c r="N274" s="185"/>
      <c r="O274" s="184"/>
      <c r="P274" s="185"/>
      <c r="Q274" s="184"/>
      <c r="R274" s="315"/>
      <c r="S274" s="316"/>
      <c r="T274" s="185"/>
      <c r="U274" s="184"/>
      <c r="V274" s="185"/>
      <c r="W274" s="184"/>
      <c r="X274" s="185"/>
      <c r="Y274" s="184"/>
      <c r="Z274" s="185"/>
      <c r="AA274" s="184"/>
      <c r="AB274" s="185"/>
      <c r="AC274" s="184"/>
      <c r="AD274" s="185"/>
      <c r="AE274" s="184"/>
      <c r="AF274" s="185"/>
      <c r="AG274" s="184"/>
      <c r="AH274" s="185"/>
      <c r="AI274" s="184"/>
      <c r="AJ274" s="185"/>
      <c r="AK274" s="317">
        <f>G274+I274+K274+M274+O274+Q274+S274+U274+W274+Y274+AA274+AC274+AE274+AG274+AI274</f>
        <v>0</v>
      </c>
      <c r="AL274" s="72"/>
      <c r="AM274" s="133">
        <f>H274+J274+L274+N274+P274+R274+T274+V274+X274+Z274+AB274+AD274+AF274+AH274+AJ274</f>
        <v>0</v>
      </c>
      <c r="AN274" s="72"/>
      <c r="AO274" s="318"/>
      <c r="AP274" s="133"/>
      <c r="AQ274" s="109"/>
      <c r="AU274" s="309"/>
      <c r="AV274" s="309"/>
    </row>
    <row r="275" spans="1:60" ht="23.4" hidden="1" customHeight="1" thickBot="1" x14ac:dyDescent="0.4">
      <c r="A275" s="413" t="s">
        <v>76</v>
      </c>
      <c r="B275" s="414"/>
      <c r="C275" s="414"/>
      <c r="D275" s="414"/>
      <c r="E275" s="414"/>
      <c r="F275" s="415"/>
      <c r="G275" s="206">
        <f t="shared" ref="G275:AJ275" si="26">+G273+G274</f>
        <v>0</v>
      </c>
      <c r="H275" s="207">
        <f t="shared" si="26"/>
        <v>0</v>
      </c>
      <c r="I275" s="319">
        <f t="shared" si="26"/>
        <v>0</v>
      </c>
      <c r="J275" s="320">
        <f t="shared" si="26"/>
        <v>0</v>
      </c>
      <c r="K275" s="319">
        <f t="shared" si="26"/>
        <v>0</v>
      </c>
      <c r="L275" s="320">
        <f t="shared" si="26"/>
        <v>0</v>
      </c>
      <c r="M275" s="319">
        <f t="shared" si="26"/>
        <v>0</v>
      </c>
      <c r="N275" s="320">
        <f t="shared" si="26"/>
        <v>0</v>
      </c>
      <c r="O275" s="319">
        <f t="shared" si="26"/>
        <v>0</v>
      </c>
      <c r="P275" s="320">
        <f t="shared" si="26"/>
        <v>0</v>
      </c>
      <c r="Q275" s="319">
        <f t="shared" si="26"/>
        <v>0</v>
      </c>
      <c r="R275" s="321">
        <f t="shared" si="26"/>
        <v>0</v>
      </c>
      <c r="S275" s="322">
        <f t="shared" si="26"/>
        <v>0</v>
      </c>
      <c r="T275" s="320">
        <f t="shared" si="26"/>
        <v>0</v>
      </c>
      <c r="U275" s="319">
        <f t="shared" si="26"/>
        <v>0</v>
      </c>
      <c r="V275" s="320">
        <f t="shared" si="26"/>
        <v>0</v>
      </c>
      <c r="W275" s="319">
        <f t="shared" si="26"/>
        <v>0</v>
      </c>
      <c r="X275" s="320">
        <f t="shared" si="26"/>
        <v>0</v>
      </c>
      <c r="Y275" s="319">
        <f t="shared" si="26"/>
        <v>0</v>
      </c>
      <c r="Z275" s="320">
        <f t="shared" si="26"/>
        <v>0</v>
      </c>
      <c r="AA275" s="319">
        <f t="shared" si="26"/>
        <v>0</v>
      </c>
      <c r="AB275" s="320">
        <f t="shared" si="26"/>
        <v>0</v>
      </c>
      <c r="AC275" s="319">
        <f t="shared" si="26"/>
        <v>0</v>
      </c>
      <c r="AD275" s="320">
        <f t="shared" si="26"/>
        <v>0</v>
      </c>
      <c r="AE275" s="319">
        <f t="shared" si="26"/>
        <v>0</v>
      </c>
      <c r="AF275" s="320">
        <f t="shared" si="26"/>
        <v>0</v>
      </c>
      <c r="AG275" s="319">
        <f t="shared" si="26"/>
        <v>0</v>
      </c>
      <c r="AH275" s="320">
        <f t="shared" si="26"/>
        <v>0</v>
      </c>
      <c r="AI275" s="319">
        <f t="shared" si="26"/>
        <v>0</v>
      </c>
      <c r="AJ275" s="320">
        <f t="shared" si="26"/>
        <v>0</v>
      </c>
      <c r="AK275" s="123">
        <f>AK273+AK274</f>
        <v>0</v>
      </c>
      <c r="AL275" s="85">
        <f>IF(E269+E271=0,0,AK275/(E269+E271))</f>
        <v>0</v>
      </c>
      <c r="AM275" s="90">
        <f>+AM273+AM274</f>
        <v>0</v>
      </c>
      <c r="AN275" s="85">
        <f>IF((E269+E271)=0,0,AM275/((E269+E271)*14))</f>
        <v>0</v>
      </c>
      <c r="AO275" s="87" t="str">
        <f>IF(AM275=0,"",AM275/AK275)</f>
        <v/>
      </c>
      <c r="AP275" s="88">
        <f>+AP273</f>
        <v>0</v>
      </c>
      <c r="AQ275" s="213"/>
      <c r="AR275" s="205"/>
      <c r="AS275" s="205"/>
      <c r="AT275" s="205"/>
      <c r="AU275" s="309"/>
      <c r="AV275" s="309"/>
    </row>
    <row r="276" spans="1:60" ht="23.4" hidden="1" customHeight="1" thickBot="1" x14ac:dyDescent="0.3">
      <c r="A276" s="416" t="s">
        <v>60</v>
      </c>
      <c r="B276" s="414"/>
      <c r="C276" s="414"/>
      <c r="D276" s="414"/>
      <c r="E276" s="414"/>
      <c r="F276" s="414"/>
      <c r="G276" s="206">
        <f>G275</f>
        <v>0</v>
      </c>
      <c r="H276" s="207">
        <f>H275+H208</f>
        <v>0</v>
      </c>
      <c r="I276" s="206">
        <f>I275</f>
        <v>0</v>
      </c>
      <c r="J276" s="208">
        <f>J275+J208</f>
        <v>0</v>
      </c>
      <c r="K276" s="206">
        <f>K275</f>
        <v>0</v>
      </c>
      <c r="L276" s="207">
        <f>L275+L208</f>
        <v>0</v>
      </c>
      <c r="M276" s="206">
        <f>M275</f>
        <v>0</v>
      </c>
      <c r="N276" s="207">
        <f t="shared" ref="N276:AJ276" si="27">N275+N208</f>
        <v>0</v>
      </c>
      <c r="O276" s="206">
        <f t="shared" si="27"/>
        <v>0</v>
      </c>
      <c r="P276" s="207">
        <f t="shared" si="27"/>
        <v>0</v>
      </c>
      <c r="Q276" s="206">
        <f t="shared" si="27"/>
        <v>0</v>
      </c>
      <c r="R276" s="323">
        <f t="shared" si="27"/>
        <v>0</v>
      </c>
      <c r="S276" s="324">
        <f t="shared" si="27"/>
        <v>0</v>
      </c>
      <c r="T276" s="207">
        <f t="shared" si="27"/>
        <v>0</v>
      </c>
      <c r="U276" s="206">
        <f t="shared" si="27"/>
        <v>0</v>
      </c>
      <c r="V276" s="207">
        <f t="shared" si="27"/>
        <v>0</v>
      </c>
      <c r="W276" s="206">
        <f t="shared" si="27"/>
        <v>0</v>
      </c>
      <c r="X276" s="207">
        <f t="shared" si="27"/>
        <v>0</v>
      </c>
      <c r="Y276" s="206">
        <f t="shared" si="27"/>
        <v>0</v>
      </c>
      <c r="Z276" s="207">
        <f t="shared" si="27"/>
        <v>0</v>
      </c>
      <c r="AA276" s="206">
        <f t="shared" si="27"/>
        <v>0</v>
      </c>
      <c r="AB276" s="209">
        <f t="shared" si="27"/>
        <v>0</v>
      </c>
      <c r="AC276" s="206">
        <f t="shared" si="27"/>
        <v>0</v>
      </c>
      <c r="AD276" s="207">
        <f t="shared" si="27"/>
        <v>0</v>
      </c>
      <c r="AE276" s="206">
        <f t="shared" si="27"/>
        <v>0</v>
      </c>
      <c r="AF276" s="209">
        <f t="shared" si="27"/>
        <v>0</v>
      </c>
      <c r="AG276" s="206">
        <f t="shared" si="27"/>
        <v>0</v>
      </c>
      <c r="AH276" s="209">
        <f t="shared" si="27"/>
        <v>0</v>
      </c>
      <c r="AI276" s="210">
        <f t="shared" si="27"/>
        <v>0</v>
      </c>
      <c r="AJ276" s="211">
        <f t="shared" si="27"/>
        <v>0</v>
      </c>
      <c r="AR276" s="309"/>
      <c r="AS276" s="309"/>
      <c r="AT276" s="309"/>
      <c r="AU276" s="309"/>
      <c r="AV276" s="309"/>
    </row>
    <row r="277" spans="1:60" s="326" customFormat="1" ht="27" customHeight="1" thickBot="1" x14ac:dyDescent="0.3">
      <c r="C277" s="327"/>
      <c r="D277" s="327"/>
      <c r="E277" s="327"/>
      <c r="F277" s="327"/>
      <c r="AO277" s="26"/>
      <c r="AP277" s="26"/>
      <c r="AQ277" s="2"/>
      <c r="AR277" s="26"/>
      <c r="AS277" s="26"/>
      <c r="AT277" s="26"/>
      <c r="AU277" s="309"/>
      <c r="AV277" s="328"/>
      <c r="AW277" s="327"/>
    </row>
    <row r="278" spans="1:60" ht="30" customHeight="1" thickBot="1" x14ac:dyDescent="0.3">
      <c r="A278" s="723"/>
      <c r="B278" s="724"/>
      <c r="C278" s="724"/>
      <c r="D278" s="725"/>
      <c r="E278" s="3" t="s">
        <v>1</v>
      </c>
      <c r="F278" s="3" t="s">
        <v>2</v>
      </c>
      <c r="G278" s="4" t="s">
        <v>3</v>
      </c>
      <c r="AO278" s="726">
        <f>+E286</f>
        <v>9</v>
      </c>
      <c r="AP278" s="728">
        <f>+E348</f>
        <v>9</v>
      </c>
      <c r="AQ278" s="729"/>
      <c r="AR278" s="722" t="s">
        <v>4</v>
      </c>
      <c r="AS278" s="722"/>
      <c r="AT278" s="722" t="s">
        <v>5</v>
      </c>
      <c r="AU278" s="722"/>
      <c r="AV278" s="5" t="s">
        <v>6</v>
      </c>
    </row>
    <row r="279" spans="1:60" ht="18" customHeight="1" x14ac:dyDescent="0.25">
      <c r="A279" s="699" t="s">
        <v>7</v>
      </c>
      <c r="B279" s="701" t="s">
        <v>8</v>
      </c>
      <c r="C279" s="702"/>
      <c r="D279" s="703"/>
      <c r="E279" s="397">
        <f>VLOOKUP($A$12,[1]Fleet!C:T,8,0)</f>
        <v>1234</v>
      </c>
      <c r="F279" s="397">
        <f>VLOOKUP($A$12,[1]Fleet!C:T,9,0)</f>
        <v>17276</v>
      </c>
      <c r="G279" s="398">
        <f>VLOOKUP($A$12,[1]Fleet!C:T,15,0)</f>
        <v>300</v>
      </c>
      <c r="I279" s="704" t="s">
        <v>79</v>
      </c>
      <c r="J279" s="705"/>
      <c r="K279" s="706"/>
      <c r="P279" s="331"/>
      <c r="Q279" s="331"/>
      <c r="R279" s="331"/>
      <c r="S279" s="331"/>
      <c r="T279" s="331"/>
      <c r="U279" s="331"/>
      <c r="V279" s="331"/>
      <c r="W279" s="331"/>
      <c r="X279" s="331"/>
      <c r="Y279" s="331"/>
      <c r="Z279" s="331"/>
      <c r="AA279" s="331"/>
      <c r="AB279" s="331"/>
      <c r="AC279" s="331"/>
      <c r="AD279" s="331"/>
      <c r="AE279" s="331"/>
      <c r="AF279" s="331"/>
      <c r="AG279" s="331"/>
      <c r="AH279" s="331"/>
      <c r="AI279" s="331"/>
      <c r="AJ279" s="331"/>
      <c r="AK279" s="331"/>
      <c r="AL279" s="331"/>
      <c r="AM279" s="331"/>
      <c r="AN279" s="331"/>
      <c r="AO279" s="727"/>
      <c r="AP279" s="730"/>
      <c r="AQ279" s="731"/>
      <c r="AR279" s="8" t="s">
        <v>9</v>
      </c>
      <c r="AS279" s="8" t="s">
        <v>10</v>
      </c>
      <c r="AT279" s="9" t="s">
        <v>9</v>
      </c>
      <c r="AU279" s="10" t="s">
        <v>10</v>
      </c>
      <c r="AV279" s="11" t="s">
        <v>11</v>
      </c>
    </row>
    <row r="280" spans="1:60" ht="18" customHeight="1" x14ac:dyDescent="0.25">
      <c r="A280" s="699"/>
      <c r="B280" s="716" t="s">
        <v>12</v>
      </c>
      <c r="C280" s="717"/>
      <c r="D280" s="718"/>
      <c r="E280" s="399">
        <f>+E297+E304+E311+E318</f>
        <v>300</v>
      </c>
      <c r="F280" s="399">
        <f>E280*14</f>
        <v>4200</v>
      </c>
      <c r="G280" s="400"/>
      <c r="I280" s="707"/>
      <c r="J280" s="708"/>
      <c r="K280" s="709"/>
      <c r="P280" s="331"/>
      <c r="Q280" s="331"/>
      <c r="R280" s="331"/>
      <c r="S280" s="331"/>
      <c r="T280" s="331"/>
      <c r="U280" s="331"/>
      <c r="V280" s="331"/>
      <c r="W280" s="331"/>
      <c r="X280" s="331"/>
      <c r="Y280" s="331"/>
      <c r="Z280" s="331"/>
      <c r="AA280" s="331"/>
      <c r="AB280" s="331"/>
      <c r="AC280" s="331"/>
      <c r="AD280" s="331"/>
      <c r="AE280" s="331"/>
      <c r="AF280" s="331"/>
      <c r="AG280" s="331"/>
      <c r="AH280" s="331"/>
      <c r="AI280" s="331"/>
      <c r="AJ280" s="331"/>
      <c r="AK280" s="331"/>
      <c r="AL280" s="331"/>
      <c r="AM280" s="331"/>
      <c r="AN280" s="331"/>
      <c r="AO280" s="713" t="s">
        <v>13</v>
      </c>
      <c r="AP280" s="714"/>
      <c r="AQ280" s="715"/>
      <c r="AR280" s="14">
        <f>+AR311</f>
        <v>0</v>
      </c>
      <c r="AS280" s="15">
        <f>+AR280/[1]ALLOC!$T$22</f>
        <v>0</v>
      </c>
      <c r="AT280" s="16">
        <f>+AR313</f>
        <v>0</v>
      </c>
      <c r="AU280" s="15">
        <f>+AT280/[1]ALLOC!$U$22</f>
        <v>0</v>
      </c>
      <c r="AV280" s="17">
        <f>+(AR280+AT280)/E279</f>
        <v>0</v>
      </c>
      <c r="AW280" s="1"/>
      <c r="BE280" s="18"/>
      <c r="BF280" s="18"/>
      <c r="BG280" s="18"/>
      <c r="BH280" s="18"/>
    </row>
    <row r="281" spans="1:60" ht="18.75" customHeight="1" thickBot="1" x14ac:dyDescent="0.3">
      <c r="A281" s="700"/>
      <c r="B281" s="719" t="s">
        <v>14</v>
      </c>
      <c r="C281" s="720"/>
      <c r="D281" s="721"/>
      <c r="E281" s="401">
        <f>+E299+E306+E313+E320</f>
        <v>575</v>
      </c>
      <c r="F281" s="401">
        <f>E281*14</f>
        <v>8050</v>
      </c>
      <c r="G281" s="402"/>
      <c r="I281" s="710"/>
      <c r="J281" s="711"/>
      <c r="K281" s="712"/>
      <c r="P281" s="331"/>
      <c r="Q281" s="331"/>
      <c r="R281" s="331"/>
      <c r="S281" s="331"/>
      <c r="T281" s="331"/>
      <c r="U281" s="331"/>
      <c r="V281" s="331"/>
      <c r="W281" s="331"/>
      <c r="X281" s="331"/>
      <c r="Y281" s="331"/>
      <c r="Z281" s="331"/>
      <c r="AA281" s="331"/>
      <c r="AB281" s="331"/>
      <c r="AC281" s="331"/>
      <c r="AD281" s="331"/>
      <c r="AE281" s="331"/>
      <c r="AF281" s="331"/>
      <c r="AG281" s="331"/>
      <c r="AH281" s="331"/>
      <c r="AI281" s="331"/>
      <c r="AJ281" s="331"/>
      <c r="AK281" s="331"/>
      <c r="AL281" s="331"/>
      <c r="AM281" s="331"/>
      <c r="AN281" s="331"/>
      <c r="AO281" s="713" t="s">
        <v>15</v>
      </c>
      <c r="AP281" s="714"/>
      <c r="AQ281" s="715"/>
      <c r="AR281" s="14">
        <f>+AR318</f>
        <v>0</v>
      </c>
      <c r="AS281" s="15">
        <f>+AR281/[1]ALLOC!$T$23</f>
        <v>0</v>
      </c>
      <c r="AT281" s="14">
        <f>+AR320</f>
        <v>0</v>
      </c>
      <c r="AU281" s="15">
        <f>+AT281/[1]ALLOC!$U$23</f>
        <v>0</v>
      </c>
      <c r="AV281" s="17">
        <f>+(AR281+AT281)/E279</f>
        <v>0</v>
      </c>
      <c r="AW281" s="1"/>
      <c r="BE281" s="18"/>
      <c r="BF281" s="18"/>
      <c r="BG281" s="18"/>
      <c r="BH281" s="18"/>
    </row>
    <row r="282" spans="1:60" ht="20.25" customHeight="1" x14ac:dyDescent="0.25">
      <c r="A282" s="699" t="s">
        <v>16</v>
      </c>
      <c r="B282" s="701" t="s">
        <v>17</v>
      </c>
      <c r="C282" s="702"/>
      <c r="D282" s="703"/>
      <c r="E282" s="403">
        <v>1100</v>
      </c>
      <c r="F282" s="403">
        <f>+E282*14</f>
        <v>15400</v>
      </c>
      <c r="G282" s="404">
        <f>VLOOKUP($A$12,[1]Fleet!C:T,15,0)</f>
        <v>300</v>
      </c>
      <c r="I282" s="704" t="s">
        <v>80</v>
      </c>
      <c r="J282" s="705"/>
      <c r="K282" s="706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713" t="s">
        <v>18</v>
      </c>
      <c r="AP282" s="714"/>
      <c r="AQ282" s="715"/>
      <c r="AR282" s="14">
        <f>+AR371</f>
        <v>0</v>
      </c>
      <c r="AS282" s="15">
        <f>+AS371</f>
        <v>0</v>
      </c>
      <c r="AT282" s="14">
        <f>+AR373</f>
        <v>0</v>
      </c>
      <c r="AU282" s="15">
        <f>+AS373</f>
        <v>0</v>
      </c>
      <c r="AV282" s="17">
        <f>+(AR282+AT282)/E282</f>
        <v>0</v>
      </c>
      <c r="AW282" s="1"/>
      <c r="BE282" s="18"/>
      <c r="BF282" s="18"/>
      <c r="BG282" s="18"/>
      <c r="BH282" s="18"/>
    </row>
    <row r="283" spans="1:60" ht="19.5" customHeight="1" x14ac:dyDescent="0.25">
      <c r="A283" s="699"/>
      <c r="B283" s="716" t="s">
        <v>12</v>
      </c>
      <c r="C283" s="717"/>
      <c r="D283" s="718"/>
      <c r="E283" s="399">
        <f>+E350+E357+E364+E371</f>
        <v>735</v>
      </c>
      <c r="F283" s="399">
        <f>E283*14</f>
        <v>10290</v>
      </c>
      <c r="G283" s="400"/>
      <c r="I283" s="707"/>
      <c r="J283" s="708"/>
      <c r="K283" s="709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713" t="s">
        <v>19</v>
      </c>
      <c r="AP283" s="714"/>
      <c r="AQ283" s="715"/>
      <c r="AR283" s="14">
        <f>+AR378</f>
        <v>0</v>
      </c>
      <c r="AS283" s="15">
        <f>+AR283/[1]ALLOC!$T$21</f>
        <v>0</v>
      </c>
      <c r="AT283" s="14">
        <f>+AR380</f>
        <v>0</v>
      </c>
      <c r="AU283" s="15">
        <f>+AT283/[1]ALLOC!$U$21</f>
        <v>0</v>
      </c>
      <c r="AV283" s="17">
        <f>+(AR283+AT283)/E282</f>
        <v>0</v>
      </c>
      <c r="BE283" s="18"/>
      <c r="BF283" s="18"/>
      <c r="BG283" s="18"/>
      <c r="BH283" s="18"/>
    </row>
    <row r="284" spans="1:60" s="26" customFormat="1" ht="17.25" customHeight="1" thickBot="1" x14ac:dyDescent="0.3">
      <c r="A284" s="700"/>
      <c r="B284" s="719" t="s">
        <v>14</v>
      </c>
      <c r="C284" s="720"/>
      <c r="D284" s="721"/>
      <c r="E284" s="401">
        <f>+E352+E359+E366+E373</f>
        <v>320</v>
      </c>
      <c r="F284" s="401">
        <f>E284*14</f>
        <v>4480</v>
      </c>
      <c r="G284" s="402"/>
      <c r="H284" s="24"/>
      <c r="I284" s="710"/>
      <c r="J284" s="711"/>
      <c r="K284" s="712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W284" s="27"/>
      <c r="AX284" s="27"/>
      <c r="AY284" s="27"/>
      <c r="AZ284" s="27"/>
    </row>
    <row r="285" spans="1:60" s="26" customFormat="1" ht="17.25" customHeight="1" thickBot="1" x14ac:dyDescent="0.3">
      <c r="A285" s="334"/>
      <c r="B285" s="335"/>
      <c r="C285" s="335"/>
      <c r="D285" s="335"/>
      <c r="E285" s="31"/>
      <c r="F285" s="31"/>
      <c r="G285" s="32"/>
      <c r="H285" s="24"/>
      <c r="I285" s="25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W285" s="27"/>
      <c r="AX285" s="27"/>
      <c r="AY285" s="27"/>
      <c r="AZ285" s="27"/>
    </row>
    <row r="286" spans="1:60" ht="15.75" customHeight="1" x14ac:dyDescent="0.25">
      <c r="A286" s="632" t="s">
        <v>20</v>
      </c>
      <c r="B286" s="633"/>
      <c r="C286" s="633"/>
      <c r="D286" s="691"/>
      <c r="E286" s="693">
        <v>9</v>
      </c>
      <c r="F286" s="695">
        <f ca="1">TODAY()</f>
        <v>42499</v>
      </c>
      <c r="G286" s="696"/>
      <c r="H286" s="696"/>
      <c r="I286" s="670"/>
      <c r="J286" s="670"/>
      <c r="K286" s="670"/>
      <c r="L286" s="670"/>
      <c r="M286" s="670"/>
      <c r="N286" s="670"/>
      <c r="O286" s="670"/>
      <c r="P286" s="670"/>
      <c r="Q286" s="670"/>
      <c r="R286" s="670"/>
      <c r="U286" s="670"/>
      <c r="V286" s="670"/>
      <c r="W286" s="33"/>
      <c r="X286" s="33"/>
      <c r="Y286" s="33"/>
      <c r="Z286" s="33"/>
      <c r="AA286" s="670"/>
      <c r="AB286" s="670"/>
      <c r="AC286" s="689"/>
      <c r="AD286" s="689"/>
      <c r="AE286" s="670"/>
      <c r="AF286" s="670"/>
      <c r="AG286" s="670"/>
      <c r="AH286" s="670"/>
      <c r="AI286" s="670"/>
      <c r="AJ286" s="670"/>
      <c r="AK286" s="672" t="s">
        <v>21</v>
      </c>
      <c r="AL286" s="673"/>
      <c r="AM286" s="673"/>
      <c r="AN286" s="673"/>
      <c r="AO286" s="673"/>
      <c r="AP286" s="674"/>
      <c r="AQ286" s="34"/>
      <c r="AR286" s="678" t="s">
        <v>22</v>
      </c>
      <c r="AS286" s="679"/>
      <c r="AT286" s="679"/>
      <c r="AU286" s="679"/>
      <c r="AV286" s="680"/>
      <c r="AW286" s="336"/>
      <c r="AX286" s="337"/>
      <c r="AY286" s="337"/>
      <c r="AZ286" s="337"/>
    </row>
    <row r="287" spans="1:60" ht="32.25" customHeight="1" thickBot="1" x14ac:dyDescent="0.3">
      <c r="A287" s="634"/>
      <c r="B287" s="635"/>
      <c r="C287" s="635"/>
      <c r="D287" s="692"/>
      <c r="E287" s="694"/>
      <c r="F287" s="697"/>
      <c r="G287" s="698"/>
      <c r="H287" s="698"/>
      <c r="I287" s="671"/>
      <c r="J287" s="671"/>
      <c r="K287" s="671"/>
      <c r="L287" s="671"/>
      <c r="M287" s="671"/>
      <c r="N287" s="671"/>
      <c r="O287" s="671"/>
      <c r="P287" s="671"/>
      <c r="Q287" s="671"/>
      <c r="R287" s="671"/>
      <c r="U287" s="671"/>
      <c r="V287" s="671"/>
      <c r="W287" s="35"/>
      <c r="X287" s="35"/>
      <c r="Y287" s="35"/>
      <c r="Z287" s="35"/>
      <c r="AA287" s="671"/>
      <c r="AB287" s="671"/>
      <c r="AC287" s="690"/>
      <c r="AD287" s="690"/>
      <c r="AE287" s="671"/>
      <c r="AF287" s="671"/>
      <c r="AG287" s="671"/>
      <c r="AH287" s="671"/>
      <c r="AI287" s="671"/>
      <c r="AJ287" s="671"/>
      <c r="AK287" s="675"/>
      <c r="AL287" s="676"/>
      <c r="AM287" s="676"/>
      <c r="AN287" s="676"/>
      <c r="AO287" s="676"/>
      <c r="AP287" s="677"/>
      <c r="AQ287" s="34"/>
      <c r="AR287" s="681"/>
      <c r="AS287" s="682"/>
      <c r="AT287" s="682"/>
      <c r="AU287" s="682"/>
      <c r="AV287" s="683"/>
    </row>
    <row r="288" spans="1:60" ht="33" customHeight="1" x14ac:dyDescent="0.25">
      <c r="A288" s="36">
        <v>2016</v>
      </c>
      <c r="B288" s="684" t="s">
        <v>24</v>
      </c>
      <c r="C288" s="686"/>
      <c r="D288" s="686" t="s">
        <v>25</v>
      </c>
      <c r="E288" s="686" t="s">
        <v>26</v>
      </c>
      <c r="F288" s="688" t="s">
        <v>27</v>
      </c>
      <c r="G288" s="619" t="str">
        <f>+B301</f>
        <v>FRMRS</v>
      </c>
      <c r="H288" s="625"/>
      <c r="I288" s="619" t="str">
        <f>+B308</f>
        <v>ESBCN</v>
      </c>
      <c r="J288" s="625"/>
      <c r="K288" s="619" t="str">
        <f>B315</f>
        <v>ESVLC</v>
      </c>
      <c r="L288" s="625"/>
      <c r="M288" s="619" t="str">
        <f>B322</f>
        <v>MTMLA</v>
      </c>
      <c r="N288" s="625"/>
      <c r="O288" s="619" t="str">
        <f>B329</f>
        <v>Add call</v>
      </c>
      <c r="P288" s="625"/>
      <c r="Q288" s="619" t="str">
        <f>B336</f>
        <v>Add Call</v>
      </c>
      <c r="R288" s="625"/>
      <c r="S288" s="621" t="str">
        <f>B354</f>
        <v>TRMER</v>
      </c>
      <c r="T288" s="625"/>
      <c r="U288" s="621" t="str">
        <f>B361</f>
        <v>TRISK</v>
      </c>
      <c r="V288" s="625"/>
      <c r="W288" s="621" t="str">
        <f>+B368</f>
        <v>LBBEY</v>
      </c>
      <c r="X288" s="625"/>
      <c r="Y288" s="621" t="str">
        <f>+B375</f>
        <v>EGALY</v>
      </c>
      <c r="Z288" s="625"/>
      <c r="AA288" s="621" t="str">
        <f>B382</f>
        <v>MTMLA</v>
      </c>
      <c r="AB288" s="620"/>
      <c r="AC288" s="619" t="str">
        <f>B389</f>
        <v>DZALD</v>
      </c>
      <c r="AD288" s="625"/>
      <c r="AE288" s="619" t="str">
        <f>B396</f>
        <v>DZALS</v>
      </c>
      <c r="AF288" s="620"/>
      <c r="AG288" s="619" t="str">
        <f>B403</f>
        <v>Add Call</v>
      </c>
      <c r="AH288" s="620"/>
      <c r="AI288" s="621" t="s">
        <v>28</v>
      </c>
      <c r="AJ288" s="620"/>
      <c r="AK288" s="668" t="s">
        <v>9</v>
      </c>
      <c r="AL288" s="551" t="s">
        <v>29</v>
      </c>
      <c r="AM288" s="551" t="s">
        <v>30</v>
      </c>
      <c r="AN288" s="551" t="s">
        <v>29</v>
      </c>
      <c r="AO288" s="611" t="s">
        <v>31</v>
      </c>
      <c r="AP288" s="664" t="s">
        <v>32</v>
      </c>
      <c r="AQ288" s="37"/>
      <c r="AR288" s="666" t="s">
        <v>9</v>
      </c>
      <c r="AS288" s="667" t="s">
        <v>29</v>
      </c>
      <c r="AT288" s="667" t="s">
        <v>30</v>
      </c>
      <c r="AU288" s="601" t="s">
        <v>29</v>
      </c>
      <c r="AV288" s="603" t="s">
        <v>33</v>
      </c>
    </row>
    <row r="289" spans="1:48" ht="14.4" thickBot="1" x14ac:dyDescent="0.3">
      <c r="A289" s="40"/>
      <c r="B289" s="685"/>
      <c r="C289" s="687"/>
      <c r="D289" s="687"/>
      <c r="E289" s="687"/>
      <c r="F289" s="687"/>
      <c r="G289" s="598">
        <f>B303</f>
        <v>42487</v>
      </c>
      <c r="H289" s="599"/>
      <c r="I289" s="598">
        <f>B310</f>
        <v>42488</v>
      </c>
      <c r="J289" s="599"/>
      <c r="K289" s="598">
        <f>B317</f>
        <v>42489</v>
      </c>
      <c r="L289" s="599"/>
      <c r="M289" s="598">
        <f>B324</f>
        <v>42492</v>
      </c>
      <c r="N289" s="599"/>
      <c r="O289" s="598">
        <f>B331</f>
        <v>42431</v>
      </c>
      <c r="P289" s="599"/>
      <c r="Q289" s="598">
        <f>B338</f>
        <v>42432</v>
      </c>
      <c r="R289" s="599"/>
      <c r="S289" s="598">
        <f>B356</f>
        <v>42496</v>
      </c>
      <c r="T289" s="599"/>
      <c r="U289" s="598">
        <f>B363</f>
        <v>42497</v>
      </c>
      <c r="V289" s="599"/>
      <c r="W289" s="598">
        <f>B370</f>
        <v>42498</v>
      </c>
      <c r="X289" s="599"/>
      <c r="Y289" s="598">
        <f>B377</f>
        <v>42501</v>
      </c>
      <c r="Z289" s="599"/>
      <c r="AA289" s="598">
        <f>B384</f>
        <v>42504</v>
      </c>
      <c r="AB289" s="600"/>
      <c r="AC289" s="598">
        <f>B391</f>
        <v>42508</v>
      </c>
      <c r="AD289" s="599"/>
      <c r="AE289" s="598">
        <f>B398</f>
        <v>42508</v>
      </c>
      <c r="AF289" s="600"/>
      <c r="AG289" s="598">
        <f>B405</f>
        <v>42442</v>
      </c>
      <c r="AH289" s="600"/>
      <c r="AI289" s="598"/>
      <c r="AJ289" s="600"/>
      <c r="AK289" s="669"/>
      <c r="AL289" s="553"/>
      <c r="AM289" s="553"/>
      <c r="AN289" s="553"/>
      <c r="AO289" s="612"/>
      <c r="AP289" s="665"/>
      <c r="AQ289" s="37"/>
      <c r="AR289" s="616"/>
      <c r="AS289" s="602"/>
      <c r="AT289" s="602"/>
      <c r="AU289" s="602"/>
      <c r="AV289" s="604"/>
    </row>
    <row r="290" spans="1:48" ht="16.5" customHeight="1" outlineLevel="1" x14ac:dyDescent="0.25">
      <c r="A290" s="43"/>
      <c r="B290" s="622" t="s">
        <v>22</v>
      </c>
      <c r="C290" s="551"/>
      <c r="D290" s="500" t="str">
        <f>$B$6</f>
        <v>Trade</v>
      </c>
      <c r="E290" s="501"/>
      <c r="F290" s="44" t="s">
        <v>36</v>
      </c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338"/>
      <c r="AB290" s="339"/>
      <c r="AC290" s="338"/>
      <c r="AD290" s="339"/>
      <c r="AE290" s="338"/>
      <c r="AF290" s="339"/>
      <c r="AG290" s="45"/>
      <c r="AH290" s="46"/>
      <c r="AI290" s="338"/>
      <c r="AJ290" s="339"/>
      <c r="AK290" s="502">
        <f>G290+I290+K290+M290+O290+Q290+S290+U290+W290+Y290+AA290+AC290+AE290+AG290+AI290</f>
        <v>0</v>
      </c>
      <c r="AL290" s="504">
        <f>IF(E290=0,0,AK290/E290)</f>
        <v>0</v>
      </c>
      <c r="AM290" s="493">
        <f>H290+J290+L290+N290+P290+R290+T290+V290+X290+Z290+AB290+AD290+AF290+AH290+AJ290</f>
        <v>0</v>
      </c>
      <c r="AN290" s="491">
        <f>IF(E290=0,0,AM290/($E290*14))</f>
        <v>0</v>
      </c>
      <c r="AO290" s="492" t="str">
        <f>IF(AM290=0,"",AM290/AK290)</f>
        <v/>
      </c>
      <c r="AP290" s="493">
        <f>G291+I291+K291+M291+O291+Q291+S291+U291+W291+Y291+AA291+AC291+AE291+AG291+AI291</f>
        <v>0</v>
      </c>
      <c r="AQ290" s="47"/>
      <c r="AR290" s="502">
        <f>+AK290</f>
        <v>0</v>
      </c>
      <c r="AS290" s="504">
        <f>AR290/E280</f>
        <v>0</v>
      </c>
      <c r="AT290" s="493">
        <f>+AM290</f>
        <v>0</v>
      </c>
      <c r="AU290" s="504">
        <f>+AT290/F280</f>
        <v>0</v>
      </c>
      <c r="AV290" s="514">
        <f>+AP290</f>
        <v>0</v>
      </c>
    </row>
    <row r="291" spans="1:48" ht="20.399999999999999" outlineLevel="1" x14ac:dyDescent="0.25">
      <c r="A291" s="49"/>
      <c r="B291" s="663"/>
      <c r="C291" s="552"/>
      <c r="D291" s="457"/>
      <c r="E291" s="459"/>
      <c r="F291" s="50" t="s">
        <v>37</v>
      </c>
      <c r="G291" s="512"/>
      <c r="H291" s="513"/>
      <c r="I291" s="512"/>
      <c r="J291" s="513"/>
      <c r="K291" s="512"/>
      <c r="L291" s="513"/>
      <c r="M291" s="512"/>
      <c r="N291" s="513"/>
      <c r="O291" s="512"/>
      <c r="P291" s="513"/>
      <c r="Q291" s="512"/>
      <c r="R291" s="513"/>
      <c r="S291" s="512"/>
      <c r="T291" s="513"/>
      <c r="U291" s="512"/>
      <c r="V291" s="513"/>
      <c r="W291" s="512"/>
      <c r="X291" s="513"/>
      <c r="Y291" s="512"/>
      <c r="Z291" s="513"/>
      <c r="AA291" s="650"/>
      <c r="AB291" s="651"/>
      <c r="AC291" s="650"/>
      <c r="AD291" s="651"/>
      <c r="AE291" s="650"/>
      <c r="AF291" s="651"/>
      <c r="AG291" s="512"/>
      <c r="AH291" s="513"/>
      <c r="AI291" s="650"/>
      <c r="AJ291" s="651"/>
      <c r="AK291" s="503"/>
      <c r="AL291" s="419"/>
      <c r="AM291" s="505"/>
      <c r="AN291" s="423"/>
      <c r="AO291" s="424"/>
      <c r="AP291" s="425"/>
      <c r="AQ291" s="47"/>
      <c r="AR291" s="503"/>
      <c r="AS291" s="419"/>
      <c r="AT291" s="505"/>
      <c r="AU291" s="419"/>
      <c r="AV291" s="515"/>
    </row>
    <row r="292" spans="1:48" ht="20.399999999999999" outlineLevel="1" x14ac:dyDescent="0.25">
      <c r="A292" s="49"/>
      <c r="B292" s="663"/>
      <c r="C292" s="552"/>
      <c r="D292" s="479" t="str">
        <f>$B$7</f>
        <v>Feeder</v>
      </c>
      <c r="E292" s="481"/>
      <c r="F292" s="51" t="s">
        <v>36</v>
      </c>
      <c r="G292" s="52"/>
      <c r="H292" s="53"/>
      <c r="I292" s="52"/>
      <c r="J292" s="53"/>
      <c r="K292" s="52"/>
      <c r="L292" s="53"/>
      <c r="M292" s="52"/>
      <c r="N292" s="53"/>
      <c r="O292" s="52"/>
      <c r="P292" s="53"/>
      <c r="Q292" s="52"/>
      <c r="R292" s="53"/>
      <c r="S292" s="52"/>
      <c r="T292" s="53"/>
      <c r="U292" s="52"/>
      <c r="V292" s="53"/>
      <c r="W292" s="52"/>
      <c r="X292" s="53"/>
      <c r="Y292" s="52"/>
      <c r="Z292" s="53"/>
      <c r="AA292" s="340"/>
      <c r="AB292" s="341"/>
      <c r="AC292" s="340"/>
      <c r="AD292" s="341"/>
      <c r="AE292" s="340"/>
      <c r="AF292" s="341"/>
      <c r="AG292" s="52"/>
      <c r="AH292" s="53"/>
      <c r="AI292" s="340"/>
      <c r="AJ292" s="341"/>
      <c r="AK292" s="483">
        <f>G292+I292+K292+M292+O292+Q292+S292+U292+W292+Y292+AA292+AC292+AE292+AG292+AI292</f>
        <v>0</v>
      </c>
      <c r="AL292" s="467">
        <f>IF(E292=0,0,AK292/E292)</f>
        <v>0</v>
      </c>
      <c r="AM292" s="471">
        <f>H292+J292+L292+N292+P292+R292+T292+V292+X292+Z292+AB292+AD292+AF292+AH292+AJ292</f>
        <v>0</v>
      </c>
      <c r="AN292" s="473">
        <f>IF(E290=0,0,AM292/($E290*14))</f>
        <v>0</v>
      </c>
      <c r="AO292" s="475" t="str">
        <f>IF(AM292=0,"",AM292/AK292)</f>
        <v/>
      </c>
      <c r="AP292" s="468">
        <f>G293+I293+K293+M293+O293+Q293+S293+U293+W293+Y293+AA293+AC293+AE293+AG293+AI293</f>
        <v>0</v>
      </c>
      <c r="AQ292" s="47"/>
      <c r="AR292" s="646">
        <f>+AK292</f>
        <v>0</v>
      </c>
      <c r="AS292" s="467">
        <f>AR292/E281</f>
        <v>0</v>
      </c>
      <c r="AT292" s="647">
        <f>+AM292</f>
        <v>0</v>
      </c>
      <c r="AU292" s="467">
        <f>+AT292/F281</f>
        <v>0</v>
      </c>
      <c r="AV292" s="508">
        <f>+AP292</f>
        <v>0</v>
      </c>
    </row>
    <row r="293" spans="1:48" ht="20.399999999999999" outlineLevel="1" x14ac:dyDescent="0.25">
      <c r="A293" s="49"/>
      <c r="B293" s="663"/>
      <c r="C293" s="552"/>
      <c r="D293" s="480"/>
      <c r="E293" s="482"/>
      <c r="F293" s="54" t="s">
        <v>37</v>
      </c>
      <c r="G293" s="506"/>
      <c r="H293" s="507"/>
      <c r="I293" s="506"/>
      <c r="J293" s="507"/>
      <c r="K293" s="506"/>
      <c r="L293" s="507"/>
      <c r="M293" s="506"/>
      <c r="N293" s="507"/>
      <c r="O293" s="506"/>
      <c r="P293" s="507"/>
      <c r="Q293" s="506"/>
      <c r="R293" s="507"/>
      <c r="S293" s="506"/>
      <c r="T293" s="507"/>
      <c r="U293" s="506"/>
      <c r="V293" s="507"/>
      <c r="W293" s="506"/>
      <c r="X293" s="507"/>
      <c r="Y293" s="506"/>
      <c r="Z293" s="507"/>
      <c r="AA293" s="650"/>
      <c r="AB293" s="651"/>
      <c r="AC293" s="650"/>
      <c r="AD293" s="651"/>
      <c r="AE293" s="650"/>
      <c r="AF293" s="651"/>
      <c r="AG293" s="506"/>
      <c r="AH293" s="507"/>
      <c r="AI293" s="650"/>
      <c r="AJ293" s="651"/>
      <c r="AK293" s="484"/>
      <c r="AL293" s="467"/>
      <c r="AM293" s="472"/>
      <c r="AN293" s="474"/>
      <c r="AO293" s="475"/>
      <c r="AP293" s="468"/>
      <c r="AQ293" s="47"/>
      <c r="AR293" s="511"/>
      <c r="AS293" s="467"/>
      <c r="AT293" s="647"/>
      <c r="AU293" s="467"/>
      <c r="AV293" s="508"/>
    </row>
    <row r="294" spans="1:48" ht="22.8" x14ac:dyDescent="0.25">
      <c r="A294" s="49"/>
      <c r="B294" s="663"/>
      <c r="C294" s="552"/>
      <c r="D294" s="464" t="s">
        <v>38</v>
      </c>
      <c r="E294" s="465"/>
      <c r="F294" s="466"/>
      <c r="G294" s="55"/>
      <c r="H294" s="56"/>
      <c r="I294" s="55"/>
      <c r="J294" s="56"/>
      <c r="K294" s="55"/>
      <c r="L294" s="56"/>
      <c r="M294" s="55"/>
      <c r="N294" s="56"/>
      <c r="O294" s="55"/>
      <c r="P294" s="56"/>
      <c r="Q294" s="55"/>
      <c r="R294" s="56"/>
      <c r="S294" s="55"/>
      <c r="T294" s="56"/>
      <c r="U294" s="55"/>
      <c r="V294" s="56"/>
      <c r="W294" s="55"/>
      <c r="X294" s="56"/>
      <c r="Y294" s="55"/>
      <c r="Z294" s="56"/>
      <c r="AA294" s="650"/>
      <c r="AB294" s="651"/>
      <c r="AC294" s="55"/>
      <c r="AD294" s="56"/>
      <c r="AE294" s="55"/>
      <c r="AF294" s="56"/>
      <c r="AG294" s="55"/>
      <c r="AH294" s="56"/>
      <c r="AI294" s="55"/>
      <c r="AJ294" s="56"/>
      <c r="AK294" s="57">
        <f>+AK290+AK292</f>
        <v>0</v>
      </c>
      <c r="AL294" s="58">
        <f>IF(E290+E292=0,0,AK294/(E290+E292))</f>
        <v>0</v>
      </c>
      <c r="AM294" s="59">
        <f>+SUM(AM292,AM290)</f>
        <v>0</v>
      </c>
      <c r="AN294" s="58">
        <f>IF((E290+E292)=0,0,AM294/((E290+E292)*14))</f>
        <v>0</v>
      </c>
      <c r="AO294" s="60" t="str">
        <f>IF(AM294=0,"",AM294/AK294)</f>
        <v/>
      </c>
      <c r="AP294" s="61">
        <f>+AP290+AP292</f>
        <v>0</v>
      </c>
      <c r="AQ294" s="62"/>
      <c r="AR294" s="63">
        <f>+AK294</f>
        <v>0</v>
      </c>
      <c r="AS294" s="64">
        <f>AR294/E142</f>
        <v>0</v>
      </c>
      <c r="AT294" s="65">
        <f>+AM294</f>
        <v>0</v>
      </c>
      <c r="AU294" s="64">
        <f>+AT294/F279</f>
        <v>0</v>
      </c>
      <c r="AV294" s="66">
        <f>+AV290+AV292</f>
        <v>0</v>
      </c>
    </row>
    <row r="295" spans="1:48" ht="21.6" thickBot="1" x14ac:dyDescent="0.3">
      <c r="A295" s="49"/>
      <c r="B295" s="663"/>
      <c r="C295" s="552"/>
      <c r="D295" s="445" t="s">
        <v>39</v>
      </c>
      <c r="E295" s="445"/>
      <c r="F295" s="445"/>
      <c r="G295" s="67"/>
      <c r="H295" s="68"/>
      <c r="I295" s="69"/>
      <c r="J295" s="70"/>
      <c r="K295" s="69"/>
      <c r="L295" s="70"/>
      <c r="M295" s="69"/>
      <c r="N295" s="70"/>
      <c r="O295" s="69"/>
      <c r="P295" s="70"/>
      <c r="Q295" s="69"/>
      <c r="R295" s="70"/>
      <c r="S295" s="69"/>
      <c r="T295" s="70"/>
      <c r="U295" s="69"/>
      <c r="V295" s="70"/>
      <c r="W295" s="69"/>
      <c r="X295" s="70"/>
      <c r="Y295" s="69"/>
      <c r="Z295" s="70"/>
      <c r="AA295" s="650"/>
      <c r="AB295" s="651"/>
      <c r="AC295" s="342"/>
      <c r="AD295" s="343"/>
      <c r="AE295" s="342"/>
      <c r="AF295" s="343"/>
      <c r="AG295" s="67"/>
      <c r="AH295" s="68"/>
      <c r="AI295" s="342"/>
      <c r="AJ295" s="343"/>
      <c r="AK295" s="71">
        <f>G295+I295+K295+M295+O295+Q295+S295+U295+W295+Y295+AA295+AC295+AE295+AG295+AI295</f>
        <v>0</v>
      </c>
      <c r="AL295" s="72"/>
      <c r="AM295" s="73">
        <f>H295+J295+L295+N295+P295+R295+T295+V295+X295+Z295+AB295+AD295+AF295+AH295+AJ295</f>
        <v>0</v>
      </c>
      <c r="AN295" s="72"/>
      <c r="AO295" s="74"/>
      <c r="AP295" s="73"/>
      <c r="AQ295" s="75"/>
      <c r="AR295" s="76">
        <f>+AK295</f>
        <v>0</v>
      </c>
      <c r="AS295" s="77"/>
      <c r="AT295" s="77">
        <f>+AM295</f>
        <v>0</v>
      </c>
      <c r="AU295" s="77"/>
      <c r="AV295" s="78"/>
    </row>
    <row r="296" spans="1:48" ht="36" thickBot="1" x14ac:dyDescent="0.3">
      <c r="A296" s="79"/>
      <c r="B296" s="623"/>
      <c r="C296" s="553"/>
      <c r="D296" s="662" t="s">
        <v>40</v>
      </c>
      <c r="E296" s="662"/>
      <c r="F296" s="662"/>
      <c r="G296" s="80"/>
      <c r="H296" s="81"/>
      <c r="I296" s="82"/>
      <c r="J296" s="83"/>
      <c r="K296" s="82"/>
      <c r="L296" s="83"/>
      <c r="M296" s="82"/>
      <c r="N296" s="83"/>
      <c r="O296" s="82"/>
      <c r="P296" s="83"/>
      <c r="Q296" s="82"/>
      <c r="R296" s="83"/>
      <c r="S296" s="82"/>
      <c r="T296" s="83"/>
      <c r="U296" s="82"/>
      <c r="V296" s="83"/>
      <c r="W296" s="82"/>
      <c r="X296" s="83"/>
      <c r="Y296" s="82"/>
      <c r="Z296" s="83"/>
      <c r="AA296" s="82"/>
      <c r="AB296" s="83"/>
      <c r="AC296" s="82"/>
      <c r="AD296" s="83"/>
      <c r="AE296" s="82"/>
      <c r="AF296" s="83"/>
      <c r="AG296" s="82"/>
      <c r="AH296" s="83"/>
      <c r="AI296" s="82"/>
      <c r="AJ296" s="83"/>
      <c r="AK296" s="84">
        <f>AK294+AK295</f>
        <v>0</v>
      </c>
      <c r="AL296" s="85">
        <f>IF(E290+E292=0,0,AK296/(E290+E292))</f>
        <v>0</v>
      </c>
      <c r="AM296" s="86">
        <f>+AM294+AM295</f>
        <v>0</v>
      </c>
      <c r="AN296" s="85">
        <f>IF((E290+E292)=0,0,AM296/((E290+E292)*14))</f>
        <v>0</v>
      </c>
      <c r="AO296" s="87" t="str">
        <f>IF(AM296=0,"",AM296/AK296)</f>
        <v/>
      </c>
      <c r="AP296" s="88">
        <f>+AP294</f>
        <v>0</v>
      </c>
      <c r="AQ296" s="89"/>
      <c r="AR296" s="84">
        <f>+AR294+AR295</f>
        <v>0</v>
      </c>
      <c r="AS296" s="85">
        <f>AR296/E279</f>
        <v>0</v>
      </c>
      <c r="AT296" s="90">
        <f>+AT294+AT295</f>
        <v>0</v>
      </c>
      <c r="AU296" s="85">
        <f>+AT296/F279</f>
        <v>0</v>
      </c>
      <c r="AV296" s="91">
        <f>AV294</f>
        <v>0</v>
      </c>
    </row>
    <row r="297" spans="1:48" ht="21" outlineLevel="1" x14ac:dyDescent="0.25">
      <c r="A297" s="49"/>
      <c r="B297" s="93"/>
      <c r="C297" s="450"/>
      <c r="D297" s="500" t="str">
        <f>$B$6</f>
        <v>Trade</v>
      </c>
      <c r="E297" s="501">
        <v>20</v>
      </c>
      <c r="F297" s="44" t="s">
        <v>36</v>
      </c>
      <c r="G297" s="94"/>
      <c r="H297" s="95"/>
      <c r="I297" s="45"/>
      <c r="J297" s="46"/>
      <c r="K297" s="45"/>
      <c r="L297" s="46"/>
      <c r="M297" s="45"/>
      <c r="N297" s="46"/>
      <c r="O297" s="45"/>
      <c r="P297" s="46"/>
      <c r="Q297" s="45"/>
      <c r="R297" s="46"/>
      <c r="S297" s="45"/>
      <c r="T297" s="46"/>
      <c r="U297" s="45"/>
      <c r="V297" s="46"/>
      <c r="W297" s="45"/>
      <c r="X297" s="46"/>
      <c r="Y297" s="344"/>
      <c r="Z297" s="345"/>
      <c r="AA297" s="650"/>
      <c r="AB297" s="651"/>
      <c r="AC297" s="45"/>
      <c r="AD297" s="46"/>
      <c r="AE297" s="45"/>
      <c r="AF297" s="46"/>
      <c r="AG297" s="45"/>
      <c r="AH297" s="46"/>
      <c r="AI297" s="45"/>
      <c r="AJ297" s="46"/>
      <c r="AK297" s="502">
        <f>G297+I297+K297+M297+O297+Q297+S297+U297+W297+Y297+AA297+AC297+AE297+AG297+AI297</f>
        <v>0</v>
      </c>
      <c r="AL297" s="504">
        <f>IF(E297=0,0,AK297/E297)</f>
        <v>0</v>
      </c>
      <c r="AM297" s="493">
        <f>H297+J297+L297+N297+P297+R297+T297+V297+X297+Z297+AB297+AD297+AF297+AH297+AJ297</f>
        <v>0</v>
      </c>
      <c r="AN297" s="491">
        <f>IF(E297=0,0,AM297/($E297*14))</f>
        <v>0</v>
      </c>
      <c r="AO297" s="492" t="str">
        <f>IF(AM297=0,"",AM297/AK297)</f>
        <v/>
      </c>
      <c r="AP297" s="493">
        <f>G298+I298+K298+M298+O298+Q298+S298+U298+W298+Y298+AA298+AC298+AE298+AG298+AI298</f>
        <v>0</v>
      </c>
      <c r="AQ297" s="47"/>
      <c r="AR297" s="502">
        <f>AR290+AK297-G290</f>
        <v>0</v>
      </c>
      <c r="AS297" s="504">
        <f>AR297/E297</f>
        <v>0</v>
      </c>
      <c r="AT297" s="648">
        <f>AT290+AM297-H290</f>
        <v>0</v>
      </c>
      <c r="AU297" s="504">
        <f>+AT297/(14*(E297))</f>
        <v>0</v>
      </c>
      <c r="AV297" s="514">
        <f>AV290+AP297-G291</f>
        <v>0</v>
      </c>
    </row>
    <row r="298" spans="1:48" ht="20.399999999999999" outlineLevel="1" x14ac:dyDescent="0.25">
      <c r="A298" s="49"/>
      <c r="B298" s="96"/>
      <c r="C298" s="451"/>
      <c r="D298" s="457"/>
      <c r="E298" s="459"/>
      <c r="F298" s="50" t="s">
        <v>37</v>
      </c>
      <c r="G298" s="462"/>
      <c r="H298" s="463"/>
      <c r="I298" s="512"/>
      <c r="J298" s="513"/>
      <c r="K298" s="512"/>
      <c r="L298" s="513"/>
      <c r="M298" s="512"/>
      <c r="N298" s="513"/>
      <c r="O298" s="512"/>
      <c r="P298" s="513"/>
      <c r="Q298" s="512"/>
      <c r="R298" s="513"/>
      <c r="S298" s="512"/>
      <c r="T298" s="513"/>
      <c r="U298" s="512"/>
      <c r="V298" s="513"/>
      <c r="W298" s="512"/>
      <c r="X298" s="513"/>
      <c r="Y298" s="512"/>
      <c r="Z298" s="513"/>
      <c r="AA298" s="650"/>
      <c r="AB298" s="651"/>
      <c r="AC298" s="512"/>
      <c r="AD298" s="513"/>
      <c r="AE298" s="512"/>
      <c r="AF298" s="513"/>
      <c r="AG298" s="512"/>
      <c r="AH298" s="513"/>
      <c r="AI298" s="512"/>
      <c r="AJ298" s="513"/>
      <c r="AK298" s="503"/>
      <c r="AL298" s="419"/>
      <c r="AM298" s="505"/>
      <c r="AN298" s="423"/>
      <c r="AO298" s="424"/>
      <c r="AP298" s="425"/>
      <c r="AQ298" s="47"/>
      <c r="AR298" s="503"/>
      <c r="AS298" s="419"/>
      <c r="AT298" s="505"/>
      <c r="AU298" s="419"/>
      <c r="AV298" s="515"/>
    </row>
    <row r="299" spans="1:48" ht="21" outlineLevel="1" x14ac:dyDescent="0.25">
      <c r="A299" s="49"/>
      <c r="B299" s="97" t="s">
        <v>41</v>
      </c>
      <c r="C299" s="451"/>
      <c r="D299" s="479" t="str">
        <f>$B$7</f>
        <v>Feeder</v>
      </c>
      <c r="E299" s="481">
        <v>5</v>
      </c>
      <c r="F299" s="51" t="s">
        <v>36</v>
      </c>
      <c r="G299" s="98"/>
      <c r="H299" s="99"/>
      <c r="I299" s="149"/>
      <c r="J299" s="150"/>
      <c r="K299" s="52"/>
      <c r="L299" s="53"/>
      <c r="M299" s="52"/>
      <c r="N299" s="53"/>
      <c r="O299" s="52"/>
      <c r="P299" s="53"/>
      <c r="Q299" s="52"/>
      <c r="R299" s="53"/>
      <c r="S299" s="52"/>
      <c r="T299" s="53"/>
      <c r="U299" s="52"/>
      <c r="V299" s="53"/>
      <c r="W299" s="52"/>
      <c r="X299" s="53"/>
      <c r="Y299" s="52"/>
      <c r="Z299" s="53"/>
      <c r="AA299" s="650"/>
      <c r="AB299" s="651"/>
      <c r="AC299" s="52"/>
      <c r="AD299" s="53"/>
      <c r="AE299" s="52"/>
      <c r="AF299" s="53"/>
      <c r="AG299" s="52"/>
      <c r="AH299" s="53"/>
      <c r="AI299" s="52"/>
      <c r="AJ299" s="53"/>
      <c r="AK299" s="483">
        <f>G299+I299+K299+M299+O299+Q299+S299+U299+W299+Y299+AA299+AC299+AE299+AG299+AI299</f>
        <v>0</v>
      </c>
      <c r="AL299" s="467">
        <f>IF(E299=0,0,AK299/E299)</f>
        <v>0</v>
      </c>
      <c r="AM299" s="471">
        <f>H299+J299+L299+N299+P299+R299+T299+V299+X299+Z299+AB299+AD299+AF299+AH299+AJ299</f>
        <v>0</v>
      </c>
      <c r="AN299" s="473">
        <f>IF(E297=0,0,AM299/($E297*14))</f>
        <v>0</v>
      </c>
      <c r="AO299" s="475" t="str">
        <f>IF(AM299=0,"",AM299/AK299)</f>
        <v/>
      </c>
      <c r="AP299" s="468">
        <f>G300+I300+K300+M300+O300+Q300+S300+U300+W300+Y300+AA300+AC300+AE300+AG300+AI300</f>
        <v>0</v>
      </c>
      <c r="AQ299" s="47"/>
      <c r="AR299" s="646">
        <f>AR292+AK299-G292</f>
        <v>0</v>
      </c>
      <c r="AS299" s="467">
        <f>AR299/E299</f>
        <v>0</v>
      </c>
      <c r="AT299" s="647">
        <f>AT292+AM299-H292</f>
        <v>0</v>
      </c>
      <c r="AU299" s="467">
        <f>+AT299/(14*(E299))</f>
        <v>0</v>
      </c>
      <c r="AV299" s="508">
        <f>AV292+AP299-G293</f>
        <v>0</v>
      </c>
    </row>
    <row r="300" spans="1:48" ht="20.399999999999999" outlineLevel="1" x14ac:dyDescent="0.25">
      <c r="A300" s="49"/>
      <c r="B300" s="100" t="s">
        <v>81</v>
      </c>
      <c r="C300" s="451"/>
      <c r="D300" s="480"/>
      <c r="E300" s="482"/>
      <c r="F300" s="54" t="s">
        <v>37</v>
      </c>
      <c r="G300" s="462"/>
      <c r="H300" s="463"/>
      <c r="I300" s="506"/>
      <c r="J300" s="507"/>
      <c r="K300" s="506"/>
      <c r="L300" s="507"/>
      <c r="M300" s="506"/>
      <c r="N300" s="507"/>
      <c r="O300" s="506"/>
      <c r="P300" s="507"/>
      <c r="Q300" s="506"/>
      <c r="R300" s="507"/>
      <c r="S300" s="506"/>
      <c r="T300" s="507"/>
      <c r="U300" s="506"/>
      <c r="V300" s="507"/>
      <c r="W300" s="506"/>
      <c r="X300" s="507"/>
      <c r="Y300" s="506"/>
      <c r="Z300" s="507"/>
      <c r="AA300" s="650"/>
      <c r="AB300" s="651"/>
      <c r="AC300" s="506"/>
      <c r="AD300" s="507"/>
      <c r="AE300" s="506"/>
      <c r="AF300" s="507"/>
      <c r="AG300" s="506"/>
      <c r="AH300" s="507"/>
      <c r="AI300" s="506"/>
      <c r="AJ300" s="507"/>
      <c r="AK300" s="484"/>
      <c r="AL300" s="467"/>
      <c r="AM300" s="472"/>
      <c r="AN300" s="474"/>
      <c r="AO300" s="475"/>
      <c r="AP300" s="468"/>
      <c r="AQ300" s="47"/>
      <c r="AR300" s="511"/>
      <c r="AS300" s="467"/>
      <c r="AT300" s="647"/>
      <c r="AU300" s="467"/>
      <c r="AV300" s="508"/>
    </row>
    <row r="301" spans="1:48" ht="22.8" x14ac:dyDescent="0.25">
      <c r="A301" s="49"/>
      <c r="B301" s="96" t="s">
        <v>42</v>
      </c>
      <c r="C301" s="451"/>
      <c r="D301" s="464" t="s">
        <v>38</v>
      </c>
      <c r="E301" s="465"/>
      <c r="F301" s="466"/>
      <c r="G301" s="101"/>
      <c r="H301" s="102"/>
      <c r="I301" s="103"/>
      <c r="J301" s="104"/>
      <c r="K301" s="103"/>
      <c r="L301" s="104"/>
      <c r="M301" s="103"/>
      <c r="N301" s="104"/>
      <c r="O301" s="103"/>
      <c r="P301" s="104"/>
      <c r="Q301" s="55"/>
      <c r="R301" s="105"/>
      <c r="S301" s="55"/>
      <c r="T301" s="105"/>
      <c r="U301" s="55"/>
      <c r="V301" s="56"/>
      <c r="W301" s="55"/>
      <c r="X301" s="56"/>
      <c r="Y301" s="55"/>
      <c r="Z301" s="56"/>
      <c r="AA301" s="650"/>
      <c r="AB301" s="651"/>
      <c r="AC301" s="106"/>
      <c r="AD301" s="108"/>
      <c r="AE301" s="106"/>
      <c r="AF301" s="107"/>
      <c r="AG301" s="106"/>
      <c r="AH301" s="107"/>
      <c r="AI301" s="55"/>
      <c r="AJ301" s="56"/>
      <c r="AK301" s="253">
        <f>+AK297+AK299</f>
        <v>0</v>
      </c>
      <c r="AL301" s="58">
        <f>IF(E297+E299=0,0,AK301/(E297+E299))</f>
        <v>0</v>
      </c>
      <c r="AM301" s="110">
        <f>+SUM(AM299,AM297)</f>
        <v>0</v>
      </c>
      <c r="AN301" s="58">
        <f>IF((E297+E299)=0,0,AM301/((E297+E299)*14))</f>
        <v>0</v>
      </c>
      <c r="AO301" s="60" t="str">
        <f>IF(AM301=0,"",AM301/AK301)</f>
        <v/>
      </c>
      <c r="AP301" s="61">
        <f>+AP297+AP299</f>
        <v>0</v>
      </c>
      <c r="AQ301" s="109"/>
      <c r="AR301" s="57">
        <f>+AR297+AR299</f>
        <v>0</v>
      </c>
      <c r="AS301" s="58">
        <f>AR301/E279</f>
        <v>0</v>
      </c>
      <c r="AT301" s="110">
        <f>+AT297+AT299</f>
        <v>0</v>
      </c>
      <c r="AU301" s="58">
        <f>+AT301/F279</f>
        <v>0</v>
      </c>
      <c r="AV301" s="111">
        <f>+AV297+AV299</f>
        <v>0</v>
      </c>
    </row>
    <row r="302" spans="1:48" ht="21.6" thickBot="1" x14ac:dyDescent="0.3">
      <c r="A302" s="49"/>
      <c r="B302" s="112" t="s">
        <v>43</v>
      </c>
      <c r="C302" s="451"/>
      <c r="D302" s="445" t="s">
        <v>39</v>
      </c>
      <c r="E302" s="445"/>
      <c r="F302" s="445"/>
      <c r="G302" s="98"/>
      <c r="H302" s="99"/>
      <c r="I302" s="113"/>
      <c r="J302" s="114"/>
      <c r="K302" s="113"/>
      <c r="L302" s="114"/>
      <c r="M302" s="113"/>
      <c r="N302" s="114"/>
      <c r="O302" s="113"/>
      <c r="P302" s="114"/>
      <c r="Q302" s="113"/>
      <c r="R302" s="114"/>
      <c r="S302" s="113"/>
      <c r="T302" s="114"/>
      <c r="U302" s="113"/>
      <c r="V302" s="115"/>
      <c r="W302" s="113"/>
      <c r="X302" s="115"/>
      <c r="Y302" s="113"/>
      <c r="Z302" s="115"/>
      <c r="AA302" s="650"/>
      <c r="AB302" s="651"/>
      <c r="AC302" s="113"/>
      <c r="AD302" s="114"/>
      <c r="AE302" s="113"/>
      <c r="AF302" s="115"/>
      <c r="AG302" s="116"/>
      <c r="AH302" s="117"/>
      <c r="AI302" s="113"/>
      <c r="AJ302" s="115"/>
      <c r="AK302" s="71">
        <f>G302+I302+K302+M302+O302+Q302+S302+U302+W302+Y302+AA302+AC302+AE302+AG302+AI302</f>
        <v>0</v>
      </c>
      <c r="AL302" s="72"/>
      <c r="AM302" s="73">
        <f>H302+J302+L302+N302+P302+R302+T302+V302+X302+Z302+AB302+AD302+AF302+AH302+AJ302</f>
        <v>0</v>
      </c>
      <c r="AN302" s="72"/>
      <c r="AO302" s="74"/>
      <c r="AP302" s="73"/>
      <c r="AQ302" s="75"/>
      <c r="AR302" s="71">
        <f>AR295+AK302-G295</f>
        <v>0</v>
      </c>
      <c r="AS302" s="77"/>
      <c r="AT302" s="73">
        <f>AT295+AM302-H295</f>
        <v>0</v>
      </c>
      <c r="AU302" s="77"/>
      <c r="AV302" s="118"/>
    </row>
    <row r="303" spans="1:48" ht="36" thickBot="1" x14ac:dyDescent="0.3">
      <c r="A303" s="79"/>
      <c r="B303" s="152">
        <f>SUM(MOD(("1/"&amp;A288)-{0;6},{1E+99;7})*{1;-1},A322*7,MATCH(MID(B302,1,2),{"Mo";"Tu";"We";"Th";"Fr";"Sa";"Su"},0)-5)</f>
        <v>42487</v>
      </c>
      <c r="C303" s="539"/>
      <c r="D303" s="446" t="s">
        <v>6</v>
      </c>
      <c r="E303" s="446"/>
      <c r="F303" s="446"/>
      <c r="G303" s="120"/>
      <c r="H303" s="121"/>
      <c r="I303" s="120"/>
      <c r="J303" s="121"/>
      <c r="K303" s="120"/>
      <c r="L303" s="121"/>
      <c r="M303" s="120"/>
      <c r="N303" s="121"/>
      <c r="O303" s="120"/>
      <c r="P303" s="121"/>
      <c r="Q303" s="120"/>
      <c r="R303" s="121"/>
      <c r="S303" s="120"/>
      <c r="T303" s="121"/>
      <c r="U303" s="120"/>
      <c r="V303" s="122"/>
      <c r="W303" s="120"/>
      <c r="X303" s="122"/>
      <c r="Y303" s="120"/>
      <c r="Z303" s="122"/>
      <c r="AA303" s="120"/>
      <c r="AB303" s="121"/>
      <c r="AC303" s="120"/>
      <c r="AD303" s="121"/>
      <c r="AE303" s="120"/>
      <c r="AF303" s="122"/>
      <c r="AG303" s="120"/>
      <c r="AH303" s="122"/>
      <c r="AI303" s="120"/>
      <c r="AJ303" s="122"/>
      <c r="AK303" s="123">
        <f>AK301+AK302</f>
        <v>0</v>
      </c>
      <c r="AL303" s="85">
        <f>IF(E297+E299=0,0,AK303/(E297+E299))</f>
        <v>0</v>
      </c>
      <c r="AM303" s="90">
        <f>+AM301+AM302</f>
        <v>0</v>
      </c>
      <c r="AN303" s="85">
        <f>IF((E297+E299)=0,0,AM303/((E297+E299)*14))</f>
        <v>0</v>
      </c>
      <c r="AO303" s="87" t="str">
        <f>IF(AM303=0,"",AM303/AK303)</f>
        <v/>
      </c>
      <c r="AP303" s="88">
        <f>+AP301</f>
        <v>0</v>
      </c>
      <c r="AQ303" s="89"/>
      <c r="AR303" s="84">
        <f>+AR301+AR302</f>
        <v>0</v>
      </c>
      <c r="AS303" s="85">
        <f>AR303/E142</f>
        <v>0</v>
      </c>
      <c r="AT303" s="90">
        <f>+AT301+AT302</f>
        <v>0</v>
      </c>
      <c r="AU303" s="85">
        <f>+AT303/F142</f>
        <v>0</v>
      </c>
      <c r="AV303" s="124">
        <f>+AV301</f>
        <v>0</v>
      </c>
    </row>
    <row r="304" spans="1:48" ht="21" outlineLevel="1" x14ac:dyDescent="0.25">
      <c r="A304" s="49"/>
      <c r="B304" s="93"/>
      <c r="C304" s="450"/>
      <c r="D304" s="500" t="str">
        <f>$B$6</f>
        <v>Trade</v>
      </c>
      <c r="E304" s="501">
        <v>75</v>
      </c>
      <c r="F304" s="44" t="s">
        <v>36</v>
      </c>
      <c r="G304" s="125"/>
      <c r="H304" s="126"/>
      <c r="I304" s="94"/>
      <c r="J304" s="95"/>
      <c r="K304" s="264"/>
      <c r="L304" s="265"/>
      <c r="M304" s="344"/>
      <c r="N304" s="345"/>
      <c r="O304" s="344"/>
      <c r="P304" s="345"/>
      <c r="Q304" s="344"/>
      <c r="R304" s="345"/>
      <c r="S304" s="344"/>
      <c r="T304" s="345"/>
      <c r="U304" s="344"/>
      <c r="V304" s="345"/>
      <c r="W304" s="344"/>
      <c r="X304" s="345"/>
      <c r="Y304" s="344"/>
      <c r="Z304" s="345"/>
      <c r="AA304" s="660"/>
      <c r="AB304" s="661"/>
      <c r="AC304" s="45"/>
      <c r="AD304" s="46"/>
      <c r="AE304" s="45"/>
      <c r="AF304" s="46"/>
      <c r="AG304" s="45"/>
      <c r="AH304" s="46"/>
      <c r="AI304" s="45"/>
      <c r="AJ304" s="46"/>
      <c r="AK304" s="502">
        <f>G304+I304+K304+M304+O304+Q304+S304+U304+W304+Y304+AA304+AC304+AE304+AG304+AI304</f>
        <v>0</v>
      </c>
      <c r="AL304" s="504">
        <f>IF(E304=0,0,AK304/E304)</f>
        <v>0</v>
      </c>
      <c r="AM304" s="493">
        <f>H304+J304+L304+N304+P304+R304+T304+V304+X304+Z304+AB304+AD304+AF304+AH304+AJ304</f>
        <v>0</v>
      </c>
      <c r="AN304" s="491">
        <f>IF(E304=0,0,AM304/($E304*14))</f>
        <v>0</v>
      </c>
      <c r="AO304" s="492" t="str">
        <f>IF(AM304=0,"",AM304/AK304)</f>
        <v/>
      </c>
      <c r="AP304" s="493">
        <f>G305+I305+K305+M305+O305+Q305+S305+U305+W305+Y305+AA305+AC305+AE305+AG305+AI305</f>
        <v>0</v>
      </c>
      <c r="AQ304" s="47"/>
      <c r="AR304" s="502">
        <f>AR297+AK304-I290-I297</f>
        <v>0</v>
      </c>
      <c r="AS304" s="504">
        <f>AR304/(E297+E304)</f>
        <v>0</v>
      </c>
      <c r="AT304" s="648">
        <f>AT297+AM304-J290-J297</f>
        <v>0</v>
      </c>
      <c r="AU304" s="504">
        <f>+AT304/(14*(E297+E304))</f>
        <v>0</v>
      </c>
      <c r="AV304" s="514">
        <f>AV297+AP304-I291-I298</f>
        <v>0</v>
      </c>
    </row>
    <row r="305" spans="1:48" ht="21" outlineLevel="1" x14ac:dyDescent="0.25">
      <c r="A305" s="649" t="s">
        <v>7</v>
      </c>
      <c r="B305" s="96"/>
      <c r="C305" s="451"/>
      <c r="D305" s="457"/>
      <c r="E305" s="459"/>
      <c r="F305" s="50" t="s">
        <v>37</v>
      </c>
      <c r="G305" s="543"/>
      <c r="H305" s="544"/>
      <c r="I305" s="462"/>
      <c r="J305" s="463"/>
      <c r="K305" s="570"/>
      <c r="L305" s="571"/>
      <c r="M305" s="580"/>
      <c r="N305" s="581"/>
      <c r="O305" s="580"/>
      <c r="P305" s="581"/>
      <c r="Q305" s="580"/>
      <c r="R305" s="581"/>
      <c r="S305" s="580"/>
      <c r="T305" s="581"/>
      <c r="U305" s="580"/>
      <c r="V305" s="581"/>
      <c r="W305" s="580"/>
      <c r="X305" s="581"/>
      <c r="Y305" s="580"/>
      <c r="Z305" s="581"/>
      <c r="AA305" s="660"/>
      <c r="AB305" s="661"/>
      <c r="AC305" s="512"/>
      <c r="AD305" s="513"/>
      <c r="AE305" s="512"/>
      <c r="AF305" s="513"/>
      <c r="AG305" s="512"/>
      <c r="AH305" s="513"/>
      <c r="AI305" s="512"/>
      <c r="AJ305" s="513"/>
      <c r="AK305" s="503"/>
      <c r="AL305" s="419"/>
      <c r="AM305" s="505"/>
      <c r="AN305" s="423"/>
      <c r="AO305" s="424"/>
      <c r="AP305" s="425"/>
      <c r="AQ305" s="47"/>
      <c r="AR305" s="503"/>
      <c r="AS305" s="419"/>
      <c r="AT305" s="505"/>
      <c r="AU305" s="419"/>
      <c r="AV305" s="515"/>
    </row>
    <row r="306" spans="1:48" ht="21" outlineLevel="1" x14ac:dyDescent="0.25">
      <c r="A306" s="649"/>
      <c r="B306" s="97" t="s">
        <v>45</v>
      </c>
      <c r="C306" s="451"/>
      <c r="D306" s="479" t="str">
        <f>$B$7</f>
        <v>Feeder</v>
      </c>
      <c r="E306" s="481">
        <v>20</v>
      </c>
      <c r="F306" s="51" t="s">
        <v>36</v>
      </c>
      <c r="G306" s="127"/>
      <c r="H306" s="128"/>
      <c r="I306" s="98"/>
      <c r="J306" s="99"/>
      <c r="K306" s="149"/>
      <c r="L306" s="150"/>
      <c r="M306" s="348"/>
      <c r="N306" s="349"/>
      <c r="O306" s="348"/>
      <c r="P306" s="349"/>
      <c r="Q306" s="348"/>
      <c r="R306" s="349"/>
      <c r="S306" s="348"/>
      <c r="T306" s="349"/>
      <c r="U306" s="348"/>
      <c r="V306" s="349"/>
      <c r="W306" s="348"/>
      <c r="X306" s="349"/>
      <c r="Y306" s="348"/>
      <c r="Z306" s="349"/>
      <c r="AA306" s="660"/>
      <c r="AB306" s="661"/>
      <c r="AC306" s="52"/>
      <c r="AD306" s="53"/>
      <c r="AE306" s="52"/>
      <c r="AF306" s="53"/>
      <c r="AG306" s="52"/>
      <c r="AH306" s="53"/>
      <c r="AI306" s="52"/>
      <c r="AJ306" s="53"/>
      <c r="AK306" s="483">
        <f>G306+I306+K306+M306+O306+Q306+S306+U306+W306+Y306+AA306+AC306+AE306+AG306+AI306</f>
        <v>0</v>
      </c>
      <c r="AL306" s="467">
        <f>IF(E306=0,0,AK306/E306)</f>
        <v>0</v>
      </c>
      <c r="AM306" s="471">
        <f>H306+J306+L306+N306+P306+R306+T306+V306+X306+Z306+AB306+AD306+AF306+AH306+AJ306</f>
        <v>0</v>
      </c>
      <c r="AN306" s="473">
        <f>IF(E304=0,0,AM306/($E304*14))</f>
        <v>0</v>
      </c>
      <c r="AO306" s="475" t="str">
        <f>IF(AM306=0,"",AM306/AK306)</f>
        <v/>
      </c>
      <c r="AP306" s="468">
        <f>G307+I307+K307+M307+O307+Q307+S307+U307+W307+Y307+AA307+AC307+AE307+AG307+AI307</f>
        <v>0</v>
      </c>
      <c r="AQ306" s="47"/>
      <c r="AR306" s="511">
        <f>AR299+AK306-I292-I299</f>
        <v>0</v>
      </c>
      <c r="AS306" s="467">
        <f>AR306/(E299+E306)</f>
        <v>0</v>
      </c>
      <c r="AT306" s="647">
        <f>AT299+AM306-J292-J299</f>
        <v>0</v>
      </c>
      <c r="AU306" s="467">
        <f>+AT306/(14*(E299+E306))</f>
        <v>0</v>
      </c>
      <c r="AV306" s="508">
        <f>AV299+AP306-I293-I300</f>
        <v>0</v>
      </c>
    </row>
    <row r="307" spans="1:48" ht="20.399999999999999" outlineLevel="1" x14ac:dyDescent="0.25">
      <c r="A307" s="49"/>
      <c r="B307" s="100"/>
      <c r="C307" s="451"/>
      <c r="D307" s="480"/>
      <c r="E307" s="482"/>
      <c r="F307" s="54" t="s">
        <v>37</v>
      </c>
      <c r="G307" s="543"/>
      <c r="H307" s="544"/>
      <c r="I307" s="462"/>
      <c r="J307" s="463"/>
      <c r="K307" s="506"/>
      <c r="L307" s="507"/>
      <c r="M307" s="506"/>
      <c r="N307" s="507"/>
      <c r="O307" s="506"/>
      <c r="P307" s="507"/>
      <c r="Q307" s="506"/>
      <c r="R307" s="507"/>
      <c r="S307" s="506"/>
      <c r="T307" s="507"/>
      <c r="U307" s="506"/>
      <c r="V307" s="507"/>
      <c r="W307" s="506"/>
      <c r="X307" s="507"/>
      <c r="Y307" s="506"/>
      <c r="Z307" s="507"/>
      <c r="AA307" s="650"/>
      <c r="AB307" s="651"/>
      <c r="AC307" s="506"/>
      <c r="AD307" s="507"/>
      <c r="AE307" s="506"/>
      <c r="AF307" s="507"/>
      <c r="AG307" s="506"/>
      <c r="AH307" s="507"/>
      <c r="AI307" s="506"/>
      <c r="AJ307" s="507"/>
      <c r="AK307" s="484"/>
      <c r="AL307" s="467"/>
      <c r="AM307" s="472"/>
      <c r="AN307" s="474"/>
      <c r="AO307" s="475"/>
      <c r="AP307" s="468"/>
      <c r="AQ307" s="47"/>
      <c r="AR307" s="511"/>
      <c r="AS307" s="467"/>
      <c r="AT307" s="647"/>
      <c r="AU307" s="467"/>
      <c r="AV307" s="508"/>
    </row>
    <row r="308" spans="1:48" ht="22.8" x14ac:dyDescent="0.25">
      <c r="A308" s="49"/>
      <c r="B308" s="96" t="s">
        <v>46</v>
      </c>
      <c r="C308" s="451"/>
      <c r="D308" s="464" t="s">
        <v>38</v>
      </c>
      <c r="E308" s="465"/>
      <c r="F308" s="466"/>
      <c r="G308" s="129"/>
      <c r="H308" s="130"/>
      <c r="I308" s="101"/>
      <c r="J308" s="102"/>
      <c r="K308" s="103"/>
      <c r="L308" s="104"/>
      <c r="M308" s="103"/>
      <c r="N308" s="104"/>
      <c r="O308" s="103"/>
      <c r="P308" s="104"/>
      <c r="Q308" s="55"/>
      <c r="R308" s="105"/>
      <c r="S308" s="55"/>
      <c r="T308" s="105"/>
      <c r="U308" s="55"/>
      <c r="V308" s="56"/>
      <c r="W308" s="55"/>
      <c r="X308" s="56"/>
      <c r="Y308" s="55"/>
      <c r="Z308" s="56"/>
      <c r="AA308" s="650"/>
      <c r="AB308" s="651"/>
      <c r="AC308" s="106"/>
      <c r="AD308" s="108"/>
      <c r="AE308" s="106"/>
      <c r="AF308" s="107"/>
      <c r="AG308" s="106"/>
      <c r="AH308" s="107"/>
      <c r="AI308" s="55"/>
      <c r="AJ308" s="56"/>
      <c r="AK308" s="57">
        <f>+AK304+AK306</f>
        <v>0</v>
      </c>
      <c r="AL308" s="58">
        <f>IF(E304+E306=0,0,AK308/(E304+E306))</f>
        <v>0</v>
      </c>
      <c r="AM308" s="110">
        <f>+SUM(AM306,AM304)</f>
        <v>0</v>
      </c>
      <c r="AN308" s="58">
        <f>IF((E304+E306)=0,0,AM308/((E304+E306)*14))</f>
        <v>0</v>
      </c>
      <c r="AO308" s="60" t="str">
        <f>IF(AM308=0,"",AM308/AK308)</f>
        <v/>
      </c>
      <c r="AP308" s="61">
        <f>+AP304+AP306</f>
        <v>0</v>
      </c>
      <c r="AQ308" s="109"/>
      <c r="AR308" s="57">
        <f>+AR304+AR306</f>
        <v>0</v>
      </c>
      <c r="AS308" s="58">
        <f>AR308/E279</f>
        <v>0</v>
      </c>
      <c r="AT308" s="110">
        <f>+AT304+AT306</f>
        <v>0</v>
      </c>
      <c r="AU308" s="58">
        <f>+AT308/F279</f>
        <v>0</v>
      </c>
      <c r="AV308" s="111">
        <f>+AV304+AV306</f>
        <v>0</v>
      </c>
    </row>
    <row r="309" spans="1:48" ht="23.4" thickBot="1" x14ac:dyDescent="0.3">
      <c r="A309" s="49"/>
      <c r="B309" s="112" t="s">
        <v>47</v>
      </c>
      <c r="C309" s="451"/>
      <c r="D309" s="445" t="s">
        <v>39</v>
      </c>
      <c r="E309" s="445"/>
      <c r="F309" s="445"/>
      <c r="G309" s="131"/>
      <c r="H309" s="132"/>
      <c r="I309" s="98"/>
      <c r="J309" s="99"/>
      <c r="K309" s="346"/>
      <c r="L309" s="347"/>
      <c r="M309" s="113"/>
      <c r="N309" s="114"/>
      <c r="O309" s="113"/>
      <c r="P309" s="114"/>
      <c r="Q309" s="113"/>
      <c r="R309" s="114"/>
      <c r="S309" s="113"/>
      <c r="T309" s="114"/>
      <c r="U309" s="113"/>
      <c r="V309" s="115"/>
      <c r="W309" s="113"/>
      <c r="X309" s="115"/>
      <c r="Y309" s="113"/>
      <c r="Z309" s="115"/>
      <c r="AA309" s="650"/>
      <c r="AB309" s="651"/>
      <c r="AC309" s="113"/>
      <c r="AD309" s="114"/>
      <c r="AE309" s="113"/>
      <c r="AF309" s="115"/>
      <c r="AG309" s="116"/>
      <c r="AH309" s="117"/>
      <c r="AI309" s="113"/>
      <c r="AJ309" s="115"/>
      <c r="AK309" s="71">
        <f>G309+I309+K309+M309+O309+Q309+S309+U309+W309+Y309+AA309+AC309+AE309+AG309+AI309</f>
        <v>0</v>
      </c>
      <c r="AL309" s="72"/>
      <c r="AM309" s="73">
        <f>H309+J309+L309+N309+P309+R309+T309+V309+X309+Z309+AB309+AD309+AF309+AH309+AJ309</f>
        <v>0</v>
      </c>
      <c r="AN309" s="72"/>
      <c r="AO309" s="74"/>
      <c r="AP309" s="133"/>
      <c r="AQ309" s="109"/>
      <c r="AR309" s="71">
        <f>AR302+AK309-I295-I302</f>
        <v>0</v>
      </c>
      <c r="AS309" s="77"/>
      <c r="AT309" s="73">
        <f>AT302+AM309-J295-J302</f>
        <v>0</v>
      </c>
      <c r="AU309" s="77"/>
      <c r="AV309" s="134"/>
    </row>
    <row r="310" spans="1:48" ht="36" thickBot="1" x14ac:dyDescent="0.3">
      <c r="A310" s="79"/>
      <c r="B310" s="152">
        <f>SUM(MOD(("1/"&amp;A288)-{0;6},{1E+99;7})*{1;-1},A322*7,MATCH(MID(B309,1,2),{"Mo";"Tu";"We";"Th";"Fr";"Sa";"Su"},0)-5)</f>
        <v>42488</v>
      </c>
      <c r="C310" s="539"/>
      <c r="D310" s="446" t="s">
        <v>6</v>
      </c>
      <c r="E310" s="446"/>
      <c r="F310" s="446"/>
      <c r="G310" s="120"/>
      <c r="H310" s="121"/>
      <c r="I310" s="120"/>
      <c r="J310" s="121"/>
      <c r="K310" s="120"/>
      <c r="L310" s="121"/>
      <c r="M310" s="120"/>
      <c r="N310" s="121"/>
      <c r="O310" s="120"/>
      <c r="P310" s="121"/>
      <c r="Q310" s="120"/>
      <c r="R310" s="121"/>
      <c r="S310" s="120"/>
      <c r="T310" s="121"/>
      <c r="U310" s="120"/>
      <c r="V310" s="122"/>
      <c r="W310" s="120"/>
      <c r="X310" s="122"/>
      <c r="Y310" s="120"/>
      <c r="Z310" s="122"/>
      <c r="AA310" s="120"/>
      <c r="AB310" s="121"/>
      <c r="AC310" s="120"/>
      <c r="AD310" s="121"/>
      <c r="AE310" s="120"/>
      <c r="AF310" s="122"/>
      <c r="AG310" s="120"/>
      <c r="AH310" s="122"/>
      <c r="AI310" s="120"/>
      <c r="AJ310" s="122"/>
      <c r="AK310" s="84">
        <f>AK308+AK309</f>
        <v>0</v>
      </c>
      <c r="AL310" s="85">
        <f>IF(E304+E306=0,0,AK310/(E304+E306))</f>
        <v>0</v>
      </c>
      <c r="AM310" s="86">
        <f>+AM308+AM309</f>
        <v>0</v>
      </c>
      <c r="AN310" s="85">
        <f>IF((E304+E306)=0,0,AM310/((E304+E306)*14))</f>
        <v>0</v>
      </c>
      <c r="AO310" s="87" t="str">
        <f>IF(AM310=0,"",AM310/AK310)</f>
        <v/>
      </c>
      <c r="AP310" s="88">
        <f>+AP308</f>
        <v>0</v>
      </c>
      <c r="AQ310" s="89"/>
      <c r="AR310" s="84">
        <f>+AR308+AR309</f>
        <v>0</v>
      </c>
      <c r="AS310" s="85">
        <f>AR310/E279</f>
        <v>0</v>
      </c>
      <c r="AT310" s="90">
        <f>+AT308+AT309</f>
        <v>0</v>
      </c>
      <c r="AU310" s="85">
        <f>+AT310/F279</f>
        <v>0</v>
      </c>
      <c r="AV310" s="124">
        <f>+AV308</f>
        <v>0</v>
      </c>
    </row>
    <row r="311" spans="1:48" ht="21" outlineLevel="1" x14ac:dyDescent="0.25">
      <c r="A311" s="49"/>
      <c r="B311" s="93"/>
      <c r="C311" s="450"/>
      <c r="D311" s="500" t="str">
        <f>$B$6</f>
        <v>Trade</v>
      </c>
      <c r="E311" s="501">
        <v>55</v>
      </c>
      <c r="F311" s="44" t="s">
        <v>36</v>
      </c>
      <c r="G311" s="125"/>
      <c r="H311" s="126"/>
      <c r="I311" s="125"/>
      <c r="J311" s="126"/>
      <c r="K311" s="94"/>
      <c r="L311" s="95"/>
      <c r="M311" s="264"/>
      <c r="N311" s="265"/>
      <c r="O311" s="264"/>
      <c r="P311" s="265"/>
      <c r="Q311" s="264"/>
      <c r="R311" s="265"/>
      <c r="S311" s="264"/>
      <c r="T311" s="265"/>
      <c r="U311" s="264"/>
      <c r="V311" s="265"/>
      <c r="W311" s="264"/>
      <c r="X311" s="265"/>
      <c r="Y311" s="264"/>
      <c r="Z311" s="265"/>
      <c r="AA311" s="650"/>
      <c r="AB311" s="651"/>
      <c r="AC311" s="45"/>
      <c r="AD311" s="46"/>
      <c r="AE311" s="45"/>
      <c r="AF311" s="46"/>
      <c r="AG311" s="45"/>
      <c r="AH311" s="46"/>
      <c r="AI311" s="45"/>
      <c r="AJ311" s="46"/>
      <c r="AK311" s="502">
        <f>G311+I311+K311+M311+O311+Q311+S311+U311+W311+Y311+AA311+AC311+AE311+AG311+AI311</f>
        <v>0</v>
      </c>
      <c r="AL311" s="504">
        <f>IF(E311=0,0,AK311/E311)</f>
        <v>0</v>
      </c>
      <c r="AM311" s="493">
        <f>H311+J311+L311+N311+P311+R311+T311+V311+X311+Z311+AB311+AD311+AF311+AH311+AJ311</f>
        <v>0</v>
      </c>
      <c r="AN311" s="491">
        <f>IF(E311=0,0,AM311/($E311*14))</f>
        <v>0</v>
      </c>
      <c r="AO311" s="492" t="str">
        <f>IF(AM311=0,"",AM311/AK311)</f>
        <v/>
      </c>
      <c r="AP311" s="493">
        <f>G312+I312+K312+M312+O312+Q312+S312+U312+W312+Y312+AA312+AC312+AE312+AG312+AI312</f>
        <v>0</v>
      </c>
      <c r="AQ311" s="47"/>
      <c r="AR311" s="502">
        <f>AR304+AK311-K290-K297-K304</f>
        <v>0</v>
      </c>
      <c r="AS311" s="659">
        <f>AR311/(E297+E304+E311)</f>
        <v>0</v>
      </c>
      <c r="AT311" s="648">
        <f>+AT304+AM311-L290-L297-L304</f>
        <v>0</v>
      </c>
      <c r="AU311" s="504">
        <f>+AT311/(14*(E297+E304+E311))</f>
        <v>0</v>
      </c>
      <c r="AV311" s="514">
        <f>AV304+AP311-K291-K298-K305</f>
        <v>0</v>
      </c>
    </row>
    <row r="312" spans="1:48" ht="21" outlineLevel="1" x14ac:dyDescent="0.25">
      <c r="A312" s="49"/>
      <c r="B312" s="96"/>
      <c r="C312" s="451"/>
      <c r="D312" s="457"/>
      <c r="E312" s="459"/>
      <c r="F312" s="50" t="s">
        <v>37</v>
      </c>
      <c r="G312" s="543"/>
      <c r="H312" s="544"/>
      <c r="I312" s="543"/>
      <c r="J312" s="544"/>
      <c r="K312" s="462"/>
      <c r="L312" s="463"/>
      <c r="M312" s="570"/>
      <c r="N312" s="571"/>
      <c r="O312" s="570"/>
      <c r="P312" s="571"/>
      <c r="Q312" s="570"/>
      <c r="R312" s="571"/>
      <c r="S312" s="570"/>
      <c r="T312" s="571"/>
      <c r="U312" s="570"/>
      <c r="V312" s="571"/>
      <c r="W312" s="570"/>
      <c r="X312" s="571"/>
      <c r="Y312" s="570"/>
      <c r="Z312" s="571"/>
      <c r="AA312" s="650"/>
      <c r="AB312" s="651"/>
      <c r="AC312" s="512"/>
      <c r="AD312" s="513"/>
      <c r="AE312" s="512"/>
      <c r="AF312" s="513"/>
      <c r="AG312" s="512"/>
      <c r="AH312" s="513"/>
      <c r="AI312" s="512"/>
      <c r="AJ312" s="513"/>
      <c r="AK312" s="503"/>
      <c r="AL312" s="419"/>
      <c r="AM312" s="505"/>
      <c r="AN312" s="423"/>
      <c r="AO312" s="424"/>
      <c r="AP312" s="425"/>
      <c r="AQ312" s="47"/>
      <c r="AR312" s="503"/>
      <c r="AS312" s="656"/>
      <c r="AT312" s="505"/>
      <c r="AU312" s="419"/>
      <c r="AV312" s="515"/>
    </row>
    <row r="313" spans="1:48" ht="21" outlineLevel="1" x14ac:dyDescent="0.25">
      <c r="A313" s="49"/>
      <c r="B313" s="97" t="s">
        <v>48</v>
      </c>
      <c r="C313" s="451"/>
      <c r="D313" s="479" t="str">
        <f>$B$7</f>
        <v>Feeder</v>
      </c>
      <c r="E313" s="481">
        <v>30</v>
      </c>
      <c r="F313" s="51" t="s">
        <v>36</v>
      </c>
      <c r="G313" s="127"/>
      <c r="H313" s="128"/>
      <c r="I313" s="127"/>
      <c r="J313" s="128"/>
      <c r="K313" s="98"/>
      <c r="L313" s="99"/>
      <c r="M313" s="149"/>
      <c r="N313" s="150"/>
      <c r="O313" s="149"/>
      <c r="P313" s="150"/>
      <c r="Q313" s="149"/>
      <c r="R313" s="150"/>
      <c r="S313" s="149"/>
      <c r="T313" s="150"/>
      <c r="U313" s="149"/>
      <c r="V313" s="150"/>
      <c r="W313" s="149"/>
      <c r="X313" s="150"/>
      <c r="Y313" s="149"/>
      <c r="Z313" s="150"/>
      <c r="AA313" s="650"/>
      <c r="AB313" s="651"/>
      <c r="AC313" s="52"/>
      <c r="AD313" s="53"/>
      <c r="AE313" s="52"/>
      <c r="AF313" s="53"/>
      <c r="AG313" s="52"/>
      <c r="AH313" s="53"/>
      <c r="AI313" s="52"/>
      <c r="AJ313" s="53"/>
      <c r="AK313" s="483">
        <f>G313+I313+K313+M313+O313+Q313+S313+U313+W313+Y313+AA313+AC313+AE313+AG313+AI313</f>
        <v>0</v>
      </c>
      <c r="AL313" s="467">
        <f>IF(E313=0,0,AK313/E313)</f>
        <v>0</v>
      </c>
      <c r="AM313" s="471">
        <f>H313+J313+L313+N313+P313+R313+T313+V313+X313+Z313+AB313+AD313+AF313+AH313+AJ313</f>
        <v>0</v>
      </c>
      <c r="AN313" s="473">
        <f>IF(E311=0,0,AM313/($E311*14))</f>
        <v>0</v>
      </c>
      <c r="AO313" s="475" t="str">
        <f>IF(AM313=0,"",AM313/AK313)</f>
        <v/>
      </c>
      <c r="AP313" s="468">
        <f>G314+I314+K314+M314+O314+Q314+S314+U314+W314+Y314+AA314+AC314+AE314+AG314+AI314</f>
        <v>0</v>
      </c>
      <c r="AQ313" s="47"/>
      <c r="AR313" s="511">
        <f>AR306+AK313-K292-K299-K306</f>
        <v>0</v>
      </c>
      <c r="AS313" s="656">
        <f>AR313/(E299+E306+E313)</f>
        <v>0</v>
      </c>
      <c r="AT313" s="647">
        <f>+AT306+AM313-L292-L299-L306</f>
        <v>0</v>
      </c>
      <c r="AU313" s="467">
        <f>+AT313/(14*(E299+E306+E313))</f>
        <v>0</v>
      </c>
      <c r="AV313" s="508">
        <f>AV306+AP313-K293-K300-K307</f>
        <v>0</v>
      </c>
    </row>
    <row r="314" spans="1:48" ht="21" outlineLevel="1" thickBot="1" x14ac:dyDescent="0.3">
      <c r="A314" s="49"/>
      <c r="B314" s="100"/>
      <c r="C314" s="451"/>
      <c r="D314" s="480"/>
      <c r="E314" s="482"/>
      <c r="F314" s="54" t="s">
        <v>37</v>
      </c>
      <c r="G314" s="543"/>
      <c r="H314" s="544"/>
      <c r="I314" s="543"/>
      <c r="J314" s="544"/>
      <c r="K314" s="462"/>
      <c r="L314" s="463"/>
      <c r="M314" s="506"/>
      <c r="N314" s="507"/>
      <c r="O314" s="506"/>
      <c r="P314" s="507"/>
      <c r="Q314" s="506"/>
      <c r="R314" s="507"/>
      <c r="S314" s="506"/>
      <c r="T314" s="507"/>
      <c r="U314" s="506"/>
      <c r="V314" s="507"/>
      <c r="W314" s="506"/>
      <c r="X314" s="507"/>
      <c r="Y314" s="506"/>
      <c r="Z314" s="507"/>
      <c r="AA314" s="650"/>
      <c r="AB314" s="651"/>
      <c r="AC314" s="506"/>
      <c r="AD314" s="507"/>
      <c r="AE314" s="506"/>
      <c r="AF314" s="507"/>
      <c r="AG314" s="506"/>
      <c r="AH314" s="507"/>
      <c r="AI314" s="506"/>
      <c r="AJ314" s="507"/>
      <c r="AK314" s="484"/>
      <c r="AL314" s="467"/>
      <c r="AM314" s="472"/>
      <c r="AN314" s="474"/>
      <c r="AO314" s="475"/>
      <c r="AP314" s="468"/>
      <c r="AQ314" s="47"/>
      <c r="AR314" s="655"/>
      <c r="AS314" s="657"/>
      <c r="AT314" s="658"/>
      <c r="AU314" s="473"/>
      <c r="AV314" s="560"/>
    </row>
    <row r="315" spans="1:48" ht="23.4" thickTop="1" x14ac:dyDescent="0.25">
      <c r="A315" s="49"/>
      <c r="B315" s="96" t="s">
        <v>49</v>
      </c>
      <c r="C315" s="451"/>
      <c r="D315" s="464" t="s">
        <v>38</v>
      </c>
      <c r="E315" s="465"/>
      <c r="F315" s="466"/>
      <c r="G315" s="129"/>
      <c r="H315" s="130"/>
      <c r="I315" s="129"/>
      <c r="J315" s="130"/>
      <c r="K315" s="101"/>
      <c r="L315" s="102"/>
      <c r="M315" s="103"/>
      <c r="N315" s="104"/>
      <c r="O315" s="55"/>
      <c r="P315" s="105"/>
      <c r="Q315" s="55"/>
      <c r="R315" s="105"/>
      <c r="S315" s="55"/>
      <c r="T315" s="105"/>
      <c r="U315" s="55"/>
      <c r="V315" s="56"/>
      <c r="W315" s="55"/>
      <c r="X315" s="56"/>
      <c r="Y315" s="55"/>
      <c r="Z315" s="56"/>
      <c r="AA315" s="650"/>
      <c r="AB315" s="651"/>
      <c r="AC315" s="106"/>
      <c r="AD315" s="108"/>
      <c r="AE315" s="106"/>
      <c r="AF315" s="107"/>
      <c r="AG315" s="106"/>
      <c r="AH315" s="107"/>
      <c r="AI315" s="55"/>
      <c r="AJ315" s="56"/>
      <c r="AK315" s="57">
        <f>+AK311+AK313</f>
        <v>0</v>
      </c>
      <c r="AL315" s="58">
        <f>IF(E311+E313=0,0,AK315/(E311+E313))</f>
        <v>0</v>
      </c>
      <c r="AM315" s="110">
        <f>+SUM(AM313,AM311)</f>
        <v>0</v>
      </c>
      <c r="AN315" s="58">
        <f>IF((E311+E313)=0,0,AM315/((E311+E313)*14))</f>
        <v>0</v>
      </c>
      <c r="AO315" s="60" t="str">
        <f>IF(AM315=0,"",AM315/AK315)</f>
        <v/>
      </c>
      <c r="AP315" s="61">
        <f>+AP311+AP313</f>
        <v>0</v>
      </c>
      <c r="AQ315" s="109"/>
      <c r="AR315" s="135">
        <f>+AR311+AR313</f>
        <v>0</v>
      </c>
      <c r="AS315" s="136">
        <f>AR315/E279</f>
        <v>0</v>
      </c>
      <c r="AT315" s="137">
        <f>+AT311+AT313</f>
        <v>0</v>
      </c>
      <c r="AU315" s="136">
        <f>+AT315/F279</f>
        <v>0</v>
      </c>
      <c r="AV315" s="138">
        <f>+AV311+AV313</f>
        <v>0</v>
      </c>
    </row>
    <row r="316" spans="1:48" ht="21.6" thickBot="1" x14ac:dyDescent="0.3">
      <c r="A316" s="49"/>
      <c r="B316" s="112" t="s">
        <v>50</v>
      </c>
      <c r="C316" s="451"/>
      <c r="D316" s="445" t="s">
        <v>39</v>
      </c>
      <c r="E316" s="445"/>
      <c r="F316" s="445"/>
      <c r="G316" s="131"/>
      <c r="H316" s="132"/>
      <c r="I316" s="131"/>
      <c r="J316" s="132"/>
      <c r="K316" s="98"/>
      <c r="L316" s="99"/>
      <c r="M316" s="113"/>
      <c r="N316" s="114"/>
      <c r="O316" s="113"/>
      <c r="P316" s="114"/>
      <c r="Q316" s="113"/>
      <c r="R316" s="114"/>
      <c r="S316" s="113"/>
      <c r="T316" s="114"/>
      <c r="U316" s="113"/>
      <c r="V316" s="115"/>
      <c r="W316" s="113"/>
      <c r="X316" s="115"/>
      <c r="Y316" s="113"/>
      <c r="Z316" s="115"/>
      <c r="AA316" s="650"/>
      <c r="AB316" s="651"/>
      <c r="AC316" s="113"/>
      <c r="AD316" s="114"/>
      <c r="AE316" s="113"/>
      <c r="AF316" s="115"/>
      <c r="AG316" s="116"/>
      <c r="AH316" s="117"/>
      <c r="AI316" s="113"/>
      <c r="AJ316" s="115"/>
      <c r="AK316" s="71">
        <f>G316+I316+K316+M316+O316+Q316+S316+U316+W316+Y316+AA316+AC316+AE316+AG316+AI316</f>
        <v>0</v>
      </c>
      <c r="AL316" s="72"/>
      <c r="AM316" s="73">
        <f>H316+J316+L316+N316+P316+R316+T316+V316+X316+Z316+AB316+AD316+AF316+AH316+AJ316</f>
        <v>0</v>
      </c>
      <c r="AN316" s="72"/>
      <c r="AO316" s="74"/>
      <c r="AP316" s="73"/>
      <c r="AQ316" s="75"/>
      <c r="AR316" s="139">
        <f>AR309+AK316-K295-K302-K309</f>
        <v>0</v>
      </c>
      <c r="AS316" s="77"/>
      <c r="AT316" s="73">
        <f>AT309+AM316-L295-L302-L309</f>
        <v>0</v>
      </c>
      <c r="AU316" s="77"/>
      <c r="AV316" s="140"/>
    </row>
    <row r="317" spans="1:48" ht="36" thickBot="1" x14ac:dyDescent="0.3">
      <c r="A317" s="79"/>
      <c r="B317" s="152">
        <f>SUM(MOD(("1/"&amp;A288)-{0;6},{1E+99;7})*{1;-1},A322*7,MATCH(MID(B316,1,2),{"Mo";"Tu";"We";"Th";"Fr";"Sa";"Su"},0)-5)</f>
        <v>42489</v>
      </c>
      <c r="C317" s="539"/>
      <c r="D317" s="446" t="s">
        <v>6</v>
      </c>
      <c r="E317" s="446"/>
      <c r="F317" s="446"/>
      <c r="G317" s="120"/>
      <c r="H317" s="121"/>
      <c r="I317" s="120"/>
      <c r="J317" s="121"/>
      <c r="K317" s="120"/>
      <c r="L317" s="121"/>
      <c r="M317" s="120"/>
      <c r="N317" s="121"/>
      <c r="O317" s="120"/>
      <c r="P317" s="121"/>
      <c r="Q317" s="120"/>
      <c r="R317" s="121"/>
      <c r="S317" s="120"/>
      <c r="T317" s="121"/>
      <c r="U317" s="120"/>
      <c r="V317" s="122"/>
      <c r="W317" s="120"/>
      <c r="X317" s="122"/>
      <c r="Y317" s="120"/>
      <c r="Z317" s="122"/>
      <c r="AA317" s="120"/>
      <c r="AB317" s="121"/>
      <c r="AC317" s="120"/>
      <c r="AD317" s="121"/>
      <c r="AE317" s="120"/>
      <c r="AF317" s="122"/>
      <c r="AG317" s="120"/>
      <c r="AH317" s="122"/>
      <c r="AI317" s="120"/>
      <c r="AJ317" s="122"/>
      <c r="AK317" s="84">
        <f>AK315+AK316</f>
        <v>0</v>
      </c>
      <c r="AL317" s="85">
        <f>IF(E311+E313=0,0,AK317/(E311+E313))</f>
        <v>0</v>
      </c>
      <c r="AM317" s="86">
        <f>+AM315+AM316</f>
        <v>0</v>
      </c>
      <c r="AN317" s="85">
        <f>IF((E311+E313)=0,0,AM317/((E311+E313)*14))</f>
        <v>0</v>
      </c>
      <c r="AO317" s="87" t="str">
        <f>IF(AM317=0,"",AM317/AK317)</f>
        <v/>
      </c>
      <c r="AP317" s="88">
        <f>+AP315</f>
        <v>0</v>
      </c>
      <c r="AQ317" s="89"/>
      <c r="AR317" s="141">
        <f>+AR315+AR316</f>
        <v>0</v>
      </c>
      <c r="AS317" s="142">
        <f>AR317/E279</f>
        <v>0</v>
      </c>
      <c r="AT317" s="143">
        <f>+AT315+AT316</f>
        <v>0</v>
      </c>
      <c r="AU317" s="142">
        <f>+AT317/F279</f>
        <v>0</v>
      </c>
      <c r="AV317" s="144">
        <f>+AV315</f>
        <v>0</v>
      </c>
    </row>
    <row r="318" spans="1:48" ht="21" outlineLevel="1" x14ac:dyDescent="0.25">
      <c r="A318" s="49"/>
      <c r="B318" s="93"/>
      <c r="C318" s="450"/>
      <c r="D318" s="500" t="str">
        <f>$B$6</f>
        <v>Trade</v>
      </c>
      <c r="E318" s="501">
        <v>150</v>
      </c>
      <c r="F318" s="44" t="s">
        <v>36</v>
      </c>
      <c r="G318" s="145"/>
      <c r="H318" s="146"/>
      <c r="I318" s="125"/>
      <c r="J318" s="126"/>
      <c r="K318" s="125"/>
      <c r="L318" s="126"/>
      <c r="M318" s="94"/>
      <c r="N318" s="95"/>
      <c r="O318" s="45"/>
      <c r="P318" s="46"/>
      <c r="Q318" s="45"/>
      <c r="R318" s="46"/>
      <c r="S318" s="45"/>
      <c r="T318" s="46"/>
      <c r="U318" s="45"/>
      <c r="V318" s="46"/>
      <c r="W318" s="45"/>
      <c r="X318" s="46"/>
      <c r="Y318" s="45"/>
      <c r="Z318" s="46"/>
      <c r="AA318" s="650"/>
      <c r="AB318" s="651"/>
      <c r="AC318" s="45"/>
      <c r="AD318" s="46"/>
      <c r="AE318" s="45"/>
      <c r="AF318" s="46"/>
      <c r="AG318" s="45"/>
      <c r="AH318" s="46"/>
      <c r="AI318" s="45"/>
      <c r="AJ318" s="46"/>
      <c r="AK318" s="537">
        <f>G318+I318+K318+M318+O318+Q318+S318+U318+W318+Y318+AA318+AC318+AE318+AG318+AI318</f>
        <v>0</v>
      </c>
      <c r="AL318" s="528">
        <f>IF(E318=0,0,AK318/E318)</f>
        <v>0</v>
      </c>
      <c r="AM318" s="530">
        <f>H318+J318+L318+N318+P318+R318+T318+V318+X318+Z318+AB318+AD318+AF318+AH318+AJ318</f>
        <v>0</v>
      </c>
      <c r="AN318" s="533">
        <f>IF(E318=0,0,AM318/($E318*14))</f>
        <v>0</v>
      </c>
      <c r="AO318" s="535" t="str">
        <f>IF(AM318=0,"",AM318/AK318)</f>
        <v/>
      </c>
      <c r="AP318" s="493">
        <f>G319+I319+K319+M319+O319+Q319+S319+U319+W319+Y319+AA319+AC319+AE319+AG319+AI319</f>
        <v>0</v>
      </c>
      <c r="AQ318" s="47"/>
      <c r="AR318" s="548">
        <f>+AR311+AK318-M290-M297-M304-M311</f>
        <v>0</v>
      </c>
      <c r="AS318" s="549">
        <f>AR318/E318</f>
        <v>0</v>
      </c>
      <c r="AT318" s="654">
        <f>+AT311+AM318-N290-N297-N304-N311</f>
        <v>0</v>
      </c>
      <c r="AU318" s="534">
        <f>+AT318/(14*E318)</f>
        <v>0</v>
      </c>
      <c r="AV318" s="547">
        <f>+AV311+AP318-M291-M298-M305-M312</f>
        <v>0</v>
      </c>
    </row>
    <row r="319" spans="1:48" ht="21" outlineLevel="1" x14ac:dyDescent="0.25">
      <c r="A319" s="49"/>
      <c r="B319" s="96"/>
      <c r="C319" s="451"/>
      <c r="D319" s="457"/>
      <c r="E319" s="459"/>
      <c r="F319" s="50" t="s">
        <v>37</v>
      </c>
      <c r="G319" s="566"/>
      <c r="H319" s="567"/>
      <c r="I319" s="543"/>
      <c r="J319" s="544"/>
      <c r="K319" s="543"/>
      <c r="L319" s="544"/>
      <c r="M319" s="462"/>
      <c r="N319" s="463"/>
      <c r="O319" s="512"/>
      <c r="P319" s="513"/>
      <c r="Q319" s="512"/>
      <c r="R319" s="513"/>
      <c r="S319" s="512"/>
      <c r="T319" s="513"/>
      <c r="U319" s="512"/>
      <c r="V319" s="513"/>
      <c r="W319" s="512"/>
      <c r="X319" s="513"/>
      <c r="Y319" s="512"/>
      <c r="Z319" s="513"/>
      <c r="AA319" s="650"/>
      <c r="AB319" s="651"/>
      <c r="AC319" s="512"/>
      <c r="AD319" s="513"/>
      <c r="AE319" s="512"/>
      <c r="AF319" s="513"/>
      <c r="AG319" s="512"/>
      <c r="AH319" s="513"/>
      <c r="AI319" s="512"/>
      <c r="AJ319" s="513"/>
      <c r="AK319" s="538"/>
      <c r="AL319" s="529"/>
      <c r="AM319" s="532"/>
      <c r="AN319" s="534"/>
      <c r="AO319" s="536"/>
      <c r="AP319" s="425"/>
      <c r="AQ319" s="47"/>
      <c r="AR319" s="538"/>
      <c r="AS319" s="542"/>
      <c r="AT319" s="532"/>
      <c r="AU319" s="529"/>
      <c r="AV319" s="515"/>
    </row>
    <row r="320" spans="1:48" ht="21" outlineLevel="1" x14ac:dyDescent="0.25">
      <c r="A320" s="49"/>
      <c r="B320" s="97" t="s">
        <v>51</v>
      </c>
      <c r="C320" s="451"/>
      <c r="D320" s="479" t="str">
        <f>$B$7</f>
        <v>Feeder</v>
      </c>
      <c r="E320" s="481">
        <v>520</v>
      </c>
      <c r="F320" s="51" t="s">
        <v>36</v>
      </c>
      <c r="G320" s="147"/>
      <c r="H320" s="148"/>
      <c r="I320" s="127"/>
      <c r="J320" s="128"/>
      <c r="K320" s="127"/>
      <c r="L320" s="128"/>
      <c r="M320" s="98"/>
      <c r="N320" s="99"/>
      <c r="O320" s="52"/>
      <c r="P320" s="53"/>
      <c r="Q320" s="52"/>
      <c r="R320" s="53"/>
      <c r="S320" s="249"/>
      <c r="T320" s="250"/>
      <c r="U320" s="249"/>
      <c r="V320" s="250"/>
      <c r="W320" s="389"/>
      <c r="X320" s="390"/>
      <c r="Y320" s="52"/>
      <c r="Z320" s="53"/>
      <c r="AA320" s="650"/>
      <c r="AB320" s="651"/>
      <c r="AC320" s="52"/>
      <c r="AD320" s="53"/>
      <c r="AE320" s="52"/>
      <c r="AF320" s="53"/>
      <c r="AG320" s="52"/>
      <c r="AH320" s="53"/>
      <c r="AI320" s="52"/>
      <c r="AJ320" s="53"/>
      <c r="AK320" s="521">
        <f>G320+I320+K320+M320+O320+Q320+S320+U320+W320+Y320+AA320+AC320+AE320+AG320+AI320</f>
        <v>0</v>
      </c>
      <c r="AL320" s="519">
        <f>IF(E320=0,0,AK320/E320)</f>
        <v>0</v>
      </c>
      <c r="AM320" s="523">
        <f>H320+J320+L320+N320+P320+R320+T320+V320+X320+Z320+AB320+AD320+AF320+AH320+AJ320</f>
        <v>0</v>
      </c>
      <c r="AN320" s="525">
        <f>IF(E318=0,0,AM320/($E318*14))</f>
        <v>0</v>
      </c>
      <c r="AO320" s="527" t="str">
        <f>IF(AM320=0,"",AM320/AK320)</f>
        <v/>
      </c>
      <c r="AP320" s="468">
        <f>G321+I321+K321+M321+O321+Q321+S321+U321+W321+Y321+AA321+AC321+AE321+AG321+AI321</f>
        <v>0</v>
      </c>
      <c r="AQ320" s="47"/>
      <c r="AR320" s="521">
        <f>+AR313+AK320-M292-M299-M306-M313</f>
        <v>0</v>
      </c>
      <c r="AS320" s="542">
        <f>AR320/E320</f>
        <v>0</v>
      </c>
      <c r="AT320" s="653">
        <f>+AT313+AM320-N292-N299-N306-N313</f>
        <v>0</v>
      </c>
      <c r="AU320" s="519">
        <f>+AT320/(14*E320)</f>
        <v>0</v>
      </c>
      <c r="AV320" s="508">
        <f>+AV313+AP320-M293-M300-M307-M314</f>
        <v>0</v>
      </c>
    </row>
    <row r="321" spans="1:48" ht="21" outlineLevel="1" x14ac:dyDescent="0.25">
      <c r="A321" s="49"/>
      <c r="B321" s="391" t="s">
        <v>80</v>
      </c>
      <c r="C321" s="451"/>
      <c r="D321" s="480"/>
      <c r="E321" s="482"/>
      <c r="F321" s="54" t="s">
        <v>37</v>
      </c>
      <c r="G321" s="566"/>
      <c r="H321" s="567"/>
      <c r="I321" s="543"/>
      <c r="J321" s="544"/>
      <c r="K321" s="543"/>
      <c r="L321" s="544"/>
      <c r="M321" s="462"/>
      <c r="N321" s="463"/>
      <c r="O321" s="506"/>
      <c r="P321" s="507"/>
      <c r="Q321" s="506"/>
      <c r="R321" s="507"/>
      <c r="S321" s="506"/>
      <c r="T321" s="507"/>
      <c r="U321" s="506"/>
      <c r="V321" s="507"/>
      <c r="W321" s="506"/>
      <c r="X321" s="507"/>
      <c r="Y321" s="506"/>
      <c r="Z321" s="507"/>
      <c r="AA321" s="650"/>
      <c r="AB321" s="651"/>
      <c r="AC321" s="506"/>
      <c r="AD321" s="507"/>
      <c r="AE321" s="506"/>
      <c r="AF321" s="507"/>
      <c r="AG321" s="506"/>
      <c r="AH321" s="507"/>
      <c r="AI321" s="506"/>
      <c r="AJ321" s="507"/>
      <c r="AK321" s="522"/>
      <c r="AL321" s="519"/>
      <c r="AM321" s="524"/>
      <c r="AN321" s="526"/>
      <c r="AO321" s="527"/>
      <c r="AP321" s="468"/>
      <c r="AQ321" s="47"/>
      <c r="AR321" s="652"/>
      <c r="AS321" s="542"/>
      <c r="AT321" s="653"/>
      <c r="AU321" s="519"/>
      <c r="AV321" s="508"/>
    </row>
    <row r="322" spans="1:48" ht="22.8" x14ac:dyDescent="0.25">
      <c r="A322" s="649">
        <v>17</v>
      </c>
      <c r="B322" s="96" t="s">
        <v>52</v>
      </c>
      <c r="C322" s="451"/>
      <c r="D322" s="464" t="s">
        <v>38</v>
      </c>
      <c r="E322" s="465"/>
      <c r="F322" s="466"/>
      <c r="G322" s="129"/>
      <c r="H322" s="130"/>
      <c r="I322" s="129"/>
      <c r="J322" s="130"/>
      <c r="K322" s="103"/>
      <c r="L322" s="104"/>
      <c r="M322" s="101"/>
      <c r="N322" s="102"/>
      <c r="O322" s="103"/>
      <c r="P322" s="104"/>
      <c r="Q322" s="103"/>
      <c r="R322" s="104"/>
      <c r="S322" s="103"/>
      <c r="T322" s="104"/>
      <c r="U322" s="103"/>
      <c r="V322" s="151"/>
      <c r="W322" s="103"/>
      <c r="X322" s="151"/>
      <c r="Y322" s="103"/>
      <c r="Z322" s="151"/>
      <c r="AA322" s="650"/>
      <c r="AB322" s="651"/>
      <c r="AC322" s="106"/>
      <c r="AD322" s="108"/>
      <c r="AE322" s="106"/>
      <c r="AF322" s="107"/>
      <c r="AG322" s="106"/>
      <c r="AH322" s="107"/>
      <c r="AI322" s="103"/>
      <c r="AJ322" s="151"/>
      <c r="AK322" s="57">
        <f>+AK318+AK320</f>
        <v>0</v>
      </c>
      <c r="AL322" s="58">
        <f>IF(E318+E320=0,0,AK322/(E318+E320))</f>
        <v>0</v>
      </c>
      <c r="AM322" s="59">
        <f>+SUM(AM320,AM318)</f>
        <v>0</v>
      </c>
      <c r="AN322" s="58">
        <f>IF((E318+E320)=0,0,AM322/((E318+E320)*14))</f>
        <v>0</v>
      </c>
      <c r="AO322" s="60" t="str">
        <f>IF(AM322=0,"",AM322/AK322)</f>
        <v/>
      </c>
      <c r="AP322" s="61">
        <f>+AP318+AP320</f>
        <v>0</v>
      </c>
      <c r="AQ322" s="109"/>
      <c r="AR322" s="57">
        <f>+AR318+AR320</f>
        <v>0</v>
      </c>
      <c r="AS322" s="58">
        <f>AR322/E279</f>
        <v>0</v>
      </c>
      <c r="AT322" s="110">
        <f>+AT318+AT320</f>
        <v>0</v>
      </c>
      <c r="AU322" s="58">
        <f>+AT322/F279</f>
        <v>0</v>
      </c>
      <c r="AV322" s="111">
        <f>+AV318+AV320</f>
        <v>0</v>
      </c>
    </row>
    <row r="323" spans="1:48" ht="21.6" thickBot="1" x14ac:dyDescent="0.3">
      <c r="A323" s="649"/>
      <c r="B323" s="112" t="s">
        <v>53</v>
      </c>
      <c r="C323" s="451"/>
      <c r="D323" s="445" t="s">
        <v>39</v>
      </c>
      <c r="E323" s="445"/>
      <c r="F323" s="445"/>
      <c r="G323" s="131"/>
      <c r="H323" s="132"/>
      <c r="I323" s="131"/>
      <c r="J323" s="132"/>
      <c r="K323" s="131"/>
      <c r="L323" s="132"/>
      <c r="M323" s="98"/>
      <c r="N323" s="99"/>
      <c r="O323" s="113"/>
      <c r="P323" s="114"/>
      <c r="Q323" s="113"/>
      <c r="R323" s="114"/>
      <c r="S323" s="113"/>
      <c r="T323" s="114"/>
      <c r="U323" s="113"/>
      <c r="V323" s="115"/>
      <c r="W323" s="113"/>
      <c r="X323" s="115"/>
      <c r="Y323" s="113"/>
      <c r="Z323" s="115"/>
      <c r="AA323" s="650"/>
      <c r="AB323" s="651"/>
      <c r="AC323" s="113"/>
      <c r="AD323" s="114"/>
      <c r="AE323" s="113"/>
      <c r="AF323" s="115"/>
      <c r="AG323" s="113"/>
      <c r="AH323" s="115"/>
      <c r="AI323" s="113"/>
      <c r="AJ323" s="115"/>
      <c r="AK323" s="71">
        <f>G323+I323+K323+M323+O323+Q323+S323+U323+W323+Y323+AA323+AC323+AE323+AG323+AI323</f>
        <v>0</v>
      </c>
      <c r="AL323" s="72"/>
      <c r="AM323" s="73">
        <f>H323+J323+L323+N323+P323+R323+T323+V323+X323+Z323+AB323+AD323+AF323+AH323+AJ323</f>
        <v>0</v>
      </c>
      <c r="AN323" s="72"/>
      <c r="AO323" s="74"/>
      <c r="AP323" s="73"/>
      <c r="AQ323" s="75"/>
      <c r="AR323" s="71">
        <f>+AR316+AK323-M295-M302-M309-M316</f>
        <v>0</v>
      </c>
      <c r="AS323" s="77"/>
      <c r="AT323" s="73">
        <f>+AT316+AM323-N295-N302-N309-N316</f>
        <v>0</v>
      </c>
      <c r="AU323" s="77"/>
      <c r="AV323" s="118"/>
    </row>
    <row r="324" spans="1:48" ht="31.5" customHeight="1" thickBot="1" x14ac:dyDescent="0.3">
      <c r="A324" s="350"/>
      <c r="B324" s="152">
        <f>SUM(MOD(("1/"&amp;A288)-{0;6},{1E+99;7})*{1;-1},A322*7,MATCH(MID(B323,1,2),{"Mo";"Tu";"We";"Th";"Fr";"Sa";"Su"},0)-5)+7</f>
        <v>42492</v>
      </c>
      <c r="C324" s="539"/>
      <c r="D324" s="446" t="s">
        <v>6</v>
      </c>
      <c r="E324" s="446"/>
      <c r="F324" s="446"/>
      <c r="G324" s="153"/>
      <c r="H324" s="154"/>
      <c r="I324" s="153"/>
      <c r="J324" s="154"/>
      <c r="K324" s="82"/>
      <c r="L324" s="155"/>
      <c r="M324" s="120"/>
      <c r="N324" s="121"/>
      <c r="O324" s="82"/>
      <c r="P324" s="155"/>
      <c r="Q324" s="82"/>
      <c r="R324" s="155"/>
      <c r="S324" s="82"/>
      <c r="T324" s="155"/>
      <c r="U324" s="82"/>
      <c r="V324" s="83"/>
      <c r="W324" s="82"/>
      <c r="X324" s="83"/>
      <c r="Y324" s="82"/>
      <c r="Z324" s="83"/>
      <c r="AA324" s="120"/>
      <c r="AB324" s="121"/>
      <c r="AC324" s="120"/>
      <c r="AD324" s="121"/>
      <c r="AE324" s="120"/>
      <c r="AF324" s="122"/>
      <c r="AG324" s="120"/>
      <c r="AH324" s="122"/>
      <c r="AI324" s="82"/>
      <c r="AJ324" s="83"/>
      <c r="AK324" s="123">
        <f>AK322+AK323</f>
        <v>0</v>
      </c>
      <c r="AL324" s="85">
        <f>IF(E318+E320=0,0,AK324/(E318+E320))</f>
        <v>0</v>
      </c>
      <c r="AM324" s="90">
        <f>+AM322+AM323</f>
        <v>0</v>
      </c>
      <c r="AN324" s="85">
        <f>IF((E318+E320)=0,0,AM324/((E318+E320)*14))</f>
        <v>0</v>
      </c>
      <c r="AO324" s="87" t="str">
        <f>IF(AM324=0,"",AM324/AK324)</f>
        <v/>
      </c>
      <c r="AP324" s="88">
        <f>+AP322</f>
        <v>0</v>
      </c>
      <c r="AQ324" s="89"/>
      <c r="AR324" s="123">
        <f>+AR322+AR323</f>
        <v>0</v>
      </c>
      <c r="AS324" s="85">
        <f>AR324/E279</f>
        <v>0</v>
      </c>
      <c r="AT324" s="90">
        <f>+AT322+AT323</f>
        <v>0</v>
      </c>
      <c r="AU324" s="85">
        <f>+AT324/F279</f>
        <v>0</v>
      </c>
      <c r="AV324" s="124">
        <f>+AV322</f>
        <v>0</v>
      </c>
    </row>
    <row r="325" spans="1:48" ht="21" hidden="1" thickBot="1" x14ac:dyDescent="0.3">
      <c r="A325" s="49"/>
      <c r="B325" s="93"/>
      <c r="C325" s="450"/>
      <c r="D325" s="500" t="str">
        <f>$B$6</f>
        <v>Trade</v>
      </c>
      <c r="E325" s="501"/>
      <c r="F325" s="44" t="s">
        <v>36</v>
      </c>
      <c r="G325" s="125"/>
      <c r="H325" s="126"/>
      <c r="I325" s="125"/>
      <c r="J325" s="126"/>
      <c r="K325" s="125"/>
      <c r="L325" s="126"/>
      <c r="M325" s="125"/>
      <c r="N325" s="126"/>
      <c r="O325" s="94"/>
      <c r="P325" s="95"/>
      <c r="Q325" s="45"/>
      <c r="R325" s="46"/>
      <c r="S325" s="45"/>
      <c r="T325" s="46"/>
      <c r="U325" s="45"/>
      <c r="V325" s="46"/>
      <c r="W325" s="45"/>
      <c r="X325" s="46"/>
      <c r="Y325" s="45"/>
      <c r="Z325" s="46"/>
      <c r="AA325" s="45"/>
      <c r="AB325" s="46"/>
      <c r="AC325" s="45"/>
      <c r="AD325" s="46"/>
      <c r="AE325" s="45"/>
      <c r="AF325" s="46"/>
      <c r="AG325" s="45"/>
      <c r="AH325" s="46"/>
      <c r="AI325" s="45"/>
      <c r="AJ325" s="46"/>
      <c r="AK325" s="502">
        <f>G325+I325+K325+M325+O325+Q325+S325+U325+W325+Y325+AA325+AC325+AE325+AG325+AI325</f>
        <v>0</v>
      </c>
      <c r="AL325" s="504">
        <f>IF(E325=0,0,AK325/E325)</f>
        <v>0</v>
      </c>
      <c r="AM325" s="493">
        <f>H325+J325+L325+N325+P325+R325+T325+V325+X325+Z325+AB325+AD325+AF325+AH325+AJ325</f>
        <v>0</v>
      </c>
      <c r="AN325" s="491">
        <f>IF(E325=0,0,AM325/($E325*14))</f>
        <v>0</v>
      </c>
      <c r="AO325" s="492" t="str">
        <f>IF(AM325=0,"",AM325/AK325)</f>
        <v/>
      </c>
      <c r="AP325" s="493">
        <f>G326+I326+K326+M326+O326+Q326+S326+U326+W326+Y326+AA326+AC326+AE326+AG326+AI326</f>
        <v>0</v>
      </c>
      <c r="AQ325" s="47"/>
      <c r="AR325" s="502">
        <f>+AR318+AK325-O290-O297-O304-O311-O318</f>
        <v>0</v>
      </c>
      <c r="AS325" s="504">
        <f>AR325/E143</f>
        <v>0</v>
      </c>
      <c r="AT325" s="648">
        <f>+AT318+AM325-P290-P297+P304+P311-P318</f>
        <v>0</v>
      </c>
      <c r="AU325" s="504">
        <f>+AT325/F143</f>
        <v>0</v>
      </c>
      <c r="AV325" s="514">
        <f>+AV318+AP325-O291-O298-O305-O312-O319</f>
        <v>0</v>
      </c>
    </row>
    <row r="326" spans="1:48" ht="21" hidden="1" thickBot="1" x14ac:dyDescent="0.3">
      <c r="A326" s="49"/>
      <c r="B326" s="156"/>
      <c r="C326" s="451"/>
      <c r="D326" s="457"/>
      <c r="E326" s="459"/>
      <c r="F326" s="50" t="s">
        <v>37</v>
      </c>
      <c r="G326" s="543"/>
      <c r="H326" s="544"/>
      <c r="I326" s="543"/>
      <c r="J326" s="544"/>
      <c r="K326" s="543"/>
      <c r="L326" s="544"/>
      <c r="M326" s="543"/>
      <c r="N326" s="544"/>
      <c r="O326" s="462"/>
      <c r="P326" s="463"/>
      <c r="Q326" s="512"/>
      <c r="R326" s="513"/>
      <c r="S326" s="512"/>
      <c r="T326" s="513"/>
      <c r="U326" s="512"/>
      <c r="V326" s="513"/>
      <c r="W326" s="512"/>
      <c r="X326" s="513"/>
      <c r="Y326" s="512"/>
      <c r="Z326" s="513"/>
      <c r="AA326" s="512"/>
      <c r="AB326" s="513"/>
      <c r="AC326" s="512"/>
      <c r="AD326" s="513"/>
      <c r="AE326" s="512"/>
      <c r="AF326" s="513"/>
      <c r="AG326" s="512"/>
      <c r="AH326" s="513"/>
      <c r="AI326" s="512"/>
      <c r="AJ326" s="513"/>
      <c r="AK326" s="503"/>
      <c r="AL326" s="419"/>
      <c r="AM326" s="505"/>
      <c r="AN326" s="423"/>
      <c r="AO326" s="424"/>
      <c r="AP326" s="425"/>
      <c r="AQ326" s="47"/>
      <c r="AR326" s="503"/>
      <c r="AS326" s="419"/>
      <c r="AT326" s="505"/>
      <c r="AU326" s="419"/>
      <c r="AV326" s="515"/>
    </row>
    <row r="327" spans="1:48" ht="21" hidden="1" thickBot="1" x14ac:dyDescent="0.3">
      <c r="A327" s="49"/>
      <c r="B327" s="96"/>
      <c r="C327" s="451"/>
      <c r="D327" s="479" t="str">
        <f>$B$7</f>
        <v>Feeder</v>
      </c>
      <c r="E327" s="481"/>
      <c r="F327" s="51" t="s">
        <v>36</v>
      </c>
      <c r="G327" s="127"/>
      <c r="H327" s="128"/>
      <c r="I327" s="127"/>
      <c r="J327" s="128"/>
      <c r="K327" s="127"/>
      <c r="L327" s="128"/>
      <c r="M327" s="127"/>
      <c r="N327" s="128"/>
      <c r="O327" s="98"/>
      <c r="P327" s="99"/>
      <c r="Q327" s="52"/>
      <c r="R327" s="53"/>
      <c r="S327" s="52"/>
      <c r="T327" s="53"/>
      <c r="U327" s="52"/>
      <c r="V327" s="53"/>
      <c r="W327" s="52"/>
      <c r="X327" s="53"/>
      <c r="Y327" s="52"/>
      <c r="Z327" s="53"/>
      <c r="AA327" s="52"/>
      <c r="AB327" s="53"/>
      <c r="AC327" s="52"/>
      <c r="AD327" s="53"/>
      <c r="AE327" s="52"/>
      <c r="AF327" s="53"/>
      <c r="AG327" s="52"/>
      <c r="AH327" s="53"/>
      <c r="AI327" s="52"/>
      <c r="AJ327" s="53"/>
      <c r="AK327" s="483">
        <f>G327+I327+K327+M327+O327+Q327+S327+U327+W327+Y327+AA327+AC327+AE327+AG327+AI327</f>
        <v>0</v>
      </c>
      <c r="AL327" s="467">
        <f>IF(E327=0,0,AK327/E327)</f>
        <v>0</v>
      </c>
      <c r="AM327" s="471">
        <f>H327+J327+L327+N327+P327+R327+T327+V327+X327+Z327+AB327+AD327+AF327+AH327+AJ327</f>
        <v>0</v>
      </c>
      <c r="AN327" s="473">
        <f>IF(E325=0,0,AM327/($E325*14))</f>
        <v>0</v>
      </c>
      <c r="AO327" s="475" t="str">
        <f>IF(AM327=0,"",AM327/AK327)</f>
        <v/>
      </c>
      <c r="AP327" s="468">
        <f>G328+I328+K328+M328+O328+Q328+S328+U328+W328+Y328+AA328+AC328+AE328+AG328+AI328</f>
        <v>0</v>
      </c>
      <c r="AQ327" s="47"/>
      <c r="AR327" s="646">
        <f>+AR320+AK327-O292-O299-O306-O313-O320</f>
        <v>0</v>
      </c>
      <c r="AS327" s="467">
        <f>AR327/E144</f>
        <v>0</v>
      </c>
      <c r="AT327" s="647">
        <f>+AT320+AM327-P292-P299+P306+P313-P320</f>
        <v>0</v>
      </c>
      <c r="AU327" s="467">
        <f>+AT327/F144</f>
        <v>0</v>
      </c>
      <c r="AV327" s="508">
        <f>+AV320+AP327-O293-O300-O307-O314-O321</f>
        <v>0</v>
      </c>
    </row>
    <row r="328" spans="1:48" ht="21" hidden="1" thickBot="1" x14ac:dyDescent="0.3">
      <c r="A328" s="49"/>
      <c r="B328" s="157" t="s">
        <v>54</v>
      </c>
      <c r="C328" s="451"/>
      <c r="D328" s="480"/>
      <c r="E328" s="482"/>
      <c r="F328" s="54" t="s">
        <v>37</v>
      </c>
      <c r="G328" s="543"/>
      <c r="H328" s="544"/>
      <c r="I328" s="543"/>
      <c r="J328" s="544"/>
      <c r="K328" s="543"/>
      <c r="L328" s="544"/>
      <c r="M328" s="543"/>
      <c r="N328" s="544"/>
      <c r="O328" s="462"/>
      <c r="P328" s="463"/>
      <c r="Q328" s="506"/>
      <c r="R328" s="507"/>
      <c r="S328" s="506"/>
      <c r="T328" s="507"/>
      <c r="U328" s="506"/>
      <c r="V328" s="507"/>
      <c r="W328" s="506"/>
      <c r="X328" s="507"/>
      <c r="Y328" s="506"/>
      <c r="Z328" s="507"/>
      <c r="AA328" s="506"/>
      <c r="AB328" s="507"/>
      <c r="AC328" s="506"/>
      <c r="AD328" s="507"/>
      <c r="AE328" s="506"/>
      <c r="AF328" s="507"/>
      <c r="AG328" s="506"/>
      <c r="AH328" s="507"/>
      <c r="AI328" s="506"/>
      <c r="AJ328" s="507"/>
      <c r="AK328" s="484"/>
      <c r="AL328" s="467"/>
      <c r="AM328" s="472"/>
      <c r="AN328" s="474"/>
      <c r="AO328" s="475"/>
      <c r="AP328" s="468"/>
      <c r="AQ328" s="47"/>
      <c r="AR328" s="511"/>
      <c r="AS328" s="467"/>
      <c r="AT328" s="647"/>
      <c r="AU328" s="467"/>
      <c r="AV328" s="508"/>
    </row>
    <row r="329" spans="1:48" ht="23.4" hidden="1" thickBot="1" x14ac:dyDescent="0.3">
      <c r="A329" s="49"/>
      <c r="B329" s="158" t="s">
        <v>55</v>
      </c>
      <c r="C329" s="451"/>
      <c r="D329" s="464" t="s">
        <v>38</v>
      </c>
      <c r="E329" s="465"/>
      <c r="F329" s="466"/>
      <c r="G329" s="101"/>
      <c r="H329" s="102"/>
      <c r="I329" s="101"/>
      <c r="J329" s="102"/>
      <c r="K329" s="101"/>
      <c r="L329" s="102"/>
      <c r="M329" s="101"/>
      <c r="N329" s="102"/>
      <c r="O329" s="101"/>
      <c r="P329" s="102"/>
      <c r="Q329" s="101"/>
      <c r="R329" s="102"/>
      <c r="S329" s="106"/>
      <c r="T329" s="108"/>
      <c r="U329" s="106"/>
      <c r="V329" s="108"/>
      <c r="W329" s="106"/>
      <c r="X329" s="108"/>
      <c r="Y329" s="106"/>
      <c r="Z329" s="108"/>
      <c r="AA329" s="106"/>
      <c r="AB329" s="108"/>
      <c r="AC329" s="106"/>
      <c r="AD329" s="108"/>
      <c r="AE329" s="106"/>
      <c r="AF329" s="108"/>
      <c r="AG329" s="106"/>
      <c r="AH329" s="108"/>
      <c r="AI329" s="106"/>
      <c r="AJ329" s="108"/>
      <c r="AK329" s="159">
        <f>+AK325+AK327</f>
        <v>0</v>
      </c>
      <c r="AL329" s="64">
        <f>IF(E325+E327=0,0,AK329/(E325+E327))</f>
        <v>0</v>
      </c>
      <c r="AM329" s="65">
        <f>+SUM(AM327,AM325)</f>
        <v>0</v>
      </c>
      <c r="AN329" s="64">
        <f>IF((E325+E327)=0,0,AM329/((E325+E327)*14))</f>
        <v>0</v>
      </c>
      <c r="AO329" s="160" t="str">
        <f>IF(AM329=0,"",AM329/AK329)</f>
        <v/>
      </c>
      <c r="AP329" s="61">
        <f>+AP325+AP327</f>
        <v>0</v>
      </c>
      <c r="AQ329" s="109"/>
      <c r="AR329" s="63">
        <f>+AR325+AR327</f>
        <v>0</v>
      </c>
      <c r="AS329" s="64">
        <f>AR329/E142</f>
        <v>0</v>
      </c>
      <c r="AT329" s="65">
        <f>+AT325+AT327</f>
        <v>0</v>
      </c>
      <c r="AU329" s="64">
        <f>+AT329/F142</f>
        <v>0</v>
      </c>
      <c r="AV329" s="111">
        <f>+AV325+AV327</f>
        <v>0</v>
      </c>
    </row>
    <row r="330" spans="1:48" ht="21.6" hidden="1" thickBot="1" x14ac:dyDescent="0.3">
      <c r="A330" s="49"/>
      <c r="B330" s="161" t="s">
        <v>43</v>
      </c>
      <c r="C330" s="451"/>
      <c r="D330" s="445" t="s">
        <v>39</v>
      </c>
      <c r="E330" s="445"/>
      <c r="F330" s="445"/>
      <c r="G330" s="131"/>
      <c r="H330" s="132"/>
      <c r="I330" s="131"/>
      <c r="J330" s="132"/>
      <c r="K330" s="131"/>
      <c r="L330" s="132"/>
      <c r="M330" s="131"/>
      <c r="N330" s="132"/>
      <c r="O330" s="98"/>
      <c r="P330" s="99"/>
      <c r="Q330" s="113"/>
      <c r="R330" s="114"/>
      <c r="S330" s="113"/>
      <c r="T330" s="114"/>
      <c r="U330" s="113"/>
      <c r="V330" s="114"/>
      <c r="W330" s="113"/>
      <c r="X330" s="114"/>
      <c r="Y330" s="113"/>
      <c r="Z330" s="114"/>
      <c r="AA330" s="113"/>
      <c r="AB330" s="114"/>
      <c r="AC330" s="113"/>
      <c r="AD330" s="114"/>
      <c r="AE330" s="113"/>
      <c r="AF330" s="114"/>
      <c r="AG330" s="113"/>
      <c r="AH330" s="114"/>
      <c r="AI330" s="113"/>
      <c r="AJ330" s="114"/>
      <c r="AK330" s="71">
        <f>G330+I330+K330+M330+O330+Q330+S330+U330+W330+Y330+AA330+AC330+AE330+AG330+AI330</f>
        <v>0</v>
      </c>
      <c r="AL330" s="72"/>
      <c r="AM330" s="73">
        <f>H330+J330+L330+N330+P330+R330+T330+V330+X330+Z330+AB330+AD330+AF330+AH330+AJ330</f>
        <v>0</v>
      </c>
      <c r="AN330" s="72"/>
      <c r="AO330" s="74"/>
      <c r="AP330" s="73"/>
      <c r="AQ330" s="75"/>
      <c r="AR330" s="71">
        <f>+AR323+AK330-O295-O302+O309+O316-O323</f>
        <v>0</v>
      </c>
      <c r="AS330" s="77"/>
      <c r="AT330" s="73">
        <f>+AT323+AM330-P295-P302-P309-P316-P323</f>
        <v>0</v>
      </c>
      <c r="AU330" s="77"/>
      <c r="AV330" s="118"/>
    </row>
    <row r="331" spans="1:48" ht="23.4" hidden="1" thickBot="1" x14ac:dyDescent="0.3">
      <c r="A331" s="49"/>
      <c r="B331" s="152">
        <f>SUM(MOD(("1/"&amp;$A$14)-{0;6},{1E+99;7})*{1;-1},$A$48*7,MATCH(MID(B330,1,2),{"Mo";"Tu";"We";"Th";"Fr";"Sa";"Su"},0)-5)</f>
        <v>42431</v>
      </c>
      <c r="C331" s="539"/>
      <c r="D331" s="446" t="s">
        <v>6</v>
      </c>
      <c r="E331" s="446"/>
      <c r="F331" s="446"/>
      <c r="G331" s="120"/>
      <c r="H331" s="121"/>
      <c r="I331" s="120"/>
      <c r="J331" s="121"/>
      <c r="K331" s="120"/>
      <c r="L331" s="121"/>
      <c r="M331" s="120"/>
      <c r="N331" s="121"/>
      <c r="O331" s="120"/>
      <c r="P331" s="121"/>
      <c r="Q331" s="120"/>
      <c r="R331" s="121"/>
      <c r="S331" s="120"/>
      <c r="T331" s="121"/>
      <c r="U331" s="120"/>
      <c r="V331" s="121"/>
      <c r="W331" s="120"/>
      <c r="X331" s="121"/>
      <c r="Y331" s="120"/>
      <c r="Z331" s="121"/>
      <c r="AA331" s="120"/>
      <c r="AB331" s="121"/>
      <c r="AC331" s="120"/>
      <c r="AD331" s="121"/>
      <c r="AE331" s="120"/>
      <c r="AF331" s="121"/>
      <c r="AG331" s="120"/>
      <c r="AH331" s="121"/>
      <c r="AI331" s="120"/>
      <c r="AJ331" s="121"/>
      <c r="AK331" s="123">
        <f>AK329+AK330</f>
        <v>0</v>
      </c>
      <c r="AL331" s="85">
        <f>IF(E325+E327=0,0,AK331/(E325+E327))</f>
        <v>0</v>
      </c>
      <c r="AM331" s="90">
        <f>+AM329+AM330</f>
        <v>0</v>
      </c>
      <c r="AN331" s="85">
        <f>IF((E325+E327)=0,0,AM331/((E325+E327)*14))</f>
        <v>0</v>
      </c>
      <c r="AO331" s="87" t="str">
        <f>IF(AM331=0,"",AM331/AK331)</f>
        <v/>
      </c>
      <c r="AP331" s="88">
        <f>+AP329</f>
        <v>0</v>
      </c>
      <c r="AQ331" s="109"/>
      <c r="AR331" s="123">
        <f>+AR329+AR330</f>
        <v>0</v>
      </c>
      <c r="AS331" s="85">
        <f>AR331/E142</f>
        <v>0</v>
      </c>
      <c r="AT331" s="90">
        <f>+AT329+AT330</f>
        <v>0</v>
      </c>
      <c r="AU331" s="85">
        <f>+AT331/F142</f>
        <v>0</v>
      </c>
      <c r="AV331" s="124">
        <f>+AV329</f>
        <v>0</v>
      </c>
    </row>
    <row r="332" spans="1:48" ht="21" hidden="1" thickBot="1" x14ac:dyDescent="0.3">
      <c r="A332" s="49"/>
      <c r="B332" s="93"/>
      <c r="C332" s="551"/>
      <c r="D332" s="500" t="str">
        <f>$B$6</f>
        <v>Trade</v>
      </c>
      <c r="E332" s="501"/>
      <c r="F332" s="44" t="s">
        <v>36</v>
      </c>
      <c r="G332" s="125"/>
      <c r="H332" s="126"/>
      <c r="I332" s="125"/>
      <c r="J332" s="126"/>
      <c r="K332" s="125"/>
      <c r="L332" s="126"/>
      <c r="M332" s="125"/>
      <c r="N332" s="126"/>
      <c r="O332" s="125"/>
      <c r="P332" s="126"/>
      <c r="Q332" s="94"/>
      <c r="R332" s="95"/>
      <c r="S332" s="45"/>
      <c r="T332" s="46"/>
      <c r="U332" s="45"/>
      <c r="V332" s="46"/>
      <c r="W332" s="45"/>
      <c r="X332" s="46"/>
      <c r="Y332" s="45"/>
      <c r="Z332" s="46"/>
      <c r="AA332" s="45"/>
      <c r="AB332" s="46"/>
      <c r="AC332" s="45"/>
      <c r="AD332" s="46"/>
      <c r="AE332" s="45"/>
      <c r="AF332" s="46"/>
      <c r="AG332" s="45"/>
      <c r="AH332" s="46"/>
      <c r="AI332" s="45"/>
      <c r="AJ332" s="46"/>
      <c r="AK332" s="502">
        <f>G332+I332+K332+M332+O332+Q332+S332+U332+W332+Y332+AA332+AC332+AE332+AG332+AI332</f>
        <v>0</v>
      </c>
      <c r="AL332" s="504">
        <f>IF(E332=0,0,AK332/E332)</f>
        <v>0</v>
      </c>
      <c r="AM332" s="493">
        <f>H332+J332+L332+N332+P332+R332+T332+V332+X332+Z332+AB332+AD332+AF332+AH332+AJ332</f>
        <v>0</v>
      </c>
      <c r="AN332" s="491">
        <f>IF(E332=0,0,AM332/($E332*14))</f>
        <v>0</v>
      </c>
      <c r="AO332" s="492" t="str">
        <f>IF(AM332=0,"",AM332/AK332)</f>
        <v/>
      </c>
      <c r="AP332" s="493">
        <f>G333+I333+K333+M333+O333+Q333+S333+U333+W333+Y333+AA333+AC333+AE333+AG333+AI333</f>
        <v>0</v>
      </c>
      <c r="AQ332" s="47"/>
      <c r="AR332" s="502">
        <f>+AR325+AK332-Q290-Q297-Q304-Q311-Q318-Q325</f>
        <v>0</v>
      </c>
      <c r="AS332" s="504">
        <f>AR332/E143</f>
        <v>0</v>
      </c>
      <c r="AT332" s="648">
        <f>+AT325+AM332-R290-R297-R304-R311-R318-R325</f>
        <v>0</v>
      </c>
      <c r="AU332" s="504">
        <f>+AT332/F143</f>
        <v>0</v>
      </c>
      <c r="AV332" s="514">
        <f>+AV325+AP332-Q291-Q298-Q305-Q312-Q319-Q326</f>
        <v>0</v>
      </c>
    </row>
    <row r="333" spans="1:48" ht="21" hidden="1" thickBot="1" x14ac:dyDescent="0.3">
      <c r="A333" s="49"/>
      <c r="B333" s="96"/>
      <c r="C333" s="552"/>
      <c r="D333" s="457"/>
      <c r="E333" s="459"/>
      <c r="F333" s="50" t="s">
        <v>37</v>
      </c>
      <c r="G333" s="543"/>
      <c r="H333" s="544"/>
      <c r="I333" s="543"/>
      <c r="J333" s="544"/>
      <c r="K333" s="543"/>
      <c r="L333" s="544"/>
      <c r="M333" s="543"/>
      <c r="N333" s="544"/>
      <c r="O333" s="543"/>
      <c r="P333" s="544"/>
      <c r="Q333" s="462"/>
      <c r="R333" s="463"/>
      <c r="S333" s="512"/>
      <c r="T333" s="513"/>
      <c r="U333" s="512"/>
      <c r="V333" s="513"/>
      <c r="W333" s="512"/>
      <c r="X333" s="513"/>
      <c r="Y333" s="512"/>
      <c r="Z333" s="513"/>
      <c r="AA333" s="512"/>
      <c r="AB333" s="513"/>
      <c r="AC333" s="512"/>
      <c r="AD333" s="513"/>
      <c r="AE333" s="512"/>
      <c r="AF333" s="513"/>
      <c r="AG333" s="512"/>
      <c r="AH333" s="513"/>
      <c r="AI333" s="512"/>
      <c r="AJ333" s="513"/>
      <c r="AK333" s="503"/>
      <c r="AL333" s="419"/>
      <c r="AM333" s="505"/>
      <c r="AN333" s="423"/>
      <c r="AO333" s="424"/>
      <c r="AP333" s="425"/>
      <c r="AQ333" s="47"/>
      <c r="AR333" s="503"/>
      <c r="AS333" s="419"/>
      <c r="AT333" s="505"/>
      <c r="AU333" s="419"/>
      <c r="AV333" s="515"/>
    </row>
    <row r="334" spans="1:48" ht="21" hidden="1" thickBot="1" x14ac:dyDescent="0.3">
      <c r="A334" s="49"/>
      <c r="B334" s="157" t="s">
        <v>54</v>
      </c>
      <c r="C334" s="552"/>
      <c r="D334" s="479" t="str">
        <f>$B$7</f>
        <v>Feeder</v>
      </c>
      <c r="E334" s="481"/>
      <c r="F334" s="51" t="s">
        <v>36</v>
      </c>
      <c r="G334" s="127"/>
      <c r="H334" s="128"/>
      <c r="I334" s="127"/>
      <c r="J334" s="128"/>
      <c r="K334" s="127"/>
      <c r="L334" s="128"/>
      <c r="M334" s="127"/>
      <c r="N334" s="128"/>
      <c r="O334" s="127"/>
      <c r="P334" s="128"/>
      <c r="Q334" s="98"/>
      <c r="R334" s="99"/>
      <c r="S334" s="52"/>
      <c r="T334" s="53"/>
      <c r="U334" s="52"/>
      <c r="V334" s="53"/>
      <c r="W334" s="52"/>
      <c r="X334" s="53"/>
      <c r="Y334" s="52"/>
      <c r="Z334" s="53"/>
      <c r="AA334" s="52"/>
      <c r="AB334" s="53"/>
      <c r="AC334" s="52"/>
      <c r="AD334" s="53"/>
      <c r="AE334" s="52"/>
      <c r="AF334" s="53"/>
      <c r="AG334" s="52"/>
      <c r="AH334" s="53"/>
      <c r="AI334" s="52"/>
      <c r="AJ334" s="53"/>
      <c r="AK334" s="483">
        <f>G334+I334+K334+M334+O334+Q334+S334+U334+W334+Y334+AA334+AC334+AE334+AG334+AI334</f>
        <v>0</v>
      </c>
      <c r="AL334" s="467">
        <f>IF(E334=0,0,AK334/E334)</f>
        <v>0</v>
      </c>
      <c r="AM334" s="471">
        <f>H334+J334+L334+N334+P334+R334+T334+V334+X334+Z334+AB334+AD334+AF334+AH334+AJ334</f>
        <v>0</v>
      </c>
      <c r="AN334" s="473">
        <f>IF(E332=0,0,AM334/($E332*14))</f>
        <v>0</v>
      </c>
      <c r="AO334" s="475" t="str">
        <f>IF(AM334=0,"",AM334/AK334)</f>
        <v/>
      </c>
      <c r="AP334" s="468">
        <f>G335+I335+K335+M335+O335+Q335+S335+U335+W335+Y335+AA335+AC335+AE335+AG335+AI335</f>
        <v>0</v>
      </c>
      <c r="AQ334" s="47"/>
      <c r="AR334" s="646">
        <f>+AR327+AK334-Q292-Q299-Q306-Q313-Q320-Q327</f>
        <v>0</v>
      </c>
      <c r="AS334" s="467">
        <f>AR334/E144</f>
        <v>0</v>
      </c>
      <c r="AT334" s="647">
        <f>+AT327+AM334-R292-R299-R306-R313-R320-R327</f>
        <v>0</v>
      </c>
      <c r="AU334" s="467">
        <f>+AT334/F144</f>
        <v>0</v>
      </c>
      <c r="AV334" s="508">
        <f>+AV327+AP334-Q293-Q300-Q307-Q314-Q321-Q328</f>
        <v>0</v>
      </c>
    </row>
    <row r="335" spans="1:48" ht="21" hidden="1" thickBot="1" x14ac:dyDescent="0.3">
      <c r="A335" s="49"/>
      <c r="B335" s="100"/>
      <c r="C335" s="552"/>
      <c r="D335" s="480"/>
      <c r="E335" s="482"/>
      <c r="F335" s="54" t="s">
        <v>37</v>
      </c>
      <c r="G335" s="543"/>
      <c r="H335" s="544"/>
      <c r="I335" s="543"/>
      <c r="J335" s="544"/>
      <c r="K335" s="543"/>
      <c r="L335" s="544"/>
      <c r="M335" s="543"/>
      <c r="N335" s="544"/>
      <c r="O335" s="543"/>
      <c r="P335" s="544"/>
      <c r="Q335" s="462"/>
      <c r="R335" s="463"/>
      <c r="S335" s="506"/>
      <c r="T335" s="507"/>
      <c r="U335" s="506"/>
      <c r="V335" s="507"/>
      <c r="W335" s="506"/>
      <c r="X335" s="507"/>
      <c r="Y335" s="506"/>
      <c r="Z335" s="507"/>
      <c r="AA335" s="506"/>
      <c r="AB335" s="507"/>
      <c r="AC335" s="506"/>
      <c r="AD335" s="507"/>
      <c r="AE335" s="506"/>
      <c r="AF335" s="507"/>
      <c r="AG335" s="506"/>
      <c r="AH335" s="507"/>
      <c r="AI335" s="506"/>
      <c r="AJ335" s="507"/>
      <c r="AK335" s="484"/>
      <c r="AL335" s="467"/>
      <c r="AM335" s="472"/>
      <c r="AN335" s="474"/>
      <c r="AO335" s="475"/>
      <c r="AP335" s="468"/>
      <c r="AQ335" s="47"/>
      <c r="AR335" s="511"/>
      <c r="AS335" s="467"/>
      <c r="AT335" s="647"/>
      <c r="AU335" s="467"/>
      <c r="AV335" s="508"/>
    </row>
    <row r="336" spans="1:48" ht="23.4" hidden="1" thickBot="1" x14ac:dyDescent="0.3">
      <c r="A336" s="49"/>
      <c r="B336" s="158" t="s">
        <v>56</v>
      </c>
      <c r="C336" s="552"/>
      <c r="D336" s="464" t="s">
        <v>38</v>
      </c>
      <c r="E336" s="465"/>
      <c r="F336" s="466"/>
      <c r="G336" s="101"/>
      <c r="H336" s="102"/>
      <c r="I336" s="101"/>
      <c r="J336" s="102"/>
      <c r="K336" s="101"/>
      <c r="L336" s="102"/>
      <c r="M336" s="101"/>
      <c r="N336" s="102"/>
      <c r="O336" s="101"/>
      <c r="P336" s="102"/>
      <c r="Q336" s="101"/>
      <c r="R336" s="102"/>
      <c r="S336" s="106"/>
      <c r="T336" s="108"/>
      <c r="U336" s="106"/>
      <c r="V336" s="108"/>
      <c r="W336" s="106"/>
      <c r="X336" s="108"/>
      <c r="Y336" s="106"/>
      <c r="Z336" s="108"/>
      <c r="AA336" s="101"/>
      <c r="AB336" s="102"/>
      <c r="AC336" s="106"/>
      <c r="AD336" s="108"/>
      <c r="AE336" s="106"/>
      <c r="AF336" s="108"/>
      <c r="AG336" s="101"/>
      <c r="AH336" s="102"/>
      <c r="AI336" s="101"/>
      <c r="AJ336" s="102"/>
      <c r="AK336" s="159">
        <f>+AK332+AK334</f>
        <v>0</v>
      </c>
      <c r="AL336" s="64">
        <f>IF(E332+E334=0,0,AK336/(E332+E334))</f>
        <v>0</v>
      </c>
      <c r="AM336" s="65">
        <f>+SUM(AM334,AM332)</f>
        <v>0</v>
      </c>
      <c r="AN336" s="64">
        <f>IF((E332+E334)=0,0,AM336/((E332+E334)*14))</f>
        <v>0</v>
      </c>
      <c r="AO336" s="160" t="str">
        <f>IF(AM336=0,"",AM336/AK336)</f>
        <v/>
      </c>
      <c r="AP336" s="61">
        <f>+AP332+AP334</f>
        <v>0</v>
      </c>
      <c r="AQ336" s="109"/>
      <c r="AR336" s="63">
        <f>+AR332+AR334</f>
        <v>0</v>
      </c>
      <c r="AS336" s="64">
        <f>AR336/E142</f>
        <v>0</v>
      </c>
      <c r="AT336" s="65">
        <f>+AT332+AT334</f>
        <v>0</v>
      </c>
      <c r="AU336" s="64">
        <f>+AT336/F142</f>
        <v>0</v>
      </c>
      <c r="AV336" s="111">
        <f>+AV332+AV334</f>
        <v>0</v>
      </c>
    </row>
    <row r="337" spans="1:48" ht="21.6" hidden="1" thickBot="1" x14ac:dyDescent="0.3">
      <c r="A337" s="49"/>
      <c r="B337" s="161" t="s">
        <v>47</v>
      </c>
      <c r="C337" s="552"/>
      <c r="D337" s="445" t="s">
        <v>39</v>
      </c>
      <c r="E337" s="445"/>
      <c r="F337" s="445"/>
      <c r="G337" s="131"/>
      <c r="H337" s="132"/>
      <c r="I337" s="131"/>
      <c r="J337" s="132"/>
      <c r="K337" s="131"/>
      <c r="L337" s="132"/>
      <c r="M337" s="131"/>
      <c r="N337" s="132"/>
      <c r="O337" s="131"/>
      <c r="P337" s="132"/>
      <c r="Q337" s="98"/>
      <c r="R337" s="99"/>
      <c r="S337" s="113"/>
      <c r="T337" s="114"/>
      <c r="U337" s="113"/>
      <c r="V337" s="114"/>
      <c r="W337" s="113"/>
      <c r="X337" s="114"/>
      <c r="Y337" s="113"/>
      <c r="Z337" s="114"/>
      <c r="AA337" s="113"/>
      <c r="AB337" s="114"/>
      <c r="AC337" s="113"/>
      <c r="AD337" s="114"/>
      <c r="AE337" s="113"/>
      <c r="AF337" s="114"/>
      <c r="AG337" s="113"/>
      <c r="AH337" s="114"/>
      <c r="AI337" s="113"/>
      <c r="AJ337" s="114"/>
      <c r="AK337" s="71">
        <f>G337+I337+K337+M337+O337+Q337+S337+U337+W337+Y337+AA337+AC337+AE337+AG337+AI337</f>
        <v>0</v>
      </c>
      <c r="AL337" s="72"/>
      <c r="AM337" s="73">
        <f>H337+J337+L337+N337+P337+R337+T337+V337+X337+Z337+AB337+AD337+AF337+AH337+AJ337</f>
        <v>0</v>
      </c>
      <c r="AN337" s="72"/>
      <c r="AO337" s="74"/>
      <c r="AP337" s="73"/>
      <c r="AQ337" s="75"/>
      <c r="AR337" s="71">
        <f>+AR330+AK337-Q295-Q302-Q309-Q316-Q323-Q330</f>
        <v>0</v>
      </c>
      <c r="AS337" s="77"/>
      <c r="AT337" s="73">
        <f>+AT330+AM337-R295-R302-R309-R316-R323-R330</f>
        <v>0</v>
      </c>
      <c r="AU337" s="77"/>
      <c r="AV337" s="118"/>
    </row>
    <row r="338" spans="1:48" ht="23.4" hidden="1" thickBot="1" x14ac:dyDescent="0.3">
      <c r="A338" s="49"/>
      <c r="B338" s="152">
        <f>SUM(MOD(("1/"&amp;$A$14)-{0;6},{1E+99;7})*{1;-1},$A$48*7,MATCH(MID(B337,1,2),{"Mo";"Tu";"We";"Th";"Fr";"Sa";"Su"},0)-5)</f>
        <v>42432</v>
      </c>
      <c r="C338" s="553"/>
      <c r="D338" s="446" t="s">
        <v>6</v>
      </c>
      <c r="E338" s="446"/>
      <c r="F338" s="446"/>
      <c r="G338" s="120"/>
      <c r="H338" s="121"/>
      <c r="I338" s="120"/>
      <c r="J338" s="121"/>
      <c r="K338" s="120"/>
      <c r="L338" s="121"/>
      <c r="M338" s="120"/>
      <c r="N338" s="121"/>
      <c r="O338" s="120"/>
      <c r="P338" s="121"/>
      <c r="Q338" s="120"/>
      <c r="R338" s="121"/>
      <c r="S338" s="120"/>
      <c r="T338" s="121"/>
      <c r="U338" s="120"/>
      <c r="V338" s="121"/>
      <c r="W338" s="120"/>
      <c r="X338" s="121"/>
      <c r="Y338" s="120"/>
      <c r="Z338" s="121"/>
      <c r="AA338" s="120"/>
      <c r="AB338" s="121"/>
      <c r="AC338" s="120"/>
      <c r="AD338" s="121"/>
      <c r="AE338" s="120"/>
      <c r="AF338" s="121"/>
      <c r="AG338" s="120"/>
      <c r="AH338" s="121"/>
      <c r="AI338" s="120"/>
      <c r="AJ338" s="121"/>
      <c r="AK338" s="123">
        <f>AK336+AK337</f>
        <v>0</v>
      </c>
      <c r="AL338" s="85">
        <f>IF(E332+E334=0,0,AK338/(E332+E334))</f>
        <v>0</v>
      </c>
      <c r="AM338" s="90">
        <f>+AM336+AM337</f>
        <v>0</v>
      </c>
      <c r="AN338" s="85">
        <f>IF((E332+E334)=0,0,AM338/((E332+E334)*14))</f>
        <v>0</v>
      </c>
      <c r="AO338" s="87" t="str">
        <f>IF(AM338=0,"",AM338/AK338)</f>
        <v/>
      </c>
      <c r="AP338" s="88">
        <f>+AP336</f>
        <v>0</v>
      </c>
      <c r="AQ338" s="109"/>
      <c r="AR338" s="123">
        <f>+AR336+AR337</f>
        <v>0</v>
      </c>
      <c r="AS338" s="85">
        <f>AR338/E142</f>
        <v>0</v>
      </c>
      <c r="AT338" s="90">
        <f>+AT336+AT337</f>
        <v>0</v>
      </c>
      <c r="AU338" s="85">
        <f>+AT338/F142</f>
        <v>0</v>
      </c>
      <c r="AV338" s="124">
        <f>+AV336</f>
        <v>0</v>
      </c>
    </row>
    <row r="339" spans="1:48" ht="21.6" outlineLevel="1" thickBot="1" x14ac:dyDescent="0.3">
      <c r="A339" s="49"/>
      <c r="B339" s="447" t="s">
        <v>6</v>
      </c>
      <c r="C339" s="450"/>
      <c r="D339" s="452" t="str">
        <f>$B$6</f>
        <v>Trade</v>
      </c>
      <c r="E339" s="454">
        <f>E297+E304+E311+E318+E325+E332</f>
        <v>300</v>
      </c>
      <c r="F339" s="162" t="s">
        <v>36</v>
      </c>
      <c r="G339" s="163"/>
      <c r="H339" s="164"/>
      <c r="I339" s="163"/>
      <c r="J339" s="164"/>
      <c r="K339" s="163"/>
      <c r="L339" s="164"/>
      <c r="M339" s="163"/>
      <c r="N339" s="164"/>
      <c r="O339" s="163"/>
      <c r="P339" s="164"/>
      <c r="Q339" s="163"/>
      <c r="R339" s="164"/>
      <c r="S339" s="163"/>
      <c r="T339" s="164"/>
      <c r="U339" s="163"/>
      <c r="V339" s="164"/>
      <c r="W339" s="163"/>
      <c r="X339" s="164"/>
      <c r="Y339" s="163"/>
      <c r="Z339" s="164"/>
      <c r="AA339" s="163"/>
      <c r="AB339" s="164"/>
      <c r="AC339" s="163"/>
      <c r="AD339" s="164"/>
      <c r="AE339" s="163"/>
      <c r="AF339" s="164"/>
      <c r="AG339" s="163"/>
      <c r="AH339" s="164"/>
      <c r="AI339" s="163"/>
      <c r="AJ339" s="164"/>
      <c r="AK339" s="434">
        <f>G339+I339+K339+M339+O339+Q339+S339+U339+W339+Y339+AA339+AC339+AE339+AG339+AI339</f>
        <v>0</v>
      </c>
      <c r="AL339" s="436">
        <f>IF(E339=0,0,AK339/E339)</f>
        <v>0</v>
      </c>
      <c r="AM339" s="438">
        <f>H339+J339+L339+N339+P339+R339+T339+V339+X339+Z339+AB339+AD339+AF339+AH339+AJ339</f>
        <v>0</v>
      </c>
      <c r="AN339" s="440">
        <f>IF(E339=0,0,AM339/($E339*14))</f>
        <v>0</v>
      </c>
      <c r="AO339" s="442" t="str">
        <f>IF(AM339=0,"",AM339/AK339)</f>
        <v/>
      </c>
      <c r="AP339" s="438">
        <f>G340+I340+K340+M340+O340+Q340+S340+U340+W340+Y340+AA340+AC340+AE340+AG340+AI340</f>
        <v>0</v>
      </c>
      <c r="AQ339" s="109"/>
    </row>
    <row r="340" spans="1:48" ht="20.25" customHeight="1" outlineLevel="1" x14ac:dyDescent="0.25">
      <c r="A340" s="49"/>
      <c r="B340" s="448"/>
      <c r="C340" s="451"/>
      <c r="D340" s="453"/>
      <c r="E340" s="455"/>
      <c r="F340" s="165" t="s">
        <v>37</v>
      </c>
      <c r="G340" s="426"/>
      <c r="H340" s="427"/>
      <c r="I340" s="426"/>
      <c r="J340" s="427"/>
      <c r="K340" s="426"/>
      <c r="L340" s="427"/>
      <c r="M340" s="426"/>
      <c r="N340" s="427"/>
      <c r="O340" s="426"/>
      <c r="P340" s="427"/>
      <c r="Q340" s="426"/>
      <c r="R340" s="427"/>
      <c r="S340" s="426"/>
      <c r="T340" s="427"/>
      <c r="U340" s="426"/>
      <c r="V340" s="427"/>
      <c r="W340" s="426"/>
      <c r="X340" s="427"/>
      <c r="Y340" s="426"/>
      <c r="Z340" s="427"/>
      <c r="AA340" s="426"/>
      <c r="AB340" s="427"/>
      <c r="AC340" s="426"/>
      <c r="AD340" s="427"/>
      <c r="AE340" s="426"/>
      <c r="AF340" s="427"/>
      <c r="AG340" s="426"/>
      <c r="AH340" s="427"/>
      <c r="AI340" s="426"/>
      <c r="AJ340" s="427"/>
      <c r="AK340" s="435"/>
      <c r="AL340" s="437"/>
      <c r="AM340" s="439"/>
      <c r="AN340" s="441"/>
      <c r="AO340" s="443"/>
      <c r="AP340" s="444"/>
      <c r="AQ340" s="109"/>
      <c r="AR340" s="640" t="s">
        <v>57</v>
      </c>
      <c r="AS340" s="641"/>
      <c r="AT340" s="641"/>
      <c r="AU340" s="641"/>
      <c r="AV340" s="642"/>
    </row>
    <row r="341" spans="1:48" ht="21" customHeight="1" outlineLevel="1" thickBot="1" x14ac:dyDescent="0.3">
      <c r="A341" s="49"/>
      <c r="B341" s="448"/>
      <c r="C341" s="451"/>
      <c r="D341" s="456" t="str">
        <f>$B$7</f>
        <v>Feeder</v>
      </c>
      <c r="E341" s="458"/>
      <c r="F341" s="166" t="s">
        <v>36</v>
      </c>
      <c r="G341" s="167"/>
      <c r="H341" s="168"/>
      <c r="I341" s="167"/>
      <c r="J341" s="168"/>
      <c r="K341" s="167"/>
      <c r="L341" s="168"/>
      <c r="M341" s="167"/>
      <c r="N341" s="168"/>
      <c r="O341" s="167"/>
      <c r="P341" s="168"/>
      <c r="Q341" s="167"/>
      <c r="R341" s="168"/>
      <c r="S341" s="167"/>
      <c r="T341" s="168"/>
      <c r="U341" s="167"/>
      <c r="V341" s="168"/>
      <c r="W341" s="167"/>
      <c r="X341" s="168"/>
      <c r="Y341" s="167"/>
      <c r="Z341" s="168"/>
      <c r="AA341" s="167"/>
      <c r="AB341" s="168"/>
      <c r="AC341" s="167"/>
      <c r="AD341" s="168"/>
      <c r="AE341" s="167"/>
      <c r="AF341" s="168"/>
      <c r="AG341" s="167"/>
      <c r="AH341" s="168"/>
      <c r="AI341" s="167"/>
      <c r="AJ341" s="168"/>
      <c r="AK341" s="417">
        <f>G341+I341+K341+M341+O341+Q341+S341+U341+W341+Y341+AA341+AC341+AE341+AG341+AI341</f>
        <v>0</v>
      </c>
      <c r="AL341" s="419">
        <f>IF(E341=0,0,AK341/E341)</f>
        <v>0</v>
      </c>
      <c r="AM341" s="420">
        <f>H341+J341+L341+N341+P341+R341+T341+V341+X341+Z341+AB341+AD341+AF341+AH341+AJ341</f>
        <v>0</v>
      </c>
      <c r="AN341" s="422">
        <f>IF(E339=0,0,AM341/($E339*14))</f>
        <v>0</v>
      </c>
      <c r="AO341" s="424" t="str">
        <f>IF(AM341=0,"",AM341/AK341)</f>
        <v/>
      </c>
      <c r="AP341" s="425">
        <f>G342+I342+K342+M342+O342+Q342+S342+U342+W342+Y342+AA342+AC342+AE342+AG342+AI342</f>
        <v>0</v>
      </c>
      <c r="AQ341" s="109"/>
      <c r="AR341" s="643"/>
      <c r="AS341" s="644"/>
      <c r="AT341" s="644"/>
      <c r="AU341" s="644"/>
      <c r="AV341" s="645"/>
    </row>
    <row r="342" spans="1:48" ht="22.8" outlineLevel="1" x14ac:dyDescent="0.25">
      <c r="A342" s="49"/>
      <c r="B342" s="448"/>
      <c r="C342" s="451"/>
      <c r="D342" s="457"/>
      <c r="E342" s="459"/>
      <c r="F342" s="50" t="s">
        <v>37</v>
      </c>
      <c r="G342" s="167"/>
      <c r="H342" s="168"/>
      <c r="I342" s="167"/>
      <c r="J342" s="168"/>
      <c r="K342" s="167"/>
      <c r="L342" s="168"/>
      <c r="M342" s="167"/>
      <c r="N342" s="168"/>
      <c r="O342" s="167"/>
      <c r="P342" s="168"/>
      <c r="Q342" s="167"/>
      <c r="R342" s="168"/>
      <c r="S342" s="167"/>
      <c r="T342" s="168"/>
      <c r="U342" s="167"/>
      <c r="V342" s="168"/>
      <c r="W342" s="167"/>
      <c r="X342" s="168"/>
      <c r="Y342" s="167"/>
      <c r="Z342" s="168"/>
      <c r="AA342" s="167"/>
      <c r="AB342" s="168"/>
      <c r="AC342" s="167"/>
      <c r="AD342" s="168"/>
      <c r="AE342" s="167"/>
      <c r="AF342" s="168"/>
      <c r="AG342" s="167"/>
      <c r="AH342" s="168"/>
      <c r="AI342" s="167"/>
      <c r="AJ342" s="168"/>
      <c r="AK342" s="418"/>
      <c r="AL342" s="419"/>
      <c r="AM342" s="421"/>
      <c r="AN342" s="423"/>
      <c r="AO342" s="424"/>
      <c r="AP342" s="425"/>
      <c r="AQ342" s="109"/>
      <c r="AR342" s="169" t="s">
        <v>9</v>
      </c>
      <c r="AS342" s="170" t="s">
        <v>29</v>
      </c>
      <c r="AT342" s="171" t="s">
        <v>30</v>
      </c>
      <c r="AU342" s="172" t="s">
        <v>29</v>
      </c>
      <c r="AV342" s="173"/>
    </row>
    <row r="343" spans="1:48" ht="24" customHeight="1" thickBot="1" x14ac:dyDescent="0.3">
      <c r="A343" s="49"/>
      <c r="B343" s="448"/>
      <c r="C343" s="451"/>
      <c r="D343" s="409" t="s">
        <v>38</v>
      </c>
      <c r="E343" s="410"/>
      <c r="F343" s="411"/>
      <c r="G343" s="174"/>
      <c r="H343" s="175"/>
      <c r="I343" s="174"/>
      <c r="J343" s="175"/>
      <c r="K343" s="174"/>
      <c r="L343" s="175"/>
      <c r="M343" s="174"/>
      <c r="N343" s="175"/>
      <c r="O343" s="174"/>
      <c r="P343" s="175"/>
      <c r="Q343" s="174"/>
      <c r="R343" s="175"/>
      <c r="S343" s="174"/>
      <c r="T343" s="175"/>
      <c r="U343" s="174"/>
      <c r="V343" s="175"/>
      <c r="W343" s="174"/>
      <c r="X343" s="175"/>
      <c r="Y343" s="174"/>
      <c r="Z343" s="175"/>
      <c r="AA343" s="174"/>
      <c r="AB343" s="175"/>
      <c r="AC343" s="174"/>
      <c r="AD343" s="175"/>
      <c r="AE343" s="174"/>
      <c r="AF343" s="175"/>
      <c r="AG343" s="174"/>
      <c r="AH343" s="175"/>
      <c r="AI343" s="174"/>
      <c r="AJ343" s="175"/>
      <c r="AK343" s="176">
        <f>+AK339+AK341</f>
        <v>0</v>
      </c>
      <c r="AL343" s="177">
        <f>IF(E339+E341=0,0,AK343/(E339+E341))</f>
        <v>0</v>
      </c>
      <c r="AM343" s="178">
        <f>+SUM(AM341,AM339)</f>
        <v>0</v>
      </c>
      <c r="AN343" s="177">
        <f>IF((E339+E341)=0,0,AM343/((E339+E341)*14))</f>
        <v>0</v>
      </c>
      <c r="AO343" s="179" t="str">
        <f>IF(AM343=0,"",AM343/AK343)</f>
        <v/>
      </c>
      <c r="AP343" s="180">
        <f>+AP339+AP341</f>
        <v>0</v>
      </c>
      <c r="AQ343" s="109"/>
      <c r="AR343" s="181"/>
      <c r="AS343" s="182"/>
      <c r="AT343" s="183"/>
      <c r="AU343" s="182"/>
      <c r="AV343" s="183"/>
    </row>
    <row r="344" spans="1:48" ht="23.4" thickBot="1" x14ac:dyDescent="0.3">
      <c r="A344" s="49"/>
      <c r="B344" s="449"/>
      <c r="C344" s="451"/>
      <c r="D344" s="412" t="s">
        <v>39</v>
      </c>
      <c r="E344" s="412"/>
      <c r="F344" s="412"/>
      <c r="G344" s="184"/>
      <c r="H344" s="185"/>
      <c r="I344" s="184"/>
      <c r="J344" s="185"/>
      <c r="K344" s="184"/>
      <c r="L344" s="185"/>
      <c r="M344" s="184"/>
      <c r="N344" s="185"/>
      <c r="O344" s="184"/>
      <c r="P344" s="185"/>
      <c r="Q344" s="184"/>
      <c r="R344" s="185"/>
      <c r="S344" s="184"/>
      <c r="T344" s="185"/>
      <c r="U344" s="184"/>
      <c r="V344" s="185"/>
      <c r="W344" s="184"/>
      <c r="X344" s="185"/>
      <c r="Y344" s="184"/>
      <c r="Z344" s="185"/>
      <c r="AA344" s="184"/>
      <c r="AB344" s="185"/>
      <c r="AC344" s="184"/>
      <c r="AD344" s="185"/>
      <c r="AE344" s="184"/>
      <c r="AF344" s="185"/>
      <c r="AG344" s="184"/>
      <c r="AH344" s="185"/>
      <c r="AI344" s="184"/>
      <c r="AJ344" s="185"/>
      <c r="AK344" s="186">
        <f>G344+I344+K344+M344+O344+Q344+S344+U344+W344+Y344+AA344+AC344+AE344+AG344+AI344</f>
        <v>0</v>
      </c>
      <c r="AL344" s="187"/>
      <c r="AM344" s="188">
        <f>H344+J344+L344+N344+P344+R344+T344+V344+X344+Z344+AB344+AD344+AF344+AH344+AJ344</f>
        <v>0</v>
      </c>
      <c r="AN344" s="187"/>
      <c r="AO344" s="189"/>
      <c r="AP344" s="188"/>
      <c r="AQ344" s="109"/>
      <c r="AR344" s="190"/>
      <c r="AS344" s="190"/>
      <c r="AT344" s="190"/>
      <c r="AU344" s="190"/>
      <c r="AV344" s="191"/>
    </row>
    <row r="345" spans="1:48" ht="23.4" thickBot="1" x14ac:dyDescent="0.3">
      <c r="A345" s="627" t="s">
        <v>59</v>
      </c>
      <c r="B345" s="628"/>
      <c r="C345" s="628"/>
      <c r="D345" s="628"/>
      <c r="E345" s="628"/>
      <c r="F345" s="629"/>
      <c r="G345" s="192"/>
      <c r="H345" s="193"/>
      <c r="I345" s="192"/>
      <c r="J345" s="193"/>
      <c r="K345" s="194"/>
      <c r="L345" s="195"/>
      <c r="M345" s="194"/>
      <c r="N345" s="195"/>
      <c r="O345" s="194"/>
      <c r="P345" s="195"/>
      <c r="Q345" s="194"/>
      <c r="R345" s="195"/>
      <c r="S345" s="194"/>
      <c r="T345" s="195"/>
      <c r="U345" s="194"/>
      <c r="V345" s="195"/>
      <c r="W345" s="194"/>
      <c r="X345" s="195"/>
      <c r="Y345" s="194"/>
      <c r="Z345" s="195"/>
      <c r="AA345" s="194"/>
      <c r="AB345" s="195"/>
      <c r="AC345" s="194"/>
      <c r="AD345" s="195"/>
      <c r="AE345" s="194"/>
      <c r="AF345" s="195"/>
      <c r="AG345" s="194"/>
      <c r="AH345" s="196"/>
      <c r="AI345" s="194"/>
      <c r="AJ345" s="196"/>
      <c r="AK345" s="123">
        <f>AK343+AK344</f>
        <v>0</v>
      </c>
      <c r="AL345" s="85">
        <f>IF(E339+E341=0,0,AK345/(E339+E341))</f>
        <v>0</v>
      </c>
      <c r="AM345" s="90">
        <f>+AM343+AM344</f>
        <v>0</v>
      </c>
      <c r="AN345" s="85">
        <f>IF((E339+E341)=0,0,AM345/((E339+E341)*14))</f>
        <v>0</v>
      </c>
      <c r="AO345" s="87" t="str">
        <f>IF(AM345=0,"",AM345/AK345)</f>
        <v/>
      </c>
      <c r="AP345" s="88">
        <f>+AP343</f>
        <v>0</v>
      </c>
      <c r="AQ345" s="109"/>
      <c r="AR345" s="197">
        <f>+AR338</f>
        <v>0</v>
      </c>
      <c r="AS345" s="198">
        <f>AS338</f>
        <v>0</v>
      </c>
      <c r="AT345" s="199">
        <f>+AT338</f>
        <v>0</v>
      </c>
      <c r="AU345" s="198">
        <f>+AU338</f>
        <v>0</v>
      </c>
      <c r="AV345" s="200">
        <f>+AV338</f>
        <v>0</v>
      </c>
    </row>
    <row r="346" spans="1:48" ht="23.4" thickBot="1" x14ac:dyDescent="0.3">
      <c r="A346" s="416" t="s">
        <v>60</v>
      </c>
      <c r="B346" s="414"/>
      <c r="C346" s="414"/>
      <c r="D346" s="414"/>
      <c r="E346" s="414"/>
      <c r="F346" s="414"/>
      <c r="G346" s="206"/>
      <c r="H346" s="207"/>
      <c r="I346" s="206"/>
      <c r="J346" s="208"/>
      <c r="K346" s="206"/>
      <c r="L346" s="207"/>
      <c r="M346" s="206"/>
      <c r="N346" s="207"/>
      <c r="O346" s="206"/>
      <c r="P346" s="207"/>
      <c r="Q346" s="206"/>
      <c r="R346" s="207"/>
      <c r="S346" s="206"/>
      <c r="T346" s="207"/>
      <c r="U346" s="206"/>
      <c r="V346" s="207"/>
      <c r="W346" s="206"/>
      <c r="X346" s="207"/>
      <c r="Y346" s="206"/>
      <c r="Z346" s="207"/>
      <c r="AA346" s="206"/>
      <c r="AB346" s="209"/>
      <c r="AC346" s="206"/>
      <c r="AD346" s="207"/>
      <c r="AE346" s="206"/>
      <c r="AF346" s="209"/>
      <c r="AG346" s="206"/>
      <c r="AH346" s="209"/>
      <c r="AI346" s="210"/>
      <c r="AJ346" s="211"/>
      <c r="AK346" s="212"/>
      <c r="AL346" s="212"/>
      <c r="AM346" s="212"/>
      <c r="AN346" s="212"/>
      <c r="AO346" s="212"/>
      <c r="AP346" s="212"/>
      <c r="AQ346" s="213"/>
      <c r="AR346" s="212"/>
      <c r="AS346" s="214"/>
      <c r="AT346" s="215"/>
      <c r="AU346" s="214"/>
      <c r="AV346" s="216"/>
    </row>
    <row r="347" spans="1:48" ht="23.4" thickBot="1" x14ac:dyDescent="0.3">
      <c r="A347" s="630"/>
      <c r="B347" s="631"/>
      <c r="C347" s="631"/>
      <c r="D347" s="631"/>
      <c r="E347" s="218"/>
      <c r="F347" s="218"/>
      <c r="G347" s="219"/>
      <c r="H347" s="219"/>
      <c r="I347" s="220"/>
      <c r="J347" s="220"/>
      <c r="K347" s="219"/>
      <c r="L347" s="219"/>
      <c r="M347" s="219"/>
      <c r="N347" s="219"/>
      <c r="O347" s="219"/>
      <c r="P347" s="219"/>
      <c r="Q347" s="219"/>
      <c r="R347" s="219"/>
      <c r="S347" s="219"/>
      <c r="T347" s="219"/>
      <c r="U347" s="219"/>
      <c r="V347" s="219"/>
      <c r="W347" s="219"/>
      <c r="X347" s="219"/>
      <c r="Y347" s="219"/>
      <c r="Z347" s="219"/>
      <c r="AA347" s="219"/>
      <c r="AB347" s="219"/>
      <c r="AC347" s="219"/>
      <c r="AD347" s="219"/>
      <c r="AE347" s="219"/>
      <c r="AF347" s="219"/>
      <c r="AG347" s="219"/>
      <c r="AH347" s="219"/>
      <c r="AI347" s="219"/>
      <c r="AJ347" s="219"/>
      <c r="AK347" s="221"/>
      <c r="AL347" s="222"/>
      <c r="AM347" s="221"/>
      <c r="AN347" s="222"/>
      <c r="AO347" s="223"/>
      <c r="AP347" s="221"/>
      <c r="AQ347" s="213"/>
      <c r="AR347" s="224"/>
      <c r="AS347" s="225"/>
      <c r="AT347" s="226"/>
      <c r="AU347" s="225"/>
      <c r="AV347" s="227"/>
    </row>
    <row r="348" spans="1:48" ht="15.6" x14ac:dyDescent="0.25">
      <c r="A348" s="632" t="s">
        <v>82</v>
      </c>
      <c r="B348" s="633"/>
      <c r="C348" s="633"/>
      <c r="D348" s="633"/>
      <c r="E348" s="636">
        <f>E286</f>
        <v>9</v>
      </c>
      <c r="F348" s="638" t="s">
        <v>27</v>
      </c>
      <c r="G348" s="619" t="str">
        <f>G288</f>
        <v>FRMRS</v>
      </c>
      <c r="H348" s="625"/>
      <c r="I348" s="619" t="str">
        <f>I288</f>
        <v>ESBCN</v>
      </c>
      <c r="J348" s="625"/>
      <c r="K348" s="619" t="str">
        <f>K288</f>
        <v>ESVLC</v>
      </c>
      <c r="L348" s="625"/>
      <c r="M348" s="619" t="str">
        <f>M288</f>
        <v>MTMLA</v>
      </c>
      <c r="N348" s="625"/>
      <c r="O348" s="619" t="str">
        <f>O288</f>
        <v>Add call</v>
      </c>
      <c r="P348" s="625"/>
      <c r="Q348" s="619" t="str">
        <f>Q288</f>
        <v>Add Call</v>
      </c>
      <c r="R348" s="626"/>
      <c r="S348" s="624" t="str">
        <f>S288</f>
        <v>TRMER</v>
      </c>
      <c r="T348" s="625"/>
      <c r="U348" s="621" t="str">
        <f>U288</f>
        <v>TRISK</v>
      </c>
      <c r="V348" s="625"/>
      <c r="W348" s="621" t="str">
        <f>W288</f>
        <v>LBBEY</v>
      </c>
      <c r="X348" s="625"/>
      <c r="Y348" s="621" t="str">
        <f>Y288</f>
        <v>EGALY</v>
      </c>
      <c r="Z348" s="625"/>
      <c r="AA348" s="621" t="str">
        <f>AA288</f>
        <v>MTMLA</v>
      </c>
      <c r="AB348" s="620"/>
      <c r="AC348" s="619" t="str">
        <f>AC288</f>
        <v>DZALD</v>
      </c>
      <c r="AD348" s="625"/>
      <c r="AE348" s="619" t="str">
        <f>AE288</f>
        <v>DZALS</v>
      </c>
      <c r="AF348" s="620"/>
      <c r="AG348" s="619" t="str">
        <f>AG288</f>
        <v>Add Call</v>
      </c>
      <c r="AH348" s="620"/>
      <c r="AI348" s="621" t="str">
        <f>AI288</f>
        <v>Forecast</v>
      </c>
      <c r="AJ348" s="620"/>
      <c r="AK348" s="622" t="s">
        <v>9</v>
      </c>
      <c r="AL348" s="609" t="s">
        <v>29</v>
      </c>
      <c r="AM348" s="609" t="s">
        <v>30</v>
      </c>
      <c r="AN348" s="609" t="s">
        <v>29</v>
      </c>
      <c r="AO348" s="611" t="s">
        <v>31</v>
      </c>
      <c r="AP348" s="613" t="s">
        <v>32</v>
      </c>
      <c r="AQ348" s="228"/>
      <c r="AR348" s="615" t="s">
        <v>9</v>
      </c>
      <c r="AS348" s="601" t="s">
        <v>29</v>
      </c>
      <c r="AT348" s="617" t="s">
        <v>30</v>
      </c>
      <c r="AU348" s="601" t="s">
        <v>29</v>
      </c>
      <c r="AV348" s="603" t="s">
        <v>33</v>
      </c>
    </row>
    <row r="349" spans="1:48" ht="14.4" thickBot="1" x14ac:dyDescent="0.3">
      <c r="A349" s="634"/>
      <c r="B349" s="635"/>
      <c r="C349" s="635"/>
      <c r="D349" s="635"/>
      <c r="E349" s="637"/>
      <c r="F349" s="639"/>
      <c r="G349" s="605">
        <f>G289+28</f>
        <v>42515</v>
      </c>
      <c r="H349" s="606"/>
      <c r="I349" s="598">
        <f>I289+28</f>
        <v>42516</v>
      </c>
      <c r="J349" s="599"/>
      <c r="K349" s="598">
        <f>K289+28</f>
        <v>42517</v>
      </c>
      <c r="L349" s="599"/>
      <c r="M349" s="598">
        <f>M289+28</f>
        <v>42520</v>
      </c>
      <c r="N349" s="599"/>
      <c r="O349" s="598">
        <f>O289+28</f>
        <v>42459</v>
      </c>
      <c r="P349" s="599"/>
      <c r="Q349" s="598">
        <f>Q289+28</f>
        <v>42460</v>
      </c>
      <c r="R349" s="607"/>
      <c r="S349" s="608">
        <f>S289</f>
        <v>42496</v>
      </c>
      <c r="T349" s="599"/>
      <c r="U349" s="598">
        <f>U289</f>
        <v>42497</v>
      </c>
      <c r="V349" s="599"/>
      <c r="W349" s="598">
        <f>W289</f>
        <v>42498</v>
      </c>
      <c r="X349" s="599"/>
      <c r="Y349" s="598">
        <f>Y289</f>
        <v>42501</v>
      </c>
      <c r="Z349" s="599"/>
      <c r="AA349" s="598">
        <f>AA289</f>
        <v>42504</v>
      </c>
      <c r="AB349" s="600"/>
      <c r="AC349" s="598">
        <f>AC289</f>
        <v>42508</v>
      </c>
      <c r="AD349" s="599"/>
      <c r="AE349" s="598">
        <f>AE289</f>
        <v>42508</v>
      </c>
      <c r="AF349" s="600"/>
      <c r="AG349" s="598">
        <f>AG289+28</f>
        <v>42470</v>
      </c>
      <c r="AH349" s="600"/>
      <c r="AI349" s="598"/>
      <c r="AJ349" s="600"/>
      <c r="AK349" s="623"/>
      <c r="AL349" s="610"/>
      <c r="AM349" s="610"/>
      <c r="AN349" s="610"/>
      <c r="AO349" s="612"/>
      <c r="AP349" s="614"/>
      <c r="AQ349" s="230"/>
      <c r="AR349" s="616"/>
      <c r="AS349" s="602"/>
      <c r="AT349" s="618"/>
      <c r="AU349" s="602"/>
      <c r="AV349" s="604"/>
    </row>
    <row r="350" spans="1:48" ht="20.25" customHeight="1" outlineLevel="1" x14ac:dyDescent="0.25">
      <c r="A350" s="233"/>
      <c r="B350" s="156"/>
      <c r="C350" s="552"/>
      <c r="D350" s="596" t="str">
        <f>$B$6</f>
        <v>Trade</v>
      </c>
      <c r="E350" s="597">
        <v>212</v>
      </c>
      <c r="F350" s="234" t="s">
        <v>36</v>
      </c>
      <c r="G350" s="392"/>
      <c r="H350" s="393"/>
      <c r="I350" s="352"/>
      <c r="J350" s="353"/>
      <c r="K350" s="352"/>
      <c r="L350" s="353"/>
      <c r="M350" s="354"/>
      <c r="N350" s="355"/>
      <c r="O350" s="354"/>
      <c r="P350" s="355"/>
      <c r="Q350" s="354"/>
      <c r="R350" s="356"/>
      <c r="S350" s="357"/>
      <c r="T350" s="358"/>
      <c r="U350" s="352"/>
      <c r="V350" s="353"/>
      <c r="W350" s="352"/>
      <c r="X350" s="353"/>
      <c r="Y350" s="352"/>
      <c r="Z350" s="353"/>
      <c r="AA350" s="392"/>
      <c r="AB350" s="393"/>
      <c r="AC350" s="352"/>
      <c r="AD350" s="353"/>
      <c r="AE350" s="392"/>
      <c r="AF350" s="393"/>
      <c r="AG350" s="235"/>
      <c r="AH350" s="236"/>
      <c r="AI350" s="235"/>
      <c r="AJ350" s="236"/>
      <c r="AK350" s="537">
        <f>G350+I350+K350+M350+O350+Q350+S350+U350+W350+Y350+AA350+AC350+AE350+AG350+AI350</f>
        <v>0</v>
      </c>
      <c r="AL350" s="528">
        <f>IF(E350=0,0,AK350/E350)</f>
        <v>0</v>
      </c>
      <c r="AM350" s="530">
        <f>H350+J350+L350+N350+P350+R350+T350+V350+X350+Z350+AB350+AD350+AF350+AH350+AJ350</f>
        <v>0</v>
      </c>
      <c r="AN350" s="533">
        <f>IF(E350=0,0,AM350/($E350*14))</f>
        <v>0</v>
      </c>
      <c r="AO350" s="535" t="str">
        <f>IF(AM350=0,"",AM350/AK350)</f>
        <v/>
      </c>
      <c r="AP350" s="493">
        <f>G351+I351+K351+M351+O351+Q351+S351+U351+W351+Y351+AA351+AC351+AE351+AG351+AI351</f>
        <v>0</v>
      </c>
      <c r="AQ350" s="109"/>
      <c r="AR350" s="537">
        <f>+AR332+AK350-S290-S297-S304-S311-S318-S325-S332</f>
        <v>0</v>
      </c>
      <c r="AS350" s="528">
        <f>AR350/E350</f>
        <v>0</v>
      </c>
      <c r="AT350" s="530">
        <f>+AT332+AM350-T290-T297-T304-T311-T318-T325-T332</f>
        <v>0</v>
      </c>
      <c r="AU350" s="528">
        <f>+AT350/(E350*14)</f>
        <v>0</v>
      </c>
      <c r="AV350" s="514">
        <f>+AV332+AP350-S291-S298-S305-S312-S319-S326-S333</f>
        <v>0</v>
      </c>
    </row>
    <row r="351" spans="1:48" ht="21" customHeight="1" outlineLevel="1" x14ac:dyDescent="0.25">
      <c r="A351" s="233"/>
      <c r="B351" s="100"/>
      <c r="C351" s="552"/>
      <c r="D351" s="457"/>
      <c r="E351" s="459"/>
      <c r="F351" s="50" t="s">
        <v>37</v>
      </c>
      <c r="G351" s="580"/>
      <c r="H351" s="581"/>
      <c r="I351" s="580"/>
      <c r="J351" s="581"/>
      <c r="K351" s="580"/>
      <c r="L351" s="581"/>
      <c r="M351" s="592"/>
      <c r="N351" s="593"/>
      <c r="O351" s="592"/>
      <c r="P351" s="593"/>
      <c r="Q351" s="592"/>
      <c r="R351" s="594"/>
      <c r="S351" s="595"/>
      <c r="T351" s="587"/>
      <c r="U351" s="580"/>
      <c r="V351" s="581"/>
      <c r="W351" s="580"/>
      <c r="X351" s="581"/>
      <c r="Y351" s="580"/>
      <c r="Z351" s="581"/>
      <c r="AA351" s="580"/>
      <c r="AB351" s="581"/>
      <c r="AC351" s="580"/>
      <c r="AD351" s="581"/>
      <c r="AE351" s="580"/>
      <c r="AF351" s="581"/>
      <c r="AG351" s="512"/>
      <c r="AH351" s="513"/>
      <c r="AI351" s="512"/>
      <c r="AJ351" s="513"/>
      <c r="AK351" s="538"/>
      <c r="AL351" s="529"/>
      <c r="AM351" s="532"/>
      <c r="AN351" s="534"/>
      <c r="AO351" s="536"/>
      <c r="AP351" s="425"/>
      <c r="AQ351" s="109"/>
      <c r="AR351" s="538"/>
      <c r="AS351" s="529"/>
      <c r="AT351" s="531"/>
      <c r="AU351" s="529"/>
      <c r="AV351" s="515"/>
    </row>
    <row r="352" spans="1:48" ht="20.25" customHeight="1" outlineLevel="1" x14ac:dyDescent="0.25">
      <c r="A352" s="233"/>
      <c r="B352" s="112" t="s">
        <v>61</v>
      </c>
      <c r="C352" s="552"/>
      <c r="D352" s="479" t="str">
        <f>$B$7</f>
        <v>Feeder</v>
      </c>
      <c r="E352" s="481">
        <v>20</v>
      </c>
      <c r="F352" s="51" t="s">
        <v>36</v>
      </c>
      <c r="G352" s="348"/>
      <c r="H352" s="349"/>
      <c r="I352" s="348"/>
      <c r="J352" s="349"/>
      <c r="K352" s="348"/>
      <c r="L352" s="349"/>
      <c r="M352" s="359"/>
      <c r="N352" s="360"/>
      <c r="O352" s="359"/>
      <c r="P352" s="360"/>
      <c r="Q352" s="359"/>
      <c r="R352" s="361"/>
      <c r="S352" s="362"/>
      <c r="T352" s="363"/>
      <c r="U352" s="348"/>
      <c r="V352" s="349"/>
      <c r="W352" s="389"/>
      <c r="X352" s="390"/>
      <c r="Y352" s="348"/>
      <c r="Z352" s="349"/>
      <c r="AA352" s="389"/>
      <c r="AB352" s="390"/>
      <c r="AC352" s="348"/>
      <c r="AD352" s="349"/>
      <c r="AE352" s="348"/>
      <c r="AF352" s="349"/>
      <c r="AG352" s="52"/>
      <c r="AH352" s="53"/>
      <c r="AI352" s="52"/>
      <c r="AJ352" s="53"/>
      <c r="AK352" s="521">
        <f>G352+I352+K352+M352+O352+Q352+S352+U352+W352+Y352+AA352+AC352+AE352+AG352+AI352</f>
        <v>0</v>
      </c>
      <c r="AL352" s="519">
        <f>IF(E352=0,0,AK352/E352)</f>
        <v>0</v>
      </c>
      <c r="AM352" s="523">
        <f>H352+J352+L352+N352+P352+R352+T352+V352+X352+Z352+AB352+AD352+AF352+AH352+AJ352</f>
        <v>0</v>
      </c>
      <c r="AN352" s="525">
        <f>IF(E350=0,0,AM352/($E350*14))</f>
        <v>0</v>
      </c>
      <c r="AO352" s="527" t="str">
        <f>IF(AM352=0,"",AM352/AK352)</f>
        <v/>
      </c>
      <c r="AP352" s="468">
        <f>G353+I353+K353+M353+O353+Q353+S353+U353+W353+Y353+AA353+AC353+AE353+AG353+AI353</f>
        <v>0</v>
      </c>
      <c r="AQ352" s="109"/>
      <c r="AR352" s="561">
        <f>+AR334+AK352-S292-S299-S306-S313-S320-S327-S334</f>
        <v>0</v>
      </c>
      <c r="AS352" s="519">
        <f>AR352/E352</f>
        <v>0</v>
      </c>
      <c r="AT352" s="520">
        <f>+AT334+AM352-T292-T299-T306-T313-T320-T327-T334</f>
        <v>0</v>
      </c>
      <c r="AU352" s="519">
        <f>+AT352/(E352*14)</f>
        <v>0</v>
      </c>
      <c r="AV352" s="508">
        <f>+AV334+AP352-S293--S300-S307-S314-S321-S328-S335</f>
        <v>0</v>
      </c>
    </row>
    <row r="353" spans="1:48" ht="18" customHeight="1" outlineLevel="1" x14ac:dyDescent="0.25">
      <c r="A353" s="233"/>
      <c r="B353" s="100"/>
      <c r="C353" s="552"/>
      <c r="D353" s="480"/>
      <c r="E353" s="482"/>
      <c r="F353" s="54" t="s">
        <v>37</v>
      </c>
      <c r="G353" s="506"/>
      <c r="H353" s="507"/>
      <c r="I353" s="506"/>
      <c r="J353" s="507"/>
      <c r="K353" s="506"/>
      <c r="L353" s="507"/>
      <c r="M353" s="588"/>
      <c r="N353" s="589"/>
      <c r="O353" s="588"/>
      <c r="P353" s="589"/>
      <c r="Q353" s="588"/>
      <c r="R353" s="590"/>
      <c r="S353" s="591"/>
      <c r="T353" s="463"/>
      <c r="U353" s="506"/>
      <c r="V353" s="507"/>
      <c r="W353" s="575"/>
      <c r="X353" s="576"/>
      <c r="Y353" s="575"/>
      <c r="Z353" s="576"/>
      <c r="AA353" s="506"/>
      <c r="AB353" s="507"/>
      <c r="AC353" s="575"/>
      <c r="AD353" s="576"/>
      <c r="AE353" s="575"/>
      <c r="AF353" s="576"/>
      <c r="AG353" s="506"/>
      <c r="AH353" s="507"/>
      <c r="AI353" s="506"/>
      <c r="AJ353" s="507"/>
      <c r="AK353" s="522"/>
      <c r="AL353" s="519"/>
      <c r="AM353" s="524"/>
      <c r="AN353" s="526"/>
      <c r="AO353" s="527"/>
      <c r="AP353" s="468"/>
      <c r="AQ353" s="109"/>
      <c r="AR353" s="518"/>
      <c r="AS353" s="519"/>
      <c r="AT353" s="520"/>
      <c r="AU353" s="519"/>
      <c r="AV353" s="508"/>
    </row>
    <row r="354" spans="1:48" ht="22.8" x14ac:dyDescent="0.25">
      <c r="A354" s="577" t="s">
        <v>16</v>
      </c>
      <c r="B354" s="100" t="s">
        <v>62</v>
      </c>
      <c r="C354" s="552"/>
      <c r="D354" s="464" t="s">
        <v>38</v>
      </c>
      <c r="E354" s="465"/>
      <c r="F354" s="466"/>
      <c r="G354" s="106"/>
      <c r="H354" s="108"/>
      <c r="I354" s="106"/>
      <c r="J354" s="108"/>
      <c r="K354" s="106"/>
      <c r="L354" s="108"/>
      <c r="M354" s="101"/>
      <c r="N354" s="102"/>
      <c r="O354" s="101"/>
      <c r="P354" s="102"/>
      <c r="Q354" s="101"/>
      <c r="R354" s="251"/>
      <c r="S354" s="252"/>
      <c r="T354" s="102"/>
      <c r="U354" s="106"/>
      <c r="V354" s="108"/>
      <c r="W354" s="106"/>
      <c r="X354" s="108"/>
      <c r="Y354" s="106"/>
      <c r="Z354" s="108"/>
      <c r="AA354" s="106"/>
      <c r="AB354" s="108"/>
      <c r="AC354" s="106"/>
      <c r="AD354" s="108"/>
      <c r="AE354" s="106"/>
      <c r="AF354" s="108"/>
      <c r="AG354" s="106"/>
      <c r="AH354" s="108"/>
      <c r="AI354" s="106"/>
      <c r="AJ354" s="108"/>
      <c r="AK354" s="253">
        <f>+AK350+AK352</f>
        <v>0</v>
      </c>
      <c r="AL354" s="58">
        <f>IF(E350+E352=0,0,AK354/(E350+E352))</f>
        <v>0</v>
      </c>
      <c r="AM354" s="110">
        <f>+SUM(AM352,AM350)</f>
        <v>0</v>
      </c>
      <c r="AN354" s="58">
        <f>IF((E350+E352)=0,0,AM354/((E350+E352)*14))</f>
        <v>0</v>
      </c>
      <c r="AO354" s="60" t="str">
        <f>IF(AM354=0,"",AM354/AK354)</f>
        <v/>
      </c>
      <c r="AP354" s="61">
        <f>+AP350+AP352</f>
        <v>0</v>
      </c>
      <c r="AQ354" s="109"/>
      <c r="AR354" s="63">
        <f>+AR350+AR352</f>
        <v>0</v>
      </c>
      <c r="AS354" s="64">
        <f>AR354/E282</f>
        <v>0</v>
      </c>
      <c r="AT354" s="61">
        <f>+AT350+AT352</f>
        <v>0</v>
      </c>
      <c r="AU354" s="64">
        <f>AT354/F282</f>
        <v>0</v>
      </c>
      <c r="AV354" s="111">
        <f>+AV350+AV352</f>
        <v>0</v>
      </c>
    </row>
    <row r="355" spans="1:48" ht="21.6" thickBot="1" x14ac:dyDescent="0.3">
      <c r="A355" s="577"/>
      <c r="B355" s="112" t="s">
        <v>50</v>
      </c>
      <c r="C355" s="552"/>
      <c r="D355" s="445" t="s">
        <v>39</v>
      </c>
      <c r="E355" s="445"/>
      <c r="F355" s="445"/>
      <c r="G355" s="116"/>
      <c r="H355" s="254"/>
      <c r="I355" s="116"/>
      <c r="J355" s="254"/>
      <c r="K355" s="116"/>
      <c r="L355" s="254"/>
      <c r="M355" s="131"/>
      <c r="N355" s="132"/>
      <c r="O355" s="131"/>
      <c r="P355" s="132"/>
      <c r="Q355" s="131"/>
      <c r="R355" s="255"/>
      <c r="S355" s="248"/>
      <c r="T355" s="99"/>
      <c r="U355" s="116"/>
      <c r="V355" s="254"/>
      <c r="W355" s="116"/>
      <c r="X355" s="254"/>
      <c r="Y355" s="258"/>
      <c r="Z355" s="259"/>
      <c r="AA355" s="258"/>
      <c r="AB355" s="259"/>
      <c r="AC355" s="116"/>
      <c r="AD355" s="254"/>
      <c r="AE355" s="116"/>
      <c r="AF355" s="254"/>
      <c r="AG355" s="116"/>
      <c r="AH355" s="254"/>
      <c r="AI355" s="116"/>
      <c r="AJ355" s="254"/>
      <c r="AK355" s="71">
        <f>G355+I355+K355+M355+O355+Q355+S355+U355+W355+Y355+AA355+AC355+AE355+AG355+AI355</f>
        <v>0</v>
      </c>
      <c r="AL355" s="72"/>
      <c r="AM355" s="73">
        <f>H355+J355+L355+N355+P355+R355+T355+V355+X355+Z355+AB355+AD355+AF355+AH355+AJ355</f>
        <v>0</v>
      </c>
      <c r="AN355" s="72"/>
      <c r="AO355" s="74"/>
      <c r="AP355" s="73"/>
      <c r="AQ355" s="75"/>
      <c r="AR355" s="71">
        <f>+AR337+AK355-S295-S302-S309-S316-S323-S330-S337</f>
        <v>0</v>
      </c>
      <c r="AS355" s="77"/>
      <c r="AT355" s="73">
        <f>+AT337+AM355-T295-T302-T309-T316-T323-T330-T337</f>
        <v>0</v>
      </c>
      <c r="AU355" s="77"/>
      <c r="AV355" s="118"/>
    </row>
    <row r="356" spans="1:48" ht="29.25" customHeight="1" thickBot="1" x14ac:dyDescent="0.3">
      <c r="A356" s="233"/>
      <c r="B356" s="152">
        <f>SUM(MOD(("1/"&amp;A288)-{0;6},{1E+99;7})*{1;-1},A363*7,MATCH(MID(B355,1,2),{"Mo";"Tu";"We";"Th";"Fr";"Sa";"Su"},0)-5)</f>
        <v>42496</v>
      </c>
      <c r="C356" s="553"/>
      <c r="D356" s="446" t="s">
        <v>6</v>
      </c>
      <c r="E356" s="446"/>
      <c r="F356" s="446"/>
      <c r="G356" s="120"/>
      <c r="H356" s="121"/>
      <c r="I356" s="120"/>
      <c r="J356" s="121"/>
      <c r="K356" s="120"/>
      <c r="L356" s="121"/>
      <c r="M356" s="120"/>
      <c r="N356" s="121"/>
      <c r="O356" s="120"/>
      <c r="P356" s="121"/>
      <c r="Q356" s="120"/>
      <c r="R356" s="260"/>
      <c r="S356" s="261"/>
      <c r="T356" s="121"/>
      <c r="U356" s="120"/>
      <c r="V356" s="121"/>
      <c r="W356" s="120"/>
      <c r="X356" s="121"/>
      <c r="Y356" s="120"/>
      <c r="Z356" s="121"/>
      <c r="AA356" s="120"/>
      <c r="AB356" s="121"/>
      <c r="AC356" s="120"/>
      <c r="AD356" s="121"/>
      <c r="AE356" s="120"/>
      <c r="AF356" s="121"/>
      <c r="AG356" s="120"/>
      <c r="AH356" s="121"/>
      <c r="AI356" s="120"/>
      <c r="AJ356" s="121"/>
      <c r="AK356" s="123">
        <f>AK354+AK355</f>
        <v>0</v>
      </c>
      <c r="AL356" s="85">
        <f>IF(E350+E352=0,0,AK356/(E350+E352))</f>
        <v>0</v>
      </c>
      <c r="AM356" s="90">
        <f>+AM354+AM355</f>
        <v>0</v>
      </c>
      <c r="AN356" s="85">
        <f>IF((E350+E352)=0,0,AM356/((E350+E352)*14))</f>
        <v>0</v>
      </c>
      <c r="AO356" s="87" t="str">
        <f>IF(AM356=0,"",AM356/AK356)</f>
        <v/>
      </c>
      <c r="AP356" s="88">
        <f>+AP354</f>
        <v>0</v>
      </c>
      <c r="AQ356" s="109"/>
      <c r="AR356" s="123">
        <f>+AR354+AR355</f>
        <v>0</v>
      </c>
      <c r="AS356" s="85">
        <f>AR356/E282</f>
        <v>0</v>
      </c>
      <c r="AT356" s="86">
        <f>+AT354+AT355</f>
        <v>0</v>
      </c>
      <c r="AU356" s="85">
        <f>+AT356/F282</f>
        <v>0</v>
      </c>
      <c r="AV356" s="124">
        <f>+AV354</f>
        <v>0</v>
      </c>
    </row>
    <row r="357" spans="1:48" ht="25.5" customHeight="1" outlineLevel="1" x14ac:dyDescent="0.25">
      <c r="A357" s="233"/>
      <c r="B357" s="93"/>
      <c r="C357" s="551"/>
      <c r="D357" s="500" t="str">
        <f>$B$6</f>
        <v>Trade</v>
      </c>
      <c r="E357" s="501">
        <v>60</v>
      </c>
      <c r="F357" s="44" t="s">
        <v>36</v>
      </c>
      <c r="G357" s="235"/>
      <c r="H357" s="236"/>
      <c r="I357" s="392"/>
      <c r="J357" s="393"/>
      <c r="K357" s="352"/>
      <c r="L357" s="353"/>
      <c r="M357" s="364"/>
      <c r="N357" s="365"/>
      <c r="O357" s="364"/>
      <c r="P357" s="365"/>
      <c r="Q357" s="364"/>
      <c r="R357" s="366"/>
      <c r="S357" s="367"/>
      <c r="T357" s="365"/>
      <c r="U357" s="368"/>
      <c r="V357" s="358"/>
      <c r="W357" s="344"/>
      <c r="X357" s="345"/>
      <c r="Y357" s="344"/>
      <c r="Z357" s="345"/>
      <c r="AA357" s="394"/>
      <c r="AB357" s="395"/>
      <c r="AC357" s="344"/>
      <c r="AD357" s="345"/>
      <c r="AE357" s="394"/>
      <c r="AF357" s="395"/>
      <c r="AG357" s="45"/>
      <c r="AH357" s="46"/>
      <c r="AI357" s="45"/>
      <c r="AJ357" s="46"/>
      <c r="AK357" s="537">
        <f>G357+I357+K357+M357+O357+Q357+S357+U357+W357+Y357+AA357+AC357+AE357+AG357+AI357</f>
        <v>0</v>
      </c>
      <c r="AL357" s="528">
        <f>IF(E357=0,0,AK357/E357)</f>
        <v>0</v>
      </c>
      <c r="AM357" s="530">
        <f>H357+J357+L357+N357+P357+R357+T357+V357+X357+Z357+AB357+AD357+AF357+AH357+AJ357</f>
        <v>0</v>
      </c>
      <c r="AN357" s="533">
        <f>IF(E357=0,0,AM357/($E357*14))</f>
        <v>0</v>
      </c>
      <c r="AO357" s="535" t="str">
        <f>IF(AM357=0,"",AM357/AK357)</f>
        <v/>
      </c>
      <c r="AP357" s="493">
        <f>G358+I358+K358+M358+O358+Q358+S358+U358+W358+Y358+AA358+AC358+AE358+AG358+AI358</f>
        <v>0</v>
      </c>
      <c r="AQ357" s="109"/>
      <c r="AR357" s="537">
        <f>+AR350+AK357-U290-U297-U304-U311-U318-U325-U332-U350</f>
        <v>0</v>
      </c>
      <c r="AS357" s="528">
        <f>AR357/(E350+E357)</f>
        <v>0</v>
      </c>
      <c r="AT357" s="530">
        <f>+AT350+AM357-V290-V297-V304-V311-V318-V325-V332-V350</f>
        <v>0</v>
      </c>
      <c r="AU357" s="528">
        <f>+AT357/F146</f>
        <v>0</v>
      </c>
      <c r="AV357" s="514">
        <f>+AV350+AP357-U291-U298-U305-U312-U319-U326-U333-U351</f>
        <v>0</v>
      </c>
    </row>
    <row r="358" spans="1:48" ht="20.25" customHeight="1" outlineLevel="1" x14ac:dyDescent="0.25">
      <c r="A358" s="233"/>
      <c r="B358" s="100"/>
      <c r="C358" s="552"/>
      <c r="D358" s="457"/>
      <c r="E358" s="459"/>
      <c r="F358" s="50" t="s">
        <v>37</v>
      </c>
      <c r="G358" s="512"/>
      <c r="H358" s="513"/>
      <c r="I358" s="580"/>
      <c r="J358" s="581"/>
      <c r="K358" s="580"/>
      <c r="L358" s="581"/>
      <c r="M358" s="582"/>
      <c r="N358" s="583"/>
      <c r="O358" s="582"/>
      <c r="P358" s="583"/>
      <c r="Q358" s="582"/>
      <c r="R358" s="584"/>
      <c r="S358" s="585"/>
      <c r="T358" s="583"/>
      <c r="U358" s="586"/>
      <c r="V358" s="587"/>
      <c r="W358" s="580"/>
      <c r="X358" s="581"/>
      <c r="Y358" s="580"/>
      <c r="Z358" s="581"/>
      <c r="AA358" s="580"/>
      <c r="AB358" s="581"/>
      <c r="AC358" s="580"/>
      <c r="AD358" s="581"/>
      <c r="AE358" s="580"/>
      <c r="AF358" s="581"/>
      <c r="AG358" s="512"/>
      <c r="AH358" s="513"/>
      <c r="AI358" s="512"/>
      <c r="AJ358" s="513"/>
      <c r="AK358" s="538"/>
      <c r="AL358" s="529"/>
      <c r="AM358" s="532"/>
      <c r="AN358" s="534"/>
      <c r="AO358" s="536"/>
      <c r="AP358" s="425"/>
      <c r="AQ358" s="109"/>
      <c r="AR358" s="538"/>
      <c r="AS358" s="529"/>
      <c r="AT358" s="531"/>
      <c r="AU358" s="529"/>
      <c r="AV358" s="515"/>
    </row>
    <row r="359" spans="1:48" ht="21" outlineLevel="1" x14ac:dyDescent="0.25">
      <c r="A359" s="49"/>
      <c r="B359" s="112" t="s">
        <v>63</v>
      </c>
      <c r="C359" s="552"/>
      <c r="D359" s="479" t="str">
        <f>$B$7</f>
        <v>Feeder</v>
      </c>
      <c r="E359" s="481">
        <v>50</v>
      </c>
      <c r="F359" s="51" t="s">
        <v>36</v>
      </c>
      <c r="G359" s="52"/>
      <c r="H359" s="53"/>
      <c r="I359" s="348"/>
      <c r="J359" s="349"/>
      <c r="K359" s="348"/>
      <c r="L359" s="349"/>
      <c r="M359" s="369"/>
      <c r="N359" s="370"/>
      <c r="O359" s="369"/>
      <c r="P359" s="370"/>
      <c r="Q359" s="369"/>
      <c r="R359" s="371"/>
      <c r="S359" s="372"/>
      <c r="T359" s="370"/>
      <c r="U359" s="373"/>
      <c r="V359" s="363"/>
      <c r="W359" s="389"/>
      <c r="X359" s="390"/>
      <c r="Y359" s="389"/>
      <c r="Z359" s="349"/>
      <c r="AA359" s="389"/>
      <c r="AB359" s="390"/>
      <c r="AC359" s="348"/>
      <c r="AD359" s="349"/>
      <c r="AE359" s="348"/>
      <c r="AF359" s="349"/>
      <c r="AG359" s="52"/>
      <c r="AH359" s="53"/>
      <c r="AI359" s="52"/>
      <c r="AJ359" s="53"/>
      <c r="AK359" s="521">
        <f>G359+I359+K359+M359+O359+Q359+S359+U359+W359+Y359+AA359+AC359+AE359+AG359+AI359</f>
        <v>0</v>
      </c>
      <c r="AL359" s="519">
        <f>IF(E359=0,0,AK359/E359)</f>
        <v>0</v>
      </c>
      <c r="AM359" s="523">
        <f>H359+J359+L359+N359+P359+R359+T359+V359+X359+Z359+AB359+AD359+AF359+AH359+AJ359</f>
        <v>0</v>
      </c>
      <c r="AN359" s="525">
        <f>IF(E357=0,0,AM359/($E357*14))</f>
        <v>0</v>
      </c>
      <c r="AO359" s="527" t="str">
        <f>IF(AM359=0,"",AM359/AK359)</f>
        <v/>
      </c>
      <c r="AP359" s="468">
        <f>G360+I360+K360+M360+O360+Q360+S360+U360+W360+Y360+AA360+AC360+AE360+AG360+AI360</f>
        <v>0</v>
      </c>
      <c r="AQ359" s="109"/>
      <c r="AR359" s="518">
        <f>+AR352+AK359-U292-U299-U306-U313-U320-U327-U334-U352</f>
        <v>0</v>
      </c>
      <c r="AS359" s="519">
        <f>AR359/(E352+E359)</f>
        <v>0</v>
      </c>
      <c r="AT359" s="520">
        <f>+AT352+AM359-V292-V299-V306-V313-V320-V327-V334-V352</f>
        <v>0</v>
      </c>
      <c r="AU359" s="519">
        <f>+AT359/(14*(E352+E359))</f>
        <v>0</v>
      </c>
      <c r="AV359" s="508">
        <f>+AV352+AP359-U293-U300-U307-U314-U321-U328-U335-U353</f>
        <v>0</v>
      </c>
    </row>
    <row r="360" spans="1:48" ht="20.399999999999999" outlineLevel="1" x14ac:dyDescent="0.25">
      <c r="A360" s="49"/>
      <c r="B360" s="100"/>
      <c r="C360" s="552"/>
      <c r="D360" s="480"/>
      <c r="E360" s="482"/>
      <c r="F360" s="54" t="s">
        <v>37</v>
      </c>
      <c r="G360" s="506"/>
      <c r="H360" s="507"/>
      <c r="I360" s="506"/>
      <c r="J360" s="507"/>
      <c r="K360" s="506"/>
      <c r="L360" s="507"/>
      <c r="M360" s="543"/>
      <c r="N360" s="544"/>
      <c r="O360" s="543"/>
      <c r="P360" s="544"/>
      <c r="Q360" s="543"/>
      <c r="R360" s="545"/>
      <c r="S360" s="546"/>
      <c r="T360" s="544"/>
      <c r="U360" s="462"/>
      <c r="V360" s="463"/>
      <c r="W360" s="506"/>
      <c r="X360" s="507"/>
      <c r="Y360" s="506"/>
      <c r="Z360" s="507"/>
      <c r="AA360" s="506"/>
      <c r="AB360" s="507"/>
      <c r="AC360" s="506"/>
      <c r="AD360" s="507"/>
      <c r="AE360" s="506"/>
      <c r="AF360" s="507"/>
      <c r="AG360" s="506"/>
      <c r="AH360" s="507"/>
      <c r="AI360" s="506"/>
      <c r="AJ360" s="507"/>
      <c r="AK360" s="522"/>
      <c r="AL360" s="519"/>
      <c r="AM360" s="524"/>
      <c r="AN360" s="526"/>
      <c r="AO360" s="527"/>
      <c r="AP360" s="468"/>
      <c r="AQ360" s="109"/>
      <c r="AR360" s="518"/>
      <c r="AS360" s="519"/>
      <c r="AT360" s="520"/>
      <c r="AU360" s="519"/>
      <c r="AV360" s="508"/>
    </row>
    <row r="361" spans="1:48" ht="22.8" x14ac:dyDescent="0.25">
      <c r="A361" s="49"/>
      <c r="B361" s="100" t="s">
        <v>64</v>
      </c>
      <c r="C361" s="552"/>
      <c r="D361" s="464" t="s">
        <v>38</v>
      </c>
      <c r="E361" s="465"/>
      <c r="F361" s="466"/>
      <c r="G361" s="106"/>
      <c r="H361" s="108"/>
      <c r="I361" s="106"/>
      <c r="J361" s="108"/>
      <c r="K361" s="106"/>
      <c r="L361" s="108"/>
      <c r="M361" s="101"/>
      <c r="N361" s="102"/>
      <c r="O361" s="101"/>
      <c r="P361" s="102"/>
      <c r="Q361" s="101"/>
      <c r="R361" s="251"/>
      <c r="S361" s="252"/>
      <c r="T361" s="102"/>
      <c r="U361" s="101"/>
      <c r="V361" s="102"/>
      <c r="W361" s="106"/>
      <c r="X361" s="108"/>
      <c r="Y361" s="106"/>
      <c r="Z361" s="108"/>
      <c r="AA361" s="106"/>
      <c r="AB361" s="108"/>
      <c r="AC361" s="106"/>
      <c r="AD361" s="108"/>
      <c r="AE361" s="106"/>
      <c r="AF361" s="108"/>
      <c r="AG361" s="106"/>
      <c r="AH361" s="108"/>
      <c r="AI361" s="106"/>
      <c r="AJ361" s="108"/>
      <c r="AK361" s="253">
        <f>+AK357+AK359</f>
        <v>0</v>
      </c>
      <c r="AL361" s="58">
        <f>IF(E357+E359=0,0,AK361/(E357+E359))</f>
        <v>0</v>
      </c>
      <c r="AM361" s="110">
        <f>+SUM(AM359,AM357)</f>
        <v>0</v>
      </c>
      <c r="AN361" s="58">
        <f>IF((E357+E359)=0,0,AM361/((E357+E359)*14))</f>
        <v>0</v>
      </c>
      <c r="AO361" s="60" t="str">
        <f>IF(AM361=0,"",AM361/AK361)</f>
        <v/>
      </c>
      <c r="AP361" s="61">
        <f>+AP357+AP359</f>
        <v>0</v>
      </c>
      <c r="AQ361" s="109"/>
      <c r="AR361" s="63">
        <f>+AR357+AR359</f>
        <v>0</v>
      </c>
      <c r="AS361" s="64">
        <f>AR361/E282</f>
        <v>0</v>
      </c>
      <c r="AT361" s="61">
        <f>+AT357+AT359</f>
        <v>0</v>
      </c>
      <c r="AU361" s="64">
        <f>AT361/F282</f>
        <v>0</v>
      </c>
      <c r="AV361" s="111">
        <f>+AV357+AV359</f>
        <v>0</v>
      </c>
    </row>
    <row r="362" spans="1:48" ht="21.6" thickBot="1" x14ac:dyDescent="0.3">
      <c r="A362" s="49"/>
      <c r="B362" s="112" t="s">
        <v>65</v>
      </c>
      <c r="C362" s="552"/>
      <c r="D362" s="554" t="s">
        <v>39</v>
      </c>
      <c r="E362" s="555"/>
      <c r="F362" s="556"/>
      <c r="G362" s="116"/>
      <c r="H362" s="254"/>
      <c r="I362" s="116"/>
      <c r="J362" s="254"/>
      <c r="K362" s="116"/>
      <c r="L362" s="254"/>
      <c r="M362" s="127"/>
      <c r="N362" s="128"/>
      <c r="O362" s="127"/>
      <c r="P362" s="128"/>
      <c r="Q362" s="127"/>
      <c r="R362" s="266"/>
      <c r="S362" s="267"/>
      <c r="T362" s="128"/>
      <c r="U362" s="98"/>
      <c r="V362" s="99"/>
      <c r="W362" s="116"/>
      <c r="X362" s="254"/>
      <c r="Y362" s="116"/>
      <c r="Z362" s="254"/>
      <c r="AA362" s="116"/>
      <c r="AB362" s="254"/>
      <c r="AC362" s="116"/>
      <c r="AD362" s="254"/>
      <c r="AE362" s="116"/>
      <c r="AF362" s="254"/>
      <c r="AG362" s="116"/>
      <c r="AH362" s="254"/>
      <c r="AI362" s="116"/>
      <c r="AJ362" s="254"/>
      <c r="AK362" s="71">
        <f>G362+I362+K362+M362+O362+Q362+S362+U362+W362+Y362+AA362+AC362+AE362+AG362+AI362</f>
        <v>0</v>
      </c>
      <c r="AL362" s="72"/>
      <c r="AM362" s="73">
        <f>H362+J362+L362+N362+P362+R362+T362+V362+X362+Z362+AB362+AD362+AF362+AH362+AJ362</f>
        <v>0</v>
      </c>
      <c r="AN362" s="72"/>
      <c r="AO362" s="74"/>
      <c r="AP362" s="73"/>
      <c r="AQ362" s="75"/>
      <c r="AR362" s="71">
        <f>+AR355+AK362-U295-U302-U309-U316-U323-U330-U337-U355</f>
        <v>0</v>
      </c>
      <c r="AS362" s="77"/>
      <c r="AT362" s="73">
        <f>+AT355+AM362-V295-V302-V309-V316-V323-V330-V337-V355</f>
        <v>0</v>
      </c>
      <c r="AU362" s="77"/>
      <c r="AV362" s="118"/>
    </row>
    <row r="363" spans="1:48" ht="23.4" thickBot="1" x14ac:dyDescent="0.3">
      <c r="A363" s="577">
        <f>A322+1</f>
        <v>18</v>
      </c>
      <c r="B363" s="152">
        <f>SUM(MOD(("1/"&amp;A288)-{0;6},{1E+99;7})*{1;-1},A363*7,MATCH(MID(B362,1,2),{"Mo";"Tu";"We";"Th";"Fr";"Sa";"Su"},0)-5)</f>
        <v>42497</v>
      </c>
      <c r="C363" s="553"/>
      <c r="D363" s="557" t="s">
        <v>6</v>
      </c>
      <c r="E363" s="558"/>
      <c r="F363" s="559"/>
      <c r="G363" s="120"/>
      <c r="H363" s="121"/>
      <c r="I363" s="120"/>
      <c r="J363" s="121"/>
      <c r="K363" s="120"/>
      <c r="L363" s="121"/>
      <c r="M363" s="120"/>
      <c r="N363" s="121"/>
      <c r="O363" s="120"/>
      <c r="P363" s="121"/>
      <c r="Q363" s="120"/>
      <c r="R363" s="260"/>
      <c r="S363" s="261"/>
      <c r="T363" s="121"/>
      <c r="U363" s="120"/>
      <c r="V363" s="121"/>
      <c r="W363" s="120"/>
      <c r="X363" s="121"/>
      <c r="Y363" s="120"/>
      <c r="Z363" s="121"/>
      <c r="AA363" s="120"/>
      <c r="AB363" s="121"/>
      <c r="AC363" s="120"/>
      <c r="AD363" s="121"/>
      <c r="AE363" s="120"/>
      <c r="AF363" s="121"/>
      <c r="AG363" s="120"/>
      <c r="AH363" s="121"/>
      <c r="AI363" s="120"/>
      <c r="AJ363" s="121"/>
      <c r="AK363" s="123">
        <f>AK361+AK362</f>
        <v>0</v>
      </c>
      <c r="AL363" s="85">
        <f>IF(E357+E359=0,0,AK363/(E357+E359))</f>
        <v>0</v>
      </c>
      <c r="AM363" s="90">
        <f>+AM361+AM362</f>
        <v>0</v>
      </c>
      <c r="AN363" s="85">
        <f>IF((E357+E359)=0,0,AM363/((E357+E359)*14))</f>
        <v>0</v>
      </c>
      <c r="AO363" s="87" t="str">
        <f>IF(AM363=0,"",AM363/AK363)</f>
        <v/>
      </c>
      <c r="AP363" s="88">
        <f>+AP361</f>
        <v>0</v>
      </c>
      <c r="AQ363" s="109"/>
      <c r="AR363" s="84">
        <f>+AR361+AR362</f>
        <v>0</v>
      </c>
      <c r="AS363" s="85">
        <f>AR363/E282</f>
        <v>0</v>
      </c>
      <c r="AT363" s="86">
        <f>+AT361+AT362</f>
        <v>0</v>
      </c>
      <c r="AU363" s="85">
        <f>+AT363/F282</f>
        <v>0</v>
      </c>
      <c r="AV363" s="124">
        <f>+AV361</f>
        <v>0</v>
      </c>
    </row>
    <row r="364" spans="1:48" ht="21" outlineLevel="1" x14ac:dyDescent="0.25">
      <c r="A364" s="577"/>
      <c r="B364" s="93"/>
      <c r="C364" s="551"/>
      <c r="D364" s="500" t="str">
        <f>$B$6</f>
        <v>Trade</v>
      </c>
      <c r="E364" s="501">
        <v>135</v>
      </c>
      <c r="F364" s="44" t="s">
        <v>36</v>
      </c>
      <c r="G364" s="235"/>
      <c r="H364" s="236"/>
      <c r="I364" s="237"/>
      <c r="J364" s="238"/>
      <c r="K364" s="237"/>
      <c r="L364" s="238"/>
      <c r="M364" s="145"/>
      <c r="N364" s="146"/>
      <c r="O364" s="145"/>
      <c r="P364" s="146"/>
      <c r="Q364" s="145"/>
      <c r="R364" s="374"/>
      <c r="S364" s="375"/>
      <c r="T364" s="146"/>
      <c r="U364" s="145"/>
      <c r="V364" s="146"/>
      <c r="W364" s="376"/>
      <c r="X364" s="377"/>
      <c r="Y364" s="264"/>
      <c r="Z364" s="265"/>
      <c r="AA364" s="45"/>
      <c r="AB364" s="46"/>
      <c r="AC364" s="264"/>
      <c r="AD364" s="265"/>
      <c r="AE364" s="45"/>
      <c r="AF364" s="46"/>
      <c r="AG364" s="380"/>
      <c r="AH364" s="381"/>
      <c r="AI364" s="380"/>
      <c r="AJ364" s="381"/>
      <c r="AK364" s="537">
        <f>G364+I364+K364+M364+O364+Q364+S364+U364+W364+Y364+AA364+AC364+AE364+AG364+AI364</f>
        <v>0</v>
      </c>
      <c r="AL364" s="528">
        <f>IF(E364=0,0,AK364/E364)</f>
        <v>0</v>
      </c>
      <c r="AM364" s="530">
        <f>H364+J364+L364+N364+P364+R364+T364+V364+X364+Z364+AB364+AD364+AF364+AH364+AJ364</f>
        <v>0</v>
      </c>
      <c r="AN364" s="533">
        <f>IF(E364=0,0,AM364/($E364*14))</f>
        <v>0</v>
      </c>
      <c r="AO364" s="535" t="str">
        <f>IF(AM364=0,"",AM364/AK364)</f>
        <v/>
      </c>
      <c r="AP364" s="493">
        <f>G365+I365+K365+M365+O365+Q365+S365+U365+W365+Y365+AA365+AC365+AE365+AG365+AI365</f>
        <v>0</v>
      </c>
      <c r="AQ364" s="268"/>
      <c r="AR364" s="537">
        <f>+AR357+AK364-W290-W297-W304-W311-W318-W325-W332-W350-W357</f>
        <v>0</v>
      </c>
      <c r="AS364" s="528">
        <f>AR364/(E350+E357+E364)</f>
        <v>0</v>
      </c>
      <c r="AT364" s="530">
        <f>+AT357+AM364-X290-X297-X304-X311-X318-X325-X332-X350-X357</f>
        <v>0</v>
      </c>
      <c r="AU364" s="528">
        <f>+AT364/(14*(E350+E357+E364))</f>
        <v>0</v>
      </c>
      <c r="AV364" s="514">
        <f>+AV357+AP364-W291-W298-W305-W312-W319-W326-W333-W351-W358</f>
        <v>0</v>
      </c>
    </row>
    <row r="365" spans="1:48" ht="21" outlineLevel="1" x14ac:dyDescent="0.25">
      <c r="A365" s="577" t="s">
        <v>66</v>
      </c>
      <c r="B365" s="100"/>
      <c r="C365" s="552"/>
      <c r="D365" s="457"/>
      <c r="E365" s="459"/>
      <c r="F365" s="50" t="s">
        <v>37</v>
      </c>
      <c r="G365" s="570"/>
      <c r="H365" s="571"/>
      <c r="I365" s="570"/>
      <c r="J365" s="571"/>
      <c r="K365" s="570"/>
      <c r="L365" s="571"/>
      <c r="M365" s="566"/>
      <c r="N365" s="567"/>
      <c r="O365" s="566"/>
      <c r="P365" s="567"/>
      <c r="Q365" s="566"/>
      <c r="R365" s="573"/>
      <c r="S365" s="574"/>
      <c r="T365" s="567"/>
      <c r="U365" s="566"/>
      <c r="V365" s="567"/>
      <c r="W365" s="568"/>
      <c r="X365" s="569"/>
      <c r="Y365" s="570"/>
      <c r="Z365" s="571"/>
      <c r="AA365" s="570"/>
      <c r="AB365" s="571"/>
      <c r="AC365" s="570"/>
      <c r="AD365" s="571"/>
      <c r="AE365" s="578"/>
      <c r="AF365" s="579"/>
      <c r="AG365" s="564"/>
      <c r="AH365" s="565"/>
      <c r="AI365" s="564"/>
      <c r="AJ365" s="565"/>
      <c r="AK365" s="538"/>
      <c r="AL365" s="529"/>
      <c r="AM365" s="532"/>
      <c r="AN365" s="534"/>
      <c r="AO365" s="536"/>
      <c r="AP365" s="425"/>
      <c r="AQ365" s="268"/>
      <c r="AR365" s="538"/>
      <c r="AS365" s="529"/>
      <c r="AT365" s="531"/>
      <c r="AU365" s="529"/>
      <c r="AV365" s="515"/>
    </row>
    <row r="366" spans="1:48" ht="21" outlineLevel="1" x14ac:dyDescent="0.25">
      <c r="A366" s="577"/>
      <c r="B366" s="112"/>
      <c r="C366" s="552"/>
      <c r="D366" s="479" t="str">
        <f>$B$7</f>
        <v>Feeder</v>
      </c>
      <c r="E366" s="481">
        <v>50</v>
      </c>
      <c r="F366" s="51" t="s">
        <v>36</v>
      </c>
      <c r="G366" s="149"/>
      <c r="H366" s="150"/>
      <c r="I366" s="149"/>
      <c r="J366" s="150"/>
      <c r="K366" s="149"/>
      <c r="L366" s="150"/>
      <c r="M366" s="147"/>
      <c r="N366" s="148"/>
      <c r="O366" s="147"/>
      <c r="P366" s="148"/>
      <c r="Q366" s="147"/>
      <c r="R366" s="382"/>
      <c r="S366" s="383"/>
      <c r="T366" s="148"/>
      <c r="U366" s="147"/>
      <c r="V366" s="148"/>
      <c r="W366" s="384"/>
      <c r="X366" s="385"/>
      <c r="Y366" s="52"/>
      <c r="Z366" s="53"/>
      <c r="AA366" s="52"/>
      <c r="AB366" s="53"/>
      <c r="AC366" s="149"/>
      <c r="AD366" s="150"/>
      <c r="AE366" s="386"/>
      <c r="AF366" s="387"/>
      <c r="AG366" s="249"/>
      <c r="AH366" s="250"/>
      <c r="AI366" s="249"/>
      <c r="AJ366" s="250"/>
      <c r="AK366" s="521">
        <f>G366+I366+K366+M366+O366+Q366+S366+U366+W366+Y366+AA366+AC366+AE366+AG366+AI366</f>
        <v>0</v>
      </c>
      <c r="AL366" s="519">
        <f>IF(E366=0,0,AK366/E366)</f>
        <v>0</v>
      </c>
      <c r="AM366" s="523">
        <f>H366+J366+L366+N366+P366+R366+T366+V366+X366+Z366+AB366+AD366+AF366+AH366+AJ366</f>
        <v>0</v>
      </c>
      <c r="AN366" s="525">
        <f>IF(E364=0,0,AM366/($E364*14))</f>
        <v>0</v>
      </c>
      <c r="AO366" s="527" t="str">
        <f>IF(AM366=0,"",AM366/AK366)</f>
        <v/>
      </c>
      <c r="AP366" s="468">
        <f>G367+I367+K367+M367+O367+Q367+S367+U367+W367+Y367+AA367+AC367+AE367+AG367+AI367</f>
        <v>0</v>
      </c>
      <c r="AQ366" s="268"/>
      <c r="AR366" s="518">
        <f>+AR359+AK366-W292-W299-W306-W313-W320-W327-W334-W352-W359</f>
        <v>0</v>
      </c>
      <c r="AS366" s="519">
        <f>AR366/(E352+E359+E366)</f>
        <v>0</v>
      </c>
      <c r="AT366" s="520">
        <f>+AT359+AM366-X292-X299-X306-X313-X320-X327-X334-X352-X359</f>
        <v>0</v>
      </c>
      <c r="AU366" s="519">
        <f>+AT366/(14*(E352+E359+E366))</f>
        <v>0</v>
      </c>
      <c r="AV366" s="508">
        <f>+AV359+AP366-W293-W300-W307-W314-W321-W328-W335-W353-W360</f>
        <v>0</v>
      </c>
    </row>
    <row r="367" spans="1:48" ht="20.399999999999999" outlineLevel="1" x14ac:dyDescent="0.25">
      <c r="A367" s="577">
        <f>A363+1</f>
        <v>19</v>
      </c>
      <c r="B367" s="100"/>
      <c r="C367" s="552"/>
      <c r="D367" s="480"/>
      <c r="E367" s="482"/>
      <c r="F367" s="54" t="s">
        <v>37</v>
      </c>
      <c r="G367" s="506"/>
      <c r="H367" s="507"/>
      <c r="I367" s="506"/>
      <c r="J367" s="507"/>
      <c r="K367" s="506"/>
      <c r="L367" s="507"/>
      <c r="M367" s="543"/>
      <c r="N367" s="544"/>
      <c r="O367" s="543"/>
      <c r="P367" s="544"/>
      <c r="Q367" s="543"/>
      <c r="R367" s="545"/>
      <c r="S367" s="546"/>
      <c r="T367" s="544"/>
      <c r="U367" s="543"/>
      <c r="V367" s="544"/>
      <c r="W367" s="462"/>
      <c r="X367" s="463"/>
      <c r="Y367" s="506"/>
      <c r="Z367" s="507"/>
      <c r="AA367" s="575"/>
      <c r="AB367" s="576"/>
      <c r="AC367" s="506"/>
      <c r="AD367" s="507"/>
      <c r="AE367" s="506"/>
      <c r="AF367" s="507"/>
      <c r="AG367" s="506"/>
      <c r="AH367" s="507"/>
      <c r="AI367" s="506"/>
      <c r="AJ367" s="507"/>
      <c r="AK367" s="522"/>
      <c r="AL367" s="519"/>
      <c r="AM367" s="524"/>
      <c r="AN367" s="526"/>
      <c r="AO367" s="527"/>
      <c r="AP367" s="468"/>
      <c r="AQ367" s="268"/>
      <c r="AR367" s="518"/>
      <c r="AS367" s="519"/>
      <c r="AT367" s="520"/>
      <c r="AU367" s="519"/>
      <c r="AV367" s="508"/>
    </row>
    <row r="368" spans="1:48" ht="22.8" x14ac:dyDescent="0.25">
      <c r="A368" s="577"/>
      <c r="B368" s="100" t="s">
        <v>67</v>
      </c>
      <c r="C368" s="552"/>
      <c r="D368" s="464" t="s">
        <v>38</v>
      </c>
      <c r="E368" s="465"/>
      <c r="F368" s="466"/>
      <c r="G368" s="106"/>
      <c r="H368" s="108"/>
      <c r="I368" s="106"/>
      <c r="J368" s="108"/>
      <c r="K368" s="106"/>
      <c r="L368" s="108"/>
      <c r="M368" s="101"/>
      <c r="N368" s="102"/>
      <c r="O368" s="101"/>
      <c r="P368" s="102"/>
      <c r="Q368" s="101"/>
      <c r="R368" s="251"/>
      <c r="S368" s="252"/>
      <c r="T368" s="102"/>
      <c r="U368" s="101"/>
      <c r="V368" s="102"/>
      <c r="W368" s="101"/>
      <c r="X368" s="102"/>
      <c r="Y368" s="106"/>
      <c r="Z368" s="108"/>
      <c r="AA368" s="106"/>
      <c r="AB368" s="108"/>
      <c r="AC368" s="106"/>
      <c r="AD368" s="108"/>
      <c r="AE368" s="106"/>
      <c r="AF368" s="108"/>
      <c r="AG368" s="106"/>
      <c r="AH368" s="108"/>
      <c r="AI368" s="106"/>
      <c r="AJ368" s="108"/>
      <c r="AK368" s="253">
        <f>+AK364+AK366</f>
        <v>0</v>
      </c>
      <c r="AL368" s="58">
        <f>IF(E364+E366=0,0,AK368/(E364+E366))</f>
        <v>0</v>
      </c>
      <c r="AM368" s="110">
        <f>+SUM(AM366,AM364)</f>
        <v>0</v>
      </c>
      <c r="AN368" s="58">
        <f>IF((E364+E366)=0,0,AM368/((E364+E366)*14))</f>
        <v>0</v>
      </c>
      <c r="AO368" s="60" t="str">
        <f>IF(AM368=0,"",AM368/AK368)</f>
        <v/>
      </c>
      <c r="AP368" s="61">
        <f>+AP364+AP366</f>
        <v>0</v>
      </c>
      <c r="AQ368" s="268"/>
      <c r="AR368" s="63">
        <f>+AR364+AR366</f>
        <v>0</v>
      </c>
      <c r="AS368" s="64">
        <f>AR368/E282</f>
        <v>0</v>
      </c>
      <c r="AT368" s="61">
        <f>+AT364+AT366</f>
        <v>0</v>
      </c>
      <c r="AU368" s="64">
        <f>AT368/F282</f>
        <v>0</v>
      </c>
      <c r="AV368" s="111">
        <f>+AV364+AV366</f>
        <v>0</v>
      </c>
    </row>
    <row r="369" spans="1:48" ht="21.6" thickBot="1" x14ac:dyDescent="0.3">
      <c r="A369" s="49"/>
      <c r="B369" s="112" t="s">
        <v>68</v>
      </c>
      <c r="C369" s="552"/>
      <c r="D369" s="554" t="s">
        <v>39</v>
      </c>
      <c r="E369" s="555"/>
      <c r="F369" s="556"/>
      <c r="G369" s="116"/>
      <c r="H369" s="254"/>
      <c r="I369" s="116"/>
      <c r="J369" s="254"/>
      <c r="K369" s="116"/>
      <c r="L369" s="254"/>
      <c r="M369" s="127"/>
      <c r="N369" s="128"/>
      <c r="O369" s="127"/>
      <c r="P369" s="128"/>
      <c r="Q369" s="127"/>
      <c r="R369" s="266"/>
      <c r="S369" s="267"/>
      <c r="T369" s="128"/>
      <c r="U369" s="127"/>
      <c r="V369" s="128"/>
      <c r="W369" s="98"/>
      <c r="X369" s="99"/>
      <c r="Y369" s="116"/>
      <c r="Z369" s="254"/>
      <c r="AA369" s="116"/>
      <c r="AB369" s="254"/>
      <c r="AC369" s="116"/>
      <c r="AD369" s="254"/>
      <c r="AE369" s="116"/>
      <c r="AF369" s="254"/>
      <c r="AG369" s="116"/>
      <c r="AH369" s="254"/>
      <c r="AI369" s="116"/>
      <c r="AJ369" s="254"/>
      <c r="AK369" s="71">
        <f>G369+I369+K369+M369+O369+Q369+S369+U369+W369+Y369+AA369+AC369+AE369+AG369+AI369</f>
        <v>0</v>
      </c>
      <c r="AL369" s="72"/>
      <c r="AM369" s="73">
        <f>H369+J369+L369+N369+P369+R369+T369+V369+X369+Z369+AB369+AD369+AF369+AH369+AJ369</f>
        <v>0</v>
      </c>
      <c r="AN369" s="72"/>
      <c r="AO369" s="74"/>
      <c r="AP369" s="73"/>
      <c r="AQ369" s="269"/>
      <c r="AR369" s="71">
        <f>+AR362+AK369-W302-W309-W316-W323-U330-U337-W355</f>
        <v>0</v>
      </c>
      <c r="AS369" s="77"/>
      <c r="AT369" s="73">
        <f>+AT362+AM369-X302-X309-X316-X323-V330-V337-X355-X362</f>
        <v>0</v>
      </c>
      <c r="AU369" s="77"/>
      <c r="AV369" s="118"/>
    </row>
    <row r="370" spans="1:48" ht="23.4" thickBot="1" x14ac:dyDescent="0.3">
      <c r="A370" s="49"/>
      <c r="B370" s="152">
        <f>SUM(MOD(("1/"&amp;A288)-{0;6},{1E+99;7})*{1;-1},A363*7,MATCH(MID(B369,1,2),{"Mo";"Tu";"We";"Th";"Fr";"Sa";"Su"},0)-5)</f>
        <v>42498</v>
      </c>
      <c r="C370" s="553"/>
      <c r="D370" s="557" t="s">
        <v>6</v>
      </c>
      <c r="E370" s="558"/>
      <c r="F370" s="559"/>
      <c r="G370" s="120"/>
      <c r="H370" s="121"/>
      <c r="I370" s="120"/>
      <c r="J370" s="121"/>
      <c r="K370" s="120"/>
      <c r="L370" s="121"/>
      <c r="M370" s="120"/>
      <c r="N370" s="121"/>
      <c r="O370" s="120"/>
      <c r="P370" s="121"/>
      <c r="Q370" s="120"/>
      <c r="R370" s="260"/>
      <c r="S370" s="261"/>
      <c r="T370" s="121"/>
      <c r="U370" s="120"/>
      <c r="V370" s="121"/>
      <c r="W370" s="120"/>
      <c r="X370" s="121"/>
      <c r="Y370" s="120"/>
      <c r="Z370" s="121"/>
      <c r="AA370" s="120"/>
      <c r="AB370" s="121"/>
      <c r="AC370" s="120"/>
      <c r="AD370" s="121"/>
      <c r="AE370" s="120"/>
      <c r="AF370" s="121"/>
      <c r="AG370" s="120"/>
      <c r="AH370" s="121"/>
      <c r="AI370" s="120"/>
      <c r="AJ370" s="121"/>
      <c r="AK370" s="123">
        <f>AK368+AK369</f>
        <v>0</v>
      </c>
      <c r="AL370" s="85">
        <f>IF(E364+E366=0,0,AK370/(E364+E366))</f>
        <v>0</v>
      </c>
      <c r="AM370" s="90">
        <f>+AM368+AM369</f>
        <v>0</v>
      </c>
      <c r="AN370" s="85">
        <f>IF((E364+E366)=0,0,AM370/((E364+E366)*14))</f>
        <v>0</v>
      </c>
      <c r="AO370" s="87" t="str">
        <f>IF(AM370=0,"",AM370/AK370)</f>
        <v/>
      </c>
      <c r="AP370" s="88">
        <f>+AP368</f>
        <v>0</v>
      </c>
      <c r="AQ370" s="268"/>
      <c r="AR370" s="123">
        <f>+AR368+AR369</f>
        <v>0</v>
      </c>
      <c r="AS370" s="85">
        <f>AR370/E282</f>
        <v>0</v>
      </c>
      <c r="AT370" s="86">
        <f>+AT368+AT369</f>
        <v>0</v>
      </c>
      <c r="AU370" s="85">
        <f>+AT370/F282</f>
        <v>0</v>
      </c>
      <c r="AV370" s="124">
        <f>+AV368</f>
        <v>0</v>
      </c>
    </row>
    <row r="371" spans="1:48" ht="21" outlineLevel="1" x14ac:dyDescent="0.25">
      <c r="A371" s="49"/>
      <c r="B371" s="93"/>
      <c r="C371" s="551"/>
      <c r="D371" s="500" t="str">
        <f>$B$6</f>
        <v>Trade</v>
      </c>
      <c r="E371" s="501">
        <v>328</v>
      </c>
      <c r="F371" s="44" t="s">
        <v>36</v>
      </c>
      <c r="G371" s="235"/>
      <c r="H371" s="236"/>
      <c r="I371" s="237"/>
      <c r="J371" s="238"/>
      <c r="K371" s="237"/>
      <c r="L371" s="238"/>
      <c r="M371" s="145"/>
      <c r="N371" s="146"/>
      <c r="O371" s="145"/>
      <c r="P371" s="146"/>
      <c r="Q371" s="145"/>
      <c r="R371" s="374"/>
      <c r="S371" s="375"/>
      <c r="T371" s="146"/>
      <c r="U371" s="145"/>
      <c r="V371" s="146"/>
      <c r="W371" s="145"/>
      <c r="X371" s="146"/>
      <c r="Y371" s="376"/>
      <c r="Z371" s="377"/>
      <c r="AA371" s="45"/>
      <c r="AB371" s="46"/>
      <c r="AC371" s="264"/>
      <c r="AD371" s="265"/>
      <c r="AE371" s="45"/>
      <c r="AF371" s="46"/>
      <c r="AG371" s="380"/>
      <c r="AH371" s="381"/>
      <c r="AI371" s="45"/>
      <c r="AJ371" s="46"/>
      <c r="AK371" s="537">
        <f>G371+I371+K371+M371+O371+Q371+S371+U371+W371+Y371+AA371+AC371+AE371+AG371+AI371</f>
        <v>0</v>
      </c>
      <c r="AL371" s="528">
        <f>IF(E371=0,0,AK371/E371)</f>
        <v>0</v>
      </c>
      <c r="AM371" s="530">
        <f>H371+J371+L371+N371+P371+R371+T371+V371+X371+Z371+AB371+AD371+AF371+AH371+AJ371</f>
        <v>0</v>
      </c>
      <c r="AN371" s="533">
        <f>IF(E371=0,0,AM371/($E371*14))</f>
        <v>0</v>
      </c>
      <c r="AO371" s="535" t="str">
        <f>IF(AM371=0,"",AM371/AK371)</f>
        <v/>
      </c>
      <c r="AP371" s="493">
        <f>G372+I372+K372+M372+O372+Q372+S372+U372+W372+Y372+AA372+AC372+AE372+AG372+AI372</f>
        <v>0</v>
      </c>
      <c r="AQ371" s="268"/>
      <c r="AR371" s="537">
        <f>AR364+AK371-Y290-Y297-Y304-Y311-Y318-Y325-Y332-Y350-Y357-Y364</f>
        <v>0</v>
      </c>
      <c r="AS371" s="572">
        <f>AR371/(E350+E357+E364+E371)</f>
        <v>0</v>
      </c>
      <c r="AT371" s="530">
        <f>+AT364+AM371-Z290-Z297-Z304-Z311-Z318-Z325-Z332-Z350-Z357-Z364</f>
        <v>0</v>
      </c>
      <c r="AU371" s="528">
        <f>+AT371/(14*(E350+E357+E364+E371))</f>
        <v>0</v>
      </c>
      <c r="AV371" s="514">
        <f>+AV364+AP371-Y291-Y298-Y305-Y312-Y319-Y326-Y333-Y351-Y358-Y365</f>
        <v>0</v>
      </c>
    </row>
    <row r="372" spans="1:48" ht="21" outlineLevel="1" x14ac:dyDescent="0.25">
      <c r="A372" s="49"/>
      <c r="B372" s="97" t="s">
        <v>69</v>
      </c>
      <c r="C372" s="552"/>
      <c r="D372" s="457"/>
      <c r="E372" s="459"/>
      <c r="F372" s="50" t="s">
        <v>37</v>
      </c>
      <c r="G372" s="570"/>
      <c r="H372" s="571"/>
      <c r="I372" s="570"/>
      <c r="J372" s="571"/>
      <c r="K372" s="570"/>
      <c r="L372" s="571"/>
      <c r="M372" s="566"/>
      <c r="N372" s="567"/>
      <c r="O372" s="566"/>
      <c r="P372" s="567"/>
      <c r="Q372" s="566"/>
      <c r="R372" s="573"/>
      <c r="S372" s="574"/>
      <c r="T372" s="567"/>
      <c r="U372" s="566"/>
      <c r="V372" s="567"/>
      <c r="W372" s="566"/>
      <c r="X372" s="567"/>
      <c r="Y372" s="568"/>
      <c r="Z372" s="569"/>
      <c r="AA372" s="512"/>
      <c r="AB372" s="513"/>
      <c r="AC372" s="570"/>
      <c r="AD372" s="571"/>
      <c r="AE372" s="564"/>
      <c r="AF372" s="565"/>
      <c r="AG372" s="564"/>
      <c r="AH372" s="565"/>
      <c r="AI372" s="512"/>
      <c r="AJ372" s="513"/>
      <c r="AK372" s="538"/>
      <c r="AL372" s="529"/>
      <c r="AM372" s="532"/>
      <c r="AN372" s="534"/>
      <c r="AO372" s="536"/>
      <c r="AP372" s="425"/>
      <c r="AQ372" s="268"/>
      <c r="AR372" s="538"/>
      <c r="AS372" s="542"/>
      <c r="AT372" s="531"/>
      <c r="AU372" s="529"/>
      <c r="AV372" s="515"/>
    </row>
    <row r="373" spans="1:48" ht="21" outlineLevel="1" x14ac:dyDescent="0.25">
      <c r="A373" s="49"/>
      <c r="B373" s="112" t="s">
        <v>70</v>
      </c>
      <c r="C373" s="552"/>
      <c r="D373" s="479" t="str">
        <f>$B$7</f>
        <v>Feeder</v>
      </c>
      <c r="E373" s="481">
        <v>200</v>
      </c>
      <c r="F373" s="51" t="s">
        <v>36</v>
      </c>
      <c r="G373" s="149"/>
      <c r="H373" s="150"/>
      <c r="I373" s="149"/>
      <c r="J373" s="150"/>
      <c r="K373" s="149"/>
      <c r="L373" s="150"/>
      <c r="M373" s="147"/>
      <c r="N373" s="148"/>
      <c r="O373" s="147"/>
      <c r="P373" s="148"/>
      <c r="Q373" s="147"/>
      <c r="R373" s="382"/>
      <c r="S373" s="383"/>
      <c r="T373" s="148"/>
      <c r="U373" s="147"/>
      <c r="V373" s="148"/>
      <c r="W373" s="147"/>
      <c r="X373" s="148"/>
      <c r="Y373" s="384"/>
      <c r="Z373" s="385"/>
      <c r="AA373" s="52"/>
      <c r="AB373" s="53"/>
      <c r="AC373" s="149"/>
      <c r="AD373" s="150"/>
      <c r="AE373" s="249"/>
      <c r="AF373" s="250"/>
      <c r="AG373" s="249"/>
      <c r="AH373" s="250"/>
      <c r="AI373" s="52"/>
      <c r="AJ373" s="53"/>
      <c r="AK373" s="521">
        <f>G373+I373+K373+M373+O373+Q373+S373+U373+W373+Y373+AA373+AC373+AE373+AG373+AI373</f>
        <v>0</v>
      </c>
      <c r="AL373" s="519">
        <f>IF(E373=0,0,AK373/E373)</f>
        <v>0</v>
      </c>
      <c r="AM373" s="523">
        <f>H373+J373+L373+N373+P373+R373+T373+V373+X373+Z373+AB373+AD373+AF373+AH373+AJ373</f>
        <v>0</v>
      </c>
      <c r="AN373" s="525">
        <f>IF(E371=0,0,AM373/($E371*14))</f>
        <v>0</v>
      </c>
      <c r="AO373" s="527" t="str">
        <f>IF(AM373=0,"",AM373/AK373)</f>
        <v/>
      </c>
      <c r="AP373" s="468">
        <f>G374+I374+K374+M374+O374+Q374+S374+U374+W374+Y374+AA374+AC374+AE374+AG374+AI374</f>
        <v>0</v>
      </c>
      <c r="AQ373" s="268"/>
      <c r="AR373" s="561">
        <f>AR366+AK373-Y292-Y299-Y306-Y313-Y320-Y327-Y334-Y352-Y359-Y366</f>
        <v>0</v>
      </c>
      <c r="AS373" s="542">
        <f>AR373/(E352+E359+E366+E373)</f>
        <v>0</v>
      </c>
      <c r="AT373" s="520">
        <f>+AT366+AM373-Z292-Z299-Z306-Z313-Z320-Z327-Z334-Z352-Z359-Z366</f>
        <v>0</v>
      </c>
      <c r="AU373" s="519">
        <f>+AT373/(14*(E352+E359+E366+E373))</f>
        <v>0</v>
      </c>
      <c r="AV373" s="508">
        <f>+AV366+AP373-Y293-Y300-Y307-Y314-Y321-Y328-Y335-Y353-Y360-Y367</f>
        <v>0</v>
      </c>
    </row>
    <row r="374" spans="1:48" ht="21" outlineLevel="1" thickBot="1" x14ac:dyDescent="0.3">
      <c r="A374" s="49"/>
      <c r="B374" s="100"/>
      <c r="C374" s="552"/>
      <c r="D374" s="480"/>
      <c r="E374" s="482"/>
      <c r="F374" s="54" t="s">
        <v>37</v>
      </c>
      <c r="G374" s="506"/>
      <c r="H374" s="507"/>
      <c r="I374" s="506"/>
      <c r="J374" s="507"/>
      <c r="K374" s="506"/>
      <c r="L374" s="507"/>
      <c r="M374" s="543"/>
      <c r="N374" s="544"/>
      <c r="O374" s="543"/>
      <c r="P374" s="544"/>
      <c r="Q374" s="543"/>
      <c r="R374" s="545"/>
      <c r="S374" s="546"/>
      <c r="T374" s="544"/>
      <c r="U374" s="543"/>
      <c r="V374" s="544"/>
      <c r="W374" s="127"/>
      <c r="X374" s="128"/>
      <c r="Y374" s="462"/>
      <c r="Z374" s="463"/>
      <c r="AA374" s="506"/>
      <c r="AB374" s="507"/>
      <c r="AC374" s="506"/>
      <c r="AD374" s="507"/>
      <c r="AE374" s="506"/>
      <c r="AF374" s="507"/>
      <c r="AG374" s="506"/>
      <c r="AH374" s="507"/>
      <c r="AI374" s="506"/>
      <c r="AJ374" s="507"/>
      <c r="AK374" s="522"/>
      <c r="AL374" s="519"/>
      <c r="AM374" s="524"/>
      <c r="AN374" s="526"/>
      <c r="AO374" s="527"/>
      <c r="AP374" s="468"/>
      <c r="AQ374" s="268"/>
      <c r="AR374" s="562"/>
      <c r="AS374" s="563"/>
      <c r="AT374" s="523"/>
      <c r="AU374" s="525"/>
      <c r="AV374" s="560"/>
    </row>
    <row r="375" spans="1:48" ht="23.4" thickTop="1" x14ac:dyDescent="0.25">
      <c r="A375" s="49"/>
      <c r="B375" s="100" t="s">
        <v>71</v>
      </c>
      <c r="C375" s="552"/>
      <c r="D375" s="464" t="s">
        <v>38</v>
      </c>
      <c r="E375" s="465"/>
      <c r="F375" s="466"/>
      <c r="G375" s="106"/>
      <c r="H375" s="108"/>
      <c r="I375" s="106"/>
      <c r="J375" s="108"/>
      <c r="K375" s="106"/>
      <c r="L375" s="108"/>
      <c r="M375" s="101"/>
      <c r="N375" s="102"/>
      <c r="O375" s="101"/>
      <c r="P375" s="102"/>
      <c r="Q375" s="101"/>
      <c r="R375" s="251"/>
      <c r="S375" s="252"/>
      <c r="T375" s="102"/>
      <c r="U375" s="101"/>
      <c r="V375" s="102"/>
      <c r="W375" s="101"/>
      <c r="X375" s="102"/>
      <c r="Y375" s="101"/>
      <c r="Z375" s="102"/>
      <c r="AA375" s="106"/>
      <c r="AB375" s="108"/>
      <c r="AC375" s="106"/>
      <c r="AD375" s="108"/>
      <c r="AE375" s="106"/>
      <c r="AF375" s="108"/>
      <c r="AG375" s="106"/>
      <c r="AH375" s="108"/>
      <c r="AI375" s="106"/>
      <c r="AJ375" s="108"/>
      <c r="AK375" s="253">
        <f>+AK371+AK373</f>
        <v>0</v>
      </c>
      <c r="AL375" s="58">
        <f>IF(E371+E373=0,0,AK375/(E371+E373))</f>
        <v>0</v>
      </c>
      <c r="AM375" s="110">
        <f>+SUM(AM373,AM371)</f>
        <v>0</v>
      </c>
      <c r="AN375" s="58">
        <f>IF((E371+E373)=0,0,AM375/((E371+E373)*14))</f>
        <v>0</v>
      </c>
      <c r="AO375" s="60" t="str">
        <f>IF(AM375=0,"",AM375/AK375)</f>
        <v/>
      </c>
      <c r="AP375" s="61">
        <f>+AP371+AP373</f>
        <v>0</v>
      </c>
      <c r="AQ375" s="268"/>
      <c r="AR375" s="135">
        <f>+AR371+AR373</f>
        <v>0</v>
      </c>
      <c r="AS375" s="136">
        <f>AR375/E282</f>
        <v>0</v>
      </c>
      <c r="AT375" s="270">
        <f>+AT371+AT373</f>
        <v>0</v>
      </c>
      <c r="AU375" s="136">
        <f>AT375/F282</f>
        <v>0</v>
      </c>
      <c r="AV375" s="138">
        <f>+AV371+AV373</f>
        <v>0</v>
      </c>
    </row>
    <row r="376" spans="1:48" ht="21.6" thickBot="1" x14ac:dyDescent="0.3">
      <c r="A376" s="49"/>
      <c r="B376" s="112" t="s">
        <v>43</v>
      </c>
      <c r="C376" s="552"/>
      <c r="D376" s="554" t="s">
        <v>39</v>
      </c>
      <c r="E376" s="555"/>
      <c r="F376" s="556"/>
      <c r="G376" s="116"/>
      <c r="H376" s="254"/>
      <c r="I376" s="116"/>
      <c r="J376" s="254"/>
      <c r="K376" s="116"/>
      <c r="L376" s="254"/>
      <c r="M376" s="127"/>
      <c r="N376" s="128"/>
      <c r="O376" s="127"/>
      <c r="P376" s="128"/>
      <c r="Q376" s="127"/>
      <c r="R376" s="266"/>
      <c r="S376" s="267"/>
      <c r="T376" s="128"/>
      <c r="U376" s="127"/>
      <c r="V376" s="128"/>
      <c r="W376" s="127"/>
      <c r="X376" s="128"/>
      <c r="Y376" s="98"/>
      <c r="Z376" s="99"/>
      <c r="AA376" s="116"/>
      <c r="AB376" s="254"/>
      <c r="AC376" s="116"/>
      <c r="AD376" s="254"/>
      <c r="AE376" s="116"/>
      <c r="AF376" s="254"/>
      <c r="AG376" s="116"/>
      <c r="AH376" s="254"/>
      <c r="AI376" s="116"/>
      <c r="AJ376" s="254"/>
      <c r="AK376" s="71">
        <f>G376+I376+K376+M376+O376+Q376+S376+U376+W376+Y376+AA376+AC376+AE376+AG376+AI376</f>
        <v>0</v>
      </c>
      <c r="AL376" s="72"/>
      <c r="AM376" s="73">
        <f>H376+J376+L376+N376+P376+R376+T376+V376+X376+Z376+AB376+AD376+AF376+AH376+AJ376</f>
        <v>0</v>
      </c>
      <c r="AN376" s="72"/>
      <c r="AO376" s="74"/>
      <c r="AP376" s="73"/>
      <c r="AQ376" s="269"/>
      <c r="AR376" s="139">
        <f>+AR369+AK376-Y309-Y316-Y323-U330-U337-Y355-Y362-Y369-Y302</f>
        <v>0</v>
      </c>
      <c r="AS376" s="77"/>
      <c r="AT376" s="73">
        <f>+AT369+AM376-Z309-Z316-Z323-V330-V337-Z355-Z362-Z369-Z302</f>
        <v>0</v>
      </c>
      <c r="AU376" s="77"/>
      <c r="AV376" s="140"/>
    </row>
    <row r="377" spans="1:48" ht="23.4" thickBot="1" x14ac:dyDescent="0.3">
      <c r="A377" s="49"/>
      <c r="B377" s="152">
        <f>SUM(MOD(("1/"&amp;A288)-{0;6},{1E+99;7})*{1;-1},A363*7,MATCH(MID(B376,1,2),{"Mo";"Tu";"We";"Th";"Fr";"Sa";"Su"},0)-5)+7</f>
        <v>42501</v>
      </c>
      <c r="C377" s="553"/>
      <c r="D377" s="557" t="s">
        <v>6</v>
      </c>
      <c r="E377" s="558"/>
      <c r="F377" s="559"/>
      <c r="G377" s="120"/>
      <c r="H377" s="121"/>
      <c r="I377" s="120"/>
      <c r="J377" s="121"/>
      <c r="K377" s="120"/>
      <c r="L377" s="121"/>
      <c r="M377" s="120"/>
      <c r="N377" s="121"/>
      <c r="O377" s="120"/>
      <c r="P377" s="121"/>
      <c r="Q377" s="120"/>
      <c r="R377" s="260"/>
      <c r="S377" s="261"/>
      <c r="T377" s="121"/>
      <c r="U377" s="120"/>
      <c r="V377" s="121"/>
      <c r="W377" s="120"/>
      <c r="X377" s="121"/>
      <c r="Y377" s="120"/>
      <c r="Z377" s="121"/>
      <c r="AA377" s="120"/>
      <c r="AB377" s="121"/>
      <c r="AC377" s="120"/>
      <c r="AD377" s="121"/>
      <c r="AE377" s="120"/>
      <c r="AF377" s="121"/>
      <c r="AG377" s="120"/>
      <c r="AH377" s="121"/>
      <c r="AI377" s="120"/>
      <c r="AJ377" s="121"/>
      <c r="AK377" s="84">
        <f>AK375+AK376</f>
        <v>0</v>
      </c>
      <c r="AL377" s="85">
        <f>IF(E371+E373=0,0,AK377/(E371+E373))</f>
        <v>0</v>
      </c>
      <c r="AM377" s="90">
        <f>+AM375+AM376</f>
        <v>0</v>
      </c>
      <c r="AN377" s="85">
        <f>IF((E371+E373)=0,0,AM377/((E371+E373)*14))</f>
        <v>0</v>
      </c>
      <c r="AO377" s="87" t="str">
        <f>IF(AM377=0,"",AM377/AK377)</f>
        <v/>
      </c>
      <c r="AP377" s="88">
        <f>+AP375</f>
        <v>0</v>
      </c>
      <c r="AQ377" s="268"/>
      <c r="AR377" s="271">
        <f>+AR375+AR376</f>
        <v>0</v>
      </c>
      <c r="AS377" s="142">
        <f>AR377/E145</f>
        <v>0</v>
      </c>
      <c r="AT377" s="272">
        <f>+AT375+AT376</f>
        <v>0</v>
      </c>
      <c r="AU377" s="142">
        <f>+AT377/F145</f>
        <v>0</v>
      </c>
      <c r="AV377" s="144">
        <f>+AV375</f>
        <v>0</v>
      </c>
    </row>
    <row r="378" spans="1:48" ht="20.399999999999999" outlineLevel="1" x14ac:dyDescent="0.25">
      <c r="A378" s="49"/>
      <c r="B378" s="93"/>
      <c r="C378" s="551"/>
      <c r="D378" s="500" t="str">
        <f>$B$6</f>
        <v>Trade</v>
      </c>
      <c r="E378" s="501">
        <v>240</v>
      </c>
      <c r="F378" s="44" t="s">
        <v>36</v>
      </c>
      <c r="G378" s="235"/>
      <c r="H378" s="236"/>
      <c r="I378" s="235"/>
      <c r="J378" s="236"/>
      <c r="K378" s="235"/>
      <c r="L378" s="236"/>
      <c r="M378" s="125"/>
      <c r="N378" s="126"/>
      <c r="O378" s="125"/>
      <c r="P378" s="126"/>
      <c r="Q378" s="125"/>
      <c r="R378" s="262"/>
      <c r="S378" s="263"/>
      <c r="T378" s="126"/>
      <c r="U378" s="125"/>
      <c r="V378" s="126"/>
      <c r="W378" s="125"/>
      <c r="X378" s="126"/>
      <c r="Y378" s="125"/>
      <c r="Z378" s="126"/>
      <c r="AA378" s="94"/>
      <c r="AB378" s="95"/>
      <c r="AC378" s="45"/>
      <c r="AD378" s="46"/>
      <c r="AE378" s="45"/>
      <c r="AF378" s="46"/>
      <c r="AG378" s="45"/>
      <c r="AH378" s="46"/>
      <c r="AI378" s="45"/>
      <c r="AJ378" s="46"/>
      <c r="AK378" s="537">
        <f>G378+I378+K378+M378+O378+Q378+S378+U378+W378+Y378+AA378+AC378+AE378+AG378+AI378</f>
        <v>0</v>
      </c>
      <c r="AL378" s="528">
        <f>IF(E378=0,0,AK378/E378)</f>
        <v>0</v>
      </c>
      <c r="AM378" s="530">
        <f>H378+J378+L378+N378+P378+R378+T378+V378+X378+Z378+AB378+AD378+AF378+AH378+AJ378</f>
        <v>0</v>
      </c>
      <c r="AN378" s="533">
        <f>IF(E378=0,0,AM378/($E378*14))</f>
        <v>0</v>
      </c>
      <c r="AO378" s="535" t="str">
        <f>IF(AM378=0,"",AM378/AK378)</f>
        <v/>
      </c>
      <c r="AP378" s="493">
        <f>G379+I379+K379+M379+O379+Q379+S379+U379+W379+Y379+AA379+AC379+AE379+AG379+AI379</f>
        <v>0</v>
      </c>
      <c r="AQ378" s="268"/>
      <c r="AR378" s="548">
        <f>+AR371+AK378-AA290-AA297-AA304-AA311-AA318-AA325-AA332-AA350-AA357-AA364-AA371-AE371-AE364-AE357-AE350</f>
        <v>0</v>
      </c>
      <c r="AS378" s="549">
        <f>AR378/E378</f>
        <v>0</v>
      </c>
      <c r="AT378" s="550">
        <f>+AT371+AM378-AB290-AB297-AB304-AB311-AB318-AB325-AB332-AB350-AB357-AB364-AB371-AF371-AF350-AF357-AF364</f>
        <v>0</v>
      </c>
      <c r="AU378" s="534">
        <f>+AT378/(14*E378)</f>
        <v>0</v>
      </c>
      <c r="AV378" s="547">
        <f>+AV371+AP378-AA291-AA298-AA305-AA312-AA319-AA326-AA333-AA351-AA358-AA365-AA372</f>
        <v>0</v>
      </c>
    </row>
    <row r="379" spans="1:48" ht="20.399999999999999" outlineLevel="1" x14ac:dyDescent="0.25">
      <c r="A379" s="49"/>
      <c r="B379" s="100"/>
      <c r="C379" s="552"/>
      <c r="D379" s="457"/>
      <c r="E379" s="459"/>
      <c r="F379" s="50" t="s">
        <v>37</v>
      </c>
      <c r="G379" s="512"/>
      <c r="H379" s="513"/>
      <c r="I379" s="512"/>
      <c r="J379" s="513"/>
      <c r="K379" s="512"/>
      <c r="L379" s="513"/>
      <c r="M379" s="543"/>
      <c r="N379" s="544"/>
      <c r="O379" s="543"/>
      <c r="P379" s="544"/>
      <c r="Q379" s="543"/>
      <c r="R379" s="545"/>
      <c r="S379" s="546"/>
      <c r="T379" s="544"/>
      <c r="U379" s="543"/>
      <c r="V379" s="544"/>
      <c r="W379" s="543"/>
      <c r="X379" s="544"/>
      <c r="Y379" s="543"/>
      <c r="Z379" s="544"/>
      <c r="AA379" s="462"/>
      <c r="AB379" s="463"/>
      <c r="AC379" s="512"/>
      <c r="AD379" s="513"/>
      <c r="AE379" s="512"/>
      <c r="AF379" s="513"/>
      <c r="AG379" s="512"/>
      <c r="AH379" s="513"/>
      <c r="AI379" s="512"/>
      <c r="AJ379" s="513"/>
      <c r="AK379" s="538"/>
      <c r="AL379" s="529"/>
      <c r="AM379" s="532"/>
      <c r="AN379" s="534"/>
      <c r="AO379" s="536"/>
      <c r="AP379" s="425"/>
      <c r="AQ379" s="268"/>
      <c r="AR379" s="538"/>
      <c r="AS379" s="542"/>
      <c r="AT379" s="531"/>
      <c r="AU379" s="529"/>
      <c r="AV379" s="515"/>
    </row>
    <row r="380" spans="1:48" ht="21" outlineLevel="1" x14ac:dyDescent="0.25">
      <c r="A380" s="49"/>
      <c r="B380" s="112" t="s">
        <v>51</v>
      </c>
      <c r="C380" s="552"/>
      <c r="D380" s="479" t="str">
        <f>$B$7</f>
        <v>Feeder</v>
      </c>
      <c r="E380" s="481">
        <v>863</v>
      </c>
      <c r="F380" s="51" t="s">
        <v>36</v>
      </c>
      <c r="G380" s="52"/>
      <c r="H380" s="53"/>
      <c r="I380" s="52"/>
      <c r="J380" s="53"/>
      <c r="K380" s="52"/>
      <c r="L380" s="53"/>
      <c r="M380" s="127"/>
      <c r="N380" s="128"/>
      <c r="O380" s="127"/>
      <c r="P380" s="128"/>
      <c r="Q380" s="127"/>
      <c r="R380" s="266"/>
      <c r="S380" s="267"/>
      <c r="T380" s="128"/>
      <c r="U380" s="127"/>
      <c r="V380" s="128"/>
      <c r="W380" s="127"/>
      <c r="X380" s="128"/>
      <c r="Y380" s="127"/>
      <c r="Z380" s="128"/>
      <c r="AA380" s="98"/>
      <c r="AB380" s="99"/>
      <c r="AC380" s="348"/>
      <c r="AD380" s="349"/>
      <c r="AE380" s="52"/>
      <c r="AF380" s="53"/>
      <c r="AG380" s="52"/>
      <c r="AH380" s="53"/>
      <c r="AI380" s="52"/>
      <c r="AJ380" s="53"/>
      <c r="AK380" s="521">
        <f>G380+I380+K380+M380+O380+Q380+S380+U380+W380+Y380+AA380+AC380+AE380+AG380+AI380</f>
        <v>0</v>
      </c>
      <c r="AL380" s="519">
        <f>IF(E380=0,0,AK380/E380)</f>
        <v>0</v>
      </c>
      <c r="AM380" s="523">
        <f>H380+J380+L380+N380+P380+R380+T380+V380+X380+Z380+AB380+AD380+AF380+AH380+AJ380</f>
        <v>0</v>
      </c>
      <c r="AN380" s="525">
        <f>IF(E378=0,0,AM380/($E378*14))</f>
        <v>0</v>
      </c>
      <c r="AO380" s="527" t="str">
        <f>IF(AM380=0,"",AM380/AK380)</f>
        <v/>
      </c>
      <c r="AP380" s="468">
        <f>G381+I381+K381+M381+O381+Q381+S381+U381+W381+Y381+AA381+AC381+AE381+AG381+AI381</f>
        <v>0</v>
      </c>
      <c r="AQ380" s="268"/>
      <c r="AR380" s="518">
        <f>+AR373+AK380-AA292-AA299-AA306-AA313-AA320-AA327-AA334-AA352-AA359-AA366-AA373</f>
        <v>0</v>
      </c>
      <c r="AS380" s="542">
        <f>AR380/E380</f>
        <v>0</v>
      </c>
      <c r="AT380" s="520">
        <f>+AT373+AM380-AB292-AB299-AB306-AB313-AB320-AB327-AB334-AB352-AB359-AB366-AB373</f>
        <v>0</v>
      </c>
      <c r="AU380" s="519">
        <f>+AT380/(14*E380)</f>
        <v>0</v>
      </c>
      <c r="AV380" s="508">
        <f>+AV373+AP380-AA293-AA300-AA307-AA314-AA321-AA328-AA335-AA353-AA360-AA367-AA374</f>
        <v>0</v>
      </c>
    </row>
    <row r="381" spans="1:48" ht="21" outlineLevel="1" x14ac:dyDescent="0.25">
      <c r="A381" s="49"/>
      <c r="B381" s="100"/>
      <c r="C381" s="552"/>
      <c r="D381" s="480"/>
      <c r="E381" s="482"/>
      <c r="F381" s="54" t="s">
        <v>37</v>
      </c>
      <c r="G381" s="506"/>
      <c r="H381" s="507"/>
      <c r="I381" s="506"/>
      <c r="J381" s="507"/>
      <c r="K381" s="506"/>
      <c r="L381" s="507"/>
      <c r="M381" s="543"/>
      <c r="N381" s="544"/>
      <c r="O381" s="543"/>
      <c r="P381" s="544"/>
      <c r="Q381" s="543"/>
      <c r="R381" s="545"/>
      <c r="S381" s="546"/>
      <c r="T381" s="544"/>
      <c r="U381" s="543"/>
      <c r="V381" s="544"/>
      <c r="W381" s="543"/>
      <c r="X381" s="544"/>
      <c r="Y381" s="543"/>
      <c r="Z381" s="544"/>
      <c r="AA381" s="462"/>
      <c r="AB381" s="463"/>
      <c r="AC381" s="540"/>
      <c r="AD381" s="541"/>
      <c r="AE381" s="506"/>
      <c r="AF381" s="507"/>
      <c r="AG381" s="506"/>
      <c r="AH381" s="507"/>
      <c r="AI381" s="506"/>
      <c r="AJ381" s="507"/>
      <c r="AK381" s="522"/>
      <c r="AL381" s="519"/>
      <c r="AM381" s="524"/>
      <c r="AN381" s="526"/>
      <c r="AO381" s="527"/>
      <c r="AP381" s="468"/>
      <c r="AQ381" s="268"/>
      <c r="AR381" s="518"/>
      <c r="AS381" s="542"/>
      <c r="AT381" s="520"/>
      <c r="AU381" s="519"/>
      <c r="AV381" s="508"/>
    </row>
    <row r="382" spans="1:48" ht="22.8" x14ac:dyDescent="0.25">
      <c r="A382" s="49"/>
      <c r="B382" s="100" t="s">
        <v>52</v>
      </c>
      <c r="C382" s="552"/>
      <c r="D382" s="464" t="s">
        <v>38</v>
      </c>
      <c r="E382" s="465"/>
      <c r="F382" s="466"/>
      <c r="G382" s="106"/>
      <c r="H382" s="108"/>
      <c r="I382" s="106"/>
      <c r="J382" s="108"/>
      <c r="K382" s="106"/>
      <c r="L382" s="108"/>
      <c r="M382" s="101"/>
      <c r="N382" s="102"/>
      <c r="O382" s="101"/>
      <c r="P382" s="102"/>
      <c r="Q382" s="101"/>
      <c r="R382" s="251"/>
      <c r="S382" s="252"/>
      <c r="T382" s="102"/>
      <c r="U382" s="101"/>
      <c r="V382" s="102"/>
      <c r="W382" s="101"/>
      <c r="X382" s="102"/>
      <c r="Y382" s="101"/>
      <c r="Z382" s="102"/>
      <c r="AA382" s="101"/>
      <c r="AB382" s="102"/>
      <c r="AC382" s="106"/>
      <c r="AD382" s="108"/>
      <c r="AE382" s="106"/>
      <c r="AF382" s="108"/>
      <c r="AG382" s="106"/>
      <c r="AH382" s="108"/>
      <c r="AI382" s="106"/>
      <c r="AJ382" s="108"/>
      <c r="AK382" s="253">
        <f>+AK378+AK380</f>
        <v>0</v>
      </c>
      <c r="AL382" s="58">
        <f>IF(E378+E380=0,0,AK382/(E378+E380))</f>
        <v>0</v>
      </c>
      <c r="AM382" s="110">
        <f>+SUM(AM380,AM378)</f>
        <v>0</v>
      </c>
      <c r="AN382" s="58">
        <f>IF((E378+E380)=0,0,AM382/((E378+E380)*14))</f>
        <v>0</v>
      </c>
      <c r="AO382" s="60" t="str">
        <f>IF(AM382=0,"",AM382/AK382)</f>
        <v/>
      </c>
      <c r="AP382" s="61">
        <f>+AP378+AP380</f>
        <v>0</v>
      </c>
      <c r="AQ382" s="268"/>
      <c r="AR382" s="57">
        <f>+AR378+AR380</f>
        <v>0</v>
      </c>
      <c r="AS382" s="58">
        <f>AR382/E282</f>
        <v>0</v>
      </c>
      <c r="AT382" s="59">
        <f>+AT378+AT380</f>
        <v>0</v>
      </c>
      <c r="AU382" s="58">
        <f>AT382/F282</f>
        <v>0</v>
      </c>
      <c r="AV382" s="111">
        <f>+AV378+AV380</f>
        <v>0</v>
      </c>
    </row>
    <row r="383" spans="1:48" ht="21.6" thickBot="1" x14ac:dyDescent="0.3">
      <c r="A383" s="49"/>
      <c r="B383" s="112" t="s">
        <v>65</v>
      </c>
      <c r="C383" s="552"/>
      <c r="D383" s="445" t="s">
        <v>39</v>
      </c>
      <c r="E383" s="445"/>
      <c r="F383" s="445"/>
      <c r="G383" s="116"/>
      <c r="H383" s="254"/>
      <c r="I383" s="116"/>
      <c r="J383" s="254"/>
      <c r="K383" s="116"/>
      <c r="L383" s="254"/>
      <c r="M383" s="127"/>
      <c r="N383" s="128"/>
      <c r="O383" s="127"/>
      <c r="P383" s="128"/>
      <c r="Q383" s="127"/>
      <c r="R383" s="266"/>
      <c r="S383" s="267"/>
      <c r="T383" s="128"/>
      <c r="U383" s="127"/>
      <c r="V383" s="128"/>
      <c r="W383" s="127"/>
      <c r="X383" s="128"/>
      <c r="Y383" s="127"/>
      <c r="Z383" s="128"/>
      <c r="AA383" s="98"/>
      <c r="AB383" s="99"/>
      <c r="AC383" s="113"/>
      <c r="AD383" s="114"/>
      <c r="AE383" s="113"/>
      <c r="AF383" s="114"/>
      <c r="AG383" s="113"/>
      <c r="AH383" s="114"/>
      <c r="AI383" s="113"/>
      <c r="AJ383" s="114"/>
      <c r="AK383" s="71">
        <f>G383+I383+K383+M383+O383+Q383+S383+U383+W383+Y383+AA383+AC383+AE383+AG383+AI383</f>
        <v>0</v>
      </c>
      <c r="AL383" s="72"/>
      <c r="AM383" s="73">
        <f>H383+J383+L383+N383+P383+R383+T383+V383+X383+Z383+AB383+AD383+AF383+AH383+AJ383</f>
        <v>0</v>
      </c>
      <c r="AN383" s="72"/>
      <c r="AO383" s="74"/>
      <c r="AP383" s="73"/>
      <c r="AQ383" s="269"/>
      <c r="AR383" s="71">
        <f>+AR376+AK383-AA295-AA302-AA309-AA316-AA323-AA330-AA337-AA355-AA362-AA369-AA376</f>
        <v>0</v>
      </c>
      <c r="AS383" s="77"/>
      <c r="AT383" s="73">
        <f>+AT376+AM383-AB295-AB302-AB309-AB316-AB323-AB330-AB337-AB355-AB362-AB369-AB376</f>
        <v>0</v>
      </c>
      <c r="AU383" s="77"/>
      <c r="AV383" s="118"/>
    </row>
    <row r="384" spans="1:48" ht="23.4" thickBot="1" x14ac:dyDescent="0.3">
      <c r="A384" s="49"/>
      <c r="B384" s="152">
        <f>SUM(MOD(("1/"&amp;A288)-{0;6},{1E+99;7})*{1;-1},A363*7,MATCH(MID(B383,1,2),{"Mo";"Tu";"We";"Th";"Fr";"Sa";"Su"},0)-5)+7</f>
        <v>42504</v>
      </c>
      <c r="C384" s="553"/>
      <c r="D384" s="446" t="s">
        <v>6</v>
      </c>
      <c r="E384" s="446"/>
      <c r="F384" s="446"/>
      <c r="G384" s="120"/>
      <c r="H384" s="121"/>
      <c r="I384" s="120"/>
      <c r="J384" s="121"/>
      <c r="K384" s="120"/>
      <c r="L384" s="121"/>
      <c r="M384" s="120"/>
      <c r="N384" s="121"/>
      <c r="O384" s="120"/>
      <c r="P384" s="121"/>
      <c r="Q384" s="120"/>
      <c r="R384" s="260"/>
      <c r="S384" s="261"/>
      <c r="T384" s="121"/>
      <c r="U384" s="120"/>
      <c r="V384" s="121"/>
      <c r="W384" s="120"/>
      <c r="X384" s="121"/>
      <c r="Y384" s="120"/>
      <c r="Z384" s="121"/>
      <c r="AA384" s="120"/>
      <c r="AB384" s="121"/>
      <c r="AC384" s="120"/>
      <c r="AD384" s="121"/>
      <c r="AE384" s="120"/>
      <c r="AF384" s="121"/>
      <c r="AG384" s="120"/>
      <c r="AH384" s="121"/>
      <c r="AI384" s="120"/>
      <c r="AJ384" s="121"/>
      <c r="AK384" s="123">
        <f>AK382+AK383</f>
        <v>0</v>
      </c>
      <c r="AL384" s="85">
        <f>IF(E378+E380=0,0,AK384/(E378+E380))</f>
        <v>0</v>
      </c>
      <c r="AM384" s="90">
        <f>+AM382+AM383</f>
        <v>0</v>
      </c>
      <c r="AN384" s="85">
        <f>IF((E378+E380)=0,0,AM384/((E378+E380)*14))</f>
        <v>0</v>
      </c>
      <c r="AO384" s="87" t="str">
        <f>IF(AM384=0,"",AM384/AK384)</f>
        <v/>
      </c>
      <c r="AP384" s="88">
        <f>+AP382</f>
        <v>0</v>
      </c>
      <c r="AQ384" s="268"/>
      <c r="AR384" s="84">
        <f>+AR382+AR383</f>
        <v>0</v>
      </c>
      <c r="AS384" s="85">
        <f>AR384/E282</f>
        <v>0</v>
      </c>
      <c r="AT384" s="86">
        <f>+AT382+AT383</f>
        <v>0</v>
      </c>
      <c r="AU384" s="85">
        <f>+AT384/F282</f>
        <v>0</v>
      </c>
      <c r="AV384" s="124">
        <f>+AV382</f>
        <v>0</v>
      </c>
    </row>
    <row r="385" spans="1:48" ht="20.399999999999999" outlineLevel="1" x14ac:dyDescent="0.25">
      <c r="A385" s="273"/>
      <c r="B385" s="156"/>
      <c r="C385" s="451"/>
      <c r="D385" s="500" t="str">
        <f>$B$6</f>
        <v>Trade</v>
      </c>
      <c r="E385" s="501">
        <v>10</v>
      </c>
      <c r="F385" s="44" t="s">
        <v>36</v>
      </c>
      <c r="G385" s="45"/>
      <c r="H385" s="46"/>
      <c r="I385" s="45"/>
      <c r="J385" s="46"/>
      <c r="K385" s="45"/>
      <c r="L385" s="46"/>
      <c r="M385" s="45"/>
      <c r="N385" s="46"/>
      <c r="O385" s="45"/>
      <c r="P385" s="46"/>
      <c r="Q385" s="45"/>
      <c r="R385" s="274"/>
      <c r="S385" s="275"/>
      <c r="T385" s="46"/>
      <c r="U385" s="45"/>
      <c r="V385" s="46"/>
      <c r="W385" s="45"/>
      <c r="X385" s="46"/>
      <c r="Y385" s="45"/>
      <c r="Z385" s="46"/>
      <c r="AA385" s="94"/>
      <c r="AB385" s="95"/>
      <c r="AC385" s="94"/>
      <c r="AD385" s="95"/>
      <c r="AE385" s="45"/>
      <c r="AF385" s="46"/>
      <c r="AG385" s="45"/>
      <c r="AH385" s="46"/>
      <c r="AI385" s="45"/>
      <c r="AJ385" s="46"/>
      <c r="AK385" s="537">
        <f>G385+I385+K385+M385+O385+Q385+S385+U385+W385+Y385+AA385+AC385+AE385+AG385+AI385</f>
        <v>0</v>
      </c>
      <c r="AL385" s="528">
        <f>IF(E385=0,0,AK385/E385)</f>
        <v>0</v>
      </c>
      <c r="AM385" s="530">
        <f>H385+J385+L385+N385+P385+R385+T385+V385+X385+Z385+AB385+AD385+AF385+AH385+AJ385</f>
        <v>0</v>
      </c>
      <c r="AN385" s="533">
        <f>IF(E385=0,0,AM385/($E385*14))</f>
        <v>0</v>
      </c>
      <c r="AO385" s="535" t="str">
        <f>IF(AM385=0,"",AM385/AK385)</f>
        <v/>
      </c>
      <c r="AP385" s="493">
        <f>G386+I386+K386+M386+O386+Q386+S386+U386+W386+Y386+AA386+AC386+AE386+AG386+AI386</f>
        <v>0</v>
      </c>
      <c r="AQ385" s="109"/>
      <c r="AR385" s="537">
        <f>AR378+AK385-AC339</f>
        <v>0</v>
      </c>
      <c r="AS385" s="528">
        <f>AR385/$E$9</f>
        <v>0</v>
      </c>
      <c r="AT385" s="530">
        <f>AT378+AM385-AD339</f>
        <v>0</v>
      </c>
      <c r="AU385" s="528">
        <f>+AT385/$F$9</f>
        <v>0</v>
      </c>
      <c r="AV385" s="514">
        <f>AV378+AP385-AC340</f>
        <v>0</v>
      </c>
    </row>
    <row r="386" spans="1:48" ht="20.399999999999999" outlineLevel="1" x14ac:dyDescent="0.25">
      <c r="A386" s="273"/>
      <c r="B386" s="156"/>
      <c r="C386" s="451"/>
      <c r="D386" s="457"/>
      <c r="E386" s="459"/>
      <c r="F386" s="50" t="s">
        <v>37</v>
      </c>
      <c r="G386" s="512"/>
      <c r="H386" s="513"/>
      <c r="I386" s="512"/>
      <c r="J386" s="513"/>
      <c r="K386" s="512"/>
      <c r="L386" s="513"/>
      <c r="M386" s="512"/>
      <c r="N386" s="513"/>
      <c r="O386" s="512"/>
      <c r="P386" s="513"/>
      <c r="Q386" s="512"/>
      <c r="R386" s="516"/>
      <c r="S386" s="517"/>
      <c r="T386" s="513"/>
      <c r="U386" s="512"/>
      <c r="V386" s="513"/>
      <c r="W386" s="512"/>
      <c r="X386" s="513"/>
      <c r="Y386" s="512"/>
      <c r="Z386" s="513"/>
      <c r="AA386" s="462"/>
      <c r="AB386" s="463"/>
      <c r="AC386" s="462"/>
      <c r="AD386" s="463"/>
      <c r="AE386" s="512"/>
      <c r="AF386" s="513"/>
      <c r="AG386" s="512"/>
      <c r="AH386" s="513"/>
      <c r="AI386" s="512"/>
      <c r="AJ386" s="513"/>
      <c r="AK386" s="538"/>
      <c r="AL386" s="529"/>
      <c r="AM386" s="532"/>
      <c r="AN386" s="534"/>
      <c r="AO386" s="536"/>
      <c r="AP386" s="425"/>
      <c r="AQ386" s="109"/>
      <c r="AR386" s="538"/>
      <c r="AS386" s="529"/>
      <c r="AT386" s="531"/>
      <c r="AU386" s="529"/>
      <c r="AV386" s="515"/>
    </row>
    <row r="387" spans="1:48" ht="19.5" customHeight="1" outlineLevel="1" x14ac:dyDescent="0.25">
      <c r="A387" s="277"/>
      <c r="B387" s="96"/>
      <c r="C387" s="451"/>
      <c r="D387" s="479" t="str">
        <f>$B$7</f>
        <v>Feeder</v>
      </c>
      <c r="E387" s="481"/>
      <c r="F387" s="51" t="s">
        <v>36</v>
      </c>
      <c r="G387" s="52"/>
      <c r="H387" s="53"/>
      <c r="I387" s="52"/>
      <c r="J387" s="53"/>
      <c r="K387" s="52"/>
      <c r="L387" s="53"/>
      <c r="M387" s="52"/>
      <c r="N387" s="53"/>
      <c r="O387" s="52"/>
      <c r="P387" s="53"/>
      <c r="Q387" s="52"/>
      <c r="R387" s="278"/>
      <c r="S387" s="279"/>
      <c r="T387" s="53"/>
      <c r="U387" s="52"/>
      <c r="V387" s="53"/>
      <c r="W387" s="52"/>
      <c r="X387" s="53"/>
      <c r="Y387" s="52"/>
      <c r="Z387" s="53"/>
      <c r="AA387" s="98"/>
      <c r="AB387" s="99"/>
      <c r="AC387" s="98"/>
      <c r="AD387" s="99"/>
      <c r="AE387" s="52"/>
      <c r="AF387" s="53"/>
      <c r="AG387" s="52"/>
      <c r="AH387" s="53"/>
      <c r="AI387" s="52"/>
      <c r="AJ387" s="53"/>
      <c r="AK387" s="521">
        <f>G387+I387+K387+M387+O387+Q387+S387+U387+W387+Y387+AA387+AC387+AE387+AG387+AI387</f>
        <v>0</v>
      </c>
      <c r="AL387" s="519">
        <f>IF(E385=0,0,AK387/E385)</f>
        <v>0</v>
      </c>
      <c r="AM387" s="523">
        <f>H387+J387+L387+N387+P387+R387+T387+V387+X387+Z387+AB387+AD387+AF387+AH387+AJ387</f>
        <v>0</v>
      </c>
      <c r="AN387" s="525">
        <f>IF(E385=0,0,AM387/($E385*14))</f>
        <v>0</v>
      </c>
      <c r="AO387" s="527" t="str">
        <f>IF(AM387=0,"",AM387/AK387)</f>
        <v/>
      </c>
      <c r="AP387" s="468">
        <f>G388+I388+K388+M388+O388+Q388+S388+U388+W388+Y388+AA388+AC388+AE388+AG388+AI388</f>
        <v>0</v>
      </c>
      <c r="AQ387" s="109"/>
      <c r="AR387" s="518">
        <f>+AR380+AK387-AC341</f>
        <v>0</v>
      </c>
      <c r="AS387" s="519">
        <f>AR387/$E$10</f>
        <v>0</v>
      </c>
      <c r="AT387" s="520">
        <f>+AT380+AM387-AD341</f>
        <v>0</v>
      </c>
      <c r="AU387" s="519">
        <f>+AT387/$F$10</f>
        <v>0</v>
      </c>
      <c r="AV387" s="508">
        <f>AV380+AP387-AC342</f>
        <v>0</v>
      </c>
    </row>
    <row r="388" spans="1:48" ht="25.5" customHeight="1" outlineLevel="1" x14ac:dyDescent="0.25">
      <c r="A388" s="277"/>
      <c r="B388" s="97"/>
      <c r="C388" s="451"/>
      <c r="D388" s="480"/>
      <c r="E388" s="482"/>
      <c r="F388" s="54" t="s">
        <v>37</v>
      </c>
      <c r="G388" s="506"/>
      <c r="H388" s="507"/>
      <c r="I388" s="506"/>
      <c r="J388" s="507"/>
      <c r="K388" s="506"/>
      <c r="L388" s="507"/>
      <c r="M388" s="506"/>
      <c r="N388" s="507"/>
      <c r="O388" s="506"/>
      <c r="P388" s="507"/>
      <c r="Q388" s="506"/>
      <c r="R388" s="509"/>
      <c r="S388" s="510"/>
      <c r="T388" s="507"/>
      <c r="U388" s="506"/>
      <c r="V388" s="507"/>
      <c r="W388" s="506"/>
      <c r="X388" s="507"/>
      <c r="Y388" s="506"/>
      <c r="Z388" s="507"/>
      <c r="AA388" s="462"/>
      <c r="AB388" s="463"/>
      <c r="AC388" s="462"/>
      <c r="AD388" s="463"/>
      <c r="AE388" s="506"/>
      <c r="AF388" s="507"/>
      <c r="AG388" s="506"/>
      <c r="AH388" s="507"/>
      <c r="AI388" s="506"/>
      <c r="AJ388" s="507"/>
      <c r="AK388" s="522"/>
      <c r="AL388" s="519"/>
      <c r="AM388" s="524"/>
      <c r="AN388" s="526"/>
      <c r="AO388" s="527"/>
      <c r="AP388" s="468"/>
      <c r="AQ388" s="109"/>
      <c r="AR388" s="518"/>
      <c r="AS388" s="519"/>
      <c r="AT388" s="520"/>
      <c r="AU388" s="519"/>
      <c r="AV388" s="508"/>
    </row>
    <row r="389" spans="1:48" ht="27" customHeight="1" x14ac:dyDescent="0.25">
      <c r="A389" s="277"/>
      <c r="B389" s="100" t="s">
        <v>72</v>
      </c>
      <c r="C389" s="451"/>
      <c r="D389" s="464" t="s">
        <v>38</v>
      </c>
      <c r="E389" s="465"/>
      <c r="F389" s="466"/>
      <c r="G389" s="101"/>
      <c r="H389" s="102"/>
      <c r="I389" s="101"/>
      <c r="J389" s="102"/>
      <c r="K389" s="106"/>
      <c r="L389" s="108"/>
      <c r="M389" s="106"/>
      <c r="N389" s="108"/>
      <c r="O389" s="106"/>
      <c r="P389" s="108"/>
      <c r="Q389" s="106"/>
      <c r="R389" s="280"/>
      <c r="S389" s="281"/>
      <c r="T389" s="108"/>
      <c r="U389" s="106"/>
      <c r="V389" s="108"/>
      <c r="W389" s="106"/>
      <c r="X389" s="108"/>
      <c r="Y389" s="106"/>
      <c r="Z389" s="108"/>
      <c r="AA389" s="101"/>
      <c r="AB389" s="102"/>
      <c r="AC389" s="101"/>
      <c r="AD389" s="102"/>
      <c r="AE389" s="101"/>
      <c r="AF389" s="102"/>
      <c r="AG389" s="101"/>
      <c r="AH389" s="102"/>
      <c r="AI389" s="101"/>
      <c r="AJ389" s="102"/>
      <c r="AK389" s="253">
        <f>+AK385+AK387</f>
        <v>0</v>
      </c>
      <c r="AL389" s="58">
        <f>IF(E385+E387=0,0,AK389/(E385+E387))</f>
        <v>0</v>
      </c>
      <c r="AM389" s="110">
        <f>+SUM(AM387,AM385)</f>
        <v>0</v>
      </c>
      <c r="AN389" s="58">
        <f>IF((E385+E387)=0,0,AM389/((E385+E387)*14))</f>
        <v>0</v>
      </c>
      <c r="AO389" s="60" t="str">
        <f>IF(AM389=0,"",AM389/AK389)</f>
        <v/>
      </c>
      <c r="AP389" s="61">
        <f>+AP385+AP387</f>
        <v>0</v>
      </c>
      <c r="AQ389" s="109"/>
      <c r="AR389" s="253">
        <f>+AR385+AR387</f>
        <v>0</v>
      </c>
      <c r="AS389" s="58">
        <f>AR389/E282</f>
        <v>0</v>
      </c>
      <c r="AT389" s="59">
        <f>+AT385+AT387</f>
        <v>0</v>
      </c>
      <c r="AU389" s="58">
        <f>AT389/F282</f>
        <v>0</v>
      </c>
      <c r="AV389" s="111">
        <f>+AV385+AV387</f>
        <v>0</v>
      </c>
    </row>
    <row r="390" spans="1:48" ht="27.75" customHeight="1" thickBot="1" x14ac:dyDescent="0.3">
      <c r="A390" s="277"/>
      <c r="B390" s="112" t="s">
        <v>43</v>
      </c>
      <c r="C390" s="451"/>
      <c r="D390" s="445" t="s">
        <v>39</v>
      </c>
      <c r="E390" s="445"/>
      <c r="F390" s="445"/>
      <c r="G390" s="116"/>
      <c r="H390" s="254"/>
      <c r="I390" s="116"/>
      <c r="J390" s="254"/>
      <c r="K390" s="116"/>
      <c r="L390" s="254"/>
      <c r="M390" s="116"/>
      <c r="N390" s="254"/>
      <c r="O390" s="116"/>
      <c r="P390" s="254"/>
      <c r="Q390" s="282"/>
      <c r="R390" s="283"/>
      <c r="S390" s="284"/>
      <c r="T390" s="285"/>
      <c r="U390" s="116"/>
      <c r="V390" s="254"/>
      <c r="W390" s="116"/>
      <c r="X390" s="254"/>
      <c r="Y390" s="116"/>
      <c r="Z390" s="254"/>
      <c r="AA390" s="98"/>
      <c r="AB390" s="99"/>
      <c r="AC390" s="98"/>
      <c r="AD390" s="99"/>
      <c r="AE390" s="282"/>
      <c r="AF390" s="286"/>
      <c r="AG390" s="282"/>
      <c r="AH390" s="286"/>
      <c r="AI390" s="282"/>
      <c r="AJ390" s="286"/>
      <c r="AK390" s="71">
        <f>G390+I390+K390+M390+O390+Q390+S390+U390+W390+Y390+AA390+AC390+AE390+AG390+AI390</f>
        <v>0</v>
      </c>
      <c r="AL390" s="72"/>
      <c r="AM390" s="73">
        <f>H390+J390+L390+N390+P390+R390+T390+V390+X390+Z390+AB390+AD390+AF390+AH390+AJ390</f>
        <v>0</v>
      </c>
      <c r="AN390" s="72"/>
      <c r="AO390" s="74"/>
      <c r="AP390" s="73"/>
      <c r="AQ390" s="75"/>
      <c r="AR390" s="71">
        <f>AR383+AK390-AC344</f>
        <v>0</v>
      </c>
      <c r="AS390" s="77"/>
      <c r="AT390" s="73">
        <f>+AT383+AM390-AD344</f>
        <v>0</v>
      </c>
      <c r="AU390" s="77"/>
      <c r="AV390" s="118"/>
    </row>
    <row r="391" spans="1:48" ht="27.75" customHeight="1" thickBot="1" x14ac:dyDescent="0.3">
      <c r="A391" s="277"/>
      <c r="B391" s="152">
        <f>SUM(MOD(("1/"&amp;A288)-{0;6},{1E+99;7})*{1;-1},A363*7,MATCH(MID(B390,1,2),{"Mo";"Tu";"We";"Th";"Fr";"Sa";"Su"},0)-5)+14</f>
        <v>42508</v>
      </c>
      <c r="C391" s="539"/>
      <c r="D391" s="446" t="s">
        <v>6</v>
      </c>
      <c r="E391" s="446"/>
      <c r="F391" s="446"/>
      <c r="G391" s="153"/>
      <c r="H391" s="154"/>
      <c r="I391" s="153"/>
      <c r="J391" s="154"/>
      <c r="K391" s="82"/>
      <c r="L391" s="155"/>
      <c r="M391" s="82"/>
      <c r="N391" s="155"/>
      <c r="O391" s="82"/>
      <c r="P391" s="155"/>
      <c r="Q391" s="82"/>
      <c r="R391" s="287"/>
      <c r="S391" s="288"/>
      <c r="T391" s="155"/>
      <c r="U391" s="82"/>
      <c r="V391" s="155"/>
      <c r="W391" s="82"/>
      <c r="X391" s="155"/>
      <c r="Y391" s="82"/>
      <c r="Z391" s="155"/>
      <c r="AA391" s="82"/>
      <c r="AB391" s="155"/>
      <c r="AC391" s="120"/>
      <c r="AD391" s="121"/>
      <c r="AE391" s="82"/>
      <c r="AF391" s="155"/>
      <c r="AG391" s="82"/>
      <c r="AH391" s="155"/>
      <c r="AI391" s="82"/>
      <c r="AJ391" s="155"/>
      <c r="AK391" s="123">
        <f>AK389+AK390</f>
        <v>0</v>
      </c>
      <c r="AL391" s="85">
        <f>IF(E385+E387=0,0,AK391/(E385+E387))</f>
        <v>0</v>
      </c>
      <c r="AM391" s="90">
        <f>+AM389+AM390</f>
        <v>0</v>
      </c>
      <c r="AN391" s="85">
        <f>IF((E385+E387)=0,0,AM391/((E385+E387)*14))</f>
        <v>0</v>
      </c>
      <c r="AO391" s="87" t="str">
        <f>IF(AM391=0,"",AM391/AK391)</f>
        <v/>
      </c>
      <c r="AP391" s="88">
        <f>+AP389</f>
        <v>0</v>
      </c>
      <c r="AQ391" s="109"/>
      <c r="AR391" s="84">
        <f>+AR389+AR390</f>
        <v>0</v>
      </c>
      <c r="AS391" s="85">
        <f>AR391/$E$8</f>
        <v>0</v>
      </c>
      <c r="AT391" s="86">
        <f>+AT389+AT390</f>
        <v>0</v>
      </c>
      <c r="AU391" s="85">
        <f>+AT391/$F$8</f>
        <v>0</v>
      </c>
      <c r="AV391" s="124">
        <f>+AV389</f>
        <v>0</v>
      </c>
    </row>
    <row r="392" spans="1:48" ht="21" hidden="1" customHeight="1" outlineLevel="1" x14ac:dyDescent="0.25">
      <c r="A392" s="277"/>
      <c r="B392" s="93"/>
      <c r="C392" s="497"/>
      <c r="D392" s="500" t="str">
        <f>$B$6</f>
        <v>Trade</v>
      </c>
      <c r="E392" s="501"/>
      <c r="F392" s="44" t="s">
        <v>36</v>
      </c>
      <c r="G392" s="45"/>
      <c r="H392" s="46"/>
      <c r="I392" s="45"/>
      <c r="J392" s="46"/>
      <c r="K392" s="45"/>
      <c r="L392" s="46"/>
      <c r="M392" s="45"/>
      <c r="N392" s="46"/>
      <c r="O392" s="45"/>
      <c r="P392" s="46"/>
      <c r="Q392" s="45"/>
      <c r="R392" s="274"/>
      <c r="S392" s="275"/>
      <c r="T392" s="46"/>
      <c r="U392" s="45"/>
      <c r="V392" s="46"/>
      <c r="W392" s="45"/>
      <c r="X392" s="46"/>
      <c r="Y392" s="45"/>
      <c r="Z392" s="46"/>
      <c r="AA392" s="45"/>
      <c r="AB392" s="46"/>
      <c r="AC392" s="45"/>
      <c r="AD392" s="46"/>
      <c r="AE392" s="94"/>
      <c r="AF392" s="95"/>
      <c r="AG392" s="45"/>
      <c r="AH392" s="46"/>
      <c r="AI392" s="45"/>
      <c r="AJ392" s="46"/>
      <c r="AK392" s="502">
        <f>G392+I392+K392+M392+O392+Q392+S392+U392+W392+Y392+AA392+AC392+AE392+AG392+AI392</f>
        <v>0</v>
      </c>
      <c r="AL392" s="504">
        <f>IF(E392=0,0,AK392/E392)</f>
        <v>0</v>
      </c>
      <c r="AM392" s="493">
        <f>H392+J392+L392+N392+P392+R392+T392+V392+X392+Z392+AB392+AD392+AF392+AH392+AJ392</f>
        <v>0</v>
      </c>
      <c r="AN392" s="491">
        <f>IF(E392=0,0,AM392/($E392*14))</f>
        <v>0</v>
      </c>
      <c r="AO392" s="492" t="str">
        <f>IF(AM392=0,"",AM392/AK392)</f>
        <v/>
      </c>
      <c r="AP392" s="493">
        <f>G393+I393+K393+M393+O393+Q393+S393+U393+W393+Y393+AA393+AC393+AE393+AG393+AI393</f>
        <v>0</v>
      </c>
      <c r="AQ392" s="109"/>
      <c r="AR392" s="502">
        <f>+AR385+AK392-AE339-AE385</f>
        <v>0</v>
      </c>
      <c r="AS392" s="504">
        <f>AR392/$E$9</f>
        <v>0</v>
      </c>
      <c r="AT392" s="493">
        <f>+AT385+AM392-AF339-AF385</f>
        <v>0</v>
      </c>
      <c r="AU392" s="504">
        <f>+AT392/$F$9</f>
        <v>0</v>
      </c>
      <c r="AV392" s="514">
        <f>+AV385+AP392-AE340-AE386</f>
        <v>0</v>
      </c>
    </row>
    <row r="393" spans="1:48" ht="26.25" hidden="1" customHeight="1" outlineLevel="1" x14ac:dyDescent="0.25">
      <c r="A393" s="277"/>
      <c r="B393" s="96"/>
      <c r="C393" s="498"/>
      <c r="D393" s="457"/>
      <c r="E393" s="459"/>
      <c r="F393" s="50" t="s">
        <v>37</v>
      </c>
      <c r="G393" s="512"/>
      <c r="H393" s="513"/>
      <c r="I393" s="512"/>
      <c r="J393" s="513"/>
      <c r="K393" s="512"/>
      <c r="L393" s="513"/>
      <c r="M393" s="512"/>
      <c r="N393" s="513"/>
      <c r="O393" s="512"/>
      <c r="P393" s="513"/>
      <c r="Q393" s="512"/>
      <c r="R393" s="516"/>
      <c r="S393" s="517"/>
      <c r="T393" s="513"/>
      <c r="U393" s="512"/>
      <c r="V393" s="513"/>
      <c r="W393" s="512"/>
      <c r="X393" s="513"/>
      <c r="Y393" s="512"/>
      <c r="Z393" s="513"/>
      <c r="AA393" s="512"/>
      <c r="AB393" s="513"/>
      <c r="AC393" s="512"/>
      <c r="AD393" s="513"/>
      <c r="AE393" s="462"/>
      <c r="AF393" s="463"/>
      <c r="AG393" s="512"/>
      <c r="AH393" s="513"/>
      <c r="AI393" s="512"/>
      <c r="AJ393" s="513"/>
      <c r="AK393" s="503"/>
      <c r="AL393" s="419"/>
      <c r="AM393" s="505"/>
      <c r="AN393" s="423"/>
      <c r="AO393" s="424"/>
      <c r="AP393" s="425"/>
      <c r="AQ393" s="109"/>
      <c r="AR393" s="503"/>
      <c r="AS393" s="419"/>
      <c r="AT393" s="425"/>
      <c r="AU393" s="419"/>
      <c r="AV393" s="515"/>
    </row>
    <row r="394" spans="1:48" ht="23.25" hidden="1" customHeight="1" outlineLevel="1" x14ac:dyDescent="0.25">
      <c r="A394" s="277"/>
      <c r="B394" s="157"/>
      <c r="C394" s="498"/>
      <c r="D394" s="479" t="str">
        <f>$B$7</f>
        <v>Feeder</v>
      </c>
      <c r="E394" s="481"/>
      <c r="F394" s="51" t="s">
        <v>36</v>
      </c>
      <c r="G394" s="52"/>
      <c r="H394" s="53"/>
      <c r="I394" s="52"/>
      <c r="J394" s="53"/>
      <c r="K394" s="52"/>
      <c r="L394" s="53"/>
      <c r="M394" s="52"/>
      <c r="N394" s="53"/>
      <c r="O394" s="52"/>
      <c r="P394" s="53"/>
      <c r="Q394" s="52"/>
      <c r="R394" s="278"/>
      <c r="S394" s="279"/>
      <c r="T394" s="53"/>
      <c r="U394" s="52"/>
      <c r="V394" s="53"/>
      <c r="W394" s="52"/>
      <c r="X394" s="53"/>
      <c r="Y394" s="52"/>
      <c r="Z394" s="53"/>
      <c r="AA394" s="52"/>
      <c r="AB394" s="53"/>
      <c r="AC394" s="52"/>
      <c r="AD394" s="53"/>
      <c r="AE394" s="98"/>
      <c r="AF394" s="99"/>
      <c r="AG394" s="52"/>
      <c r="AH394" s="53"/>
      <c r="AI394" s="52"/>
      <c r="AJ394" s="53"/>
      <c r="AK394" s="483">
        <f>G394+I394+K394+M394+O394+Q394+S394+U394+W394+Y394+AA394+AC394+AE394+AG394+AI394</f>
        <v>0</v>
      </c>
      <c r="AL394" s="467">
        <f>IF(E392=0,0,AK394/E392)</f>
        <v>0</v>
      </c>
      <c r="AM394" s="471">
        <f>H394+J394+L394+N394+P394+R394+T394+V394+X394+Z394+AB394+AD394+AF394+AH394+AJ394</f>
        <v>0</v>
      </c>
      <c r="AN394" s="473">
        <f>IF(E392=0,0,AM394/($E392*14))</f>
        <v>0</v>
      </c>
      <c r="AO394" s="475" t="str">
        <f>IF(AM394=0,"",AM394/AK394)</f>
        <v/>
      </c>
      <c r="AP394" s="468">
        <f>G395+I395+K395+M395+O395+Q395+S395+U395+W395+Y395+AA395+AC395+AE395+AG395+AI395</f>
        <v>0</v>
      </c>
      <c r="AQ394" s="109"/>
      <c r="AR394" s="511">
        <f>+AR387+AK394-AE341-AE387</f>
        <v>0</v>
      </c>
      <c r="AS394" s="467">
        <f>AR394/$E$10</f>
        <v>0</v>
      </c>
      <c r="AT394" s="468">
        <f>+AT387+AM394-AF341-AF387</f>
        <v>0</v>
      </c>
      <c r="AU394" s="467">
        <f>+AT394/$F$10</f>
        <v>0</v>
      </c>
      <c r="AV394" s="508">
        <f>+AV387+AP394-AE342-AE388</f>
        <v>0</v>
      </c>
    </row>
    <row r="395" spans="1:48" ht="24" hidden="1" customHeight="1" outlineLevel="1" x14ac:dyDescent="0.25">
      <c r="A395" s="277"/>
      <c r="B395" s="100"/>
      <c r="C395" s="498"/>
      <c r="D395" s="480"/>
      <c r="E395" s="482"/>
      <c r="F395" s="54" t="s">
        <v>37</v>
      </c>
      <c r="G395" s="506"/>
      <c r="H395" s="507"/>
      <c r="I395" s="506"/>
      <c r="J395" s="507"/>
      <c r="K395" s="506"/>
      <c r="L395" s="507"/>
      <c r="M395" s="506"/>
      <c r="N395" s="507"/>
      <c r="O395" s="506"/>
      <c r="P395" s="507"/>
      <c r="Q395" s="506"/>
      <c r="R395" s="509"/>
      <c r="S395" s="510"/>
      <c r="T395" s="507"/>
      <c r="U395" s="506"/>
      <c r="V395" s="507"/>
      <c r="W395" s="506"/>
      <c r="X395" s="507"/>
      <c r="Y395" s="506"/>
      <c r="Z395" s="507"/>
      <c r="AA395" s="506"/>
      <c r="AB395" s="507"/>
      <c r="AC395" s="506"/>
      <c r="AD395" s="507"/>
      <c r="AE395" s="462"/>
      <c r="AF395" s="463"/>
      <c r="AG395" s="506"/>
      <c r="AH395" s="507"/>
      <c r="AI395" s="506"/>
      <c r="AJ395" s="507"/>
      <c r="AK395" s="484"/>
      <c r="AL395" s="467"/>
      <c r="AM395" s="472"/>
      <c r="AN395" s="474"/>
      <c r="AO395" s="475"/>
      <c r="AP395" s="468"/>
      <c r="AQ395" s="109"/>
      <c r="AR395" s="511"/>
      <c r="AS395" s="467"/>
      <c r="AT395" s="468"/>
      <c r="AU395" s="467"/>
      <c r="AV395" s="508"/>
    </row>
    <row r="396" spans="1:48" ht="26.25" hidden="1" customHeight="1" x14ac:dyDescent="0.25">
      <c r="A396" s="277"/>
      <c r="B396" s="96" t="s">
        <v>73</v>
      </c>
      <c r="C396" s="498"/>
      <c r="D396" s="464" t="s">
        <v>38</v>
      </c>
      <c r="E396" s="465"/>
      <c r="F396" s="466"/>
      <c r="G396" s="106"/>
      <c r="H396" s="108"/>
      <c r="I396" s="106"/>
      <c r="J396" s="108"/>
      <c r="K396" s="106"/>
      <c r="L396" s="108"/>
      <c r="M396" s="106"/>
      <c r="N396" s="108"/>
      <c r="O396" s="106"/>
      <c r="P396" s="108"/>
      <c r="Q396" s="106"/>
      <c r="R396" s="280"/>
      <c r="S396" s="281"/>
      <c r="T396" s="108"/>
      <c r="U396" s="106"/>
      <c r="V396" s="108"/>
      <c r="W396" s="106"/>
      <c r="X396" s="108"/>
      <c r="Y396" s="106"/>
      <c r="Z396" s="108"/>
      <c r="AA396" s="106"/>
      <c r="AB396" s="108"/>
      <c r="AC396" s="106"/>
      <c r="AD396" s="108"/>
      <c r="AE396" s="101"/>
      <c r="AF396" s="102"/>
      <c r="AG396" s="106"/>
      <c r="AH396" s="108"/>
      <c r="AI396" s="106"/>
      <c r="AJ396" s="108"/>
      <c r="AK396" s="159">
        <f>+AK392+AK394</f>
        <v>0</v>
      </c>
      <c r="AL396" s="64">
        <f>IF(E392+E394=0,0,AK396/(E392+E394))</f>
        <v>0</v>
      </c>
      <c r="AM396" s="65">
        <f>+SUM(AM394,AM392)</f>
        <v>0</v>
      </c>
      <c r="AN396" s="64">
        <f>IF((E392+E394)=0,0,AM396/((E392+E394)*14))</f>
        <v>0</v>
      </c>
      <c r="AO396" s="160" t="str">
        <f>IF(AM396=0,"",AM396/AK396)</f>
        <v/>
      </c>
      <c r="AP396" s="61">
        <f>+AP392+AP394</f>
        <v>0</v>
      </c>
      <c r="AQ396" s="109"/>
      <c r="AR396" s="159">
        <f>+AR392+AR394</f>
        <v>0</v>
      </c>
      <c r="AS396" s="64">
        <f>AR396/E282</f>
        <v>0</v>
      </c>
      <c r="AT396" s="65">
        <f>+AT392+AT394</f>
        <v>0</v>
      </c>
      <c r="AU396" s="64">
        <f>AT396/F282</f>
        <v>0</v>
      </c>
      <c r="AV396" s="111">
        <f>+AV392+AV394</f>
        <v>0</v>
      </c>
    </row>
    <row r="397" spans="1:48" ht="26.25" hidden="1" customHeight="1" thickBot="1" x14ac:dyDescent="0.3">
      <c r="A397" s="277"/>
      <c r="B397" s="112" t="s">
        <v>43</v>
      </c>
      <c r="C397" s="498"/>
      <c r="D397" s="445" t="s">
        <v>39</v>
      </c>
      <c r="E397" s="445"/>
      <c r="F397" s="445"/>
      <c r="G397" s="113"/>
      <c r="H397" s="114"/>
      <c r="I397" s="113"/>
      <c r="J397" s="114"/>
      <c r="K397" s="113"/>
      <c r="L397" s="114"/>
      <c r="M397" s="113"/>
      <c r="N397" s="114"/>
      <c r="O397" s="113"/>
      <c r="P397" s="114"/>
      <c r="Q397" s="113"/>
      <c r="R397" s="289"/>
      <c r="S397" s="290"/>
      <c r="T397" s="114"/>
      <c r="U397" s="113"/>
      <c r="V397" s="114"/>
      <c r="W397" s="113"/>
      <c r="X397" s="114"/>
      <c r="Y397" s="113"/>
      <c r="Z397" s="114"/>
      <c r="AA397" s="113"/>
      <c r="AB397" s="114"/>
      <c r="AC397" s="113"/>
      <c r="AD397" s="114"/>
      <c r="AE397" s="98"/>
      <c r="AF397" s="99"/>
      <c r="AG397" s="113"/>
      <c r="AH397" s="114"/>
      <c r="AI397" s="113"/>
      <c r="AJ397" s="114"/>
      <c r="AK397" s="71">
        <f>G397+I397+K397+M397+O397+Q397+S397+U397+W397+Y397+AA397+AC397+AE397+AG397+AI397</f>
        <v>0</v>
      </c>
      <c r="AL397" s="72"/>
      <c r="AM397" s="73">
        <f>H397+J397+L397+N397+P397+R397+T397+V397+X397+Z397+AB397+AD397+AF397+AH397+AJ397</f>
        <v>0</v>
      </c>
      <c r="AN397" s="72"/>
      <c r="AO397" s="74"/>
      <c r="AP397" s="73"/>
      <c r="AQ397" s="75"/>
      <c r="AR397" s="71">
        <f>+AR390+AK397-AE344-AE390</f>
        <v>0</v>
      </c>
      <c r="AS397" s="77"/>
      <c r="AT397" s="73">
        <f>+AT390+AM397-AF344-AF390</f>
        <v>0</v>
      </c>
      <c r="AU397" s="77"/>
      <c r="AV397" s="118"/>
    </row>
    <row r="398" spans="1:48" ht="27" hidden="1" customHeight="1" thickBot="1" x14ac:dyDescent="0.3">
      <c r="A398" s="277"/>
      <c r="B398" s="152">
        <f>B391</f>
        <v>42508</v>
      </c>
      <c r="C398" s="499"/>
      <c r="D398" s="446" t="s">
        <v>6</v>
      </c>
      <c r="E398" s="446"/>
      <c r="F398" s="446"/>
      <c r="G398" s="120"/>
      <c r="H398" s="121"/>
      <c r="I398" s="120"/>
      <c r="J398" s="121"/>
      <c r="K398" s="120"/>
      <c r="L398" s="121"/>
      <c r="M398" s="120"/>
      <c r="N398" s="121"/>
      <c r="O398" s="120"/>
      <c r="P398" s="121"/>
      <c r="Q398" s="120"/>
      <c r="R398" s="260"/>
      <c r="S398" s="261"/>
      <c r="T398" s="121"/>
      <c r="U398" s="120"/>
      <c r="V398" s="121"/>
      <c r="W398" s="120"/>
      <c r="X398" s="121"/>
      <c r="Y398" s="120"/>
      <c r="Z398" s="121"/>
      <c r="AA398" s="120"/>
      <c r="AB398" s="121"/>
      <c r="AC398" s="120"/>
      <c r="AD398" s="121"/>
      <c r="AE398" s="120"/>
      <c r="AF398" s="121"/>
      <c r="AG398" s="120"/>
      <c r="AH398" s="121"/>
      <c r="AI398" s="120"/>
      <c r="AJ398" s="121"/>
      <c r="AK398" s="123">
        <f>AK396+AK397</f>
        <v>0</v>
      </c>
      <c r="AL398" s="85">
        <f>IF(E392+E394=0,0,AK398/(E392+E394))</f>
        <v>0</v>
      </c>
      <c r="AM398" s="90">
        <f>+AM396+AM397</f>
        <v>0</v>
      </c>
      <c r="AN398" s="85">
        <f>IF((E392+E394)=0,0,AM398/((E392+E394)*14))</f>
        <v>0</v>
      </c>
      <c r="AO398" s="87" t="str">
        <f>IF(AM398=0,"",AM398/AK398)</f>
        <v/>
      </c>
      <c r="AP398" s="88">
        <f>+AP396</f>
        <v>0</v>
      </c>
      <c r="AQ398" s="109"/>
      <c r="AR398" s="291">
        <f>+AR396+AR397</f>
        <v>0</v>
      </c>
      <c r="AS398" s="292">
        <f>AR398/E282</f>
        <v>0</v>
      </c>
      <c r="AT398" s="293">
        <f>+AT396+AT397</f>
        <v>0</v>
      </c>
      <c r="AU398" s="292">
        <f>+AT398/F282</f>
        <v>0</v>
      </c>
      <c r="AV398" s="294">
        <f>+AV396</f>
        <v>0</v>
      </c>
    </row>
    <row r="399" spans="1:48" ht="33.6" hidden="1" thickBot="1" x14ac:dyDescent="0.3">
      <c r="A399" s="277"/>
      <c r="B399" s="93"/>
      <c r="C399" s="497"/>
      <c r="D399" s="500" t="str">
        <f>$B$6</f>
        <v>Trade</v>
      </c>
      <c r="E399" s="501"/>
      <c r="F399" s="44" t="s">
        <v>36</v>
      </c>
      <c r="G399" s="45"/>
      <c r="H399" s="46"/>
      <c r="I399" s="45"/>
      <c r="J399" s="46"/>
      <c r="K399" s="45"/>
      <c r="L399" s="46"/>
      <c r="M399" s="45"/>
      <c r="N399" s="46"/>
      <c r="O399" s="45"/>
      <c r="P399" s="46"/>
      <c r="Q399" s="45"/>
      <c r="R399" s="274"/>
      <c r="S399" s="275"/>
      <c r="T399" s="46"/>
      <c r="U399" s="45"/>
      <c r="V399" s="46"/>
      <c r="W399" s="45"/>
      <c r="X399" s="46"/>
      <c r="Y399" s="45"/>
      <c r="Z399" s="46"/>
      <c r="AA399" s="45"/>
      <c r="AB399" s="46"/>
      <c r="AC399" s="45"/>
      <c r="AD399" s="46"/>
      <c r="AE399" s="45"/>
      <c r="AF399" s="46"/>
      <c r="AG399" s="94"/>
      <c r="AH399" s="95"/>
      <c r="AI399" s="45"/>
      <c r="AJ399" s="46"/>
      <c r="AK399" s="502">
        <f>G399+I399+K399+M399+O399+Q399+S399+U399+W399+Y399+AA399+AC399+AE399+AG399+AI399</f>
        <v>0</v>
      </c>
      <c r="AL399" s="504">
        <f>IF(E399=0,0,AK399/E399)</f>
        <v>0</v>
      </c>
      <c r="AM399" s="493">
        <f>H399+J399+L399+N399+P399+R399+T399+V399+X399+Z399+AB399+AD399+AF399+AH399+AJ399</f>
        <v>0</v>
      </c>
      <c r="AN399" s="491">
        <f>IF(E399=0,0,AM399/($E399*14))</f>
        <v>0</v>
      </c>
      <c r="AO399" s="492" t="str">
        <f>IF(AM399=0,"",AM399/AK399)</f>
        <v/>
      </c>
      <c r="AP399" s="493">
        <f>G400+I400+K400+M400+O400+Q400+S400+U400+W400+Y400+AA400+AC400+AE400+AG400+AI400</f>
        <v>0</v>
      </c>
      <c r="AQ399" s="109"/>
      <c r="AR399" s="494">
        <f>+AR392+AK399-AG339-AG385-AG392</f>
        <v>0</v>
      </c>
      <c r="AS399" s="486">
        <f>AR399/$E$9</f>
        <v>0</v>
      </c>
      <c r="AT399" s="496">
        <f>+AT392+AM399-AH339-AH385-AH392</f>
        <v>0</v>
      </c>
      <c r="AU399" s="486">
        <f>+AT399/$F$9</f>
        <v>0</v>
      </c>
      <c r="AV399" s="487">
        <f>+AV392+AP399-AG340-AG386-AG393</f>
        <v>0</v>
      </c>
    </row>
    <row r="400" spans="1:48" ht="33.6" hidden="1" thickBot="1" x14ac:dyDescent="0.3">
      <c r="A400" s="277"/>
      <c r="B400" s="96"/>
      <c r="C400" s="498"/>
      <c r="D400" s="457"/>
      <c r="E400" s="459"/>
      <c r="F400" s="50" t="s">
        <v>37</v>
      </c>
      <c r="G400" s="477"/>
      <c r="H400" s="478"/>
      <c r="I400" s="477"/>
      <c r="J400" s="478"/>
      <c r="K400" s="477"/>
      <c r="L400" s="478"/>
      <c r="M400" s="477"/>
      <c r="N400" s="478"/>
      <c r="O400" s="477"/>
      <c r="P400" s="478"/>
      <c r="Q400" s="477"/>
      <c r="R400" s="489"/>
      <c r="S400" s="490"/>
      <c r="T400" s="478"/>
      <c r="U400" s="477"/>
      <c r="V400" s="478"/>
      <c r="W400" s="477"/>
      <c r="X400" s="478"/>
      <c r="Y400" s="477"/>
      <c r="Z400" s="478"/>
      <c r="AA400" s="477"/>
      <c r="AB400" s="478"/>
      <c r="AC400" s="477"/>
      <c r="AD400" s="478"/>
      <c r="AE400" s="477"/>
      <c r="AF400" s="478"/>
      <c r="AG400" s="462"/>
      <c r="AH400" s="463"/>
      <c r="AI400" s="477"/>
      <c r="AJ400" s="478"/>
      <c r="AK400" s="503"/>
      <c r="AL400" s="419"/>
      <c r="AM400" s="505"/>
      <c r="AN400" s="423"/>
      <c r="AO400" s="424"/>
      <c r="AP400" s="425"/>
      <c r="AQ400" s="109"/>
      <c r="AR400" s="495"/>
      <c r="AS400" s="419"/>
      <c r="AT400" s="425"/>
      <c r="AU400" s="419"/>
      <c r="AV400" s="488"/>
    </row>
    <row r="401" spans="1:48" ht="33.6" hidden="1" thickBot="1" x14ac:dyDescent="0.3">
      <c r="A401" s="277"/>
      <c r="B401" s="157" t="s">
        <v>54</v>
      </c>
      <c r="C401" s="498"/>
      <c r="D401" s="479" t="str">
        <f>$B$7</f>
        <v>Feeder</v>
      </c>
      <c r="E401" s="481"/>
      <c r="F401" s="51" t="s">
        <v>36</v>
      </c>
      <c r="G401" s="52"/>
      <c r="H401" s="53"/>
      <c r="I401" s="52"/>
      <c r="J401" s="53"/>
      <c r="K401" s="52"/>
      <c r="L401" s="53"/>
      <c r="M401" s="52"/>
      <c r="N401" s="53"/>
      <c r="O401" s="52"/>
      <c r="P401" s="53"/>
      <c r="Q401" s="52"/>
      <c r="R401" s="278"/>
      <c r="S401" s="279"/>
      <c r="T401" s="53"/>
      <c r="U401" s="52"/>
      <c r="V401" s="53"/>
      <c r="W401" s="52"/>
      <c r="X401" s="53"/>
      <c r="Y401" s="52"/>
      <c r="Z401" s="53"/>
      <c r="AA401" s="52"/>
      <c r="AB401" s="53"/>
      <c r="AC401" s="52"/>
      <c r="AD401" s="53"/>
      <c r="AE401" s="52"/>
      <c r="AF401" s="53"/>
      <c r="AG401" s="98"/>
      <c r="AH401" s="99"/>
      <c r="AI401" s="52"/>
      <c r="AJ401" s="53"/>
      <c r="AK401" s="483">
        <f>G401+I401+K401+M401+O401+Q401+S401+U401+W401+Y401+AA401+AC401+AE401+AG401+AI401</f>
        <v>0</v>
      </c>
      <c r="AL401" s="467">
        <f>IF(E399=0,0,AK401/E399)</f>
        <v>0</v>
      </c>
      <c r="AM401" s="471">
        <f>H401+J401+L401+N401+P401+R401+T401+V401+X401+Z401+AB401+AD401+AF401+AH401+AJ401</f>
        <v>0</v>
      </c>
      <c r="AN401" s="473">
        <f>IF(E399=0,0,AM401/($E399*14))</f>
        <v>0</v>
      </c>
      <c r="AO401" s="475" t="str">
        <f>IF(AM401=0,"",AM401/AK401)</f>
        <v/>
      </c>
      <c r="AP401" s="468">
        <f>G402+I402+K402+M402+O402+Q402+S402+U402+W402+Y402+AA402+AC402+AE402+AG402+AI402</f>
        <v>0</v>
      </c>
      <c r="AQ401" s="109"/>
      <c r="AR401" s="476">
        <f>+AR394+AK401-AG341-AG387-AG394</f>
        <v>0</v>
      </c>
      <c r="AS401" s="467">
        <f>AR401/$E$10</f>
        <v>0</v>
      </c>
      <c r="AT401" s="468">
        <f>+AT394+AM401-AH341-AH387-AH394</f>
        <v>0</v>
      </c>
      <c r="AU401" s="467">
        <f>+AT401/$F$10</f>
        <v>0</v>
      </c>
      <c r="AV401" s="469">
        <f>+AV394+AP401-AG342-AG388-AG395</f>
        <v>0</v>
      </c>
    </row>
    <row r="402" spans="1:48" ht="33.6" hidden="1" thickBot="1" x14ac:dyDescent="0.3">
      <c r="A402" s="277"/>
      <c r="B402" s="100"/>
      <c r="C402" s="498"/>
      <c r="D402" s="480"/>
      <c r="E402" s="482"/>
      <c r="F402" s="54" t="s">
        <v>37</v>
      </c>
      <c r="G402" s="460"/>
      <c r="H402" s="461"/>
      <c r="I402" s="460"/>
      <c r="J402" s="461"/>
      <c r="K402" s="460"/>
      <c r="L402" s="461"/>
      <c r="M402" s="460"/>
      <c r="N402" s="461"/>
      <c r="O402" s="460"/>
      <c r="P402" s="461"/>
      <c r="Q402" s="460"/>
      <c r="R402" s="470"/>
      <c r="S402" s="485"/>
      <c r="T402" s="461"/>
      <c r="U402" s="460"/>
      <c r="V402" s="461"/>
      <c r="W402" s="460"/>
      <c r="X402" s="461"/>
      <c r="Y402" s="460"/>
      <c r="Z402" s="461"/>
      <c r="AA402" s="460"/>
      <c r="AB402" s="461"/>
      <c r="AC402" s="460"/>
      <c r="AD402" s="461"/>
      <c r="AE402" s="460"/>
      <c r="AF402" s="461"/>
      <c r="AG402" s="462"/>
      <c r="AH402" s="463"/>
      <c r="AI402" s="460"/>
      <c r="AJ402" s="461"/>
      <c r="AK402" s="484"/>
      <c r="AL402" s="467"/>
      <c r="AM402" s="472"/>
      <c r="AN402" s="474"/>
      <c r="AO402" s="475"/>
      <c r="AP402" s="468"/>
      <c r="AQ402" s="109"/>
      <c r="AR402" s="476"/>
      <c r="AS402" s="467"/>
      <c r="AT402" s="468"/>
      <c r="AU402" s="467"/>
      <c r="AV402" s="469"/>
    </row>
    <row r="403" spans="1:48" ht="33.6" hidden="1" thickBot="1" x14ac:dyDescent="0.3">
      <c r="A403" s="277"/>
      <c r="B403" s="158" t="s">
        <v>56</v>
      </c>
      <c r="C403" s="498"/>
      <c r="D403" s="464" t="s">
        <v>38</v>
      </c>
      <c r="E403" s="465"/>
      <c r="F403" s="466"/>
      <c r="G403" s="55"/>
      <c r="H403" s="105"/>
      <c r="I403" s="55"/>
      <c r="J403" s="105"/>
      <c r="K403" s="55"/>
      <c r="L403" s="105"/>
      <c r="M403" s="55"/>
      <c r="N403" s="105"/>
      <c r="O403" s="55"/>
      <c r="P403" s="105"/>
      <c r="Q403" s="55"/>
      <c r="R403" s="295"/>
      <c r="S403" s="296"/>
      <c r="T403" s="105"/>
      <c r="U403" s="106"/>
      <c r="V403" s="108"/>
      <c r="W403" s="106"/>
      <c r="X403" s="108"/>
      <c r="Y403" s="106"/>
      <c r="Z403" s="108"/>
      <c r="AA403" s="106"/>
      <c r="AB403" s="108"/>
      <c r="AC403" s="106"/>
      <c r="AD403" s="108"/>
      <c r="AE403" s="106"/>
      <c r="AF403" s="108"/>
      <c r="AG403" s="101"/>
      <c r="AH403" s="102"/>
      <c r="AI403" s="106"/>
      <c r="AJ403" s="108"/>
      <c r="AK403" s="159">
        <f>+AK399+AK401</f>
        <v>0</v>
      </c>
      <c r="AL403" s="64">
        <f>IF(E399+E401=0,0,AK403/(E399+E401))</f>
        <v>0</v>
      </c>
      <c r="AM403" s="65">
        <f>+SUM(AM401,AM399)</f>
        <v>0</v>
      </c>
      <c r="AN403" s="64">
        <f>IF((E399+E401)=0,0,AM403/((E399+E401)*14))</f>
        <v>0</v>
      </c>
      <c r="AO403" s="160" t="str">
        <f>IF(AM403=0,"",AM403/AK403)</f>
        <v/>
      </c>
      <c r="AP403" s="61">
        <f>+AP399+AP401</f>
        <v>0</v>
      </c>
      <c r="AQ403" s="109"/>
      <c r="AR403" s="297">
        <f>+AR399+AR401</f>
        <v>0</v>
      </c>
      <c r="AS403" s="64">
        <f>AR403/$E$8</f>
        <v>0</v>
      </c>
      <c r="AT403" s="65">
        <f>+AT399+AT401</f>
        <v>0</v>
      </c>
      <c r="AU403" s="64">
        <f>AT403/$F$8</f>
        <v>0</v>
      </c>
      <c r="AV403" s="298">
        <f>+AV399+AV401</f>
        <v>0</v>
      </c>
    </row>
    <row r="404" spans="1:48" ht="33.6" hidden="1" thickBot="1" x14ac:dyDescent="0.3">
      <c r="A404" s="277"/>
      <c r="B404" s="161" t="s">
        <v>74</v>
      </c>
      <c r="C404" s="498"/>
      <c r="D404" s="445" t="s">
        <v>39</v>
      </c>
      <c r="E404" s="445"/>
      <c r="F404" s="445"/>
      <c r="G404" s="113"/>
      <c r="H404" s="114"/>
      <c r="I404" s="116"/>
      <c r="J404" s="254"/>
      <c r="K404" s="116"/>
      <c r="L404" s="254"/>
      <c r="M404" s="116"/>
      <c r="N404" s="254"/>
      <c r="O404" s="116"/>
      <c r="P404" s="254"/>
      <c r="Q404" s="113"/>
      <c r="R404" s="289"/>
      <c r="S404" s="290"/>
      <c r="T404" s="114"/>
      <c r="U404" s="113"/>
      <c r="V404" s="114"/>
      <c r="W404" s="113"/>
      <c r="X404" s="114"/>
      <c r="Y404" s="113"/>
      <c r="Z404" s="114"/>
      <c r="AA404" s="113"/>
      <c r="AB404" s="114"/>
      <c r="AC404" s="113"/>
      <c r="AD404" s="114"/>
      <c r="AE404" s="113"/>
      <c r="AF404" s="114"/>
      <c r="AG404" s="98"/>
      <c r="AH404" s="99"/>
      <c r="AI404" s="113"/>
      <c r="AJ404" s="114"/>
      <c r="AK404" s="71">
        <f>G404+I404+K404+M404+O404+Q404+S404+U404+W404+Y404+AA404+AC404+AE404+AG404+AI404</f>
        <v>0</v>
      </c>
      <c r="AL404" s="72"/>
      <c r="AM404" s="73">
        <f>H404+J404+L404+N404+P404+R404+T404+V404+X404+Z404+AB404+AD404+AF404+AH404+AJ404</f>
        <v>0</v>
      </c>
      <c r="AN404" s="72"/>
      <c r="AO404" s="74"/>
      <c r="AP404" s="73"/>
      <c r="AQ404" s="75"/>
      <c r="AR404" s="299">
        <f>+AR397+AK404-AG344-AG390-AG397</f>
        <v>0</v>
      </c>
      <c r="AS404" s="77"/>
      <c r="AT404" s="73">
        <f>+AT397+AM404-AH344-AH390-AH397</f>
        <v>0</v>
      </c>
      <c r="AU404" s="77"/>
      <c r="AV404" s="300"/>
    </row>
    <row r="405" spans="1:48" ht="33.6" hidden="1" thickBot="1" x14ac:dyDescent="0.3">
      <c r="A405" s="277"/>
      <c r="B405" s="152">
        <f>SUM(MOD(("1/"&amp;$A$14)-{0;6},{1E+99;7})*{1;-1},$A$89*7,MATCH(MID(B404,1,2),{"Mo";"Tu";"We";"Th";"Fr";"Sa";"Su"},0)-5)</f>
        <v>42442</v>
      </c>
      <c r="C405" s="499"/>
      <c r="D405" s="446" t="s">
        <v>6</v>
      </c>
      <c r="E405" s="446"/>
      <c r="F405" s="446"/>
      <c r="G405" s="120"/>
      <c r="H405" s="121"/>
      <c r="I405" s="120"/>
      <c r="J405" s="121"/>
      <c r="K405" s="120"/>
      <c r="L405" s="121"/>
      <c r="M405" s="120"/>
      <c r="N405" s="121"/>
      <c r="O405" s="120"/>
      <c r="P405" s="121"/>
      <c r="Q405" s="120"/>
      <c r="R405" s="260"/>
      <c r="S405" s="261"/>
      <c r="T405" s="121"/>
      <c r="U405" s="120"/>
      <c r="V405" s="121"/>
      <c r="W405" s="120"/>
      <c r="X405" s="121"/>
      <c r="Y405" s="120"/>
      <c r="Z405" s="121"/>
      <c r="AA405" s="120"/>
      <c r="AB405" s="121"/>
      <c r="AC405" s="120"/>
      <c r="AD405" s="121"/>
      <c r="AE405" s="120"/>
      <c r="AF405" s="121"/>
      <c r="AG405" s="120"/>
      <c r="AH405" s="121"/>
      <c r="AI405" s="120"/>
      <c r="AJ405" s="121"/>
      <c r="AK405" s="123">
        <f>AK403+AK404</f>
        <v>0</v>
      </c>
      <c r="AL405" s="85">
        <f>IF(E399+E401=0,0,AK405/(E399+E401))</f>
        <v>0</v>
      </c>
      <c r="AM405" s="90">
        <f>+AM403+AM404</f>
        <v>0</v>
      </c>
      <c r="AN405" s="85">
        <f>IF((E399+E401)=0,0,AM405/((E399+E401)*14))</f>
        <v>0</v>
      </c>
      <c r="AO405" s="87" t="str">
        <f>IF(AM405=0,"",AM405/AK405)</f>
        <v/>
      </c>
      <c r="AP405" s="88">
        <f>+AP403</f>
        <v>0</v>
      </c>
      <c r="AQ405" s="109"/>
      <c r="AR405" s="301">
        <f>+AR403+AR404</f>
        <v>0</v>
      </c>
      <c r="AS405" s="302">
        <f>AR405/$E$8</f>
        <v>0</v>
      </c>
      <c r="AT405" s="303">
        <f>+AT403+AT404</f>
        <v>0</v>
      </c>
      <c r="AU405" s="302">
        <f>+AT405/$F$8</f>
        <v>0</v>
      </c>
      <c r="AV405" s="304">
        <f>+AV403</f>
        <v>0</v>
      </c>
    </row>
    <row r="406" spans="1:48" ht="23.25" customHeight="1" x14ac:dyDescent="0.25">
      <c r="A406" s="277"/>
      <c r="B406" s="447" t="s">
        <v>6</v>
      </c>
      <c r="C406" s="450"/>
      <c r="D406" s="452" t="str">
        <f>$B$6</f>
        <v>Trade</v>
      </c>
      <c r="E406" s="454">
        <f>E350+E357+E364+E371+E378+E385+E399</f>
        <v>985</v>
      </c>
      <c r="F406" s="162" t="s">
        <v>36</v>
      </c>
      <c r="G406" s="163"/>
      <c r="H406" s="164"/>
      <c r="I406" s="163"/>
      <c r="J406" s="164"/>
      <c r="K406" s="163"/>
      <c r="L406" s="164"/>
      <c r="M406" s="163"/>
      <c r="N406" s="164"/>
      <c r="O406" s="163"/>
      <c r="P406" s="164"/>
      <c r="Q406" s="163"/>
      <c r="R406" s="305"/>
      <c r="S406" s="306"/>
      <c r="T406" s="164"/>
      <c r="U406" s="163"/>
      <c r="V406" s="164"/>
      <c r="W406" s="163"/>
      <c r="X406" s="164"/>
      <c r="Y406" s="163"/>
      <c r="Z406" s="164"/>
      <c r="AA406" s="163"/>
      <c r="AB406" s="164"/>
      <c r="AC406" s="163"/>
      <c r="AD406" s="164"/>
      <c r="AE406" s="163"/>
      <c r="AF406" s="164"/>
      <c r="AG406" s="163"/>
      <c r="AH406" s="164"/>
      <c r="AI406" s="163"/>
      <c r="AJ406" s="164"/>
      <c r="AK406" s="434">
        <f>G406+I406+K406+M406+O406+Q406+S406+U406+W406+Y406+AA406+AC406+AE406+AG406+AI406</f>
        <v>0</v>
      </c>
      <c r="AL406" s="436">
        <f>IF(E406=0,0,AK406/E406)</f>
        <v>0</v>
      </c>
      <c r="AM406" s="438">
        <f>H406+J406+L406+N406+P406+R406+T406+V406+X406+Z406+AB406+AD406+AF406+AH406+AJ406</f>
        <v>0</v>
      </c>
      <c r="AN406" s="440">
        <f>IF(E406=0,0,AM406/($E406*14))</f>
        <v>0</v>
      </c>
      <c r="AO406" s="442" t="str">
        <f>IF(AM406=0,"",AM406/AK406)</f>
        <v/>
      </c>
      <c r="AP406" s="438">
        <f>G407+I407+K407+M407+O407+Q407+S407+U407+W407+Y407+AA407+AC407+AE407+AG407+AI407</f>
        <v>0</v>
      </c>
      <c r="AQ406" s="307"/>
      <c r="AR406" s="428" t="s">
        <v>78</v>
      </c>
      <c r="AS406" s="429"/>
      <c r="AT406" s="308"/>
      <c r="AU406" s="308"/>
      <c r="AV406" s="308"/>
    </row>
    <row r="407" spans="1:48" ht="26.25" customHeight="1" thickBot="1" x14ac:dyDescent="0.3">
      <c r="A407" s="277"/>
      <c r="B407" s="448"/>
      <c r="C407" s="451"/>
      <c r="D407" s="453"/>
      <c r="E407" s="455"/>
      <c r="F407" s="165" t="s">
        <v>37</v>
      </c>
      <c r="G407" s="426"/>
      <c r="H407" s="427"/>
      <c r="I407" s="426"/>
      <c r="J407" s="427"/>
      <c r="K407" s="426"/>
      <c r="L407" s="427"/>
      <c r="M407" s="426"/>
      <c r="N407" s="427"/>
      <c r="O407" s="426"/>
      <c r="P407" s="427"/>
      <c r="Q407" s="426"/>
      <c r="R407" s="432"/>
      <c r="S407" s="433"/>
      <c r="T407" s="427"/>
      <c r="U407" s="426"/>
      <c r="V407" s="427"/>
      <c r="W407" s="426"/>
      <c r="X407" s="427"/>
      <c r="Y407" s="426"/>
      <c r="Z407" s="427"/>
      <c r="AA407" s="426"/>
      <c r="AB407" s="427"/>
      <c r="AC407" s="426"/>
      <c r="AD407" s="427"/>
      <c r="AE407" s="426"/>
      <c r="AF407" s="427"/>
      <c r="AG407" s="426"/>
      <c r="AH407" s="427"/>
      <c r="AI407" s="426"/>
      <c r="AJ407" s="427"/>
      <c r="AK407" s="435"/>
      <c r="AL407" s="437"/>
      <c r="AM407" s="439"/>
      <c r="AN407" s="441"/>
      <c r="AO407" s="443"/>
      <c r="AP407" s="444"/>
      <c r="AQ407" s="307"/>
      <c r="AR407" s="430"/>
      <c r="AS407" s="431"/>
      <c r="AU407" s="309"/>
      <c r="AV407" s="309"/>
    </row>
    <row r="408" spans="1:48" ht="21.75" customHeight="1" x14ac:dyDescent="0.25">
      <c r="A408" s="277"/>
      <c r="B408" s="448"/>
      <c r="C408" s="451"/>
      <c r="D408" s="456" t="str">
        <f>$B$7</f>
        <v>Feeder</v>
      </c>
      <c r="E408" s="458"/>
      <c r="F408" s="166" t="s">
        <v>36</v>
      </c>
      <c r="G408" s="167"/>
      <c r="H408" s="168"/>
      <c r="I408" s="167"/>
      <c r="J408" s="168"/>
      <c r="K408" s="167"/>
      <c r="L408" s="168"/>
      <c r="M408" s="167"/>
      <c r="N408" s="168"/>
      <c r="O408" s="167"/>
      <c r="P408" s="168"/>
      <c r="Q408" s="167"/>
      <c r="R408" s="310"/>
      <c r="S408" s="311"/>
      <c r="T408" s="168"/>
      <c r="U408" s="167"/>
      <c r="V408" s="168"/>
      <c r="W408" s="167"/>
      <c r="X408" s="168"/>
      <c r="Y408" s="167"/>
      <c r="Z408" s="168"/>
      <c r="AA408" s="167"/>
      <c r="AB408" s="168"/>
      <c r="AC408" s="167"/>
      <c r="AD408" s="168"/>
      <c r="AE408" s="167"/>
      <c r="AF408" s="168"/>
      <c r="AG408" s="167"/>
      <c r="AH408" s="168"/>
      <c r="AI408" s="167"/>
      <c r="AJ408" s="168"/>
      <c r="AK408" s="417">
        <f>G408+I408+K408+M408+O408+Q408+S408+U408+W408+Y408+AA408+AC408+AE408+AG408+AI408</f>
        <v>0</v>
      </c>
      <c r="AL408" s="419">
        <f>IF(E406=0,0,AK408/E406)</f>
        <v>0</v>
      </c>
      <c r="AM408" s="420">
        <f>H408+J408+L408+N408+P408+R408+T408+V408+X408+Z408+AB408+AD408+AF408+AH408+AJ408</f>
        <v>0</v>
      </c>
      <c r="AN408" s="422">
        <f>IF(E406=0,0,AM408/($E406*14))</f>
        <v>0</v>
      </c>
      <c r="AO408" s="424" t="str">
        <f>IF(AM408=0,"",AM408/AK408)</f>
        <v/>
      </c>
      <c r="AP408" s="425">
        <f>G409+I409+K409+M409+O409+Q409+S409+U409+W409+Y409+AA409+AC409+AE409+AG409+AI409</f>
        <v>0</v>
      </c>
      <c r="AQ408" s="307"/>
      <c r="AR408" s="405"/>
      <c r="AS408" s="406"/>
      <c r="AU408" s="309"/>
      <c r="AV408" s="309"/>
    </row>
    <row r="409" spans="1:48" ht="24.75" customHeight="1" thickBot="1" x14ac:dyDescent="0.3">
      <c r="A409" s="277"/>
      <c r="B409" s="448"/>
      <c r="C409" s="451"/>
      <c r="D409" s="457"/>
      <c r="E409" s="459"/>
      <c r="F409" s="50" t="s">
        <v>37</v>
      </c>
      <c r="G409" s="167"/>
      <c r="H409" s="168"/>
      <c r="I409" s="167"/>
      <c r="J409" s="168"/>
      <c r="K409" s="167"/>
      <c r="L409" s="168"/>
      <c r="M409" s="167"/>
      <c r="N409" s="168"/>
      <c r="O409" s="167"/>
      <c r="P409" s="168"/>
      <c r="Q409" s="167"/>
      <c r="R409" s="310"/>
      <c r="S409" s="311"/>
      <c r="T409" s="168"/>
      <c r="U409" s="167"/>
      <c r="V409" s="168"/>
      <c r="W409" s="167"/>
      <c r="X409" s="168"/>
      <c r="Y409" s="167"/>
      <c r="Z409" s="168"/>
      <c r="AA409" s="167"/>
      <c r="AB409" s="168"/>
      <c r="AC409" s="167"/>
      <c r="AD409" s="168"/>
      <c r="AE409" s="167"/>
      <c r="AF409" s="168"/>
      <c r="AG409" s="167"/>
      <c r="AH409" s="168"/>
      <c r="AI409" s="167"/>
      <c r="AJ409" s="168"/>
      <c r="AK409" s="418"/>
      <c r="AL409" s="419"/>
      <c r="AM409" s="421"/>
      <c r="AN409" s="423"/>
      <c r="AO409" s="424"/>
      <c r="AP409" s="425"/>
      <c r="AQ409" s="307"/>
      <c r="AR409" s="407"/>
      <c r="AS409" s="408"/>
      <c r="AU409" s="309"/>
      <c r="AV409" s="309"/>
    </row>
    <row r="410" spans="1:48" ht="22.8" x14ac:dyDescent="0.25">
      <c r="A410" s="49"/>
      <c r="B410" s="448"/>
      <c r="C410" s="451"/>
      <c r="D410" s="409" t="s">
        <v>38</v>
      </c>
      <c r="E410" s="410"/>
      <c r="F410" s="411"/>
      <c r="G410" s="174"/>
      <c r="H410" s="175"/>
      <c r="I410" s="174"/>
      <c r="J410" s="175"/>
      <c r="K410" s="174"/>
      <c r="L410" s="175"/>
      <c r="M410" s="174"/>
      <c r="N410" s="175"/>
      <c r="O410" s="174"/>
      <c r="P410" s="175"/>
      <c r="Q410" s="174"/>
      <c r="R410" s="312"/>
      <c r="S410" s="313"/>
      <c r="T410" s="175"/>
      <c r="U410" s="174"/>
      <c r="V410" s="175"/>
      <c r="W410" s="174"/>
      <c r="X410" s="175"/>
      <c r="Y410" s="174"/>
      <c r="Z410" s="175"/>
      <c r="AA410" s="174"/>
      <c r="AB410" s="175"/>
      <c r="AC410" s="174"/>
      <c r="AD410" s="175"/>
      <c r="AE410" s="174"/>
      <c r="AF410" s="175"/>
      <c r="AG410" s="174"/>
      <c r="AH410" s="175"/>
      <c r="AI410" s="174"/>
      <c r="AJ410" s="175"/>
      <c r="AK410" s="314">
        <f>+AK406+AK408</f>
        <v>0</v>
      </c>
      <c r="AL410" s="177">
        <f>IF(E406+E408=0,0,AK410/(E406+E408))</f>
        <v>0</v>
      </c>
      <c r="AM410" s="178">
        <f>+SUM(AM408,AM406)</f>
        <v>0</v>
      </c>
      <c r="AN410" s="177">
        <f>IF((E406+E408)=0,0,AM410/((E406+E408)*14))</f>
        <v>0</v>
      </c>
      <c r="AO410" s="179" t="str">
        <f>IF(AM410=0,"",AM410/AK410)</f>
        <v/>
      </c>
      <c r="AP410" s="180">
        <f>+AP406+AP408</f>
        <v>0</v>
      </c>
      <c r="AQ410" s="109"/>
      <c r="AU410" s="309"/>
      <c r="AV410" s="309"/>
    </row>
    <row r="411" spans="1:48" ht="23.4" thickBot="1" x14ac:dyDescent="0.3">
      <c r="A411" s="396"/>
      <c r="B411" s="449"/>
      <c r="C411" s="451"/>
      <c r="D411" s="412" t="s">
        <v>39</v>
      </c>
      <c r="E411" s="412"/>
      <c r="F411" s="412"/>
      <c r="G411" s="184"/>
      <c r="H411" s="185"/>
      <c r="I411" s="184"/>
      <c r="J411" s="185"/>
      <c r="K411" s="184"/>
      <c r="L411" s="185"/>
      <c r="M411" s="184"/>
      <c r="N411" s="185"/>
      <c r="O411" s="184"/>
      <c r="P411" s="185"/>
      <c r="Q411" s="184"/>
      <c r="R411" s="315"/>
      <c r="S411" s="316"/>
      <c r="T411" s="185"/>
      <c r="U411" s="184"/>
      <c r="V411" s="185"/>
      <c r="W411" s="184"/>
      <c r="X411" s="185"/>
      <c r="Y411" s="184"/>
      <c r="Z411" s="185"/>
      <c r="AA411" s="184"/>
      <c r="AB411" s="185"/>
      <c r="AC411" s="184"/>
      <c r="AD411" s="185"/>
      <c r="AE411" s="184"/>
      <c r="AF411" s="185"/>
      <c r="AG411" s="184"/>
      <c r="AH411" s="185"/>
      <c r="AI411" s="184"/>
      <c r="AJ411" s="185"/>
      <c r="AK411" s="317">
        <f>G411+I411+K411+M411+O411+Q411+S411+U411+W411+Y411+AA411+AC411+AE411+AG411+AI411</f>
        <v>0</v>
      </c>
      <c r="AL411" s="72"/>
      <c r="AM411" s="133">
        <f>H411+J411+L411+N411+P411+R411+T411+V411+X411+Z411+AB411+AD411+AF411+AH411+AJ411</f>
        <v>0</v>
      </c>
      <c r="AN411" s="72"/>
      <c r="AO411" s="318"/>
      <c r="AP411" s="133"/>
      <c r="AQ411" s="109"/>
      <c r="AU411" s="309"/>
      <c r="AV411" s="309"/>
    </row>
    <row r="412" spans="1:48" ht="23.4" thickBot="1" x14ac:dyDescent="0.4">
      <c r="A412" s="413" t="s">
        <v>76</v>
      </c>
      <c r="B412" s="414"/>
      <c r="C412" s="414"/>
      <c r="D412" s="414"/>
      <c r="E412" s="414"/>
      <c r="F412" s="415"/>
      <c r="G412" s="206">
        <f t="shared" ref="G412:AJ412" si="28">+G410+G411</f>
        <v>0</v>
      </c>
      <c r="H412" s="207">
        <f t="shared" si="28"/>
        <v>0</v>
      </c>
      <c r="I412" s="319">
        <f t="shared" si="28"/>
        <v>0</v>
      </c>
      <c r="J412" s="320">
        <f t="shared" si="28"/>
        <v>0</v>
      </c>
      <c r="K412" s="319">
        <f t="shared" si="28"/>
        <v>0</v>
      </c>
      <c r="L412" s="320">
        <f t="shared" si="28"/>
        <v>0</v>
      </c>
      <c r="M412" s="319">
        <f t="shared" si="28"/>
        <v>0</v>
      </c>
      <c r="N412" s="320">
        <f t="shared" si="28"/>
        <v>0</v>
      </c>
      <c r="O412" s="319">
        <f t="shared" si="28"/>
        <v>0</v>
      </c>
      <c r="P412" s="320">
        <f t="shared" si="28"/>
        <v>0</v>
      </c>
      <c r="Q412" s="319">
        <f t="shared" si="28"/>
        <v>0</v>
      </c>
      <c r="R412" s="321">
        <f t="shared" si="28"/>
        <v>0</v>
      </c>
      <c r="S412" s="322">
        <f t="shared" si="28"/>
        <v>0</v>
      </c>
      <c r="T412" s="320">
        <f t="shared" si="28"/>
        <v>0</v>
      </c>
      <c r="U412" s="319">
        <f t="shared" si="28"/>
        <v>0</v>
      </c>
      <c r="V412" s="320">
        <f t="shared" si="28"/>
        <v>0</v>
      </c>
      <c r="W412" s="319">
        <f t="shared" si="28"/>
        <v>0</v>
      </c>
      <c r="X412" s="320">
        <f t="shared" si="28"/>
        <v>0</v>
      </c>
      <c r="Y412" s="319">
        <f t="shared" si="28"/>
        <v>0</v>
      </c>
      <c r="Z412" s="320">
        <f t="shared" si="28"/>
        <v>0</v>
      </c>
      <c r="AA412" s="319">
        <f t="shared" si="28"/>
        <v>0</v>
      </c>
      <c r="AB412" s="320">
        <f t="shared" si="28"/>
        <v>0</v>
      </c>
      <c r="AC412" s="319">
        <f t="shared" si="28"/>
        <v>0</v>
      </c>
      <c r="AD412" s="320">
        <f t="shared" si="28"/>
        <v>0</v>
      </c>
      <c r="AE412" s="319">
        <f t="shared" si="28"/>
        <v>0</v>
      </c>
      <c r="AF412" s="320">
        <f t="shared" si="28"/>
        <v>0</v>
      </c>
      <c r="AG412" s="319">
        <f t="shared" si="28"/>
        <v>0</v>
      </c>
      <c r="AH412" s="320">
        <f t="shared" si="28"/>
        <v>0</v>
      </c>
      <c r="AI412" s="319">
        <f t="shared" si="28"/>
        <v>0</v>
      </c>
      <c r="AJ412" s="320">
        <f t="shared" si="28"/>
        <v>0</v>
      </c>
      <c r="AK412" s="123">
        <f>AK410+AK411</f>
        <v>0</v>
      </c>
      <c r="AL412" s="85">
        <f>IF(E406+E408=0,0,AK412/(E406+E408))</f>
        <v>0</v>
      </c>
      <c r="AM412" s="90">
        <f>+AM410+AM411</f>
        <v>0</v>
      </c>
      <c r="AN412" s="85">
        <f>IF((E406+E408)=0,0,AM412/((E406+E408)*14))</f>
        <v>0</v>
      </c>
      <c r="AO412" s="87" t="str">
        <f>IF(AM412=0,"",AM412/AK412)</f>
        <v/>
      </c>
      <c r="AP412" s="88">
        <f>+AP410</f>
        <v>0</v>
      </c>
      <c r="AQ412" s="213"/>
      <c r="AR412" s="205"/>
      <c r="AS412" s="205"/>
      <c r="AT412" s="205"/>
      <c r="AU412" s="309"/>
      <c r="AV412" s="309"/>
    </row>
    <row r="413" spans="1:48" ht="23.4" thickBot="1" x14ac:dyDescent="0.3">
      <c r="A413" s="416" t="s">
        <v>60</v>
      </c>
      <c r="B413" s="414"/>
      <c r="C413" s="414"/>
      <c r="D413" s="414"/>
      <c r="E413" s="414"/>
      <c r="F413" s="414"/>
      <c r="G413" s="206">
        <f>G412</f>
        <v>0</v>
      </c>
      <c r="H413" s="207">
        <f>H412+H345</f>
        <v>0</v>
      </c>
      <c r="I413" s="206">
        <f>I412</f>
        <v>0</v>
      </c>
      <c r="J413" s="208">
        <f>J412+J345</f>
        <v>0</v>
      </c>
      <c r="K413" s="206">
        <f>K412</f>
        <v>0</v>
      </c>
      <c r="L413" s="207">
        <f>L412+L345</f>
        <v>0</v>
      </c>
      <c r="M413" s="206">
        <f>M412</f>
        <v>0</v>
      </c>
      <c r="N413" s="207">
        <f t="shared" ref="N413:AJ413" si="29">N412+N345</f>
        <v>0</v>
      </c>
      <c r="O413" s="206">
        <f t="shared" si="29"/>
        <v>0</v>
      </c>
      <c r="P413" s="207">
        <f t="shared" si="29"/>
        <v>0</v>
      </c>
      <c r="Q413" s="206">
        <f t="shared" si="29"/>
        <v>0</v>
      </c>
      <c r="R413" s="323">
        <f t="shared" si="29"/>
        <v>0</v>
      </c>
      <c r="S413" s="324">
        <f t="shared" si="29"/>
        <v>0</v>
      </c>
      <c r="T413" s="207">
        <f t="shared" si="29"/>
        <v>0</v>
      </c>
      <c r="U413" s="206">
        <f t="shared" si="29"/>
        <v>0</v>
      </c>
      <c r="V413" s="207">
        <f t="shared" si="29"/>
        <v>0</v>
      </c>
      <c r="W413" s="206">
        <f t="shared" si="29"/>
        <v>0</v>
      </c>
      <c r="X413" s="207">
        <f t="shared" si="29"/>
        <v>0</v>
      </c>
      <c r="Y413" s="206">
        <f t="shared" si="29"/>
        <v>0</v>
      </c>
      <c r="Z413" s="207">
        <f t="shared" si="29"/>
        <v>0</v>
      </c>
      <c r="AA413" s="206">
        <f t="shared" si="29"/>
        <v>0</v>
      </c>
      <c r="AB413" s="209">
        <f t="shared" si="29"/>
        <v>0</v>
      </c>
      <c r="AC413" s="206">
        <f t="shared" si="29"/>
        <v>0</v>
      </c>
      <c r="AD413" s="207">
        <f t="shared" si="29"/>
        <v>0</v>
      </c>
      <c r="AE413" s="206">
        <f t="shared" si="29"/>
        <v>0</v>
      </c>
      <c r="AF413" s="209">
        <f t="shared" si="29"/>
        <v>0</v>
      </c>
      <c r="AG413" s="206">
        <f t="shared" si="29"/>
        <v>0</v>
      </c>
      <c r="AH413" s="209">
        <f t="shared" si="29"/>
        <v>0</v>
      </c>
      <c r="AI413" s="210">
        <f t="shared" si="29"/>
        <v>0</v>
      </c>
      <c r="AJ413" s="211">
        <f t="shared" si="29"/>
        <v>0</v>
      </c>
      <c r="AR413" s="309"/>
      <c r="AS413" s="309"/>
      <c r="AT413" s="309"/>
      <c r="AU413" s="309"/>
      <c r="AV413" s="309"/>
    </row>
  </sheetData>
  <mergeCells count="3408">
    <mergeCell ref="N1:AN3"/>
    <mergeCell ref="A4:D4"/>
    <mergeCell ref="AO4:AO5"/>
    <mergeCell ref="AP4:AQ5"/>
    <mergeCell ref="AR4:AS4"/>
    <mergeCell ref="AT4:AU4"/>
    <mergeCell ref="A5:A7"/>
    <mergeCell ref="B5:D5"/>
    <mergeCell ref="B6:D6"/>
    <mergeCell ref="AO6:AQ6"/>
    <mergeCell ref="AI12:AJ13"/>
    <mergeCell ref="AK12:AP13"/>
    <mergeCell ref="AR12:AV13"/>
    <mergeCell ref="AX12:AZ13"/>
    <mergeCell ref="O12:P13"/>
    <mergeCell ref="Q12:R13"/>
    <mergeCell ref="S12:T13"/>
    <mergeCell ref="U12:V13"/>
    <mergeCell ref="AA12:AB13"/>
    <mergeCell ref="AC12:AD13"/>
    <mergeCell ref="A12:D13"/>
    <mergeCell ref="E12:E13"/>
    <mergeCell ref="F12:H13"/>
    <mergeCell ref="I12:J13"/>
    <mergeCell ref="K12:L13"/>
    <mergeCell ref="M12:N13"/>
    <mergeCell ref="B7:D7"/>
    <mergeCell ref="AO7:AQ7"/>
    <mergeCell ref="A8:A10"/>
    <mergeCell ref="B8:D8"/>
    <mergeCell ref="AO8:AQ8"/>
    <mergeCell ref="B9:D9"/>
    <mergeCell ref="AO9:AQ9"/>
    <mergeCell ref="B10:D10"/>
    <mergeCell ref="AA14:AB14"/>
    <mergeCell ref="AC14:AD14"/>
    <mergeCell ref="AE14:AF14"/>
    <mergeCell ref="I14:J14"/>
    <mergeCell ref="K14:L14"/>
    <mergeCell ref="M14:N14"/>
    <mergeCell ref="O14:P14"/>
    <mergeCell ref="Q14:R14"/>
    <mergeCell ref="S14:T14"/>
    <mergeCell ref="B14:B15"/>
    <mergeCell ref="C14:C15"/>
    <mergeCell ref="D14:D15"/>
    <mergeCell ref="E14:E15"/>
    <mergeCell ref="F14:F15"/>
    <mergeCell ref="G14:H14"/>
    <mergeCell ref="AE12:AF13"/>
    <mergeCell ref="AG12:AH13"/>
    <mergeCell ref="W15:X15"/>
    <mergeCell ref="Y15:Z15"/>
    <mergeCell ref="AA15:AB15"/>
    <mergeCell ref="AC15:AD15"/>
    <mergeCell ref="AE15:AF15"/>
    <mergeCell ref="AG15:AH15"/>
    <mergeCell ref="AV14:AV15"/>
    <mergeCell ref="AX14:AY14"/>
    <mergeCell ref="G15:H15"/>
    <mergeCell ref="I15:J15"/>
    <mergeCell ref="K15:L15"/>
    <mergeCell ref="M15:N15"/>
    <mergeCell ref="O15:P15"/>
    <mergeCell ref="Q15:R15"/>
    <mergeCell ref="S15:T15"/>
    <mergeCell ref="U15:V15"/>
    <mergeCell ref="AO14:AO15"/>
    <mergeCell ref="AP14:AP15"/>
    <mergeCell ref="AR14:AR15"/>
    <mergeCell ref="AS14:AS15"/>
    <mergeCell ref="AT14:AT15"/>
    <mergeCell ref="AU14:AU15"/>
    <mergeCell ref="AG14:AH14"/>
    <mergeCell ref="AI14:AJ14"/>
    <mergeCell ref="AK14:AK15"/>
    <mergeCell ref="AL14:AL15"/>
    <mergeCell ref="AM14:AM15"/>
    <mergeCell ref="AN14:AN15"/>
    <mergeCell ref="AI15:AJ15"/>
    <mergeCell ref="U14:V14"/>
    <mergeCell ref="W14:X14"/>
    <mergeCell ref="Y14:Z14"/>
    <mergeCell ref="AV16:AV17"/>
    <mergeCell ref="AX16:AX22"/>
    <mergeCell ref="AY16:AY22"/>
    <mergeCell ref="AZ16:AZ22"/>
    <mergeCell ref="AM16:AM17"/>
    <mergeCell ref="AN16:AN17"/>
    <mergeCell ref="AO16:AO17"/>
    <mergeCell ref="AP16:AP17"/>
    <mergeCell ref="AR16:AR17"/>
    <mergeCell ref="AS16:AS17"/>
    <mergeCell ref="B16:B22"/>
    <mergeCell ref="C16:C22"/>
    <mergeCell ref="D16:D17"/>
    <mergeCell ref="E16:E17"/>
    <mergeCell ref="AK16:AK17"/>
    <mergeCell ref="AL16:AL17"/>
    <mergeCell ref="G17:H17"/>
    <mergeCell ref="I17:J17"/>
    <mergeCell ref="K17:L17"/>
    <mergeCell ref="M17:N17"/>
    <mergeCell ref="AR18:AR19"/>
    <mergeCell ref="AS18:AS19"/>
    <mergeCell ref="AT18:AT19"/>
    <mergeCell ref="AU18:AU19"/>
    <mergeCell ref="AV18:AV19"/>
    <mergeCell ref="G19:H19"/>
    <mergeCell ref="I19:J19"/>
    <mergeCell ref="K19:L19"/>
    <mergeCell ref="M19:N19"/>
    <mergeCell ref="O19:P19"/>
    <mergeCell ref="AK18:AK19"/>
    <mergeCell ref="AL18:AL19"/>
    <mergeCell ref="AM18:AM19"/>
    <mergeCell ref="AN18:AN19"/>
    <mergeCell ref="AO18:AO19"/>
    <mergeCell ref="AP18:AP19"/>
    <mergeCell ref="AA17:AB17"/>
    <mergeCell ref="AC17:AD17"/>
    <mergeCell ref="AE17:AF17"/>
    <mergeCell ref="AG17:AH17"/>
    <mergeCell ref="AI17:AJ17"/>
    <mergeCell ref="Q19:R19"/>
    <mergeCell ref="S19:T19"/>
    <mergeCell ref="U19:V19"/>
    <mergeCell ref="O17:P17"/>
    <mergeCell ref="Q17:R17"/>
    <mergeCell ref="S17:T17"/>
    <mergeCell ref="U17:V17"/>
    <mergeCell ref="W17:X17"/>
    <mergeCell ref="Y17:Z17"/>
    <mergeCell ref="AT16:AT17"/>
    <mergeCell ref="AU16:AU17"/>
    <mergeCell ref="AM23:AM24"/>
    <mergeCell ref="AN23:AN24"/>
    <mergeCell ref="AO23:AO24"/>
    <mergeCell ref="AP23:AP24"/>
    <mergeCell ref="AI19:AJ19"/>
    <mergeCell ref="D20:F20"/>
    <mergeCell ref="D21:F21"/>
    <mergeCell ref="D22:F22"/>
    <mergeCell ref="C23:C29"/>
    <mergeCell ref="D23:D24"/>
    <mergeCell ref="E23:E24"/>
    <mergeCell ref="W24:X24"/>
    <mergeCell ref="Y24:Z24"/>
    <mergeCell ref="AA24:AB24"/>
    <mergeCell ref="W19:X19"/>
    <mergeCell ref="Y19:Z19"/>
    <mergeCell ref="AA19:AB19"/>
    <mergeCell ref="AC19:AD19"/>
    <mergeCell ref="AE19:AF19"/>
    <mergeCell ref="AG19:AH19"/>
    <mergeCell ref="D18:D19"/>
    <mergeCell ref="E18:E19"/>
    <mergeCell ref="AC24:AD24"/>
    <mergeCell ref="AE24:AF24"/>
    <mergeCell ref="AG24:AH24"/>
    <mergeCell ref="AI24:AJ24"/>
    <mergeCell ref="D25:D26"/>
    <mergeCell ref="E25:E26"/>
    <mergeCell ref="Y26:Z26"/>
    <mergeCell ref="AA26:AB26"/>
    <mergeCell ref="AC26:AD26"/>
    <mergeCell ref="AE26:AF26"/>
    <mergeCell ref="AY23:AY29"/>
    <mergeCell ref="AZ23:AZ29"/>
    <mergeCell ref="G24:H24"/>
    <mergeCell ref="I24:J24"/>
    <mergeCell ref="K24:L24"/>
    <mergeCell ref="M24:N24"/>
    <mergeCell ref="O24:P24"/>
    <mergeCell ref="Q24:R24"/>
    <mergeCell ref="S24:T24"/>
    <mergeCell ref="U24:V24"/>
    <mergeCell ref="AR23:AR24"/>
    <mergeCell ref="AS23:AS24"/>
    <mergeCell ref="AT23:AT24"/>
    <mergeCell ref="AU23:AU24"/>
    <mergeCell ref="AV23:AV24"/>
    <mergeCell ref="AX23:AX29"/>
    <mergeCell ref="AR25:AR26"/>
    <mergeCell ref="AS25:AS26"/>
    <mergeCell ref="AT25:AT26"/>
    <mergeCell ref="AU25:AU26"/>
    <mergeCell ref="AK23:AK24"/>
    <mergeCell ref="AL23:AL24"/>
    <mergeCell ref="AG26:AH26"/>
    <mergeCell ref="AI26:AJ26"/>
    <mergeCell ref="D27:F27"/>
    <mergeCell ref="D28:F28"/>
    <mergeCell ref="D29:F29"/>
    <mergeCell ref="C30:C36"/>
    <mergeCell ref="D30:D31"/>
    <mergeCell ref="E30:E31"/>
    <mergeCell ref="U31:V31"/>
    <mergeCell ref="W31:X31"/>
    <mergeCell ref="AV25:AV26"/>
    <mergeCell ref="G26:H26"/>
    <mergeCell ref="I26:J26"/>
    <mergeCell ref="K26:L26"/>
    <mergeCell ref="M26:N26"/>
    <mergeCell ref="O26:P26"/>
    <mergeCell ref="Q26:R26"/>
    <mergeCell ref="S26:T26"/>
    <mergeCell ref="U26:V26"/>
    <mergeCell ref="W26:X26"/>
    <mergeCell ref="AK25:AK26"/>
    <mergeCell ref="AL25:AL26"/>
    <mergeCell ref="AM25:AM26"/>
    <mergeCell ref="AN25:AN26"/>
    <mergeCell ref="AO25:AO26"/>
    <mergeCell ref="AP25:AP26"/>
    <mergeCell ref="AY30:AY36"/>
    <mergeCell ref="AZ30:AZ36"/>
    <mergeCell ref="A31:A32"/>
    <mergeCell ref="G31:H31"/>
    <mergeCell ref="I31:J31"/>
    <mergeCell ref="K31:L31"/>
    <mergeCell ref="M31:N31"/>
    <mergeCell ref="O31:P31"/>
    <mergeCell ref="Q31:R31"/>
    <mergeCell ref="S31:T31"/>
    <mergeCell ref="AR30:AR31"/>
    <mergeCell ref="AS30:AS31"/>
    <mergeCell ref="AT30:AT31"/>
    <mergeCell ref="AU30:AU31"/>
    <mergeCell ref="AV30:AV31"/>
    <mergeCell ref="AX30:AX36"/>
    <mergeCell ref="AV32:AV33"/>
    <mergeCell ref="AK30:AK31"/>
    <mergeCell ref="AL30:AL31"/>
    <mergeCell ref="AM30:AM31"/>
    <mergeCell ref="AN30:AN31"/>
    <mergeCell ref="AO30:AO31"/>
    <mergeCell ref="AP30:AP31"/>
    <mergeCell ref="AS32:AS33"/>
    <mergeCell ref="AT32:AT33"/>
    <mergeCell ref="AU32:AU33"/>
    <mergeCell ref="D32:D33"/>
    <mergeCell ref="E32:E33"/>
    <mergeCell ref="AK32:AK33"/>
    <mergeCell ref="AL32:AL33"/>
    <mergeCell ref="AM32:AM33"/>
    <mergeCell ref="AN32:AN33"/>
    <mergeCell ref="G33:H33"/>
    <mergeCell ref="I33:J33"/>
    <mergeCell ref="K33:L33"/>
    <mergeCell ref="M33:N33"/>
    <mergeCell ref="Y31:Z31"/>
    <mergeCell ref="AA31:AB31"/>
    <mergeCell ref="AC31:AD31"/>
    <mergeCell ref="AE31:AF31"/>
    <mergeCell ref="AG31:AH31"/>
    <mergeCell ref="AI31:AJ31"/>
    <mergeCell ref="AM37:AM38"/>
    <mergeCell ref="AN37:AN38"/>
    <mergeCell ref="AO37:AO38"/>
    <mergeCell ref="AP37:AP38"/>
    <mergeCell ref="AR37:AR38"/>
    <mergeCell ref="D35:F35"/>
    <mergeCell ref="D36:F36"/>
    <mergeCell ref="C37:C43"/>
    <mergeCell ref="D37:D38"/>
    <mergeCell ref="E37:E38"/>
    <mergeCell ref="AK37:AK38"/>
    <mergeCell ref="Y38:Z38"/>
    <mergeCell ref="AA38:AB38"/>
    <mergeCell ref="AC38:AD38"/>
    <mergeCell ref="AE38:AF38"/>
    <mergeCell ref="AA33:AB33"/>
    <mergeCell ref="AC33:AD33"/>
    <mergeCell ref="AE33:AF33"/>
    <mergeCell ref="AG33:AH33"/>
    <mergeCell ref="AI33:AJ33"/>
    <mergeCell ref="D34:F34"/>
    <mergeCell ref="O33:P33"/>
    <mergeCell ref="Q33:R33"/>
    <mergeCell ref="S33:T33"/>
    <mergeCell ref="U33:V33"/>
    <mergeCell ref="W33:X33"/>
    <mergeCell ref="Y33:Z33"/>
    <mergeCell ref="AO32:AO33"/>
    <mergeCell ref="AP32:AP33"/>
    <mergeCell ref="AR32:AR33"/>
    <mergeCell ref="AR39:AR40"/>
    <mergeCell ref="AS39:AS40"/>
    <mergeCell ref="AG38:AH38"/>
    <mergeCell ref="AI38:AJ38"/>
    <mergeCell ref="D39:D40"/>
    <mergeCell ref="E39:E40"/>
    <mergeCell ref="AK39:AK40"/>
    <mergeCell ref="AL39:AL40"/>
    <mergeCell ref="G40:H40"/>
    <mergeCell ref="I40:J40"/>
    <mergeCell ref="K40:L40"/>
    <mergeCell ref="M40:N40"/>
    <mergeCell ref="AZ37:AZ43"/>
    <mergeCell ref="G38:H38"/>
    <mergeCell ref="I38:J38"/>
    <mergeCell ref="K38:L38"/>
    <mergeCell ref="M38:N38"/>
    <mergeCell ref="O38:P38"/>
    <mergeCell ref="Q38:R38"/>
    <mergeCell ref="S38:T38"/>
    <mergeCell ref="U38:V38"/>
    <mergeCell ref="W38:X38"/>
    <mergeCell ref="AS37:AS38"/>
    <mergeCell ref="AT37:AT38"/>
    <mergeCell ref="AU37:AU38"/>
    <mergeCell ref="AV37:AV38"/>
    <mergeCell ref="AX37:AX43"/>
    <mergeCell ref="AY37:AY43"/>
    <mergeCell ref="AT39:AT40"/>
    <mergeCell ref="AU39:AU40"/>
    <mergeCell ref="AV39:AV40"/>
    <mergeCell ref="AL37:AL38"/>
    <mergeCell ref="AL44:AL45"/>
    <mergeCell ref="AM44:AM45"/>
    <mergeCell ref="AN44:AN45"/>
    <mergeCell ref="AO44:AO45"/>
    <mergeCell ref="AP44:AP45"/>
    <mergeCell ref="AR44:AR45"/>
    <mergeCell ref="D42:F42"/>
    <mergeCell ref="D43:F43"/>
    <mergeCell ref="C44:C50"/>
    <mergeCell ref="D44:D45"/>
    <mergeCell ref="E44:E45"/>
    <mergeCell ref="AK44:AK45"/>
    <mergeCell ref="Y45:Z45"/>
    <mergeCell ref="AA45:AB45"/>
    <mergeCell ref="AC45:AD45"/>
    <mergeCell ref="AE45:AF45"/>
    <mergeCell ref="AA40:AB40"/>
    <mergeCell ref="AC40:AD40"/>
    <mergeCell ref="AE40:AF40"/>
    <mergeCell ref="AG40:AH40"/>
    <mergeCell ref="AI40:AJ40"/>
    <mergeCell ref="D41:F41"/>
    <mergeCell ref="O40:P40"/>
    <mergeCell ref="Q40:R40"/>
    <mergeCell ref="S40:T40"/>
    <mergeCell ref="U40:V40"/>
    <mergeCell ref="W40:X40"/>
    <mergeCell ref="Y40:Z40"/>
    <mergeCell ref="AM39:AM40"/>
    <mergeCell ref="AN39:AN40"/>
    <mergeCell ref="AO39:AO40"/>
    <mergeCell ref="AP39:AP40"/>
    <mergeCell ref="AP46:AP47"/>
    <mergeCell ref="AR46:AR47"/>
    <mergeCell ref="AS46:AS47"/>
    <mergeCell ref="AG45:AH45"/>
    <mergeCell ref="AI45:AJ45"/>
    <mergeCell ref="D46:D47"/>
    <mergeCell ref="E46:E47"/>
    <mergeCell ref="AK46:AK47"/>
    <mergeCell ref="AL46:AL47"/>
    <mergeCell ref="G47:H47"/>
    <mergeCell ref="I47:J47"/>
    <mergeCell ref="K47:L47"/>
    <mergeCell ref="M47:N47"/>
    <mergeCell ref="AZ44:AZ50"/>
    <mergeCell ref="G45:H45"/>
    <mergeCell ref="I45:J45"/>
    <mergeCell ref="K45:L45"/>
    <mergeCell ref="M45:N45"/>
    <mergeCell ref="O45:P45"/>
    <mergeCell ref="Q45:R45"/>
    <mergeCell ref="S45:T45"/>
    <mergeCell ref="U45:V45"/>
    <mergeCell ref="W45:X45"/>
    <mergeCell ref="AS44:AS45"/>
    <mergeCell ref="AT44:AT45"/>
    <mergeCell ref="AU44:AU45"/>
    <mergeCell ref="AV44:AV45"/>
    <mergeCell ref="AX44:AX50"/>
    <mergeCell ref="AY44:AY50"/>
    <mergeCell ref="AT46:AT47"/>
    <mergeCell ref="AU46:AU47"/>
    <mergeCell ref="AV46:AV47"/>
    <mergeCell ref="AA47:AB47"/>
    <mergeCell ref="AC47:AD47"/>
    <mergeCell ref="AE47:AF47"/>
    <mergeCell ref="AG47:AH47"/>
    <mergeCell ref="AI47:AJ47"/>
    <mergeCell ref="A48:A49"/>
    <mergeCell ref="D48:F48"/>
    <mergeCell ref="D49:F49"/>
    <mergeCell ref="O47:P47"/>
    <mergeCell ref="Q47:R47"/>
    <mergeCell ref="S47:T47"/>
    <mergeCell ref="U47:V47"/>
    <mergeCell ref="W47:X47"/>
    <mergeCell ref="Y47:Z47"/>
    <mergeCell ref="AM46:AM47"/>
    <mergeCell ref="AN46:AN47"/>
    <mergeCell ref="AO46:AO47"/>
    <mergeCell ref="AV51:AV52"/>
    <mergeCell ref="AX51:AX57"/>
    <mergeCell ref="AY51:AY57"/>
    <mergeCell ref="AZ51:AZ57"/>
    <mergeCell ref="AM51:AM52"/>
    <mergeCell ref="AN51:AN52"/>
    <mergeCell ref="AO51:AO52"/>
    <mergeCell ref="AP51:AP52"/>
    <mergeCell ref="AR51:AR52"/>
    <mergeCell ref="AS51:AS52"/>
    <mergeCell ref="D50:F50"/>
    <mergeCell ref="C51:C57"/>
    <mergeCell ref="D51:D52"/>
    <mergeCell ref="E51:E52"/>
    <mergeCell ref="AK51:AK52"/>
    <mergeCell ref="AL51:AL52"/>
    <mergeCell ref="G52:H52"/>
    <mergeCell ref="I52:J52"/>
    <mergeCell ref="K52:L52"/>
    <mergeCell ref="M52:N52"/>
    <mergeCell ref="AR53:AR54"/>
    <mergeCell ref="AS53:AS54"/>
    <mergeCell ref="AT53:AT54"/>
    <mergeCell ref="AU53:AU54"/>
    <mergeCell ref="AV53:AV54"/>
    <mergeCell ref="G54:H54"/>
    <mergeCell ref="I54:J54"/>
    <mergeCell ref="K54:L54"/>
    <mergeCell ref="M54:N54"/>
    <mergeCell ref="O54:P54"/>
    <mergeCell ref="AK53:AK54"/>
    <mergeCell ref="AL53:AL54"/>
    <mergeCell ref="AM53:AM54"/>
    <mergeCell ref="AN53:AN54"/>
    <mergeCell ref="AO53:AO54"/>
    <mergeCell ref="AP53:AP54"/>
    <mergeCell ref="AA52:AB52"/>
    <mergeCell ref="AC52:AD52"/>
    <mergeCell ref="AE52:AF52"/>
    <mergeCell ref="AG52:AH52"/>
    <mergeCell ref="AI52:AJ52"/>
    <mergeCell ref="Q54:R54"/>
    <mergeCell ref="S54:T54"/>
    <mergeCell ref="U54:V54"/>
    <mergeCell ref="O52:P52"/>
    <mergeCell ref="Q52:R52"/>
    <mergeCell ref="S52:T52"/>
    <mergeCell ref="U52:V52"/>
    <mergeCell ref="W52:X52"/>
    <mergeCell ref="Y52:Z52"/>
    <mergeCell ref="AT51:AT52"/>
    <mergeCell ref="AU51:AU52"/>
    <mergeCell ref="AM58:AM59"/>
    <mergeCell ref="AN58:AN59"/>
    <mergeCell ref="AO58:AO59"/>
    <mergeCell ref="AP58:AP59"/>
    <mergeCell ref="AI54:AJ54"/>
    <mergeCell ref="D55:F55"/>
    <mergeCell ref="D56:F56"/>
    <mergeCell ref="D57:F57"/>
    <mergeCell ref="C58:C64"/>
    <mergeCell ref="D58:D59"/>
    <mergeCell ref="E58:E59"/>
    <mergeCell ref="W59:X59"/>
    <mergeCell ref="Y59:Z59"/>
    <mergeCell ref="AA59:AB59"/>
    <mergeCell ref="W54:X54"/>
    <mergeCell ref="Y54:Z54"/>
    <mergeCell ref="AA54:AB54"/>
    <mergeCell ref="AC54:AD54"/>
    <mergeCell ref="AE54:AF54"/>
    <mergeCell ref="AG54:AH54"/>
    <mergeCell ref="D53:D54"/>
    <mergeCell ref="E53:E54"/>
    <mergeCell ref="AC59:AD59"/>
    <mergeCell ref="AE59:AF59"/>
    <mergeCell ref="AG59:AH59"/>
    <mergeCell ref="AI59:AJ59"/>
    <mergeCell ref="D60:D61"/>
    <mergeCell ref="E60:E61"/>
    <mergeCell ref="Y61:Z61"/>
    <mergeCell ref="AA61:AB61"/>
    <mergeCell ref="AC61:AD61"/>
    <mergeCell ref="AE61:AF61"/>
    <mergeCell ref="AY58:AY64"/>
    <mergeCell ref="AZ58:AZ64"/>
    <mergeCell ref="G59:H59"/>
    <mergeCell ref="I59:J59"/>
    <mergeCell ref="K59:L59"/>
    <mergeCell ref="M59:N59"/>
    <mergeCell ref="O59:P59"/>
    <mergeCell ref="Q59:R59"/>
    <mergeCell ref="S59:T59"/>
    <mergeCell ref="U59:V59"/>
    <mergeCell ref="AR58:AR59"/>
    <mergeCell ref="AS58:AS59"/>
    <mergeCell ref="AT58:AT59"/>
    <mergeCell ref="AU58:AU59"/>
    <mergeCell ref="AV58:AV59"/>
    <mergeCell ref="AX58:AX64"/>
    <mergeCell ref="AR60:AR61"/>
    <mergeCell ref="AS60:AS61"/>
    <mergeCell ref="AT60:AT61"/>
    <mergeCell ref="AU60:AU61"/>
    <mergeCell ref="AK58:AK59"/>
    <mergeCell ref="AL58:AL59"/>
    <mergeCell ref="AO65:AO66"/>
    <mergeCell ref="AP65:AP66"/>
    <mergeCell ref="AG61:AH61"/>
    <mergeCell ref="AI61:AJ61"/>
    <mergeCell ref="D62:F62"/>
    <mergeCell ref="D63:F63"/>
    <mergeCell ref="D64:F64"/>
    <mergeCell ref="B65:B70"/>
    <mergeCell ref="C65:C70"/>
    <mergeCell ref="D65:D66"/>
    <mergeCell ref="E65:E66"/>
    <mergeCell ref="G66:H66"/>
    <mergeCell ref="AV60:AV61"/>
    <mergeCell ref="G61:H61"/>
    <mergeCell ref="I61:J61"/>
    <mergeCell ref="K61:L61"/>
    <mergeCell ref="M61:N61"/>
    <mergeCell ref="O61:P61"/>
    <mergeCell ref="Q61:R61"/>
    <mergeCell ref="S61:T61"/>
    <mergeCell ref="U61:V61"/>
    <mergeCell ref="W61:X61"/>
    <mergeCell ref="AK60:AK61"/>
    <mergeCell ref="AL60:AL61"/>
    <mergeCell ref="AM60:AM61"/>
    <mergeCell ref="AN60:AN61"/>
    <mergeCell ref="AO60:AO61"/>
    <mergeCell ref="AP60:AP61"/>
    <mergeCell ref="AP67:AP68"/>
    <mergeCell ref="A69:A70"/>
    <mergeCell ref="D69:F69"/>
    <mergeCell ref="D70:F70"/>
    <mergeCell ref="A71:F71"/>
    <mergeCell ref="A72:F72"/>
    <mergeCell ref="AG66:AH66"/>
    <mergeCell ref="AI66:AJ66"/>
    <mergeCell ref="AR66:AV67"/>
    <mergeCell ref="D67:D68"/>
    <mergeCell ref="E67:E68"/>
    <mergeCell ref="AK67:AK68"/>
    <mergeCell ref="AL67:AL68"/>
    <mergeCell ref="AM67:AM68"/>
    <mergeCell ref="AN67:AN68"/>
    <mergeCell ref="AO67:AO68"/>
    <mergeCell ref="U66:V66"/>
    <mergeCell ref="W66:X66"/>
    <mergeCell ref="Y66:Z66"/>
    <mergeCell ref="AA66:AB66"/>
    <mergeCell ref="AC66:AD66"/>
    <mergeCell ref="AE66:AF66"/>
    <mergeCell ref="I66:J66"/>
    <mergeCell ref="K66:L66"/>
    <mergeCell ref="M66:N66"/>
    <mergeCell ref="O66:P66"/>
    <mergeCell ref="Q66:R66"/>
    <mergeCell ref="S66:T66"/>
    <mergeCell ref="AK65:AK66"/>
    <mergeCell ref="AL65:AL66"/>
    <mergeCell ref="AM65:AM66"/>
    <mergeCell ref="AN65:AN66"/>
    <mergeCell ref="AR74:AR75"/>
    <mergeCell ref="AS74:AS75"/>
    <mergeCell ref="AT74:AT75"/>
    <mergeCell ref="AU74:AU75"/>
    <mergeCell ref="AV74:AV75"/>
    <mergeCell ref="G75:H75"/>
    <mergeCell ref="I75:J75"/>
    <mergeCell ref="K75:L75"/>
    <mergeCell ref="M75:N75"/>
    <mergeCell ref="O75:P75"/>
    <mergeCell ref="AK74:AK75"/>
    <mergeCell ref="AL74:AL75"/>
    <mergeCell ref="AM74:AM75"/>
    <mergeCell ref="AN74:AN75"/>
    <mergeCell ref="AO74:AO75"/>
    <mergeCell ref="AP74:AP75"/>
    <mergeCell ref="Y74:Z74"/>
    <mergeCell ref="AA74:AB74"/>
    <mergeCell ref="AC74:AD74"/>
    <mergeCell ref="AE74:AF74"/>
    <mergeCell ref="AG74:AH74"/>
    <mergeCell ref="AI74:AJ74"/>
    <mergeCell ref="M74:N74"/>
    <mergeCell ref="O74:P74"/>
    <mergeCell ref="Q74:R74"/>
    <mergeCell ref="S74:T74"/>
    <mergeCell ref="U74:V74"/>
    <mergeCell ref="W74:X74"/>
    <mergeCell ref="G74:H74"/>
    <mergeCell ref="I74:J74"/>
    <mergeCell ref="K74:L74"/>
    <mergeCell ref="AM76:AM77"/>
    <mergeCell ref="AN76:AN77"/>
    <mergeCell ref="AO76:AO77"/>
    <mergeCell ref="AP76:AP77"/>
    <mergeCell ref="AC75:AD75"/>
    <mergeCell ref="AE75:AF75"/>
    <mergeCell ref="AG75:AH75"/>
    <mergeCell ref="AI75:AJ75"/>
    <mergeCell ref="C76:C82"/>
    <mergeCell ref="D76:D77"/>
    <mergeCell ref="E76:E77"/>
    <mergeCell ref="W77:X77"/>
    <mergeCell ref="Y77:Z77"/>
    <mergeCell ref="AA77:AB77"/>
    <mergeCell ref="Q75:R75"/>
    <mergeCell ref="S75:T75"/>
    <mergeCell ref="U75:V75"/>
    <mergeCell ref="W75:X75"/>
    <mergeCell ref="Y75:Z75"/>
    <mergeCell ref="AA75:AB75"/>
    <mergeCell ref="A74:D75"/>
    <mergeCell ref="E74:E75"/>
    <mergeCell ref="F74:F75"/>
    <mergeCell ref="AC77:AD77"/>
    <mergeCell ref="AE77:AF77"/>
    <mergeCell ref="AG77:AH77"/>
    <mergeCell ref="AI77:AJ77"/>
    <mergeCell ref="D78:D79"/>
    <mergeCell ref="E78:E79"/>
    <mergeCell ref="Y79:Z79"/>
    <mergeCell ref="AA79:AB79"/>
    <mergeCell ref="AC79:AD79"/>
    <mergeCell ref="AE79:AF79"/>
    <mergeCell ref="AY76:AY82"/>
    <mergeCell ref="AZ76:AZ82"/>
    <mergeCell ref="G77:H77"/>
    <mergeCell ref="I77:J77"/>
    <mergeCell ref="K77:L77"/>
    <mergeCell ref="M77:N77"/>
    <mergeCell ref="O77:P77"/>
    <mergeCell ref="Q77:R77"/>
    <mergeCell ref="S77:T77"/>
    <mergeCell ref="U77:V77"/>
    <mergeCell ref="AR76:AR77"/>
    <mergeCell ref="AS76:AS77"/>
    <mergeCell ref="AT76:AT77"/>
    <mergeCell ref="AU76:AU77"/>
    <mergeCell ref="AV76:AV77"/>
    <mergeCell ref="AX76:AX82"/>
    <mergeCell ref="AR78:AR79"/>
    <mergeCell ref="AS78:AS79"/>
    <mergeCell ref="AT78:AT79"/>
    <mergeCell ref="AU78:AU79"/>
    <mergeCell ref="AK76:AK77"/>
    <mergeCell ref="AL76:AL77"/>
    <mergeCell ref="C83:C89"/>
    <mergeCell ref="D83:D84"/>
    <mergeCell ref="E83:E84"/>
    <mergeCell ref="AK83:AK84"/>
    <mergeCell ref="AL83:AL84"/>
    <mergeCell ref="AM83:AM84"/>
    <mergeCell ref="Q84:R84"/>
    <mergeCell ref="S84:T84"/>
    <mergeCell ref="U84:V84"/>
    <mergeCell ref="W84:X84"/>
    <mergeCell ref="AG79:AH79"/>
    <mergeCell ref="AI79:AJ79"/>
    <mergeCell ref="A80:A81"/>
    <mergeCell ref="D80:F80"/>
    <mergeCell ref="D81:F81"/>
    <mergeCell ref="D82:F82"/>
    <mergeCell ref="AV78:AV79"/>
    <mergeCell ref="G79:H79"/>
    <mergeCell ref="I79:J79"/>
    <mergeCell ref="K79:L79"/>
    <mergeCell ref="M79:N79"/>
    <mergeCell ref="O79:P79"/>
    <mergeCell ref="Q79:R79"/>
    <mergeCell ref="S79:T79"/>
    <mergeCell ref="U79:V79"/>
    <mergeCell ref="W79:X79"/>
    <mergeCell ref="AK78:AK79"/>
    <mergeCell ref="AL78:AL79"/>
    <mergeCell ref="AM78:AM79"/>
    <mergeCell ref="AN78:AN79"/>
    <mergeCell ref="AO78:AO79"/>
    <mergeCell ref="AP78:AP79"/>
    <mergeCell ref="Y86:Z86"/>
    <mergeCell ref="AA86:AB86"/>
    <mergeCell ref="AC86:AD86"/>
    <mergeCell ref="AE86:AF86"/>
    <mergeCell ref="Y84:Z84"/>
    <mergeCell ref="AA84:AB84"/>
    <mergeCell ref="AC84:AD84"/>
    <mergeCell ref="AE84:AF84"/>
    <mergeCell ref="AG84:AH84"/>
    <mergeCell ref="AI84:AJ84"/>
    <mergeCell ref="AU83:AU84"/>
    <mergeCell ref="AV83:AV84"/>
    <mergeCell ref="AX83:AX89"/>
    <mergeCell ref="AY83:AY89"/>
    <mergeCell ref="AZ83:AZ89"/>
    <mergeCell ref="G84:H84"/>
    <mergeCell ref="I84:J84"/>
    <mergeCell ref="K84:L84"/>
    <mergeCell ref="M84:N84"/>
    <mergeCell ref="O84:P84"/>
    <mergeCell ref="AN83:AN84"/>
    <mergeCell ref="AO83:AO84"/>
    <mergeCell ref="AP83:AP84"/>
    <mergeCell ref="AR83:AR84"/>
    <mergeCell ref="AS83:AS84"/>
    <mergeCell ref="AT83:AT84"/>
    <mergeCell ref="AG86:AH86"/>
    <mergeCell ref="AI86:AJ86"/>
    <mergeCell ref="D87:F87"/>
    <mergeCell ref="D88:F88"/>
    <mergeCell ref="A89:A90"/>
    <mergeCell ref="D89:F89"/>
    <mergeCell ref="C90:C96"/>
    <mergeCell ref="D90:D91"/>
    <mergeCell ref="E90:E91"/>
    <mergeCell ref="U91:V91"/>
    <mergeCell ref="AV85:AV86"/>
    <mergeCell ref="G86:H86"/>
    <mergeCell ref="I86:J86"/>
    <mergeCell ref="K86:L86"/>
    <mergeCell ref="M86:N86"/>
    <mergeCell ref="O86:P86"/>
    <mergeCell ref="Q86:R86"/>
    <mergeCell ref="S86:T86"/>
    <mergeCell ref="U86:V86"/>
    <mergeCell ref="W86:X86"/>
    <mergeCell ref="AO85:AO86"/>
    <mergeCell ref="AP85:AP86"/>
    <mergeCell ref="AR85:AR86"/>
    <mergeCell ref="AS85:AS86"/>
    <mergeCell ref="AT85:AT86"/>
    <mergeCell ref="AU85:AU86"/>
    <mergeCell ref="D85:D86"/>
    <mergeCell ref="E85:E86"/>
    <mergeCell ref="AK85:AK86"/>
    <mergeCell ref="AL85:AL86"/>
    <mergeCell ref="AM85:AM86"/>
    <mergeCell ref="AN85:AN86"/>
    <mergeCell ref="AY90:AY96"/>
    <mergeCell ref="AZ90:AZ96"/>
    <mergeCell ref="A91:A92"/>
    <mergeCell ref="G91:H91"/>
    <mergeCell ref="I91:J91"/>
    <mergeCell ref="K91:L91"/>
    <mergeCell ref="M91:N91"/>
    <mergeCell ref="O91:P91"/>
    <mergeCell ref="Q91:R91"/>
    <mergeCell ref="S91:T91"/>
    <mergeCell ref="AR90:AR91"/>
    <mergeCell ref="AS90:AS91"/>
    <mergeCell ref="AT90:AT91"/>
    <mergeCell ref="AU90:AU91"/>
    <mergeCell ref="AV90:AV91"/>
    <mergeCell ref="AX90:AX96"/>
    <mergeCell ref="AU92:AU93"/>
    <mergeCell ref="AV92:AV93"/>
    <mergeCell ref="AK90:AK91"/>
    <mergeCell ref="AL90:AL91"/>
    <mergeCell ref="AM90:AM91"/>
    <mergeCell ref="AN90:AN91"/>
    <mergeCell ref="AO90:AO91"/>
    <mergeCell ref="AP90:AP91"/>
    <mergeCell ref="A93:A94"/>
    <mergeCell ref="G93:H93"/>
    <mergeCell ref="I93:J93"/>
    <mergeCell ref="K93:L93"/>
    <mergeCell ref="M93:N93"/>
    <mergeCell ref="O93:P93"/>
    <mergeCell ref="D94:F94"/>
    <mergeCell ref="AN92:AN93"/>
    <mergeCell ref="AO92:AO93"/>
    <mergeCell ref="AP92:AP93"/>
    <mergeCell ref="AR92:AR93"/>
    <mergeCell ref="AS92:AS93"/>
    <mergeCell ref="AT92:AT93"/>
    <mergeCell ref="AI91:AJ91"/>
    <mergeCell ref="D92:D93"/>
    <mergeCell ref="E92:E93"/>
    <mergeCell ref="AK92:AK93"/>
    <mergeCell ref="AL92:AL93"/>
    <mergeCell ref="AM92:AM93"/>
    <mergeCell ref="Q93:R93"/>
    <mergeCell ref="S93:T93"/>
    <mergeCell ref="U93:V93"/>
    <mergeCell ref="W93:X93"/>
    <mergeCell ref="W91:X91"/>
    <mergeCell ref="Y91:Z91"/>
    <mergeCell ref="AA91:AB91"/>
    <mergeCell ref="AC91:AD91"/>
    <mergeCell ref="AE91:AF91"/>
    <mergeCell ref="AG91:AH91"/>
    <mergeCell ref="AN97:AN98"/>
    <mergeCell ref="AO97:AO98"/>
    <mergeCell ref="AP97:AP98"/>
    <mergeCell ref="AR97:AR98"/>
    <mergeCell ref="D95:F95"/>
    <mergeCell ref="D96:F96"/>
    <mergeCell ref="C97:C103"/>
    <mergeCell ref="D97:D98"/>
    <mergeCell ref="E97:E98"/>
    <mergeCell ref="AK97:AK98"/>
    <mergeCell ref="Y98:Z98"/>
    <mergeCell ref="AA98:AB98"/>
    <mergeCell ref="AC98:AD98"/>
    <mergeCell ref="AE98:AF98"/>
    <mergeCell ref="Y93:Z93"/>
    <mergeCell ref="AA93:AB93"/>
    <mergeCell ref="AC93:AD93"/>
    <mergeCell ref="AE93:AF93"/>
    <mergeCell ref="AG93:AH93"/>
    <mergeCell ref="AI93:AJ93"/>
    <mergeCell ref="AS99:AS100"/>
    <mergeCell ref="AG98:AH98"/>
    <mergeCell ref="AI98:AJ98"/>
    <mergeCell ref="D99:D100"/>
    <mergeCell ref="E99:E100"/>
    <mergeCell ref="AK99:AK100"/>
    <mergeCell ref="AL99:AL100"/>
    <mergeCell ref="G100:H100"/>
    <mergeCell ref="I100:J100"/>
    <mergeCell ref="K100:L100"/>
    <mergeCell ref="M100:N100"/>
    <mergeCell ref="AZ97:AZ103"/>
    <mergeCell ref="G98:H98"/>
    <mergeCell ref="I98:J98"/>
    <mergeCell ref="K98:L98"/>
    <mergeCell ref="M98:N98"/>
    <mergeCell ref="O98:P98"/>
    <mergeCell ref="Q98:R98"/>
    <mergeCell ref="S98:T98"/>
    <mergeCell ref="U98:V98"/>
    <mergeCell ref="W98:X98"/>
    <mergeCell ref="AS97:AS98"/>
    <mergeCell ref="AT97:AT98"/>
    <mergeCell ref="AU97:AU98"/>
    <mergeCell ref="AV97:AV98"/>
    <mergeCell ref="AX97:AX103"/>
    <mergeCell ref="AY97:AY103"/>
    <mergeCell ref="AT99:AT100"/>
    <mergeCell ref="AU99:AU100"/>
    <mergeCell ref="AV99:AV100"/>
    <mergeCell ref="AL97:AL98"/>
    <mergeCell ref="AM97:AM98"/>
    <mergeCell ref="AC100:AD100"/>
    <mergeCell ref="AE100:AF100"/>
    <mergeCell ref="AG100:AH100"/>
    <mergeCell ref="AI100:AJ100"/>
    <mergeCell ref="D101:F101"/>
    <mergeCell ref="D102:F102"/>
    <mergeCell ref="O100:P100"/>
    <mergeCell ref="Q100:R100"/>
    <mergeCell ref="S100:T100"/>
    <mergeCell ref="U100:V100"/>
    <mergeCell ref="Y100:Z100"/>
    <mergeCell ref="AA100:AB100"/>
    <mergeCell ref="AM99:AM100"/>
    <mergeCell ref="AN99:AN100"/>
    <mergeCell ref="AO99:AO100"/>
    <mergeCell ref="AP99:AP100"/>
    <mergeCell ref="AR99:AR100"/>
    <mergeCell ref="AV104:AV105"/>
    <mergeCell ref="AX104:AX110"/>
    <mergeCell ref="AY104:AY110"/>
    <mergeCell ref="AZ104:AZ110"/>
    <mergeCell ref="AM104:AM105"/>
    <mergeCell ref="AN104:AN105"/>
    <mergeCell ref="AO104:AO105"/>
    <mergeCell ref="AP104:AP105"/>
    <mergeCell ref="AR104:AR105"/>
    <mergeCell ref="AS104:AS105"/>
    <mergeCell ref="D103:F103"/>
    <mergeCell ref="C104:C110"/>
    <mergeCell ref="D104:D105"/>
    <mergeCell ref="E104:E105"/>
    <mergeCell ref="AK104:AK105"/>
    <mergeCell ref="AL104:AL105"/>
    <mergeCell ref="G105:H105"/>
    <mergeCell ref="I105:J105"/>
    <mergeCell ref="K105:L105"/>
    <mergeCell ref="M105:N105"/>
    <mergeCell ref="AR106:AR107"/>
    <mergeCell ref="AS106:AS107"/>
    <mergeCell ref="AT106:AT107"/>
    <mergeCell ref="AU106:AU107"/>
    <mergeCell ref="AV106:AV107"/>
    <mergeCell ref="G107:H107"/>
    <mergeCell ref="I107:J107"/>
    <mergeCell ref="K107:L107"/>
    <mergeCell ref="M107:N107"/>
    <mergeCell ref="O107:P107"/>
    <mergeCell ref="AK106:AK107"/>
    <mergeCell ref="AL106:AL107"/>
    <mergeCell ref="AM106:AM107"/>
    <mergeCell ref="AN106:AN107"/>
    <mergeCell ref="AO106:AO107"/>
    <mergeCell ref="AP106:AP107"/>
    <mergeCell ref="AA105:AB105"/>
    <mergeCell ref="AC105:AD105"/>
    <mergeCell ref="AE105:AF105"/>
    <mergeCell ref="AG105:AH105"/>
    <mergeCell ref="AI105:AJ105"/>
    <mergeCell ref="Q107:R107"/>
    <mergeCell ref="S107:T107"/>
    <mergeCell ref="U107:V107"/>
    <mergeCell ref="O105:P105"/>
    <mergeCell ref="Q105:R105"/>
    <mergeCell ref="S105:T105"/>
    <mergeCell ref="U105:V105"/>
    <mergeCell ref="W105:X105"/>
    <mergeCell ref="Y105:Z105"/>
    <mergeCell ref="AT104:AT105"/>
    <mergeCell ref="AU104:AU105"/>
    <mergeCell ref="AM111:AM112"/>
    <mergeCell ref="AN111:AN112"/>
    <mergeCell ref="AO111:AO112"/>
    <mergeCell ref="AP111:AP112"/>
    <mergeCell ref="AI107:AJ107"/>
    <mergeCell ref="D108:F108"/>
    <mergeCell ref="D109:F109"/>
    <mergeCell ref="D110:F110"/>
    <mergeCell ref="C111:C117"/>
    <mergeCell ref="D111:D112"/>
    <mergeCell ref="E111:E112"/>
    <mergeCell ref="W112:X112"/>
    <mergeCell ref="Y112:Z112"/>
    <mergeCell ref="AA112:AB112"/>
    <mergeCell ref="W107:X107"/>
    <mergeCell ref="Y107:Z107"/>
    <mergeCell ref="AA107:AB107"/>
    <mergeCell ref="AC107:AD107"/>
    <mergeCell ref="AE107:AF107"/>
    <mergeCell ref="AG107:AH107"/>
    <mergeCell ref="D106:D107"/>
    <mergeCell ref="E106:E107"/>
    <mergeCell ref="AC112:AD112"/>
    <mergeCell ref="AE112:AF112"/>
    <mergeCell ref="AG112:AH112"/>
    <mergeCell ref="AI112:AJ112"/>
    <mergeCell ref="D113:D114"/>
    <mergeCell ref="E113:E114"/>
    <mergeCell ref="Y114:Z114"/>
    <mergeCell ref="AA114:AB114"/>
    <mergeCell ref="AC114:AD114"/>
    <mergeCell ref="AE114:AF114"/>
    <mergeCell ref="AY111:AY117"/>
    <mergeCell ref="AZ111:AZ117"/>
    <mergeCell ref="G112:H112"/>
    <mergeCell ref="I112:J112"/>
    <mergeCell ref="K112:L112"/>
    <mergeCell ref="M112:N112"/>
    <mergeCell ref="O112:P112"/>
    <mergeCell ref="Q112:R112"/>
    <mergeCell ref="S112:T112"/>
    <mergeCell ref="U112:V112"/>
    <mergeCell ref="AR111:AR112"/>
    <mergeCell ref="AS111:AS112"/>
    <mergeCell ref="AT111:AT112"/>
    <mergeCell ref="AU111:AU112"/>
    <mergeCell ref="AV111:AV112"/>
    <mergeCell ref="AX111:AX117"/>
    <mergeCell ref="AR113:AR114"/>
    <mergeCell ref="AS113:AS114"/>
    <mergeCell ref="AT113:AT114"/>
    <mergeCell ref="AU113:AU114"/>
    <mergeCell ref="AK111:AK112"/>
    <mergeCell ref="AL111:AL112"/>
    <mergeCell ref="AM118:AM119"/>
    <mergeCell ref="AN118:AN119"/>
    <mergeCell ref="AO118:AO119"/>
    <mergeCell ref="AP118:AP119"/>
    <mergeCell ref="AG114:AH114"/>
    <mergeCell ref="AI114:AJ114"/>
    <mergeCell ref="D115:F115"/>
    <mergeCell ref="D116:F116"/>
    <mergeCell ref="D117:F117"/>
    <mergeCell ref="C118:C124"/>
    <mergeCell ref="D118:D119"/>
    <mergeCell ref="E118:E119"/>
    <mergeCell ref="W119:X119"/>
    <mergeCell ref="Y119:Z119"/>
    <mergeCell ref="AV113:AV114"/>
    <mergeCell ref="G114:H114"/>
    <mergeCell ref="I114:J114"/>
    <mergeCell ref="K114:L114"/>
    <mergeCell ref="M114:N114"/>
    <mergeCell ref="O114:P114"/>
    <mergeCell ref="Q114:R114"/>
    <mergeCell ref="S114:T114"/>
    <mergeCell ref="U114:V114"/>
    <mergeCell ref="W114:X114"/>
    <mergeCell ref="AK113:AK114"/>
    <mergeCell ref="AL113:AL114"/>
    <mergeCell ref="AM113:AM114"/>
    <mergeCell ref="AN113:AN114"/>
    <mergeCell ref="AO113:AO114"/>
    <mergeCell ref="AP113:AP114"/>
    <mergeCell ref="AA119:AB119"/>
    <mergeCell ref="AC119:AD119"/>
    <mergeCell ref="AE119:AF119"/>
    <mergeCell ref="AG119:AH119"/>
    <mergeCell ref="AI119:AJ119"/>
    <mergeCell ref="D120:D121"/>
    <mergeCell ref="E120:E121"/>
    <mergeCell ref="Y121:Z121"/>
    <mergeCell ref="AA121:AB121"/>
    <mergeCell ref="AC121:AD121"/>
    <mergeCell ref="AY118:AY124"/>
    <mergeCell ref="AZ118:AZ124"/>
    <mergeCell ref="G119:H119"/>
    <mergeCell ref="I119:J119"/>
    <mergeCell ref="K119:L119"/>
    <mergeCell ref="M119:N119"/>
    <mergeCell ref="O119:P119"/>
    <mergeCell ref="Q119:R119"/>
    <mergeCell ref="S119:T119"/>
    <mergeCell ref="U119:V119"/>
    <mergeCell ref="AR118:AR119"/>
    <mergeCell ref="AS118:AS119"/>
    <mergeCell ref="AT118:AT119"/>
    <mergeCell ref="AU118:AU119"/>
    <mergeCell ref="AV118:AV119"/>
    <mergeCell ref="AX118:AX124"/>
    <mergeCell ref="AR120:AR121"/>
    <mergeCell ref="AS120:AS121"/>
    <mergeCell ref="AT120:AT121"/>
    <mergeCell ref="AU120:AU121"/>
    <mergeCell ref="AK118:AK119"/>
    <mergeCell ref="AL118:AL119"/>
    <mergeCell ref="AE121:AF121"/>
    <mergeCell ref="AG121:AH121"/>
    <mergeCell ref="AI121:AJ121"/>
    <mergeCell ref="D122:F122"/>
    <mergeCell ref="D123:F123"/>
    <mergeCell ref="D124:F124"/>
    <mergeCell ref="AV120:AV121"/>
    <mergeCell ref="G121:H121"/>
    <mergeCell ref="I121:J121"/>
    <mergeCell ref="K121:L121"/>
    <mergeCell ref="M121:N121"/>
    <mergeCell ref="O121:P121"/>
    <mergeCell ref="Q121:R121"/>
    <mergeCell ref="S121:T121"/>
    <mergeCell ref="U121:V121"/>
    <mergeCell ref="W121:X121"/>
    <mergeCell ref="AK120:AK121"/>
    <mergeCell ref="AL120:AL121"/>
    <mergeCell ref="AM120:AM121"/>
    <mergeCell ref="AN120:AN121"/>
    <mergeCell ref="AO120:AO121"/>
    <mergeCell ref="AP120:AP121"/>
    <mergeCell ref="AZ125:AZ131"/>
    <mergeCell ref="G126:H126"/>
    <mergeCell ref="I126:J126"/>
    <mergeCell ref="K126:L126"/>
    <mergeCell ref="M126:N126"/>
    <mergeCell ref="O126:P126"/>
    <mergeCell ref="AN125:AN126"/>
    <mergeCell ref="AO125:AO126"/>
    <mergeCell ref="AP125:AP126"/>
    <mergeCell ref="AR125:AR126"/>
    <mergeCell ref="AS125:AS126"/>
    <mergeCell ref="AT125:AT126"/>
    <mergeCell ref="C125:C131"/>
    <mergeCell ref="D125:D126"/>
    <mergeCell ref="E125:E126"/>
    <mergeCell ref="AK125:AK126"/>
    <mergeCell ref="AL125:AL126"/>
    <mergeCell ref="AM125:AM126"/>
    <mergeCell ref="Q126:R126"/>
    <mergeCell ref="S126:T126"/>
    <mergeCell ref="U126:V126"/>
    <mergeCell ref="W126:X126"/>
    <mergeCell ref="AL127:AL128"/>
    <mergeCell ref="AM127:AM128"/>
    <mergeCell ref="AN127:AN128"/>
    <mergeCell ref="Y128:Z128"/>
    <mergeCell ref="AA128:AB128"/>
    <mergeCell ref="AC128:AD128"/>
    <mergeCell ref="AE128:AF128"/>
    <mergeCell ref="Y126:Z126"/>
    <mergeCell ref="AA126:AB126"/>
    <mergeCell ref="AC126:AD126"/>
    <mergeCell ref="AE126:AF126"/>
    <mergeCell ref="AG126:AH126"/>
    <mergeCell ref="AI126:AJ126"/>
    <mergeCell ref="AU125:AU126"/>
    <mergeCell ref="AV125:AV126"/>
    <mergeCell ref="AX125:AX131"/>
    <mergeCell ref="AY125:AY131"/>
    <mergeCell ref="AN132:AN133"/>
    <mergeCell ref="AO132:AO133"/>
    <mergeCell ref="AP132:AP133"/>
    <mergeCell ref="AG128:AH128"/>
    <mergeCell ref="AI128:AJ128"/>
    <mergeCell ref="D129:F129"/>
    <mergeCell ref="D130:F130"/>
    <mergeCell ref="D131:F131"/>
    <mergeCell ref="B132:B137"/>
    <mergeCell ref="C132:C137"/>
    <mergeCell ref="D132:D133"/>
    <mergeCell ref="E132:E133"/>
    <mergeCell ref="Y133:Z133"/>
    <mergeCell ref="AV127:AV128"/>
    <mergeCell ref="G128:H128"/>
    <mergeCell ref="I128:J128"/>
    <mergeCell ref="K128:L128"/>
    <mergeCell ref="M128:N128"/>
    <mergeCell ref="O128:P128"/>
    <mergeCell ref="Q128:R128"/>
    <mergeCell ref="S128:T128"/>
    <mergeCell ref="U128:V128"/>
    <mergeCell ref="W128:X128"/>
    <mergeCell ref="AO127:AO128"/>
    <mergeCell ref="AP127:AP128"/>
    <mergeCell ref="AR127:AR128"/>
    <mergeCell ref="AS127:AS128"/>
    <mergeCell ref="AT127:AT128"/>
    <mergeCell ref="AU127:AU128"/>
    <mergeCell ref="D127:D128"/>
    <mergeCell ref="E127:E128"/>
    <mergeCell ref="AK127:AK128"/>
    <mergeCell ref="AR134:AS135"/>
    <mergeCell ref="A136:A137"/>
    <mergeCell ref="D136:F136"/>
    <mergeCell ref="D137:F137"/>
    <mergeCell ref="A138:F138"/>
    <mergeCell ref="A139:F139"/>
    <mergeCell ref="AK134:AK135"/>
    <mergeCell ref="AL134:AL135"/>
    <mergeCell ref="AM134:AM135"/>
    <mergeCell ref="AN134:AN135"/>
    <mergeCell ref="AO134:AO135"/>
    <mergeCell ref="AP134:AP135"/>
    <mergeCell ref="AA133:AB133"/>
    <mergeCell ref="AC133:AD133"/>
    <mergeCell ref="AE133:AF133"/>
    <mergeCell ref="AG133:AH133"/>
    <mergeCell ref="AI133:AJ133"/>
    <mergeCell ref="D134:D135"/>
    <mergeCell ref="E134:E135"/>
    <mergeCell ref="AR132:AS133"/>
    <mergeCell ref="G133:H133"/>
    <mergeCell ref="I133:J133"/>
    <mergeCell ref="K133:L133"/>
    <mergeCell ref="M133:N133"/>
    <mergeCell ref="O133:P133"/>
    <mergeCell ref="Q133:R133"/>
    <mergeCell ref="S133:T133"/>
    <mergeCell ref="U133:V133"/>
    <mergeCell ref="W133:X133"/>
    <mergeCell ref="AK132:AK133"/>
    <mergeCell ref="AL132:AL133"/>
    <mergeCell ref="AM132:AM133"/>
    <mergeCell ref="AO144:AQ144"/>
    <mergeCell ref="A145:A147"/>
    <mergeCell ref="B145:D145"/>
    <mergeCell ref="AO145:AQ145"/>
    <mergeCell ref="B146:D146"/>
    <mergeCell ref="AO146:AQ146"/>
    <mergeCell ref="B147:D147"/>
    <mergeCell ref="A141:D141"/>
    <mergeCell ref="AO141:AO142"/>
    <mergeCell ref="AP141:AQ142"/>
    <mergeCell ref="AR141:AS141"/>
    <mergeCell ref="AT141:AU141"/>
    <mergeCell ref="A142:A144"/>
    <mergeCell ref="B142:D142"/>
    <mergeCell ref="B143:D143"/>
    <mergeCell ref="AO143:AQ143"/>
    <mergeCell ref="B144:D144"/>
    <mergeCell ref="AG149:AH150"/>
    <mergeCell ref="AI149:AJ150"/>
    <mergeCell ref="AK149:AP150"/>
    <mergeCell ref="AR149:AV150"/>
    <mergeCell ref="B151:B152"/>
    <mergeCell ref="C151:C152"/>
    <mergeCell ref="D151:D152"/>
    <mergeCell ref="E151:E152"/>
    <mergeCell ref="F151:F152"/>
    <mergeCell ref="G151:H151"/>
    <mergeCell ref="O149:P150"/>
    <mergeCell ref="Q149:R150"/>
    <mergeCell ref="U149:V150"/>
    <mergeCell ref="AA149:AB150"/>
    <mergeCell ref="AC149:AD150"/>
    <mergeCell ref="AE149:AF150"/>
    <mergeCell ref="A149:D150"/>
    <mergeCell ref="E149:E150"/>
    <mergeCell ref="F149:H150"/>
    <mergeCell ref="I149:J150"/>
    <mergeCell ref="K149:L150"/>
    <mergeCell ref="M149:N150"/>
    <mergeCell ref="AG151:AH151"/>
    <mergeCell ref="AI151:AJ151"/>
    <mergeCell ref="AK151:AK152"/>
    <mergeCell ref="AL151:AL152"/>
    <mergeCell ref="AM151:AM152"/>
    <mergeCell ref="AN151:AN152"/>
    <mergeCell ref="U151:V151"/>
    <mergeCell ref="W151:X151"/>
    <mergeCell ref="Y151:Z151"/>
    <mergeCell ref="AA151:AB151"/>
    <mergeCell ref="AC151:AD151"/>
    <mergeCell ref="AE151:AF151"/>
    <mergeCell ref="I151:J151"/>
    <mergeCell ref="K151:L151"/>
    <mergeCell ref="M151:N151"/>
    <mergeCell ref="O151:P151"/>
    <mergeCell ref="Q151:R151"/>
    <mergeCell ref="S151:T151"/>
    <mergeCell ref="B153:B159"/>
    <mergeCell ref="C153:C159"/>
    <mergeCell ref="D153:D154"/>
    <mergeCell ref="E153:E154"/>
    <mergeCell ref="AK153:AK154"/>
    <mergeCell ref="AL153:AL154"/>
    <mergeCell ref="U154:V154"/>
    <mergeCell ref="W154:X154"/>
    <mergeCell ref="Y154:Z154"/>
    <mergeCell ref="AA154:AB154"/>
    <mergeCell ref="Y152:Z152"/>
    <mergeCell ref="AA152:AB152"/>
    <mergeCell ref="AC152:AD152"/>
    <mergeCell ref="AE152:AF152"/>
    <mergeCell ref="AG152:AH152"/>
    <mergeCell ref="AI152:AJ152"/>
    <mergeCell ref="AV151:AV152"/>
    <mergeCell ref="G152:H152"/>
    <mergeCell ref="I152:J152"/>
    <mergeCell ref="K152:L152"/>
    <mergeCell ref="M152:N152"/>
    <mergeCell ref="O152:P152"/>
    <mergeCell ref="Q152:R152"/>
    <mergeCell ref="S152:T152"/>
    <mergeCell ref="U152:V152"/>
    <mergeCell ref="W152:X152"/>
    <mergeCell ref="AO151:AO152"/>
    <mergeCell ref="AP151:AP152"/>
    <mergeCell ref="AR151:AR152"/>
    <mergeCell ref="AS151:AS152"/>
    <mergeCell ref="AT151:AT152"/>
    <mergeCell ref="AU151:AU152"/>
    <mergeCell ref="AC154:AD154"/>
    <mergeCell ref="AE154:AF154"/>
    <mergeCell ref="AG154:AH154"/>
    <mergeCell ref="AI154:AJ154"/>
    <mergeCell ref="D155:D156"/>
    <mergeCell ref="E155:E156"/>
    <mergeCell ref="Q156:R156"/>
    <mergeCell ref="S156:T156"/>
    <mergeCell ref="U156:V156"/>
    <mergeCell ref="W156:X156"/>
    <mergeCell ref="AT153:AT154"/>
    <mergeCell ref="AU153:AU154"/>
    <mergeCell ref="AV153:AV154"/>
    <mergeCell ref="G154:H154"/>
    <mergeCell ref="I154:J154"/>
    <mergeCell ref="K154:L154"/>
    <mergeCell ref="M154:N154"/>
    <mergeCell ref="O154:P154"/>
    <mergeCell ref="Q154:R154"/>
    <mergeCell ref="S154:T154"/>
    <mergeCell ref="AM153:AM154"/>
    <mergeCell ref="AN153:AN154"/>
    <mergeCell ref="AO153:AO154"/>
    <mergeCell ref="AP153:AP154"/>
    <mergeCell ref="AR153:AR154"/>
    <mergeCell ref="AS153:AS154"/>
    <mergeCell ref="Y156:Z156"/>
    <mergeCell ref="AA156:AB156"/>
    <mergeCell ref="AC156:AD156"/>
    <mergeCell ref="AE156:AF156"/>
    <mergeCell ref="AG156:AH156"/>
    <mergeCell ref="AI156:AJ156"/>
    <mergeCell ref="AR155:AR156"/>
    <mergeCell ref="AS155:AS156"/>
    <mergeCell ref="AT155:AT156"/>
    <mergeCell ref="AU155:AU156"/>
    <mergeCell ref="AV155:AV156"/>
    <mergeCell ref="G156:H156"/>
    <mergeCell ref="I156:J156"/>
    <mergeCell ref="K156:L156"/>
    <mergeCell ref="M156:N156"/>
    <mergeCell ref="O156:P156"/>
    <mergeCell ref="AK155:AK156"/>
    <mergeCell ref="AL155:AL156"/>
    <mergeCell ref="AM155:AM156"/>
    <mergeCell ref="AN155:AN156"/>
    <mergeCell ref="AO155:AO156"/>
    <mergeCell ref="AP155:AP156"/>
    <mergeCell ref="AS160:AS161"/>
    <mergeCell ref="AT160:AT161"/>
    <mergeCell ref="AU160:AU161"/>
    <mergeCell ref="AV160:AV161"/>
    <mergeCell ref="G161:H161"/>
    <mergeCell ref="I161:J161"/>
    <mergeCell ref="K161:L161"/>
    <mergeCell ref="M161:N161"/>
    <mergeCell ref="O161:P161"/>
    <mergeCell ref="AK160:AK161"/>
    <mergeCell ref="AL160:AL161"/>
    <mergeCell ref="AM160:AM161"/>
    <mergeCell ref="AN160:AN161"/>
    <mergeCell ref="AO160:AO161"/>
    <mergeCell ref="AP160:AP161"/>
    <mergeCell ref="D157:F157"/>
    <mergeCell ref="AA157:AB157"/>
    <mergeCell ref="D158:F158"/>
    <mergeCell ref="AA158:AB158"/>
    <mergeCell ref="D159:F159"/>
    <mergeCell ref="D160:D161"/>
    <mergeCell ref="E160:E161"/>
    <mergeCell ref="AA160:AB160"/>
    <mergeCell ref="Q161:R161"/>
    <mergeCell ref="AE161:AF161"/>
    <mergeCell ref="AG161:AH161"/>
    <mergeCell ref="AI161:AJ161"/>
    <mergeCell ref="D162:D163"/>
    <mergeCell ref="E162:E163"/>
    <mergeCell ref="AA162:AB162"/>
    <mergeCell ref="Q163:R163"/>
    <mergeCell ref="S163:T163"/>
    <mergeCell ref="U163:V163"/>
    <mergeCell ref="W163:X163"/>
    <mergeCell ref="S161:T161"/>
    <mergeCell ref="U161:V161"/>
    <mergeCell ref="W161:X161"/>
    <mergeCell ref="Y161:Z161"/>
    <mergeCell ref="AA161:AB161"/>
    <mergeCell ref="AC161:AD161"/>
    <mergeCell ref="AR160:AR161"/>
    <mergeCell ref="Y163:Z163"/>
    <mergeCell ref="AA163:AB163"/>
    <mergeCell ref="AC163:AD163"/>
    <mergeCell ref="AE163:AF163"/>
    <mergeCell ref="AG163:AH163"/>
    <mergeCell ref="AI163:AJ163"/>
    <mergeCell ref="AR162:AR163"/>
    <mergeCell ref="AS162:AS163"/>
    <mergeCell ref="AT162:AT163"/>
    <mergeCell ref="AU162:AU163"/>
    <mergeCell ref="AV162:AV163"/>
    <mergeCell ref="G163:H163"/>
    <mergeCell ref="I163:J163"/>
    <mergeCell ref="K163:L163"/>
    <mergeCell ref="M163:N163"/>
    <mergeCell ref="O163:P163"/>
    <mergeCell ref="AK162:AK163"/>
    <mergeCell ref="AL162:AL163"/>
    <mergeCell ref="AM162:AM163"/>
    <mergeCell ref="AN162:AN163"/>
    <mergeCell ref="AO162:AO163"/>
    <mergeCell ref="AP162:AP163"/>
    <mergeCell ref="AT167:AT168"/>
    <mergeCell ref="AU167:AU168"/>
    <mergeCell ref="AV167:AV168"/>
    <mergeCell ref="A168:A169"/>
    <mergeCell ref="G168:H168"/>
    <mergeCell ref="I168:J168"/>
    <mergeCell ref="K168:L168"/>
    <mergeCell ref="M168:N168"/>
    <mergeCell ref="AK167:AK168"/>
    <mergeCell ref="AL167:AL168"/>
    <mergeCell ref="AM167:AM168"/>
    <mergeCell ref="AN167:AN168"/>
    <mergeCell ref="AO167:AO168"/>
    <mergeCell ref="AP167:AP168"/>
    <mergeCell ref="D164:F164"/>
    <mergeCell ref="AA164:AB164"/>
    <mergeCell ref="D165:F165"/>
    <mergeCell ref="AA165:AB165"/>
    <mergeCell ref="D166:F166"/>
    <mergeCell ref="C167:C173"/>
    <mergeCell ref="D167:D168"/>
    <mergeCell ref="E167:E168"/>
    <mergeCell ref="AA167:AB167"/>
    <mergeCell ref="O168:P168"/>
    <mergeCell ref="C160:C166"/>
    <mergeCell ref="AR169:AR170"/>
    <mergeCell ref="AS169:AS170"/>
    <mergeCell ref="AT169:AT170"/>
    <mergeCell ref="AU169:AU170"/>
    <mergeCell ref="AV169:AV170"/>
    <mergeCell ref="G170:H170"/>
    <mergeCell ref="I170:J170"/>
    <mergeCell ref="K170:L170"/>
    <mergeCell ref="M170:N170"/>
    <mergeCell ref="O170:P170"/>
    <mergeCell ref="AK169:AK170"/>
    <mergeCell ref="AL169:AL170"/>
    <mergeCell ref="AM169:AM170"/>
    <mergeCell ref="AN169:AN170"/>
    <mergeCell ref="AO169:AO170"/>
    <mergeCell ref="AP169:AP170"/>
    <mergeCell ref="AC168:AD168"/>
    <mergeCell ref="AE168:AF168"/>
    <mergeCell ref="AG168:AH168"/>
    <mergeCell ref="AI168:AJ168"/>
    <mergeCell ref="AA169:AB169"/>
    <mergeCell ref="Q170:R170"/>
    <mergeCell ref="S170:T170"/>
    <mergeCell ref="U170:V170"/>
    <mergeCell ref="Q168:R168"/>
    <mergeCell ref="S168:T168"/>
    <mergeCell ref="U168:V168"/>
    <mergeCell ref="W168:X168"/>
    <mergeCell ref="Y168:Z168"/>
    <mergeCell ref="AA168:AB168"/>
    <mergeCell ref="AR167:AR168"/>
    <mergeCell ref="AS167:AS168"/>
    <mergeCell ref="C174:C180"/>
    <mergeCell ref="D174:D175"/>
    <mergeCell ref="E174:E175"/>
    <mergeCell ref="AA174:AB174"/>
    <mergeCell ref="AK174:AK175"/>
    <mergeCell ref="AL174:AL175"/>
    <mergeCell ref="U175:V175"/>
    <mergeCell ref="W175:X175"/>
    <mergeCell ref="Y175:Z175"/>
    <mergeCell ref="AA175:AB175"/>
    <mergeCell ref="AI170:AJ170"/>
    <mergeCell ref="D171:F171"/>
    <mergeCell ref="AA171:AB171"/>
    <mergeCell ref="D172:F172"/>
    <mergeCell ref="AA172:AB172"/>
    <mergeCell ref="D173:F173"/>
    <mergeCell ref="W170:X170"/>
    <mergeCell ref="Y170:Z170"/>
    <mergeCell ref="AA170:AB170"/>
    <mergeCell ref="AC170:AD170"/>
    <mergeCell ref="AE170:AF170"/>
    <mergeCell ref="AG170:AH170"/>
    <mergeCell ref="D169:D170"/>
    <mergeCell ref="E169:E170"/>
    <mergeCell ref="AC175:AD175"/>
    <mergeCell ref="AE175:AF175"/>
    <mergeCell ref="AG175:AH175"/>
    <mergeCell ref="AI175:AJ175"/>
    <mergeCell ref="D176:D177"/>
    <mergeCell ref="E176:E177"/>
    <mergeCell ref="AA176:AB176"/>
    <mergeCell ref="Q177:R177"/>
    <mergeCell ref="S177:T177"/>
    <mergeCell ref="U177:V177"/>
    <mergeCell ref="AT174:AT175"/>
    <mergeCell ref="AU174:AU175"/>
    <mergeCell ref="AV174:AV175"/>
    <mergeCell ref="G175:H175"/>
    <mergeCell ref="I175:J175"/>
    <mergeCell ref="K175:L175"/>
    <mergeCell ref="M175:N175"/>
    <mergeCell ref="O175:P175"/>
    <mergeCell ref="Q175:R175"/>
    <mergeCell ref="S175:T175"/>
    <mergeCell ref="AM174:AM175"/>
    <mergeCell ref="AN174:AN175"/>
    <mergeCell ref="AO174:AO175"/>
    <mergeCell ref="AP174:AP175"/>
    <mergeCell ref="AR174:AR175"/>
    <mergeCell ref="AS174:AS175"/>
    <mergeCell ref="AI177:AJ177"/>
    <mergeCell ref="D178:F178"/>
    <mergeCell ref="AA178:AB178"/>
    <mergeCell ref="D179:F179"/>
    <mergeCell ref="AA179:AB179"/>
    <mergeCell ref="D180:F180"/>
    <mergeCell ref="W177:X177"/>
    <mergeCell ref="Y177:Z177"/>
    <mergeCell ref="AA177:AB177"/>
    <mergeCell ref="AC177:AD177"/>
    <mergeCell ref="AE177:AF177"/>
    <mergeCell ref="AG177:AH177"/>
    <mergeCell ref="AR176:AR177"/>
    <mergeCell ref="AS176:AS177"/>
    <mergeCell ref="AT176:AT177"/>
    <mergeCell ref="AU176:AU177"/>
    <mergeCell ref="AV176:AV177"/>
    <mergeCell ref="G177:H177"/>
    <mergeCell ref="I177:J177"/>
    <mergeCell ref="K177:L177"/>
    <mergeCell ref="M177:N177"/>
    <mergeCell ref="O177:P177"/>
    <mergeCell ref="AK176:AK177"/>
    <mergeCell ref="AL176:AL177"/>
    <mergeCell ref="AM176:AM177"/>
    <mergeCell ref="AN176:AN177"/>
    <mergeCell ref="AO176:AO177"/>
    <mergeCell ref="AP176:AP177"/>
    <mergeCell ref="Q182:R182"/>
    <mergeCell ref="S182:T182"/>
    <mergeCell ref="AM181:AM182"/>
    <mergeCell ref="AN181:AN182"/>
    <mergeCell ref="AO181:AO182"/>
    <mergeCell ref="AP181:AP182"/>
    <mergeCell ref="AR181:AR182"/>
    <mergeCell ref="AS181:AS182"/>
    <mergeCell ref="C181:C187"/>
    <mergeCell ref="D181:D182"/>
    <mergeCell ref="E181:E182"/>
    <mergeCell ref="AA181:AB181"/>
    <mergeCell ref="AK181:AK182"/>
    <mergeCell ref="AL181:AL182"/>
    <mergeCell ref="U182:V182"/>
    <mergeCell ref="W182:X182"/>
    <mergeCell ref="Y182:Z182"/>
    <mergeCell ref="AA182:AB182"/>
    <mergeCell ref="AR183:AR184"/>
    <mergeCell ref="AS183:AS184"/>
    <mergeCell ref="AT183:AT184"/>
    <mergeCell ref="AU183:AU184"/>
    <mergeCell ref="AV183:AV184"/>
    <mergeCell ref="G184:H184"/>
    <mergeCell ref="I184:J184"/>
    <mergeCell ref="K184:L184"/>
    <mergeCell ref="M184:N184"/>
    <mergeCell ref="O184:P184"/>
    <mergeCell ref="AK183:AK184"/>
    <mergeCell ref="AL183:AL184"/>
    <mergeCell ref="AM183:AM184"/>
    <mergeCell ref="AN183:AN184"/>
    <mergeCell ref="AO183:AO184"/>
    <mergeCell ref="AP183:AP184"/>
    <mergeCell ref="AC182:AD182"/>
    <mergeCell ref="AE182:AF182"/>
    <mergeCell ref="AG182:AH182"/>
    <mergeCell ref="AI182:AJ182"/>
    <mergeCell ref="AA183:AB183"/>
    <mergeCell ref="Q184:R184"/>
    <mergeCell ref="S184:T184"/>
    <mergeCell ref="U184:V184"/>
    <mergeCell ref="AT181:AT182"/>
    <mergeCell ref="AU181:AU182"/>
    <mergeCell ref="AV181:AV182"/>
    <mergeCell ref="G182:H182"/>
    <mergeCell ref="I182:J182"/>
    <mergeCell ref="K182:L182"/>
    <mergeCell ref="M182:N182"/>
    <mergeCell ref="O182:P182"/>
    <mergeCell ref="D187:F187"/>
    <mergeCell ref="C188:C194"/>
    <mergeCell ref="D188:D189"/>
    <mergeCell ref="E188:E189"/>
    <mergeCell ref="AK188:AK189"/>
    <mergeCell ref="AL188:AL189"/>
    <mergeCell ref="U189:V189"/>
    <mergeCell ref="W189:X189"/>
    <mergeCell ref="Y189:Z189"/>
    <mergeCell ref="AA189:AB189"/>
    <mergeCell ref="AI184:AJ184"/>
    <mergeCell ref="A185:A186"/>
    <mergeCell ref="D185:F185"/>
    <mergeCell ref="AA185:AB185"/>
    <mergeCell ref="D186:F186"/>
    <mergeCell ref="AA186:AB186"/>
    <mergeCell ref="W184:X184"/>
    <mergeCell ref="Y184:Z184"/>
    <mergeCell ref="AA184:AB184"/>
    <mergeCell ref="AC184:AD184"/>
    <mergeCell ref="AE184:AF184"/>
    <mergeCell ref="AG184:AH184"/>
    <mergeCell ref="D183:D184"/>
    <mergeCell ref="E183:E184"/>
    <mergeCell ref="AC189:AD189"/>
    <mergeCell ref="AE189:AF189"/>
    <mergeCell ref="AG189:AH189"/>
    <mergeCell ref="AI189:AJ189"/>
    <mergeCell ref="D190:D191"/>
    <mergeCell ref="E190:E191"/>
    <mergeCell ref="Q191:R191"/>
    <mergeCell ref="S191:T191"/>
    <mergeCell ref="U191:V191"/>
    <mergeCell ref="W191:X191"/>
    <mergeCell ref="AT188:AT189"/>
    <mergeCell ref="AU188:AU189"/>
    <mergeCell ref="AV188:AV189"/>
    <mergeCell ref="G189:H189"/>
    <mergeCell ref="I189:J189"/>
    <mergeCell ref="K189:L189"/>
    <mergeCell ref="M189:N189"/>
    <mergeCell ref="O189:P189"/>
    <mergeCell ref="Q189:R189"/>
    <mergeCell ref="S189:T189"/>
    <mergeCell ref="AM188:AM189"/>
    <mergeCell ref="AN188:AN189"/>
    <mergeCell ref="AO188:AO189"/>
    <mergeCell ref="AP188:AP189"/>
    <mergeCell ref="AR188:AR189"/>
    <mergeCell ref="AS188:AS189"/>
    <mergeCell ref="C195:C201"/>
    <mergeCell ref="D195:D196"/>
    <mergeCell ref="E195:E196"/>
    <mergeCell ref="D199:F199"/>
    <mergeCell ref="D200:F200"/>
    <mergeCell ref="D201:F201"/>
    <mergeCell ref="Y191:Z191"/>
    <mergeCell ref="AA191:AB191"/>
    <mergeCell ref="AC191:AD191"/>
    <mergeCell ref="AE191:AF191"/>
    <mergeCell ref="AG191:AH191"/>
    <mergeCell ref="AI191:AJ191"/>
    <mergeCell ref="AR190:AR191"/>
    <mergeCell ref="AS190:AS191"/>
    <mergeCell ref="AT190:AT191"/>
    <mergeCell ref="AU190:AU191"/>
    <mergeCell ref="AV190:AV191"/>
    <mergeCell ref="G191:H191"/>
    <mergeCell ref="I191:J191"/>
    <mergeCell ref="K191:L191"/>
    <mergeCell ref="M191:N191"/>
    <mergeCell ref="O191:P191"/>
    <mergeCell ref="AK190:AK191"/>
    <mergeCell ref="AL190:AL191"/>
    <mergeCell ref="AM190:AM191"/>
    <mergeCell ref="AN190:AN191"/>
    <mergeCell ref="AO190:AO191"/>
    <mergeCell ref="AP190:AP191"/>
    <mergeCell ref="AS195:AS196"/>
    <mergeCell ref="AT195:AT196"/>
    <mergeCell ref="AU195:AU196"/>
    <mergeCell ref="AV195:AV196"/>
    <mergeCell ref="G196:H196"/>
    <mergeCell ref="I196:J196"/>
    <mergeCell ref="K196:L196"/>
    <mergeCell ref="M196:N196"/>
    <mergeCell ref="O196:P196"/>
    <mergeCell ref="AK195:AK196"/>
    <mergeCell ref="AL195:AL196"/>
    <mergeCell ref="AM195:AM196"/>
    <mergeCell ref="AN195:AN196"/>
    <mergeCell ref="AO195:AO196"/>
    <mergeCell ref="AP195:AP196"/>
    <mergeCell ref="D192:F192"/>
    <mergeCell ref="D193:F193"/>
    <mergeCell ref="D194:F194"/>
    <mergeCell ref="AC196:AD196"/>
    <mergeCell ref="AE196:AF196"/>
    <mergeCell ref="AG196:AH196"/>
    <mergeCell ref="AI196:AJ196"/>
    <mergeCell ref="D197:D198"/>
    <mergeCell ref="E197:E198"/>
    <mergeCell ref="Q198:R198"/>
    <mergeCell ref="S198:T198"/>
    <mergeCell ref="U198:V198"/>
    <mergeCell ref="W198:X198"/>
    <mergeCell ref="Q196:R196"/>
    <mergeCell ref="S196:T196"/>
    <mergeCell ref="U196:V196"/>
    <mergeCell ref="W196:X196"/>
    <mergeCell ref="Y196:Z196"/>
    <mergeCell ref="AA196:AB196"/>
    <mergeCell ref="AR195:AR196"/>
    <mergeCell ref="Y198:Z198"/>
    <mergeCell ref="AA198:AB198"/>
    <mergeCell ref="AC198:AD198"/>
    <mergeCell ref="AE198:AF198"/>
    <mergeCell ref="AG198:AH198"/>
    <mergeCell ref="AI198:AJ198"/>
    <mergeCell ref="AR197:AR198"/>
    <mergeCell ref="AS197:AS198"/>
    <mergeCell ref="AT197:AT198"/>
    <mergeCell ref="AU197:AU198"/>
    <mergeCell ref="AV197:AV198"/>
    <mergeCell ref="G198:H198"/>
    <mergeCell ref="I198:J198"/>
    <mergeCell ref="K198:L198"/>
    <mergeCell ref="M198:N198"/>
    <mergeCell ref="O198:P198"/>
    <mergeCell ref="AK197:AK198"/>
    <mergeCell ref="AL197:AL198"/>
    <mergeCell ref="AM197:AM198"/>
    <mergeCell ref="AN197:AN198"/>
    <mergeCell ref="AO197:AO198"/>
    <mergeCell ref="AP197:AP198"/>
    <mergeCell ref="AK204:AK205"/>
    <mergeCell ref="AL204:AL205"/>
    <mergeCell ref="AM204:AM205"/>
    <mergeCell ref="AN204:AN205"/>
    <mergeCell ref="AA203:AB203"/>
    <mergeCell ref="AC203:AD203"/>
    <mergeCell ref="AE203:AF203"/>
    <mergeCell ref="AG203:AH203"/>
    <mergeCell ref="AI203:AJ203"/>
    <mergeCell ref="AR203:AV204"/>
    <mergeCell ref="AO204:AO205"/>
    <mergeCell ref="AP204:AP205"/>
    <mergeCell ref="AM202:AM203"/>
    <mergeCell ref="AN202:AN203"/>
    <mergeCell ref="AO202:AO203"/>
    <mergeCell ref="AP202:AP203"/>
    <mergeCell ref="G203:H203"/>
    <mergeCell ref="I203:J203"/>
    <mergeCell ref="K203:L203"/>
    <mergeCell ref="M203:N203"/>
    <mergeCell ref="O203:P203"/>
    <mergeCell ref="Q203:R203"/>
    <mergeCell ref="AK202:AK203"/>
    <mergeCell ref="AL202:AL203"/>
    <mergeCell ref="S203:T203"/>
    <mergeCell ref="U203:V203"/>
    <mergeCell ref="W203:X203"/>
    <mergeCell ref="Y203:Z203"/>
    <mergeCell ref="Y211:Z211"/>
    <mergeCell ref="AA211:AB211"/>
    <mergeCell ref="AC211:AD211"/>
    <mergeCell ref="G211:H211"/>
    <mergeCell ref="I211:J211"/>
    <mergeCell ref="K211:L211"/>
    <mergeCell ref="M211:N211"/>
    <mergeCell ref="O211:P211"/>
    <mergeCell ref="Q211:R211"/>
    <mergeCell ref="D206:F206"/>
    <mergeCell ref="D207:F207"/>
    <mergeCell ref="A208:F208"/>
    <mergeCell ref="A209:F209"/>
    <mergeCell ref="A211:D212"/>
    <mergeCell ref="E211:E212"/>
    <mergeCell ref="F211:F212"/>
    <mergeCell ref="D204:D205"/>
    <mergeCell ref="E204:E205"/>
    <mergeCell ref="B202:B207"/>
    <mergeCell ref="C202:C207"/>
    <mergeCell ref="D202:D203"/>
    <mergeCell ref="E202:E203"/>
    <mergeCell ref="W212:X212"/>
    <mergeCell ref="Y212:Z212"/>
    <mergeCell ref="AA212:AB212"/>
    <mergeCell ref="AC212:AD212"/>
    <mergeCell ref="AE212:AF212"/>
    <mergeCell ref="AG212:AH212"/>
    <mergeCell ref="AU211:AU212"/>
    <mergeCell ref="AV211:AV212"/>
    <mergeCell ref="G212:H212"/>
    <mergeCell ref="I212:J212"/>
    <mergeCell ref="K212:L212"/>
    <mergeCell ref="M212:N212"/>
    <mergeCell ref="O212:P212"/>
    <mergeCell ref="Q212:R212"/>
    <mergeCell ref="S212:T212"/>
    <mergeCell ref="U212:V212"/>
    <mergeCell ref="AN211:AN212"/>
    <mergeCell ref="AO211:AO212"/>
    <mergeCell ref="AP211:AP212"/>
    <mergeCell ref="AR211:AR212"/>
    <mergeCell ref="AS211:AS212"/>
    <mergeCell ref="AT211:AT212"/>
    <mergeCell ref="AE211:AF211"/>
    <mergeCell ref="AG211:AH211"/>
    <mergeCell ref="AI211:AJ211"/>
    <mergeCell ref="AK211:AK212"/>
    <mergeCell ref="AL211:AL212"/>
    <mergeCell ref="AM211:AM212"/>
    <mergeCell ref="AI212:AJ212"/>
    <mergeCell ref="S211:T211"/>
    <mergeCell ref="U211:V211"/>
    <mergeCell ref="W211:X211"/>
    <mergeCell ref="S214:T214"/>
    <mergeCell ref="U214:V214"/>
    <mergeCell ref="AN213:AN214"/>
    <mergeCell ref="AO213:AO214"/>
    <mergeCell ref="AP213:AP214"/>
    <mergeCell ref="AR213:AR214"/>
    <mergeCell ref="AS213:AS214"/>
    <mergeCell ref="AT213:AT214"/>
    <mergeCell ref="C213:C219"/>
    <mergeCell ref="D213:D214"/>
    <mergeCell ref="E213:E214"/>
    <mergeCell ref="AK213:AK214"/>
    <mergeCell ref="AL213:AL214"/>
    <mergeCell ref="AM213:AM214"/>
    <mergeCell ref="W214:X214"/>
    <mergeCell ref="Y214:Z214"/>
    <mergeCell ref="AA214:AB214"/>
    <mergeCell ref="AC214:AD214"/>
    <mergeCell ref="AS215:AS216"/>
    <mergeCell ref="AT215:AT216"/>
    <mergeCell ref="AU215:AU216"/>
    <mergeCell ref="AV215:AV216"/>
    <mergeCell ref="G216:H216"/>
    <mergeCell ref="I216:J216"/>
    <mergeCell ref="K216:L216"/>
    <mergeCell ref="M216:N216"/>
    <mergeCell ref="O216:P216"/>
    <mergeCell ref="Q216:R216"/>
    <mergeCell ref="AL215:AL216"/>
    <mergeCell ref="AM215:AM216"/>
    <mergeCell ref="AN215:AN216"/>
    <mergeCell ref="AO215:AO216"/>
    <mergeCell ref="AP215:AP216"/>
    <mergeCell ref="AR215:AR216"/>
    <mergeCell ref="AE214:AF214"/>
    <mergeCell ref="AG214:AH214"/>
    <mergeCell ref="AI214:AJ214"/>
    <mergeCell ref="AK215:AK216"/>
    <mergeCell ref="S216:T216"/>
    <mergeCell ref="U216:V216"/>
    <mergeCell ref="W216:X216"/>
    <mergeCell ref="Y216:Z216"/>
    <mergeCell ref="AU213:AU214"/>
    <mergeCell ref="AV213:AV214"/>
    <mergeCell ref="G214:H214"/>
    <mergeCell ref="I214:J214"/>
    <mergeCell ref="K214:L214"/>
    <mergeCell ref="M214:N214"/>
    <mergeCell ref="O214:P214"/>
    <mergeCell ref="Q214:R214"/>
    <mergeCell ref="D219:F219"/>
    <mergeCell ref="C220:C226"/>
    <mergeCell ref="D220:D221"/>
    <mergeCell ref="E220:E221"/>
    <mergeCell ref="AK220:AK221"/>
    <mergeCell ref="AL220:AL221"/>
    <mergeCell ref="U221:V221"/>
    <mergeCell ref="W221:X221"/>
    <mergeCell ref="Y221:Z221"/>
    <mergeCell ref="AA221:AB221"/>
    <mergeCell ref="AA216:AB216"/>
    <mergeCell ref="AC216:AD216"/>
    <mergeCell ref="AE216:AF216"/>
    <mergeCell ref="AG216:AH216"/>
    <mergeCell ref="AI216:AJ216"/>
    <mergeCell ref="A217:A218"/>
    <mergeCell ref="D217:F217"/>
    <mergeCell ref="D218:F218"/>
    <mergeCell ref="D215:D216"/>
    <mergeCell ref="E215:E216"/>
    <mergeCell ref="AC221:AD221"/>
    <mergeCell ref="AE221:AF221"/>
    <mergeCell ref="AG221:AH221"/>
    <mergeCell ref="AI221:AJ221"/>
    <mergeCell ref="D222:D223"/>
    <mergeCell ref="E222:E223"/>
    <mergeCell ref="Q223:R223"/>
    <mergeCell ref="S223:T223"/>
    <mergeCell ref="U223:V223"/>
    <mergeCell ref="W223:X223"/>
    <mergeCell ref="AT220:AT221"/>
    <mergeCell ref="AU220:AU221"/>
    <mergeCell ref="AV220:AV221"/>
    <mergeCell ref="G221:H221"/>
    <mergeCell ref="I221:J221"/>
    <mergeCell ref="K221:L221"/>
    <mergeCell ref="M221:N221"/>
    <mergeCell ref="O221:P221"/>
    <mergeCell ref="Q221:R221"/>
    <mergeCell ref="S221:T221"/>
    <mergeCell ref="AM220:AM221"/>
    <mergeCell ref="AN220:AN221"/>
    <mergeCell ref="AO220:AO221"/>
    <mergeCell ref="AP220:AP221"/>
    <mergeCell ref="AR220:AR221"/>
    <mergeCell ref="AS220:AS221"/>
    <mergeCell ref="Y223:Z223"/>
    <mergeCell ref="AA223:AB223"/>
    <mergeCell ref="AC223:AD223"/>
    <mergeCell ref="AE223:AF223"/>
    <mergeCell ref="AG223:AH223"/>
    <mergeCell ref="AI223:AJ223"/>
    <mergeCell ref="AR222:AR223"/>
    <mergeCell ref="AS222:AS223"/>
    <mergeCell ref="AT222:AT223"/>
    <mergeCell ref="AU222:AU223"/>
    <mergeCell ref="AV222:AV223"/>
    <mergeCell ref="G223:H223"/>
    <mergeCell ref="I223:J223"/>
    <mergeCell ref="K223:L223"/>
    <mergeCell ref="M223:N223"/>
    <mergeCell ref="O223:P223"/>
    <mergeCell ref="AK222:AK223"/>
    <mergeCell ref="AL222:AL223"/>
    <mergeCell ref="AM222:AM223"/>
    <mergeCell ref="AN222:AN223"/>
    <mergeCell ref="AO222:AO223"/>
    <mergeCell ref="AP222:AP223"/>
    <mergeCell ref="AR227:AR228"/>
    <mergeCell ref="AS227:AS228"/>
    <mergeCell ref="AT227:AT228"/>
    <mergeCell ref="AU227:AU228"/>
    <mergeCell ref="AV227:AV228"/>
    <mergeCell ref="A228:A229"/>
    <mergeCell ref="G228:H228"/>
    <mergeCell ref="I228:J228"/>
    <mergeCell ref="K228:L228"/>
    <mergeCell ref="M228:N228"/>
    <mergeCell ref="AK227:AK228"/>
    <mergeCell ref="AL227:AL228"/>
    <mergeCell ref="AM227:AM228"/>
    <mergeCell ref="AN227:AN228"/>
    <mergeCell ref="AO227:AO228"/>
    <mergeCell ref="AP227:AP228"/>
    <mergeCell ref="D224:F224"/>
    <mergeCell ref="D225:F225"/>
    <mergeCell ref="A226:A227"/>
    <mergeCell ref="D226:F226"/>
    <mergeCell ref="C227:C233"/>
    <mergeCell ref="D227:D228"/>
    <mergeCell ref="E227:E228"/>
    <mergeCell ref="A230:A231"/>
    <mergeCell ref="G230:H230"/>
    <mergeCell ref="I230:J230"/>
    <mergeCell ref="K230:L230"/>
    <mergeCell ref="M230:N230"/>
    <mergeCell ref="AK229:AK230"/>
    <mergeCell ref="AL229:AL230"/>
    <mergeCell ref="AM229:AM230"/>
    <mergeCell ref="AN229:AN230"/>
    <mergeCell ref="AO229:AO230"/>
    <mergeCell ref="AP229:AP230"/>
    <mergeCell ref="AA228:AB228"/>
    <mergeCell ref="AC228:AD228"/>
    <mergeCell ref="AE228:AF228"/>
    <mergeCell ref="AG228:AH228"/>
    <mergeCell ref="AI228:AJ228"/>
    <mergeCell ref="D229:D230"/>
    <mergeCell ref="E229:E230"/>
    <mergeCell ref="O230:P230"/>
    <mergeCell ref="Q230:R230"/>
    <mergeCell ref="S230:T230"/>
    <mergeCell ref="O228:P228"/>
    <mergeCell ref="Q228:R228"/>
    <mergeCell ref="S228:T228"/>
    <mergeCell ref="U228:V228"/>
    <mergeCell ref="W228:X228"/>
    <mergeCell ref="Y228:Z228"/>
    <mergeCell ref="D231:F231"/>
    <mergeCell ref="D232:F232"/>
    <mergeCell ref="D233:F233"/>
    <mergeCell ref="C234:C240"/>
    <mergeCell ref="D234:D235"/>
    <mergeCell ref="E234:E235"/>
    <mergeCell ref="Q235:R235"/>
    <mergeCell ref="S235:T235"/>
    <mergeCell ref="U230:V230"/>
    <mergeCell ref="W230:X230"/>
    <mergeCell ref="Y230:Z230"/>
    <mergeCell ref="AA230:AB230"/>
    <mergeCell ref="AC230:AD230"/>
    <mergeCell ref="AE230:AF230"/>
    <mergeCell ref="AR229:AR230"/>
    <mergeCell ref="AS229:AS230"/>
    <mergeCell ref="AT229:AT230"/>
    <mergeCell ref="AS234:AS235"/>
    <mergeCell ref="AT234:AT235"/>
    <mergeCell ref="AU234:AU235"/>
    <mergeCell ref="AV234:AV235"/>
    <mergeCell ref="G235:H235"/>
    <mergeCell ref="I235:J235"/>
    <mergeCell ref="K235:L235"/>
    <mergeCell ref="M235:N235"/>
    <mergeCell ref="O235:P235"/>
    <mergeCell ref="AK234:AK235"/>
    <mergeCell ref="AL234:AL235"/>
    <mergeCell ref="AM234:AM235"/>
    <mergeCell ref="AN234:AN235"/>
    <mergeCell ref="AO234:AO235"/>
    <mergeCell ref="AP234:AP235"/>
    <mergeCell ref="AG230:AH230"/>
    <mergeCell ref="AI230:AJ230"/>
    <mergeCell ref="AU229:AU230"/>
    <mergeCell ref="AV229:AV230"/>
    <mergeCell ref="AG235:AH235"/>
    <mergeCell ref="AI235:AJ235"/>
    <mergeCell ref="D236:D237"/>
    <mergeCell ref="E236:E237"/>
    <mergeCell ref="AK236:AK237"/>
    <mergeCell ref="AL236:AL237"/>
    <mergeCell ref="U237:V237"/>
    <mergeCell ref="Y237:Z237"/>
    <mergeCell ref="AA237:AB237"/>
    <mergeCell ref="AC237:AD237"/>
    <mergeCell ref="U235:V235"/>
    <mergeCell ref="W235:X235"/>
    <mergeCell ref="Y235:Z235"/>
    <mergeCell ref="AA235:AB235"/>
    <mergeCell ref="AC235:AD235"/>
    <mergeCell ref="AE235:AF235"/>
    <mergeCell ref="AR234:AR235"/>
    <mergeCell ref="AE237:AF237"/>
    <mergeCell ref="AG237:AH237"/>
    <mergeCell ref="AI237:AJ237"/>
    <mergeCell ref="D238:F238"/>
    <mergeCell ref="D239:F239"/>
    <mergeCell ref="D240:F240"/>
    <mergeCell ref="AT236:AT237"/>
    <mergeCell ref="AU236:AU237"/>
    <mergeCell ref="AV236:AV237"/>
    <mergeCell ref="G237:H237"/>
    <mergeCell ref="I237:J237"/>
    <mergeCell ref="K237:L237"/>
    <mergeCell ref="M237:N237"/>
    <mergeCell ref="O237:P237"/>
    <mergeCell ref="Q237:R237"/>
    <mergeCell ref="S237:T237"/>
    <mergeCell ref="AM236:AM237"/>
    <mergeCell ref="AN236:AN237"/>
    <mergeCell ref="AO236:AO237"/>
    <mergeCell ref="AP236:AP237"/>
    <mergeCell ref="AR236:AR237"/>
    <mergeCell ref="AS236:AS237"/>
    <mergeCell ref="U242:V242"/>
    <mergeCell ref="AN241:AN242"/>
    <mergeCell ref="AO241:AO242"/>
    <mergeCell ref="AP241:AP242"/>
    <mergeCell ref="AR241:AR242"/>
    <mergeCell ref="AS241:AS242"/>
    <mergeCell ref="AT241:AT242"/>
    <mergeCell ref="C241:C247"/>
    <mergeCell ref="D241:D242"/>
    <mergeCell ref="E241:E242"/>
    <mergeCell ref="AK241:AK242"/>
    <mergeCell ref="AL241:AL242"/>
    <mergeCell ref="AM241:AM242"/>
    <mergeCell ref="W242:X242"/>
    <mergeCell ref="Y242:Z242"/>
    <mergeCell ref="AA242:AB242"/>
    <mergeCell ref="AC242:AD242"/>
    <mergeCell ref="AT243:AT244"/>
    <mergeCell ref="AU243:AU244"/>
    <mergeCell ref="AV243:AV244"/>
    <mergeCell ref="G244:H244"/>
    <mergeCell ref="I244:J244"/>
    <mergeCell ref="K244:L244"/>
    <mergeCell ref="M244:N244"/>
    <mergeCell ref="O244:P244"/>
    <mergeCell ref="Q244:R244"/>
    <mergeCell ref="AL243:AL244"/>
    <mergeCell ref="AM243:AM244"/>
    <mergeCell ref="AN243:AN244"/>
    <mergeCell ref="AO243:AO244"/>
    <mergeCell ref="AP243:AP244"/>
    <mergeCell ref="AR243:AR244"/>
    <mergeCell ref="AE242:AF242"/>
    <mergeCell ref="AG242:AH242"/>
    <mergeCell ref="AI242:AJ242"/>
    <mergeCell ref="AK243:AK244"/>
    <mergeCell ref="S244:T244"/>
    <mergeCell ref="U244:V244"/>
    <mergeCell ref="W244:X244"/>
    <mergeCell ref="Y244:Z244"/>
    <mergeCell ref="AU241:AU242"/>
    <mergeCell ref="AV241:AV242"/>
    <mergeCell ref="G242:H242"/>
    <mergeCell ref="I242:J242"/>
    <mergeCell ref="K242:L242"/>
    <mergeCell ref="M242:N242"/>
    <mergeCell ref="O242:P242"/>
    <mergeCell ref="Q242:R242"/>
    <mergeCell ref="S242:T242"/>
    <mergeCell ref="D246:F246"/>
    <mergeCell ref="D247:F247"/>
    <mergeCell ref="C248:C254"/>
    <mergeCell ref="D248:D249"/>
    <mergeCell ref="E248:E249"/>
    <mergeCell ref="AK248:AK249"/>
    <mergeCell ref="S249:T249"/>
    <mergeCell ref="U249:V249"/>
    <mergeCell ref="W249:X249"/>
    <mergeCell ref="Y249:Z249"/>
    <mergeCell ref="AA244:AB244"/>
    <mergeCell ref="AC244:AD244"/>
    <mergeCell ref="AE244:AF244"/>
    <mergeCell ref="AG244:AH244"/>
    <mergeCell ref="AI244:AJ244"/>
    <mergeCell ref="D245:F245"/>
    <mergeCell ref="AS243:AS244"/>
    <mergeCell ref="D243:D244"/>
    <mergeCell ref="E243:E244"/>
    <mergeCell ref="AA249:AB249"/>
    <mergeCell ref="AC249:AD249"/>
    <mergeCell ref="AE249:AF249"/>
    <mergeCell ref="AG249:AH249"/>
    <mergeCell ref="AI249:AJ249"/>
    <mergeCell ref="D250:D251"/>
    <mergeCell ref="E250:E251"/>
    <mergeCell ref="Q251:R251"/>
    <mergeCell ref="S251:T251"/>
    <mergeCell ref="U251:V251"/>
    <mergeCell ref="AS248:AS249"/>
    <mergeCell ref="AT248:AT249"/>
    <mergeCell ref="AU248:AU249"/>
    <mergeCell ref="AV248:AV249"/>
    <mergeCell ref="G249:H249"/>
    <mergeCell ref="I249:J249"/>
    <mergeCell ref="K249:L249"/>
    <mergeCell ref="M249:N249"/>
    <mergeCell ref="O249:P249"/>
    <mergeCell ref="Q249:R249"/>
    <mergeCell ref="AL248:AL249"/>
    <mergeCell ref="AM248:AM249"/>
    <mergeCell ref="AN248:AN249"/>
    <mergeCell ref="AO248:AO249"/>
    <mergeCell ref="AP248:AP249"/>
    <mergeCell ref="AR248:AR249"/>
    <mergeCell ref="C255:C261"/>
    <mergeCell ref="D255:D256"/>
    <mergeCell ref="E255:E256"/>
    <mergeCell ref="Q256:R256"/>
    <mergeCell ref="S256:T256"/>
    <mergeCell ref="U256:V256"/>
    <mergeCell ref="W251:X251"/>
    <mergeCell ref="Y251:Z251"/>
    <mergeCell ref="AA251:AB251"/>
    <mergeCell ref="AC251:AD251"/>
    <mergeCell ref="AE251:AF251"/>
    <mergeCell ref="AG251:AH251"/>
    <mergeCell ref="AR250:AR251"/>
    <mergeCell ref="AS250:AS251"/>
    <mergeCell ref="AT250:AT251"/>
    <mergeCell ref="AU250:AU251"/>
    <mergeCell ref="AV250:AV251"/>
    <mergeCell ref="G251:H251"/>
    <mergeCell ref="I251:J251"/>
    <mergeCell ref="K251:L251"/>
    <mergeCell ref="M251:N251"/>
    <mergeCell ref="O251:P251"/>
    <mergeCell ref="AK250:AK251"/>
    <mergeCell ref="AL250:AL251"/>
    <mergeCell ref="AM250:AM251"/>
    <mergeCell ref="AN250:AN251"/>
    <mergeCell ref="AO250:AO251"/>
    <mergeCell ref="AP250:AP251"/>
    <mergeCell ref="AS255:AS256"/>
    <mergeCell ref="AT255:AT256"/>
    <mergeCell ref="AU255:AU256"/>
    <mergeCell ref="AV255:AV256"/>
    <mergeCell ref="G256:H256"/>
    <mergeCell ref="I256:J256"/>
    <mergeCell ref="K256:L256"/>
    <mergeCell ref="M256:N256"/>
    <mergeCell ref="O256:P256"/>
    <mergeCell ref="AK255:AK256"/>
    <mergeCell ref="AL255:AL256"/>
    <mergeCell ref="AM255:AM256"/>
    <mergeCell ref="AN255:AN256"/>
    <mergeCell ref="AO255:AO256"/>
    <mergeCell ref="AP255:AP256"/>
    <mergeCell ref="AI251:AJ251"/>
    <mergeCell ref="D252:F252"/>
    <mergeCell ref="D253:F253"/>
    <mergeCell ref="D254:F254"/>
    <mergeCell ref="AI256:AJ256"/>
    <mergeCell ref="D257:D258"/>
    <mergeCell ref="E257:E258"/>
    <mergeCell ref="AK257:AK258"/>
    <mergeCell ref="AL257:AL258"/>
    <mergeCell ref="AM257:AM258"/>
    <mergeCell ref="W258:X258"/>
    <mergeCell ref="Y258:Z258"/>
    <mergeCell ref="AA258:AB258"/>
    <mergeCell ref="AC258:AD258"/>
    <mergeCell ref="W256:X256"/>
    <mergeCell ref="Y256:Z256"/>
    <mergeCell ref="AA256:AB256"/>
    <mergeCell ref="AC256:AD256"/>
    <mergeCell ref="AE256:AF256"/>
    <mergeCell ref="AG256:AH256"/>
    <mergeCell ref="AR255:AR256"/>
    <mergeCell ref="AE258:AF258"/>
    <mergeCell ref="AG258:AH258"/>
    <mergeCell ref="AI258:AJ258"/>
    <mergeCell ref="D259:F259"/>
    <mergeCell ref="D260:F260"/>
    <mergeCell ref="D261:F261"/>
    <mergeCell ref="AU257:AU258"/>
    <mergeCell ref="AV257:AV258"/>
    <mergeCell ref="G258:H258"/>
    <mergeCell ref="I258:J258"/>
    <mergeCell ref="K258:L258"/>
    <mergeCell ref="M258:N258"/>
    <mergeCell ref="O258:P258"/>
    <mergeCell ref="Q258:R258"/>
    <mergeCell ref="S258:T258"/>
    <mergeCell ref="U258:V258"/>
    <mergeCell ref="AN257:AN258"/>
    <mergeCell ref="AO257:AO258"/>
    <mergeCell ref="AP257:AP258"/>
    <mergeCell ref="AR257:AR258"/>
    <mergeCell ref="AS257:AS258"/>
    <mergeCell ref="AT257:AT258"/>
    <mergeCell ref="U263:V263"/>
    <mergeCell ref="AN262:AN263"/>
    <mergeCell ref="AO262:AO263"/>
    <mergeCell ref="AP262:AP263"/>
    <mergeCell ref="AR262:AR263"/>
    <mergeCell ref="AS262:AS263"/>
    <mergeCell ref="AT262:AT263"/>
    <mergeCell ref="C262:C268"/>
    <mergeCell ref="D262:D263"/>
    <mergeCell ref="E262:E263"/>
    <mergeCell ref="AK262:AK263"/>
    <mergeCell ref="AL262:AL263"/>
    <mergeCell ref="AM262:AM263"/>
    <mergeCell ref="W263:X263"/>
    <mergeCell ref="Y263:Z263"/>
    <mergeCell ref="AA263:AB263"/>
    <mergeCell ref="AC263:AD263"/>
    <mergeCell ref="AV264:AV265"/>
    <mergeCell ref="G265:H265"/>
    <mergeCell ref="I265:J265"/>
    <mergeCell ref="K265:L265"/>
    <mergeCell ref="M265:N265"/>
    <mergeCell ref="O265:P265"/>
    <mergeCell ref="Q265:R265"/>
    <mergeCell ref="AL264:AL265"/>
    <mergeCell ref="AM264:AM265"/>
    <mergeCell ref="AN264:AN265"/>
    <mergeCell ref="AO264:AO265"/>
    <mergeCell ref="AP264:AP265"/>
    <mergeCell ref="AR264:AR265"/>
    <mergeCell ref="AE263:AF263"/>
    <mergeCell ref="AG263:AH263"/>
    <mergeCell ref="AI263:AJ263"/>
    <mergeCell ref="D264:D265"/>
    <mergeCell ref="E264:E265"/>
    <mergeCell ref="AK264:AK265"/>
    <mergeCell ref="S265:T265"/>
    <mergeCell ref="U265:V265"/>
    <mergeCell ref="W265:X265"/>
    <mergeCell ref="Y265:Z265"/>
    <mergeCell ref="AU262:AU263"/>
    <mergeCell ref="AV262:AV263"/>
    <mergeCell ref="G263:H263"/>
    <mergeCell ref="I263:J263"/>
    <mergeCell ref="K263:L263"/>
    <mergeCell ref="M263:N263"/>
    <mergeCell ref="O263:P263"/>
    <mergeCell ref="Q263:R263"/>
    <mergeCell ref="S263:T263"/>
    <mergeCell ref="D267:F267"/>
    <mergeCell ref="D268:F268"/>
    <mergeCell ref="B269:B274"/>
    <mergeCell ref="C269:C274"/>
    <mergeCell ref="D269:D270"/>
    <mergeCell ref="E269:E270"/>
    <mergeCell ref="D271:D272"/>
    <mergeCell ref="E271:E272"/>
    <mergeCell ref="AA265:AB265"/>
    <mergeCell ref="AC265:AD265"/>
    <mergeCell ref="AE265:AF265"/>
    <mergeCell ref="AG265:AH265"/>
    <mergeCell ref="AI265:AJ265"/>
    <mergeCell ref="D266:F266"/>
    <mergeCell ref="AS264:AS265"/>
    <mergeCell ref="AT264:AT265"/>
    <mergeCell ref="AU264:AU265"/>
    <mergeCell ref="Y270:Z270"/>
    <mergeCell ref="AA270:AB270"/>
    <mergeCell ref="AC270:AD270"/>
    <mergeCell ref="AE270:AF270"/>
    <mergeCell ref="AG270:AH270"/>
    <mergeCell ref="AI270:AJ270"/>
    <mergeCell ref="AR269:AS270"/>
    <mergeCell ref="G270:H270"/>
    <mergeCell ref="I270:J270"/>
    <mergeCell ref="K270:L270"/>
    <mergeCell ref="M270:N270"/>
    <mergeCell ref="O270:P270"/>
    <mergeCell ref="Q270:R270"/>
    <mergeCell ref="S270:T270"/>
    <mergeCell ref="U270:V270"/>
    <mergeCell ref="W270:X270"/>
    <mergeCell ref="AK269:AK270"/>
    <mergeCell ref="AL269:AL270"/>
    <mergeCell ref="AM269:AM270"/>
    <mergeCell ref="AN269:AN270"/>
    <mergeCell ref="AO269:AO270"/>
    <mergeCell ref="AP269:AP270"/>
    <mergeCell ref="A282:A284"/>
    <mergeCell ref="B282:D282"/>
    <mergeCell ref="I282:K284"/>
    <mergeCell ref="AO282:AQ282"/>
    <mergeCell ref="B283:D283"/>
    <mergeCell ref="AO283:AQ283"/>
    <mergeCell ref="B284:D284"/>
    <mergeCell ref="AT278:AU278"/>
    <mergeCell ref="A279:A281"/>
    <mergeCell ref="B279:D279"/>
    <mergeCell ref="I279:K281"/>
    <mergeCell ref="B280:D280"/>
    <mergeCell ref="AO280:AQ280"/>
    <mergeCell ref="B281:D281"/>
    <mergeCell ref="AO281:AQ281"/>
    <mergeCell ref="AR271:AS272"/>
    <mergeCell ref="D273:F273"/>
    <mergeCell ref="D274:F274"/>
    <mergeCell ref="A275:F275"/>
    <mergeCell ref="A276:F276"/>
    <mergeCell ref="A278:D278"/>
    <mergeCell ref="AO278:AO279"/>
    <mergeCell ref="AP278:AQ279"/>
    <mergeCell ref="AR278:AS278"/>
    <mergeCell ref="AK271:AK272"/>
    <mergeCell ref="AL271:AL272"/>
    <mergeCell ref="AM271:AM272"/>
    <mergeCell ref="AN271:AN272"/>
    <mergeCell ref="AO271:AO272"/>
    <mergeCell ref="AP271:AP272"/>
    <mergeCell ref="AG286:AH287"/>
    <mergeCell ref="AI286:AJ287"/>
    <mergeCell ref="AK286:AP287"/>
    <mergeCell ref="AR286:AV287"/>
    <mergeCell ref="B288:B289"/>
    <mergeCell ref="C288:C289"/>
    <mergeCell ref="D288:D289"/>
    <mergeCell ref="E288:E289"/>
    <mergeCell ref="F288:F289"/>
    <mergeCell ref="G288:H288"/>
    <mergeCell ref="O286:P287"/>
    <mergeCell ref="Q286:R287"/>
    <mergeCell ref="U286:V287"/>
    <mergeCell ref="AA286:AB287"/>
    <mergeCell ref="AC286:AD287"/>
    <mergeCell ref="AE286:AF287"/>
    <mergeCell ref="A286:D287"/>
    <mergeCell ref="E286:E287"/>
    <mergeCell ref="F286:H287"/>
    <mergeCell ref="I286:J287"/>
    <mergeCell ref="K286:L287"/>
    <mergeCell ref="M286:N287"/>
    <mergeCell ref="AG288:AH288"/>
    <mergeCell ref="AI288:AJ288"/>
    <mergeCell ref="AK288:AK289"/>
    <mergeCell ref="AL288:AL289"/>
    <mergeCell ref="AM288:AM289"/>
    <mergeCell ref="AN288:AN289"/>
    <mergeCell ref="U288:V288"/>
    <mergeCell ref="W288:X288"/>
    <mergeCell ref="Y288:Z288"/>
    <mergeCell ref="AA288:AB288"/>
    <mergeCell ref="AC288:AD288"/>
    <mergeCell ref="AE288:AF288"/>
    <mergeCell ref="I288:J288"/>
    <mergeCell ref="K288:L288"/>
    <mergeCell ref="M288:N288"/>
    <mergeCell ref="O288:P288"/>
    <mergeCell ref="Q288:R288"/>
    <mergeCell ref="S288:T288"/>
    <mergeCell ref="B290:B296"/>
    <mergeCell ref="C290:C296"/>
    <mergeCell ref="D290:D291"/>
    <mergeCell ref="E290:E291"/>
    <mergeCell ref="AK290:AK291"/>
    <mergeCell ref="AL290:AL291"/>
    <mergeCell ref="U291:V291"/>
    <mergeCell ref="W291:X291"/>
    <mergeCell ref="Y291:Z291"/>
    <mergeCell ref="AA291:AB291"/>
    <mergeCell ref="Y289:Z289"/>
    <mergeCell ref="AA289:AB289"/>
    <mergeCell ref="AC289:AD289"/>
    <mergeCell ref="AE289:AF289"/>
    <mergeCell ref="AG289:AH289"/>
    <mergeCell ref="AI289:AJ289"/>
    <mergeCell ref="AV288:AV289"/>
    <mergeCell ref="G289:H289"/>
    <mergeCell ref="I289:J289"/>
    <mergeCell ref="K289:L289"/>
    <mergeCell ref="M289:N289"/>
    <mergeCell ref="O289:P289"/>
    <mergeCell ref="Q289:R289"/>
    <mergeCell ref="S289:T289"/>
    <mergeCell ref="U289:V289"/>
    <mergeCell ref="W289:X289"/>
    <mergeCell ref="AO288:AO289"/>
    <mergeCell ref="AP288:AP289"/>
    <mergeCell ref="AR288:AR289"/>
    <mergeCell ref="AS288:AS289"/>
    <mergeCell ref="AT288:AT289"/>
    <mergeCell ref="AU288:AU289"/>
    <mergeCell ref="AC291:AD291"/>
    <mergeCell ref="AE291:AF291"/>
    <mergeCell ref="AG291:AH291"/>
    <mergeCell ref="AI291:AJ291"/>
    <mergeCell ref="D292:D293"/>
    <mergeCell ref="E292:E293"/>
    <mergeCell ref="Q293:R293"/>
    <mergeCell ref="S293:T293"/>
    <mergeCell ref="U293:V293"/>
    <mergeCell ref="W293:X293"/>
    <mergeCell ref="AT290:AT291"/>
    <mergeCell ref="AU290:AU291"/>
    <mergeCell ref="AV290:AV291"/>
    <mergeCell ref="G291:H291"/>
    <mergeCell ref="I291:J291"/>
    <mergeCell ref="K291:L291"/>
    <mergeCell ref="M291:N291"/>
    <mergeCell ref="O291:P291"/>
    <mergeCell ref="Q291:R291"/>
    <mergeCell ref="S291:T291"/>
    <mergeCell ref="AM290:AM291"/>
    <mergeCell ref="AN290:AN291"/>
    <mergeCell ref="AO290:AO291"/>
    <mergeCell ref="AP290:AP291"/>
    <mergeCell ref="AR290:AR291"/>
    <mergeCell ref="AS290:AS291"/>
    <mergeCell ref="Y293:Z293"/>
    <mergeCell ref="AA293:AB293"/>
    <mergeCell ref="AC293:AD293"/>
    <mergeCell ref="AE293:AF293"/>
    <mergeCell ref="AG293:AH293"/>
    <mergeCell ref="AI293:AJ293"/>
    <mergeCell ref="AR292:AR293"/>
    <mergeCell ref="AS292:AS293"/>
    <mergeCell ref="AT292:AT293"/>
    <mergeCell ref="AU292:AU293"/>
    <mergeCell ref="AV292:AV293"/>
    <mergeCell ref="G293:H293"/>
    <mergeCell ref="I293:J293"/>
    <mergeCell ref="K293:L293"/>
    <mergeCell ref="M293:N293"/>
    <mergeCell ref="O293:P293"/>
    <mergeCell ref="AK292:AK293"/>
    <mergeCell ref="AL292:AL293"/>
    <mergeCell ref="AM292:AM293"/>
    <mergeCell ref="AN292:AN293"/>
    <mergeCell ref="AO292:AO293"/>
    <mergeCell ref="AP292:AP293"/>
    <mergeCell ref="AS297:AS298"/>
    <mergeCell ref="AT297:AT298"/>
    <mergeCell ref="AU297:AU298"/>
    <mergeCell ref="AV297:AV298"/>
    <mergeCell ref="G298:H298"/>
    <mergeCell ref="I298:J298"/>
    <mergeCell ref="K298:L298"/>
    <mergeCell ref="M298:N298"/>
    <mergeCell ref="O298:P298"/>
    <mergeCell ref="AK297:AK298"/>
    <mergeCell ref="AL297:AL298"/>
    <mergeCell ref="AM297:AM298"/>
    <mergeCell ref="AN297:AN298"/>
    <mergeCell ref="AO297:AO298"/>
    <mergeCell ref="AP297:AP298"/>
    <mergeCell ref="D294:F294"/>
    <mergeCell ref="AA294:AB294"/>
    <mergeCell ref="D295:F295"/>
    <mergeCell ref="AA295:AB295"/>
    <mergeCell ref="D296:F296"/>
    <mergeCell ref="D297:D298"/>
    <mergeCell ref="E297:E298"/>
    <mergeCell ref="AA297:AB297"/>
    <mergeCell ref="Q298:R298"/>
    <mergeCell ref="AE298:AF298"/>
    <mergeCell ref="AG298:AH298"/>
    <mergeCell ref="AI298:AJ298"/>
    <mergeCell ref="D299:D300"/>
    <mergeCell ref="E299:E300"/>
    <mergeCell ref="AA299:AB299"/>
    <mergeCell ref="Q300:R300"/>
    <mergeCell ref="S300:T300"/>
    <mergeCell ref="U300:V300"/>
    <mergeCell ref="W300:X300"/>
    <mergeCell ref="S298:T298"/>
    <mergeCell ref="U298:V298"/>
    <mergeCell ref="W298:X298"/>
    <mergeCell ref="Y298:Z298"/>
    <mergeCell ref="AA298:AB298"/>
    <mergeCell ref="AC298:AD298"/>
    <mergeCell ref="AR297:AR298"/>
    <mergeCell ref="Y300:Z300"/>
    <mergeCell ref="AA300:AB300"/>
    <mergeCell ref="AC300:AD300"/>
    <mergeCell ref="AE300:AF300"/>
    <mergeCell ref="AG300:AH300"/>
    <mergeCell ref="AI300:AJ300"/>
    <mergeCell ref="AR299:AR300"/>
    <mergeCell ref="AS299:AS300"/>
    <mergeCell ref="AT299:AT300"/>
    <mergeCell ref="AU299:AU300"/>
    <mergeCell ref="AV299:AV300"/>
    <mergeCell ref="G300:H300"/>
    <mergeCell ref="I300:J300"/>
    <mergeCell ref="K300:L300"/>
    <mergeCell ref="M300:N300"/>
    <mergeCell ref="O300:P300"/>
    <mergeCell ref="AK299:AK300"/>
    <mergeCell ref="AL299:AL300"/>
    <mergeCell ref="AM299:AM300"/>
    <mergeCell ref="AN299:AN300"/>
    <mergeCell ref="AO299:AO300"/>
    <mergeCell ref="AP299:AP300"/>
    <mergeCell ref="AT304:AT305"/>
    <mergeCell ref="AU304:AU305"/>
    <mergeCell ref="AV304:AV305"/>
    <mergeCell ref="A305:A306"/>
    <mergeCell ref="G305:H305"/>
    <mergeCell ref="I305:J305"/>
    <mergeCell ref="K305:L305"/>
    <mergeCell ref="M305:N305"/>
    <mergeCell ref="AK304:AK305"/>
    <mergeCell ref="AL304:AL305"/>
    <mergeCell ref="AM304:AM305"/>
    <mergeCell ref="AN304:AN305"/>
    <mergeCell ref="AO304:AO305"/>
    <mergeCell ref="AP304:AP305"/>
    <mergeCell ref="D301:F301"/>
    <mergeCell ref="AA301:AB301"/>
    <mergeCell ref="D302:F302"/>
    <mergeCell ref="AA302:AB302"/>
    <mergeCell ref="D303:F303"/>
    <mergeCell ref="C304:C310"/>
    <mergeCell ref="D304:D305"/>
    <mergeCell ref="E304:E305"/>
    <mergeCell ref="AA304:AB304"/>
    <mergeCell ref="O305:P305"/>
    <mergeCell ref="C297:C303"/>
    <mergeCell ref="AR306:AR307"/>
    <mergeCell ref="AS306:AS307"/>
    <mergeCell ref="AT306:AT307"/>
    <mergeCell ref="AU306:AU307"/>
    <mergeCell ref="AV306:AV307"/>
    <mergeCell ref="G307:H307"/>
    <mergeCell ref="I307:J307"/>
    <mergeCell ref="K307:L307"/>
    <mergeCell ref="M307:N307"/>
    <mergeCell ref="O307:P307"/>
    <mergeCell ref="AK306:AK307"/>
    <mergeCell ref="AL306:AL307"/>
    <mergeCell ref="AM306:AM307"/>
    <mergeCell ref="AN306:AN307"/>
    <mergeCell ref="AO306:AO307"/>
    <mergeCell ref="AP306:AP307"/>
    <mergeCell ref="AC305:AD305"/>
    <mergeCell ref="AE305:AF305"/>
    <mergeCell ref="AG305:AH305"/>
    <mergeCell ref="AI305:AJ305"/>
    <mergeCell ref="AA306:AB306"/>
    <mergeCell ref="Q307:R307"/>
    <mergeCell ref="S307:T307"/>
    <mergeCell ref="U307:V307"/>
    <mergeCell ref="Q305:R305"/>
    <mergeCell ref="S305:T305"/>
    <mergeCell ref="U305:V305"/>
    <mergeCell ref="W305:X305"/>
    <mergeCell ref="Y305:Z305"/>
    <mergeCell ref="AA305:AB305"/>
    <mergeCell ref="AR304:AR305"/>
    <mergeCell ref="AS304:AS305"/>
    <mergeCell ref="C311:C317"/>
    <mergeCell ref="D311:D312"/>
    <mergeCell ref="E311:E312"/>
    <mergeCell ref="AA311:AB311"/>
    <mergeCell ref="AK311:AK312"/>
    <mergeCell ref="AL311:AL312"/>
    <mergeCell ref="U312:V312"/>
    <mergeCell ref="W312:X312"/>
    <mergeCell ref="Y312:Z312"/>
    <mergeCell ref="AA312:AB312"/>
    <mergeCell ref="AI307:AJ307"/>
    <mergeCell ref="D308:F308"/>
    <mergeCell ref="AA308:AB308"/>
    <mergeCell ref="D309:F309"/>
    <mergeCell ref="AA309:AB309"/>
    <mergeCell ref="D310:F310"/>
    <mergeCell ref="W307:X307"/>
    <mergeCell ref="Y307:Z307"/>
    <mergeCell ref="AA307:AB307"/>
    <mergeCell ref="AC307:AD307"/>
    <mergeCell ref="AE307:AF307"/>
    <mergeCell ref="AG307:AH307"/>
    <mergeCell ref="D306:D307"/>
    <mergeCell ref="E306:E307"/>
    <mergeCell ref="AC312:AD312"/>
    <mergeCell ref="AE312:AF312"/>
    <mergeCell ref="AG312:AH312"/>
    <mergeCell ref="AI312:AJ312"/>
    <mergeCell ref="D313:D314"/>
    <mergeCell ref="E313:E314"/>
    <mergeCell ref="AA313:AB313"/>
    <mergeCell ref="Q314:R314"/>
    <mergeCell ref="S314:T314"/>
    <mergeCell ref="U314:V314"/>
    <mergeCell ref="AT311:AT312"/>
    <mergeCell ref="AU311:AU312"/>
    <mergeCell ref="AV311:AV312"/>
    <mergeCell ref="G312:H312"/>
    <mergeCell ref="I312:J312"/>
    <mergeCell ref="K312:L312"/>
    <mergeCell ref="M312:N312"/>
    <mergeCell ref="O312:P312"/>
    <mergeCell ref="Q312:R312"/>
    <mergeCell ref="S312:T312"/>
    <mergeCell ref="AM311:AM312"/>
    <mergeCell ref="AN311:AN312"/>
    <mergeCell ref="AO311:AO312"/>
    <mergeCell ref="AP311:AP312"/>
    <mergeCell ref="AR311:AR312"/>
    <mergeCell ref="AS311:AS312"/>
    <mergeCell ref="AI314:AJ314"/>
    <mergeCell ref="D315:F315"/>
    <mergeCell ref="AA315:AB315"/>
    <mergeCell ref="D316:F316"/>
    <mergeCell ref="AA316:AB316"/>
    <mergeCell ref="D317:F317"/>
    <mergeCell ref="W314:X314"/>
    <mergeCell ref="Y314:Z314"/>
    <mergeCell ref="AA314:AB314"/>
    <mergeCell ref="AC314:AD314"/>
    <mergeCell ref="AE314:AF314"/>
    <mergeCell ref="AG314:AH314"/>
    <mergeCell ref="AR313:AR314"/>
    <mergeCell ref="AS313:AS314"/>
    <mergeCell ref="AT313:AT314"/>
    <mergeCell ref="AU313:AU314"/>
    <mergeCell ref="AV313:AV314"/>
    <mergeCell ref="G314:H314"/>
    <mergeCell ref="I314:J314"/>
    <mergeCell ref="K314:L314"/>
    <mergeCell ref="M314:N314"/>
    <mergeCell ref="O314:P314"/>
    <mergeCell ref="AK313:AK314"/>
    <mergeCell ref="AL313:AL314"/>
    <mergeCell ref="AM313:AM314"/>
    <mergeCell ref="AN313:AN314"/>
    <mergeCell ref="AO313:AO314"/>
    <mergeCell ref="AP313:AP314"/>
    <mergeCell ref="Q319:R319"/>
    <mergeCell ref="S319:T319"/>
    <mergeCell ref="AM318:AM319"/>
    <mergeCell ref="AN318:AN319"/>
    <mergeCell ref="AO318:AO319"/>
    <mergeCell ref="AP318:AP319"/>
    <mergeCell ref="AR318:AR319"/>
    <mergeCell ref="AS318:AS319"/>
    <mergeCell ref="C318:C324"/>
    <mergeCell ref="D318:D319"/>
    <mergeCell ref="E318:E319"/>
    <mergeCell ref="AA318:AB318"/>
    <mergeCell ref="AK318:AK319"/>
    <mergeCell ref="AL318:AL319"/>
    <mergeCell ref="U319:V319"/>
    <mergeCell ref="W319:X319"/>
    <mergeCell ref="Y319:Z319"/>
    <mergeCell ref="AA319:AB319"/>
    <mergeCell ref="AR320:AR321"/>
    <mergeCell ref="AS320:AS321"/>
    <mergeCell ref="AT320:AT321"/>
    <mergeCell ref="AU320:AU321"/>
    <mergeCell ref="AV320:AV321"/>
    <mergeCell ref="G321:H321"/>
    <mergeCell ref="I321:J321"/>
    <mergeCell ref="K321:L321"/>
    <mergeCell ref="M321:N321"/>
    <mergeCell ref="O321:P321"/>
    <mergeCell ref="AK320:AK321"/>
    <mergeCell ref="AL320:AL321"/>
    <mergeCell ref="AM320:AM321"/>
    <mergeCell ref="AN320:AN321"/>
    <mergeCell ref="AO320:AO321"/>
    <mergeCell ref="AP320:AP321"/>
    <mergeCell ref="AC319:AD319"/>
    <mergeCell ref="AE319:AF319"/>
    <mergeCell ref="AG319:AH319"/>
    <mergeCell ref="AI319:AJ319"/>
    <mergeCell ref="AA320:AB320"/>
    <mergeCell ref="Q321:R321"/>
    <mergeCell ref="S321:T321"/>
    <mergeCell ref="U321:V321"/>
    <mergeCell ref="AT318:AT319"/>
    <mergeCell ref="AU318:AU319"/>
    <mergeCell ref="AV318:AV319"/>
    <mergeCell ref="G319:H319"/>
    <mergeCell ref="I319:J319"/>
    <mergeCell ref="K319:L319"/>
    <mergeCell ref="M319:N319"/>
    <mergeCell ref="O319:P319"/>
    <mergeCell ref="D324:F324"/>
    <mergeCell ref="C325:C331"/>
    <mergeCell ref="D325:D326"/>
    <mergeCell ref="E325:E326"/>
    <mergeCell ref="AK325:AK326"/>
    <mergeCell ref="AL325:AL326"/>
    <mergeCell ref="U326:V326"/>
    <mergeCell ref="W326:X326"/>
    <mergeCell ref="Y326:Z326"/>
    <mergeCell ref="AA326:AB326"/>
    <mergeCell ref="AI321:AJ321"/>
    <mergeCell ref="A322:A323"/>
    <mergeCell ref="D322:F322"/>
    <mergeCell ref="AA322:AB322"/>
    <mergeCell ref="D323:F323"/>
    <mergeCell ref="AA323:AB323"/>
    <mergeCell ref="W321:X321"/>
    <mergeCell ref="Y321:Z321"/>
    <mergeCell ref="AA321:AB321"/>
    <mergeCell ref="AC321:AD321"/>
    <mergeCell ref="AE321:AF321"/>
    <mergeCell ref="AG321:AH321"/>
    <mergeCell ref="D320:D321"/>
    <mergeCell ref="E320:E321"/>
    <mergeCell ref="AC326:AD326"/>
    <mergeCell ref="AE326:AF326"/>
    <mergeCell ref="AG326:AH326"/>
    <mergeCell ref="AI326:AJ326"/>
    <mergeCell ref="D327:D328"/>
    <mergeCell ref="E327:E328"/>
    <mergeCell ref="Q328:R328"/>
    <mergeCell ref="S328:T328"/>
    <mergeCell ref="U328:V328"/>
    <mergeCell ref="W328:X328"/>
    <mergeCell ref="AT325:AT326"/>
    <mergeCell ref="AU325:AU326"/>
    <mergeCell ref="AV325:AV326"/>
    <mergeCell ref="G326:H326"/>
    <mergeCell ref="I326:J326"/>
    <mergeCell ref="K326:L326"/>
    <mergeCell ref="M326:N326"/>
    <mergeCell ref="O326:P326"/>
    <mergeCell ref="Q326:R326"/>
    <mergeCell ref="S326:T326"/>
    <mergeCell ref="AM325:AM326"/>
    <mergeCell ref="AN325:AN326"/>
    <mergeCell ref="AO325:AO326"/>
    <mergeCell ref="AP325:AP326"/>
    <mergeCell ref="AR325:AR326"/>
    <mergeCell ref="AS325:AS326"/>
    <mergeCell ref="C332:C338"/>
    <mergeCell ref="D332:D333"/>
    <mergeCell ref="E332:E333"/>
    <mergeCell ref="D336:F336"/>
    <mergeCell ref="D337:F337"/>
    <mergeCell ref="D338:F338"/>
    <mergeCell ref="Y328:Z328"/>
    <mergeCell ref="AA328:AB328"/>
    <mergeCell ref="AC328:AD328"/>
    <mergeCell ref="AE328:AF328"/>
    <mergeCell ref="AG328:AH328"/>
    <mergeCell ref="AI328:AJ328"/>
    <mergeCell ref="AR327:AR328"/>
    <mergeCell ref="AS327:AS328"/>
    <mergeCell ref="AT327:AT328"/>
    <mergeCell ref="AU327:AU328"/>
    <mergeCell ref="AV327:AV328"/>
    <mergeCell ref="G328:H328"/>
    <mergeCell ref="I328:J328"/>
    <mergeCell ref="K328:L328"/>
    <mergeCell ref="M328:N328"/>
    <mergeCell ref="O328:P328"/>
    <mergeCell ref="AK327:AK328"/>
    <mergeCell ref="AL327:AL328"/>
    <mergeCell ref="AM327:AM328"/>
    <mergeCell ref="AN327:AN328"/>
    <mergeCell ref="AO327:AO328"/>
    <mergeCell ref="AP327:AP328"/>
    <mergeCell ref="AS332:AS333"/>
    <mergeCell ref="AT332:AT333"/>
    <mergeCell ref="AU332:AU333"/>
    <mergeCell ref="AV332:AV333"/>
    <mergeCell ref="G333:H333"/>
    <mergeCell ref="I333:J333"/>
    <mergeCell ref="K333:L333"/>
    <mergeCell ref="M333:N333"/>
    <mergeCell ref="O333:P333"/>
    <mergeCell ref="AK332:AK333"/>
    <mergeCell ref="AL332:AL333"/>
    <mergeCell ref="AM332:AM333"/>
    <mergeCell ref="AN332:AN333"/>
    <mergeCell ref="AO332:AO333"/>
    <mergeCell ref="AP332:AP333"/>
    <mergeCell ref="D329:F329"/>
    <mergeCell ref="D330:F330"/>
    <mergeCell ref="D331:F331"/>
    <mergeCell ref="AC333:AD333"/>
    <mergeCell ref="AE333:AF333"/>
    <mergeCell ref="AG333:AH333"/>
    <mergeCell ref="AI333:AJ333"/>
    <mergeCell ref="D334:D335"/>
    <mergeCell ref="E334:E335"/>
    <mergeCell ref="Q335:R335"/>
    <mergeCell ref="S335:T335"/>
    <mergeCell ref="U335:V335"/>
    <mergeCell ref="W335:X335"/>
    <mergeCell ref="Q333:R333"/>
    <mergeCell ref="S333:T333"/>
    <mergeCell ref="U333:V333"/>
    <mergeCell ref="W333:X333"/>
    <mergeCell ref="Y333:Z333"/>
    <mergeCell ref="AA333:AB333"/>
    <mergeCell ref="AR332:AR333"/>
    <mergeCell ref="Y335:Z335"/>
    <mergeCell ref="AA335:AB335"/>
    <mergeCell ref="AC335:AD335"/>
    <mergeCell ref="AE335:AF335"/>
    <mergeCell ref="AG335:AH335"/>
    <mergeCell ref="AI335:AJ335"/>
    <mergeCell ref="AR334:AR335"/>
    <mergeCell ref="AS334:AS335"/>
    <mergeCell ref="AT334:AT335"/>
    <mergeCell ref="AU334:AU335"/>
    <mergeCell ref="AV334:AV335"/>
    <mergeCell ref="G335:H335"/>
    <mergeCell ref="I335:J335"/>
    <mergeCell ref="K335:L335"/>
    <mergeCell ref="M335:N335"/>
    <mergeCell ref="O335:P335"/>
    <mergeCell ref="AK334:AK335"/>
    <mergeCell ref="AL334:AL335"/>
    <mergeCell ref="AM334:AM335"/>
    <mergeCell ref="AN334:AN335"/>
    <mergeCell ref="AO334:AO335"/>
    <mergeCell ref="AP334:AP335"/>
    <mergeCell ref="D341:D342"/>
    <mergeCell ref="E341:E342"/>
    <mergeCell ref="AK341:AK342"/>
    <mergeCell ref="AL341:AL342"/>
    <mergeCell ref="AM341:AM342"/>
    <mergeCell ref="AN341:AN342"/>
    <mergeCell ref="AA340:AB340"/>
    <mergeCell ref="AC340:AD340"/>
    <mergeCell ref="AE340:AF340"/>
    <mergeCell ref="AG340:AH340"/>
    <mergeCell ref="AI340:AJ340"/>
    <mergeCell ref="AR340:AV341"/>
    <mergeCell ref="AO341:AO342"/>
    <mergeCell ref="AP341:AP342"/>
    <mergeCell ref="AM339:AM340"/>
    <mergeCell ref="AN339:AN340"/>
    <mergeCell ref="AO339:AO340"/>
    <mergeCell ref="AP339:AP340"/>
    <mergeCell ref="G340:H340"/>
    <mergeCell ref="I340:J340"/>
    <mergeCell ref="K340:L340"/>
    <mergeCell ref="M340:N340"/>
    <mergeCell ref="O340:P340"/>
    <mergeCell ref="Q340:R340"/>
    <mergeCell ref="D339:D340"/>
    <mergeCell ref="E339:E340"/>
    <mergeCell ref="AK339:AK340"/>
    <mergeCell ref="AL339:AL340"/>
    <mergeCell ref="S340:T340"/>
    <mergeCell ref="U340:V340"/>
    <mergeCell ref="W340:X340"/>
    <mergeCell ref="Y340:Z340"/>
    <mergeCell ref="Y348:Z348"/>
    <mergeCell ref="AA348:AB348"/>
    <mergeCell ref="AC348:AD348"/>
    <mergeCell ref="G348:H348"/>
    <mergeCell ref="I348:J348"/>
    <mergeCell ref="K348:L348"/>
    <mergeCell ref="M348:N348"/>
    <mergeCell ref="O348:P348"/>
    <mergeCell ref="Q348:R348"/>
    <mergeCell ref="D343:F343"/>
    <mergeCell ref="D344:F344"/>
    <mergeCell ref="A345:F345"/>
    <mergeCell ref="A346:F346"/>
    <mergeCell ref="A347:D347"/>
    <mergeCell ref="A348:D349"/>
    <mergeCell ref="E348:E349"/>
    <mergeCell ref="F348:F349"/>
    <mergeCell ref="B339:B344"/>
    <mergeCell ref="C339:C344"/>
    <mergeCell ref="W349:X349"/>
    <mergeCell ref="Y349:Z349"/>
    <mergeCell ref="AA349:AB349"/>
    <mergeCell ref="AC349:AD349"/>
    <mergeCell ref="AE349:AF349"/>
    <mergeCell ref="AG349:AH349"/>
    <mergeCell ref="AU348:AU349"/>
    <mergeCell ref="AV348:AV349"/>
    <mergeCell ref="G349:H349"/>
    <mergeCell ref="I349:J349"/>
    <mergeCell ref="K349:L349"/>
    <mergeCell ref="M349:N349"/>
    <mergeCell ref="O349:P349"/>
    <mergeCell ref="Q349:R349"/>
    <mergeCell ref="S349:T349"/>
    <mergeCell ref="U349:V349"/>
    <mergeCell ref="AN348:AN349"/>
    <mergeCell ref="AO348:AO349"/>
    <mergeCell ref="AP348:AP349"/>
    <mergeCell ref="AR348:AR349"/>
    <mergeCell ref="AS348:AS349"/>
    <mergeCell ref="AT348:AT349"/>
    <mergeCell ref="AE348:AF348"/>
    <mergeCell ref="AG348:AH348"/>
    <mergeCell ref="AI348:AJ348"/>
    <mergeCell ref="AK348:AK349"/>
    <mergeCell ref="AL348:AL349"/>
    <mergeCell ref="AM348:AM349"/>
    <mergeCell ref="AI349:AJ349"/>
    <mergeCell ref="S348:T348"/>
    <mergeCell ref="U348:V348"/>
    <mergeCell ref="W348:X348"/>
    <mergeCell ref="S351:T351"/>
    <mergeCell ref="U351:V351"/>
    <mergeCell ref="AN350:AN351"/>
    <mergeCell ref="AO350:AO351"/>
    <mergeCell ref="AP350:AP351"/>
    <mergeCell ref="AR350:AR351"/>
    <mergeCell ref="AS350:AS351"/>
    <mergeCell ref="AT350:AT351"/>
    <mergeCell ref="C350:C356"/>
    <mergeCell ref="D350:D351"/>
    <mergeCell ref="E350:E351"/>
    <mergeCell ref="AK350:AK351"/>
    <mergeCell ref="AL350:AL351"/>
    <mergeCell ref="AM350:AM351"/>
    <mergeCell ref="W351:X351"/>
    <mergeCell ref="Y351:Z351"/>
    <mergeCell ref="AA351:AB351"/>
    <mergeCell ref="AC351:AD351"/>
    <mergeCell ref="AS352:AS353"/>
    <mergeCell ref="AT352:AT353"/>
    <mergeCell ref="AU352:AU353"/>
    <mergeCell ref="AV352:AV353"/>
    <mergeCell ref="G353:H353"/>
    <mergeCell ref="I353:J353"/>
    <mergeCell ref="K353:L353"/>
    <mergeCell ref="M353:N353"/>
    <mergeCell ref="O353:P353"/>
    <mergeCell ref="Q353:R353"/>
    <mergeCell ref="AL352:AL353"/>
    <mergeCell ref="AM352:AM353"/>
    <mergeCell ref="AN352:AN353"/>
    <mergeCell ref="AO352:AO353"/>
    <mergeCell ref="AP352:AP353"/>
    <mergeCell ref="AR352:AR353"/>
    <mergeCell ref="AE351:AF351"/>
    <mergeCell ref="AG351:AH351"/>
    <mergeCell ref="AI351:AJ351"/>
    <mergeCell ref="AK352:AK353"/>
    <mergeCell ref="S353:T353"/>
    <mergeCell ref="U353:V353"/>
    <mergeCell ref="W353:X353"/>
    <mergeCell ref="Y353:Z353"/>
    <mergeCell ref="AU350:AU351"/>
    <mergeCell ref="AV350:AV351"/>
    <mergeCell ref="G351:H351"/>
    <mergeCell ref="I351:J351"/>
    <mergeCell ref="K351:L351"/>
    <mergeCell ref="M351:N351"/>
    <mergeCell ref="O351:P351"/>
    <mergeCell ref="Q351:R351"/>
    <mergeCell ref="D356:F356"/>
    <mergeCell ref="C357:C363"/>
    <mergeCell ref="D357:D358"/>
    <mergeCell ref="E357:E358"/>
    <mergeCell ref="AK357:AK358"/>
    <mergeCell ref="AL357:AL358"/>
    <mergeCell ref="U358:V358"/>
    <mergeCell ref="W358:X358"/>
    <mergeCell ref="Y358:Z358"/>
    <mergeCell ref="AA358:AB358"/>
    <mergeCell ref="AA353:AB353"/>
    <mergeCell ref="AC353:AD353"/>
    <mergeCell ref="AE353:AF353"/>
    <mergeCell ref="AG353:AH353"/>
    <mergeCell ref="AI353:AJ353"/>
    <mergeCell ref="A354:A355"/>
    <mergeCell ref="D354:F354"/>
    <mergeCell ref="D355:F355"/>
    <mergeCell ref="D352:D353"/>
    <mergeCell ref="E352:E353"/>
    <mergeCell ref="AC358:AD358"/>
    <mergeCell ref="AE358:AF358"/>
    <mergeCell ref="AG358:AH358"/>
    <mergeCell ref="AI358:AJ358"/>
    <mergeCell ref="D359:D360"/>
    <mergeCell ref="E359:E360"/>
    <mergeCell ref="Q360:R360"/>
    <mergeCell ref="S360:T360"/>
    <mergeCell ref="U360:V360"/>
    <mergeCell ref="W360:X360"/>
    <mergeCell ref="AT357:AT358"/>
    <mergeCell ref="AU357:AU358"/>
    <mergeCell ref="AV357:AV358"/>
    <mergeCell ref="G358:H358"/>
    <mergeCell ref="I358:J358"/>
    <mergeCell ref="K358:L358"/>
    <mergeCell ref="M358:N358"/>
    <mergeCell ref="O358:P358"/>
    <mergeCell ref="Q358:R358"/>
    <mergeCell ref="S358:T358"/>
    <mergeCell ref="AM357:AM358"/>
    <mergeCell ref="AN357:AN358"/>
    <mergeCell ref="AO357:AO358"/>
    <mergeCell ref="AP357:AP358"/>
    <mergeCell ref="AR357:AR358"/>
    <mergeCell ref="AS357:AS358"/>
    <mergeCell ref="Y360:Z360"/>
    <mergeCell ref="AA360:AB360"/>
    <mergeCell ref="AC360:AD360"/>
    <mergeCell ref="AE360:AF360"/>
    <mergeCell ref="AG360:AH360"/>
    <mergeCell ref="AI360:AJ360"/>
    <mergeCell ref="AR359:AR360"/>
    <mergeCell ref="AS359:AS360"/>
    <mergeCell ref="AT359:AT360"/>
    <mergeCell ref="AU359:AU360"/>
    <mergeCell ref="AV359:AV360"/>
    <mergeCell ref="G360:H360"/>
    <mergeCell ref="I360:J360"/>
    <mergeCell ref="K360:L360"/>
    <mergeCell ref="M360:N360"/>
    <mergeCell ref="O360:P360"/>
    <mergeCell ref="AK359:AK360"/>
    <mergeCell ref="AL359:AL360"/>
    <mergeCell ref="AM359:AM360"/>
    <mergeCell ref="AN359:AN360"/>
    <mergeCell ref="AO359:AO360"/>
    <mergeCell ref="AP359:AP360"/>
    <mergeCell ref="AR364:AR365"/>
    <mergeCell ref="AS364:AS365"/>
    <mergeCell ref="AT364:AT365"/>
    <mergeCell ref="AU364:AU365"/>
    <mergeCell ref="AV364:AV365"/>
    <mergeCell ref="A365:A366"/>
    <mergeCell ref="G365:H365"/>
    <mergeCell ref="I365:J365"/>
    <mergeCell ref="K365:L365"/>
    <mergeCell ref="M365:N365"/>
    <mergeCell ref="AK364:AK365"/>
    <mergeCell ref="AL364:AL365"/>
    <mergeCell ref="AM364:AM365"/>
    <mergeCell ref="AN364:AN365"/>
    <mergeCell ref="AO364:AO365"/>
    <mergeCell ref="AP364:AP365"/>
    <mergeCell ref="D361:F361"/>
    <mergeCell ref="D362:F362"/>
    <mergeCell ref="A363:A364"/>
    <mergeCell ref="D363:F363"/>
    <mergeCell ref="C364:C370"/>
    <mergeCell ref="D364:D365"/>
    <mergeCell ref="E364:E365"/>
    <mergeCell ref="A367:A368"/>
    <mergeCell ref="G367:H367"/>
    <mergeCell ref="I367:J367"/>
    <mergeCell ref="K367:L367"/>
    <mergeCell ref="M367:N367"/>
    <mergeCell ref="AK366:AK367"/>
    <mergeCell ref="AL366:AL367"/>
    <mergeCell ref="AM366:AM367"/>
    <mergeCell ref="AN366:AN367"/>
    <mergeCell ref="AO366:AO367"/>
    <mergeCell ref="AP366:AP367"/>
    <mergeCell ref="AA365:AB365"/>
    <mergeCell ref="AC365:AD365"/>
    <mergeCell ref="AE365:AF365"/>
    <mergeCell ref="AG365:AH365"/>
    <mergeCell ref="AI365:AJ365"/>
    <mergeCell ref="D366:D367"/>
    <mergeCell ref="E366:E367"/>
    <mergeCell ref="O367:P367"/>
    <mergeCell ref="Q367:R367"/>
    <mergeCell ref="S367:T367"/>
    <mergeCell ref="O365:P365"/>
    <mergeCell ref="Q365:R365"/>
    <mergeCell ref="S365:T365"/>
    <mergeCell ref="U365:V365"/>
    <mergeCell ref="W365:X365"/>
    <mergeCell ref="Y365:Z365"/>
    <mergeCell ref="D368:F368"/>
    <mergeCell ref="D369:F369"/>
    <mergeCell ref="D370:F370"/>
    <mergeCell ref="C371:C377"/>
    <mergeCell ref="D371:D372"/>
    <mergeCell ref="E371:E372"/>
    <mergeCell ref="Q372:R372"/>
    <mergeCell ref="S372:T372"/>
    <mergeCell ref="U367:V367"/>
    <mergeCell ref="W367:X367"/>
    <mergeCell ref="Y367:Z367"/>
    <mergeCell ref="AA367:AB367"/>
    <mergeCell ref="AC367:AD367"/>
    <mergeCell ref="AE367:AF367"/>
    <mergeCell ref="AR366:AR367"/>
    <mergeCell ref="AS366:AS367"/>
    <mergeCell ref="AT366:AT367"/>
    <mergeCell ref="AS371:AS372"/>
    <mergeCell ref="AT371:AT372"/>
    <mergeCell ref="AU371:AU372"/>
    <mergeCell ref="AV371:AV372"/>
    <mergeCell ref="G372:H372"/>
    <mergeCell ref="I372:J372"/>
    <mergeCell ref="K372:L372"/>
    <mergeCell ref="M372:N372"/>
    <mergeCell ref="O372:P372"/>
    <mergeCell ref="AK371:AK372"/>
    <mergeCell ref="AL371:AL372"/>
    <mergeCell ref="AM371:AM372"/>
    <mergeCell ref="AN371:AN372"/>
    <mergeCell ref="AO371:AO372"/>
    <mergeCell ref="AP371:AP372"/>
    <mergeCell ref="AG367:AH367"/>
    <mergeCell ref="AI367:AJ367"/>
    <mergeCell ref="AU366:AU367"/>
    <mergeCell ref="AV366:AV367"/>
    <mergeCell ref="AG372:AH372"/>
    <mergeCell ref="AI372:AJ372"/>
    <mergeCell ref="D373:D374"/>
    <mergeCell ref="E373:E374"/>
    <mergeCell ref="AK373:AK374"/>
    <mergeCell ref="AL373:AL374"/>
    <mergeCell ref="U374:V374"/>
    <mergeCell ref="Y374:Z374"/>
    <mergeCell ref="AA374:AB374"/>
    <mergeCell ref="AC374:AD374"/>
    <mergeCell ref="U372:V372"/>
    <mergeCell ref="W372:X372"/>
    <mergeCell ref="Y372:Z372"/>
    <mergeCell ref="AA372:AB372"/>
    <mergeCell ref="AC372:AD372"/>
    <mergeCell ref="AE372:AF372"/>
    <mergeCell ref="AR371:AR372"/>
    <mergeCell ref="AE374:AF374"/>
    <mergeCell ref="AG374:AH374"/>
    <mergeCell ref="AI374:AJ374"/>
    <mergeCell ref="D375:F375"/>
    <mergeCell ref="D376:F376"/>
    <mergeCell ref="D377:F377"/>
    <mergeCell ref="AT373:AT374"/>
    <mergeCell ref="AU373:AU374"/>
    <mergeCell ref="AV373:AV374"/>
    <mergeCell ref="G374:H374"/>
    <mergeCell ref="I374:J374"/>
    <mergeCell ref="K374:L374"/>
    <mergeCell ref="M374:N374"/>
    <mergeCell ref="O374:P374"/>
    <mergeCell ref="Q374:R374"/>
    <mergeCell ref="S374:T374"/>
    <mergeCell ref="AM373:AM374"/>
    <mergeCell ref="AN373:AN374"/>
    <mergeCell ref="AO373:AO374"/>
    <mergeCell ref="AP373:AP374"/>
    <mergeCell ref="AR373:AR374"/>
    <mergeCell ref="AS373:AS374"/>
    <mergeCell ref="U379:V379"/>
    <mergeCell ref="AN378:AN379"/>
    <mergeCell ref="AO378:AO379"/>
    <mergeCell ref="AP378:AP379"/>
    <mergeCell ref="AR378:AR379"/>
    <mergeCell ref="AS378:AS379"/>
    <mergeCell ref="AT378:AT379"/>
    <mergeCell ref="C378:C384"/>
    <mergeCell ref="D378:D379"/>
    <mergeCell ref="E378:E379"/>
    <mergeCell ref="AK378:AK379"/>
    <mergeCell ref="AL378:AL379"/>
    <mergeCell ref="AM378:AM379"/>
    <mergeCell ref="W379:X379"/>
    <mergeCell ref="Y379:Z379"/>
    <mergeCell ref="AA379:AB379"/>
    <mergeCell ref="AC379:AD379"/>
    <mergeCell ref="AT380:AT381"/>
    <mergeCell ref="AU380:AU381"/>
    <mergeCell ref="AV380:AV381"/>
    <mergeCell ref="G381:H381"/>
    <mergeCell ref="I381:J381"/>
    <mergeCell ref="K381:L381"/>
    <mergeCell ref="M381:N381"/>
    <mergeCell ref="O381:P381"/>
    <mergeCell ref="Q381:R381"/>
    <mergeCell ref="AL380:AL381"/>
    <mergeCell ref="AM380:AM381"/>
    <mergeCell ref="AN380:AN381"/>
    <mergeCell ref="AO380:AO381"/>
    <mergeCell ref="AP380:AP381"/>
    <mergeCell ref="AR380:AR381"/>
    <mergeCell ref="AE379:AF379"/>
    <mergeCell ref="AG379:AH379"/>
    <mergeCell ref="AI379:AJ379"/>
    <mergeCell ref="AK380:AK381"/>
    <mergeCell ref="S381:T381"/>
    <mergeCell ref="U381:V381"/>
    <mergeCell ref="W381:X381"/>
    <mergeCell ref="Y381:Z381"/>
    <mergeCell ref="AU378:AU379"/>
    <mergeCell ref="AV378:AV379"/>
    <mergeCell ref="G379:H379"/>
    <mergeCell ref="I379:J379"/>
    <mergeCell ref="K379:L379"/>
    <mergeCell ref="M379:N379"/>
    <mergeCell ref="O379:P379"/>
    <mergeCell ref="Q379:R379"/>
    <mergeCell ref="S379:T379"/>
    <mergeCell ref="D383:F383"/>
    <mergeCell ref="D384:F384"/>
    <mergeCell ref="C385:C391"/>
    <mergeCell ref="D385:D386"/>
    <mergeCell ref="E385:E386"/>
    <mergeCell ref="AK385:AK386"/>
    <mergeCell ref="S386:T386"/>
    <mergeCell ref="U386:V386"/>
    <mergeCell ref="W386:X386"/>
    <mergeCell ref="Y386:Z386"/>
    <mergeCell ref="AA381:AB381"/>
    <mergeCell ref="AC381:AD381"/>
    <mergeCell ref="AE381:AF381"/>
    <mergeCell ref="AG381:AH381"/>
    <mergeCell ref="AI381:AJ381"/>
    <mergeCell ref="D382:F382"/>
    <mergeCell ref="AS380:AS381"/>
    <mergeCell ref="D380:D381"/>
    <mergeCell ref="E380:E381"/>
    <mergeCell ref="D387:D388"/>
    <mergeCell ref="E387:E388"/>
    <mergeCell ref="Q388:R388"/>
    <mergeCell ref="S388:T388"/>
    <mergeCell ref="U388:V388"/>
    <mergeCell ref="AS385:AS386"/>
    <mergeCell ref="AT385:AT386"/>
    <mergeCell ref="AU385:AU386"/>
    <mergeCell ref="AV385:AV386"/>
    <mergeCell ref="G386:H386"/>
    <mergeCell ref="I386:J386"/>
    <mergeCell ref="K386:L386"/>
    <mergeCell ref="M386:N386"/>
    <mergeCell ref="O386:P386"/>
    <mergeCell ref="Q386:R386"/>
    <mergeCell ref="AL385:AL386"/>
    <mergeCell ref="AM385:AM386"/>
    <mergeCell ref="AN385:AN386"/>
    <mergeCell ref="AO385:AO386"/>
    <mergeCell ref="AP385:AP386"/>
    <mergeCell ref="AR385:AR386"/>
    <mergeCell ref="AU387:AU388"/>
    <mergeCell ref="AV387:AV388"/>
    <mergeCell ref="G388:H388"/>
    <mergeCell ref="I388:J388"/>
    <mergeCell ref="K388:L388"/>
    <mergeCell ref="M388:N388"/>
    <mergeCell ref="O388:P388"/>
    <mergeCell ref="AK387:AK388"/>
    <mergeCell ref="AL387:AL388"/>
    <mergeCell ref="AM387:AM388"/>
    <mergeCell ref="AN387:AN388"/>
    <mergeCell ref="AO387:AO388"/>
    <mergeCell ref="AP387:AP388"/>
    <mergeCell ref="AA386:AB386"/>
    <mergeCell ref="AC386:AD386"/>
    <mergeCell ref="AE386:AF386"/>
    <mergeCell ref="AG386:AH386"/>
    <mergeCell ref="AI386:AJ386"/>
    <mergeCell ref="AT392:AT393"/>
    <mergeCell ref="AU392:AU393"/>
    <mergeCell ref="AV392:AV393"/>
    <mergeCell ref="G393:H393"/>
    <mergeCell ref="I393:J393"/>
    <mergeCell ref="K393:L393"/>
    <mergeCell ref="M393:N393"/>
    <mergeCell ref="O393:P393"/>
    <mergeCell ref="AK392:AK393"/>
    <mergeCell ref="AL392:AL393"/>
    <mergeCell ref="AM392:AM393"/>
    <mergeCell ref="AN392:AN393"/>
    <mergeCell ref="AO392:AO393"/>
    <mergeCell ref="AP392:AP393"/>
    <mergeCell ref="AI388:AJ388"/>
    <mergeCell ref="D389:F389"/>
    <mergeCell ref="D390:F390"/>
    <mergeCell ref="D391:F391"/>
    <mergeCell ref="D392:D393"/>
    <mergeCell ref="E392:E393"/>
    <mergeCell ref="Q393:R393"/>
    <mergeCell ref="S393:T393"/>
    <mergeCell ref="U393:V393"/>
    <mergeCell ref="W388:X388"/>
    <mergeCell ref="Y388:Z388"/>
    <mergeCell ref="AA388:AB388"/>
    <mergeCell ref="AC388:AD388"/>
    <mergeCell ref="AE388:AF388"/>
    <mergeCell ref="AG388:AH388"/>
    <mergeCell ref="AR387:AR388"/>
    <mergeCell ref="AS387:AS388"/>
    <mergeCell ref="AT387:AT388"/>
    <mergeCell ref="AU394:AU395"/>
    <mergeCell ref="AV394:AV395"/>
    <mergeCell ref="G395:H395"/>
    <mergeCell ref="I395:J395"/>
    <mergeCell ref="K395:L395"/>
    <mergeCell ref="M395:N395"/>
    <mergeCell ref="O395:P395"/>
    <mergeCell ref="Q395:R395"/>
    <mergeCell ref="S395:T395"/>
    <mergeCell ref="U395:V395"/>
    <mergeCell ref="AN394:AN395"/>
    <mergeCell ref="AO394:AO395"/>
    <mergeCell ref="AP394:AP395"/>
    <mergeCell ref="AR394:AR395"/>
    <mergeCell ref="AS394:AS395"/>
    <mergeCell ref="AT394:AT395"/>
    <mergeCell ref="AI393:AJ393"/>
    <mergeCell ref="AK394:AK395"/>
    <mergeCell ref="AL394:AL395"/>
    <mergeCell ref="AM394:AM395"/>
    <mergeCell ref="W395:X395"/>
    <mergeCell ref="Y395:Z395"/>
    <mergeCell ref="AA395:AB395"/>
    <mergeCell ref="AC395:AD395"/>
    <mergeCell ref="W393:X393"/>
    <mergeCell ref="Y393:Z393"/>
    <mergeCell ref="AA393:AB393"/>
    <mergeCell ref="AC393:AD393"/>
    <mergeCell ref="AE393:AF393"/>
    <mergeCell ref="AG393:AH393"/>
    <mergeCell ref="AR392:AR393"/>
    <mergeCell ref="AS392:AS393"/>
    <mergeCell ref="AN399:AN400"/>
    <mergeCell ref="AO399:AO400"/>
    <mergeCell ref="AP399:AP400"/>
    <mergeCell ref="AR399:AR400"/>
    <mergeCell ref="AS399:AS400"/>
    <mergeCell ref="AT399:AT400"/>
    <mergeCell ref="C399:C405"/>
    <mergeCell ref="D399:D400"/>
    <mergeCell ref="E399:E400"/>
    <mergeCell ref="AK399:AK400"/>
    <mergeCell ref="AL399:AL400"/>
    <mergeCell ref="AM399:AM400"/>
    <mergeCell ref="W400:X400"/>
    <mergeCell ref="Y400:Z400"/>
    <mergeCell ref="AA400:AB400"/>
    <mergeCell ref="AC400:AD400"/>
    <mergeCell ref="AE395:AF395"/>
    <mergeCell ref="AG395:AH395"/>
    <mergeCell ref="AI395:AJ395"/>
    <mergeCell ref="D396:F396"/>
    <mergeCell ref="D397:F397"/>
    <mergeCell ref="D398:F398"/>
    <mergeCell ref="D394:D395"/>
    <mergeCell ref="E394:E395"/>
    <mergeCell ref="C392:C398"/>
    <mergeCell ref="AU401:AU402"/>
    <mergeCell ref="AV401:AV402"/>
    <mergeCell ref="G402:H402"/>
    <mergeCell ref="I402:J402"/>
    <mergeCell ref="K402:L402"/>
    <mergeCell ref="M402:N402"/>
    <mergeCell ref="O402:P402"/>
    <mergeCell ref="Q402:R402"/>
    <mergeCell ref="AL401:AL402"/>
    <mergeCell ref="AM401:AM402"/>
    <mergeCell ref="AN401:AN402"/>
    <mergeCell ref="AO401:AO402"/>
    <mergeCell ref="AP401:AP402"/>
    <mergeCell ref="AR401:AR402"/>
    <mergeCell ref="AE400:AF400"/>
    <mergeCell ref="AG400:AH400"/>
    <mergeCell ref="AI400:AJ400"/>
    <mergeCell ref="AK401:AK402"/>
    <mergeCell ref="S402:T402"/>
    <mergeCell ref="U402:V402"/>
    <mergeCell ref="W402:X402"/>
    <mergeCell ref="Y402:Z402"/>
    <mergeCell ref="AU399:AU400"/>
    <mergeCell ref="AV399:AV400"/>
    <mergeCell ref="G400:H400"/>
    <mergeCell ref="I400:J400"/>
    <mergeCell ref="K400:L400"/>
    <mergeCell ref="M400:N400"/>
    <mergeCell ref="O400:P400"/>
    <mergeCell ref="Q400:R400"/>
    <mergeCell ref="S400:T400"/>
    <mergeCell ref="U400:V400"/>
    <mergeCell ref="AP406:AP407"/>
    <mergeCell ref="D404:F404"/>
    <mergeCell ref="D405:F405"/>
    <mergeCell ref="B406:B411"/>
    <mergeCell ref="C406:C411"/>
    <mergeCell ref="D406:D407"/>
    <mergeCell ref="E406:E407"/>
    <mergeCell ref="D408:D409"/>
    <mergeCell ref="E408:E409"/>
    <mergeCell ref="AA402:AB402"/>
    <mergeCell ref="AC402:AD402"/>
    <mergeCell ref="AE402:AF402"/>
    <mergeCell ref="AG402:AH402"/>
    <mergeCell ref="AI402:AJ402"/>
    <mergeCell ref="D403:F403"/>
    <mergeCell ref="AS401:AS402"/>
    <mergeCell ref="AT401:AT402"/>
    <mergeCell ref="D401:D402"/>
    <mergeCell ref="E401:E402"/>
    <mergeCell ref="AR408:AS409"/>
    <mergeCell ref="D410:F410"/>
    <mergeCell ref="D411:F411"/>
    <mergeCell ref="A412:F412"/>
    <mergeCell ref="A413:F413"/>
    <mergeCell ref="AK408:AK409"/>
    <mergeCell ref="AL408:AL409"/>
    <mergeCell ref="AM408:AM409"/>
    <mergeCell ref="AN408:AN409"/>
    <mergeCell ref="AO408:AO409"/>
    <mergeCell ref="AP408:AP409"/>
    <mergeCell ref="Y407:Z407"/>
    <mergeCell ref="AA407:AB407"/>
    <mergeCell ref="AC407:AD407"/>
    <mergeCell ref="AE407:AF407"/>
    <mergeCell ref="AG407:AH407"/>
    <mergeCell ref="AI407:AJ407"/>
    <mergeCell ref="AR406:AS407"/>
    <mergeCell ref="G407:H407"/>
    <mergeCell ref="I407:J407"/>
    <mergeCell ref="K407:L407"/>
    <mergeCell ref="M407:N407"/>
    <mergeCell ref="O407:P407"/>
    <mergeCell ref="Q407:R407"/>
    <mergeCell ref="S407:T407"/>
    <mergeCell ref="U407:V407"/>
    <mergeCell ref="W407:X407"/>
    <mergeCell ref="AK406:AK407"/>
    <mergeCell ref="AL406:AL407"/>
    <mergeCell ref="AM406:AM407"/>
    <mergeCell ref="AN406:AN407"/>
    <mergeCell ref="AO406:AO407"/>
  </mergeCells>
  <conditionalFormatting sqref="AR22 AR43 AR50 AR57 AR64 AR71:AR73 AK72:AP72">
    <cfRule type="cellIs" dxfId="57" priority="118" operator="greaterThan">
      <formula>1150</formula>
    </cfRule>
  </conditionalFormatting>
  <conditionalFormatting sqref="AT22 AT43 AT50 AT57 AT64 AT71:AT73">
    <cfRule type="cellIs" dxfId="56" priority="117" operator="greaterThan">
      <formula>16100</formula>
    </cfRule>
  </conditionalFormatting>
  <conditionalFormatting sqref="AV22 AV43 AV50 AV57 AV64 AV71:AV73">
    <cfRule type="cellIs" dxfId="55" priority="116" operator="greaterThan">
      <formula>402</formula>
    </cfRule>
  </conditionalFormatting>
  <conditionalFormatting sqref="AS22 AS71:AS73 AU71:AU73">
    <cfRule type="cellIs" dxfId="54" priority="115" operator="greaterThan">
      <formula>1</formula>
    </cfRule>
  </conditionalFormatting>
  <conditionalFormatting sqref="AU22">
    <cfRule type="cellIs" dxfId="53" priority="114" operator="greaterThan">
      <formula>1</formula>
    </cfRule>
  </conditionalFormatting>
  <conditionalFormatting sqref="AR29">
    <cfRule type="cellIs" dxfId="52" priority="113" operator="greaterThan">
      <formula>1150</formula>
    </cfRule>
  </conditionalFormatting>
  <conditionalFormatting sqref="AT29">
    <cfRule type="cellIs" dxfId="51" priority="112" operator="greaterThan">
      <formula>16100</formula>
    </cfRule>
  </conditionalFormatting>
  <conditionalFormatting sqref="AV29">
    <cfRule type="cellIs" dxfId="50" priority="111" operator="greaterThan">
      <formula>402</formula>
    </cfRule>
  </conditionalFormatting>
  <conditionalFormatting sqref="AR36">
    <cfRule type="cellIs" dxfId="49" priority="110" operator="greaterThan">
      <formula>1150</formula>
    </cfRule>
  </conditionalFormatting>
  <conditionalFormatting sqref="AT36">
    <cfRule type="cellIs" dxfId="48" priority="109" operator="greaterThan">
      <formula>16100</formula>
    </cfRule>
  </conditionalFormatting>
  <conditionalFormatting sqref="AV36">
    <cfRule type="cellIs" dxfId="47" priority="108" operator="greaterThan">
      <formula>402</formula>
    </cfRule>
  </conditionalFormatting>
  <conditionalFormatting sqref="AS29 AS36 AS43 AS50 AS57 AS64">
    <cfRule type="cellIs" dxfId="46" priority="107" operator="greaterThan">
      <formula>1</formula>
    </cfRule>
  </conditionalFormatting>
  <conditionalFormatting sqref="AU29 AU36 AU43 AU50 AU57 AU64">
    <cfRule type="cellIs" dxfId="45" priority="106" operator="greaterThan">
      <formula>1</formula>
    </cfRule>
  </conditionalFormatting>
  <conditionalFormatting sqref="AR82 AR89 AR96 AR103 AR110 AR117 AR124 AR131">
    <cfRule type="cellIs" dxfId="44" priority="105" operator="greaterThan">
      <formula>$E$8</formula>
    </cfRule>
  </conditionalFormatting>
  <conditionalFormatting sqref="AT82 AT89 AT96 AT103 AT110 AT117 AT124 AT131">
    <cfRule type="cellIs" dxfId="43" priority="104" operator="greaterThan">
      <formula>$F$8</formula>
    </cfRule>
  </conditionalFormatting>
  <conditionalFormatting sqref="AV82 AV89 AV96 AV103 AV110 AV117 AV124 AV131">
    <cfRule type="cellIs" dxfId="42" priority="103" operator="greaterThan">
      <formula>402</formula>
    </cfRule>
  </conditionalFormatting>
  <conditionalFormatting sqref="AS82 AS89 AS96 AS103 AS110 AS117 AS124 AS131">
    <cfRule type="cellIs" dxfId="41" priority="102" operator="greaterThan">
      <formula>1</formula>
    </cfRule>
  </conditionalFormatting>
  <conditionalFormatting sqref="AU82 AU89 AU96 AU103 AU110 AU117 AU124 AU131">
    <cfRule type="cellIs" dxfId="40" priority="101" operator="greaterThan">
      <formula>1</formula>
    </cfRule>
  </conditionalFormatting>
  <conditionalFormatting sqref="AR159 AR180 AR187 AR194 AR201 AR208:AR210 AK209:AP209">
    <cfRule type="cellIs" dxfId="39" priority="98" operator="greaterThan">
      <formula>1150</formula>
    </cfRule>
  </conditionalFormatting>
  <conditionalFormatting sqref="AT159 AT180 AT187 AT194 AT201 AT208:AT210">
    <cfRule type="cellIs" dxfId="38" priority="97" operator="greaterThan">
      <formula>16100</formula>
    </cfRule>
  </conditionalFormatting>
  <conditionalFormatting sqref="AV159 AV180 AV187 AV194 AV201 AV208:AV210">
    <cfRule type="cellIs" dxfId="37" priority="96" operator="greaterThan">
      <formula>402</formula>
    </cfRule>
  </conditionalFormatting>
  <conditionalFormatting sqref="AS159 AS208:AS210 AU208:AU210">
    <cfRule type="cellIs" dxfId="36" priority="95" operator="greaterThan">
      <formula>1</formula>
    </cfRule>
  </conditionalFormatting>
  <conditionalFormatting sqref="AU159">
    <cfRule type="cellIs" dxfId="35" priority="94" operator="greaterThan">
      <formula>1</formula>
    </cfRule>
  </conditionalFormatting>
  <conditionalFormatting sqref="AR166">
    <cfRule type="cellIs" dxfId="34" priority="93" operator="greaterThan">
      <formula>1150</formula>
    </cfRule>
  </conditionalFormatting>
  <conditionalFormatting sqref="AT166">
    <cfRule type="cellIs" dxfId="33" priority="92" operator="greaterThan">
      <formula>16100</formula>
    </cfRule>
  </conditionalFormatting>
  <conditionalFormatting sqref="AV166">
    <cfRule type="cellIs" dxfId="32" priority="91" operator="greaterThan">
      <formula>402</formula>
    </cfRule>
  </conditionalFormatting>
  <conditionalFormatting sqref="AR173">
    <cfRule type="cellIs" dxfId="31" priority="90" operator="greaterThan">
      <formula>1150</formula>
    </cfRule>
  </conditionalFormatting>
  <conditionalFormatting sqref="AT173">
    <cfRule type="cellIs" dxfId="30" priority="89" operator="greaterThan">
      <formula>16100</formula>
    </cfRule>
  </conditionalFormatting>
  <conditionalFormatting sqref="AV173">
    <cfRule type="cellIs" dxfId="29" priority="88" operator="greaterThan">
      <formula>402</formula>
    </cfRule>
  </conditionalFormatting>
  <conditionalFormatting sqref="AS166 AS173 AS180 AS187 AS194 AS201">
    <cfRule type="cellIs" dxfId="28" priority="87" operator="greaterThan">
      <formula>1</formula>
    </cfRule>
  </conditionalFormatting>
  <conditionalFormatting sqref="AU166 AU173 AU180 AU187 AU194 AU201">
    <cfRule type="cellIs" dxfId="27" priority="86" operator="greaterThan">
      <formula>1</formula>
    </cfRule>
  </conditionalFormatting>
  <conditionalFormatting sqref="AR219">
    <cfRule type="cellIs" dxfId="26" priority="85" operator="greaterThan">
      <formula>$E$8</formula>
    </cfRule>
  </conditionalFormatting>
  <conditionalFormatting sqref="AT219">
    <cfRule type="cellIs" dxfId="25" priority="84" operator="greaterThan">
      <formula>$F$8</formula>
    </cfRule>
  </conditionalFormatting>
  <conditionalFormatting sqref="AV219 AV226 AV233 AV240 AV247 AV254 AV261 AV268">
    <cfRule type="cellIs" dxfId="24" priority="83" operator="greaterThan">
      <formula>402</formula>
    </cfRule>
  </conditionalFormatting>
  <conditionalFormatting sqref="AS219 AS226 AS233 AS240 AS247 AS254 AS261 AS268">
    <cfRule type="cellIs" dxfId="23" priority="82" operator="greaterThan">
      <formula>1</formula>
    </cfRule>
  </conditionalFormatting>
  <conditionalFormatting sqref="AU219 AU226 AU233 AU240 AU247 AU254 AU261 AU268">
    <cfRule type="cellIs" dxfId="22" priority="81" operator="greaterThan">
      <formula>1</formula>
    </cfRule>
  </conditionalFormatting>
  <conditionalFormatting sqref="AR226 AR233 AR240 AR247 AR254 AR261 AR268">
    <cfRule type="cellIs" dxfId="21" priority="100" operator="greaterThan">
      <formula>$E$8</formula>
    </cfRule>
  </conditionalFormatting>
  <conditionalFormatting sqref="AT226 AT233 AT240 AT247 AT254 AT261 AT268">
    <cfRule type="cellIs" dxfId="20" priority="99" operator="greaterThan">
      <formula>$F$8</formula>
    </cfRule>
  </conditionalFormatting>
  <conditionalFormatting sqref="AR296 AR317 AR324 AR331 AR338 AR345:AR347 AK346:AP346">
    <cfRule type="cellIs" dxfId="19" priority="78" operator="greaterThan">
      <formula>1150</formula>
    </cfRule>
  </conditionalFormatting>
  <conditionalFormatting sqref="AT296 AT317 AT324 AT331 AT338 AT345:AT347">
    <cfRule type="cellIs" dxfId="18" priority="77" operator="greaterThan">
      <formula>16100</formula>
    </cfRule>
  </conditionalFormatting>
  <conditionalFormatting sqref="AV296 AV317 AV324 AV331 AV338 AV345:AV347">
    <cfRule type="cellIs" dxfId="17" priority="76" operator="greaterThan">
      <formula>402</formula>
    </cfRule>
  </conditionalFormatting>
  <conditionalFormatting sqref="AS296 AS345:AS347 AU345:AU347">
    <cfRule type="cellIs" dxfId="16" priority="75" operator="greaterThan">
      <formula>1</formula>
    </cfRule>
  </conditionalFormatting>
  <conditionalFormatting sqref="AU296">
    <cfRule type="cellIs" dxfId="15" priority="74" operator="greaterThan">
      <formula>1</formula>
    </cfRule>
  </conditionalFormatting>
  <conditionalFormatting sqref="AR303">
    <cfRule type="cellIs" dxfId="14" priority="73" operator="greaterThan">
      <formula>1150</formula>
    </cfRule>
  </conditionalFormatting>
  <conditionalFormatting sqref="AT303">
    <cfRule type="cellIs" dxfId="13" priority="72" operator="greaterThan">
      <formula>16100</formula>
    </cfRule>
  </conditionalFormatting>
  <conditionalFormatting sqref="AV303">
    <cfRule type="cellIs" dxfId="12" priority="71" operator="greaterThan">
      <formula>402</formula>
    </cfRule>
  </conditionalFormatting>
  <conditionalFormatting sqref="AR310">
    <cfRule type="cellIs" dxfId="11" priority="70" operator="greaterThan">
      <formula>1150</formula>
    </cfRule>
  </conditionalFormatting>
  <conditionalFormatting sqref="AT310">
    <cfRule type="cellIs" dxfId="10" priority="69" operator="greaterThan">
      <formula>16100</formula>
    </cfRule>
  </conditionalFormatting>
  <conditionalFormatting sqref="AV310">
    <cfRule type="cellIs" dxfId="9" priority="68" operator="greaterThan">
      <formula>402</formula>
    </cfRule>
  </conditionalFormatting>
  <conditionalFormatting sqref="AS303 AS310 AS317 AS324 AS331 AS338">
    <cfRule type="cellIs" dxfId="8" priority="67" operator="greaterThan">
      <formula>1</formula>
    </cfRule>
  </conditionalFormatting>
  <conditionalFormatting sqref="AU303 AU310 AU317 AU324 AU331 AU338">
    <cfRule type="cellIs" dxfId="7" priority="66" operator="greaterThan">
      <formula>1</formula>
    </cfRule>
  </conditionalFormatting>
  <conditionalFormatting sqref="AR356">
    <cfRule type="cellIs" dxfId="6" priority="65" operator="greaterThan">
      <formula>$E$8</formula>
    </cfRule>
  </conditionalFormatting>
  <conditionalFormatting sqref="AT356">
    <cfRule type="cellIs" dxfId="5" priority="64" operator="greaterThan">
      <formula>$F$8</formula>
    </cfRule>
  </conditionalFormatting>
  <conditionalFormatting sqref="AV356 AV363 AV370 AV377 AV384 AV391 AV398 AV405">
    <cfRule type="cellIs" dxfId="4" priority="63" operator="greaterThan">
      <formula>402</formula>
    </cfRule>
  </conditionalFormatting>
  <conditionalFormatting sqref="AS356 AS363 AS370 AS377 AS384 AS391 AS398 AS405">
    <cfRule type="cellIs" dxfId="3" priority="62" operator="greaterThan">
      <formula>1</formula>
    </cfRule>
  </conditionalFormatting>
  <conditionalFormatting sqref="AU356 AU363 AU370 AU377 AU384 AU391 AU398 AU405">
    <cfRule type="cellIs" dxfId="2" priority="61" operator="greaterThan">
      <formula>1</formula>
    </cfRule>
  </conditionalFormatting>
  <conditionalFormatting sqref="AR363 AR370 AR377 AR384 AR391 AR398 AR405">
    <cfRule type="cellIs" dxfId="1" priority="80" operator="greaterThan">
      <formula>$E$8</formula>
    </cfRule>
  </conditionalFormatting>
  <conditionalFormatting sqref="AT363 AT370 AT377 AT384 AT391 AT398 AT405">
    <cfRule type="cellIs" dxfId="0" priority="79" operator="greaterThan">
      <formula>$F$8</formula>
    </cfRule>
  </conditionalFormatting>
  <printOptions horizontalCentered="1"/>
  <pageMargins left="0.51181102362204722" right="0.51181102362204722" top="0.55118110236220474" bottom="0.55118110236220474" header="0.31496062992125984" footer="0.31496062992125984"/>
  <pageSetup paperSize="9" scale="20" orientation="portrait" cellComments="asDisplayed" r:id="rId1"/>
  <headerFooter>
    <oddFooter>&amp;C&amp;D
WEMED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test</vt:lpstr>
      <vt:lpstr>TABLEAU5</vt:lpstr>
      <vt:lpstr>test!Zone_d_impression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2016-05-09T11:05:04Z</dcterms:created>
  <dcterms:modified xsi:type="dcterms:W3CDTF">2016-05-09T11:31:30Z</dcterms:modified>
</cp:coreProperties>
</file>